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orange0-my.sharepoint.com/personal/mameale_seye_orange_com/Documents/Documents/OBS-OBF/VBA Excel/Facturation - Paula/Fichiers automatisés/"/>
    </mc:Choice>
  </mc:AlternateContent>
  <xr:revisionPtr revIDLastSave="40810" documentId="8_{0E4B24BF-AE2F-4406-9338-F51E903ABAE6}" xr6:coauthVersionLast="47" xr6:coauthVersionMax="47" xr10:uidLastSave="{8340AA4F-7078-4BDF-8DC6-A5BC2AB7E4BC}"/>
  <bookViews>
    <workbookView xWindow="-108" yWindow="-108" windowWidth="23256" windowHeight="12456" tabRatio="741" xr2:uid="{72E42460-E737-4FFE-B1A4-3D3880762D00}"/>
  </bookViews>
  <sheets>
    <sheet name="20260309 suivi sites" sheetId="41" r:id="rId1"/>
    <sheet name="Facturation PAS RIN5 RUN" sheetId="47" r:id="rId2"/>
    <sheet name="créations à facturer" sheetId="59" r:id="rId3"/>
    <sheet name="fastupgrade 2025 2026" sheetId="65" r:id="rId4"/>
    <sheet name="sites résiliés" sheetId="69" r:id="rId5"/>
    <sheet name="parc SATIN 08012026v" sheetId="56" r:id="rId6"/>
    <sheet name="BPU PA B S G PM" sheetId="62" r:id="rId7"/>
    <sheet name="BPU DOM" sheetId="63" r:id="rId8"/>
    <sheet name="Sheet1" sheetId="70" r:id="rId9"/>
    <sheet name="CANAUX" sheetId="64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0" hidden="1">'20260309 suivi sites'!$F$2:$AW$246</definedName>
    <definedName name="_xlnm._FilterDatabase" localSheetId="9" hidden="1">CANAUX!$A$4:$Q$4</definedName>
    <definedName name="_xlnm._FilterDatabase" localSheetId="2" hidden="1">'créations à facturer'!$A$1:$Z$33</definedName>
    <definedName name="_xlnm._FilterDatabase" localSheetId="1" hidden="1">'Facturation PAS RIN5 RUN'!$A$13:$IW$376</definedName>
    <definedName name="_xlnm._FilterDatabase" localSheetId="5" hidden="1">'parc SATIN 08012026v'!$I$2:$BA$304</definedName>
    <definedName name="_xleta.N" hidden="1" xlm="1">#NAME?</definedName>
    <definedName name="ABO_C8200L">'[1]BPU Routeurs'!$F$19</definedName>
    <definedName name="ABO_DNA_P_T0">'[1]BPU Routeurs'!$F$43</definedName>
    <definedName name="Abo_GLC_TE">'[2]BPU Routeurs'!$F$34</definedName>
    <definedName name="Abo_ISR4321">'[2]BPU Routeurs'!$F$11</definedName>
    <definedName name="Abo_ISR4331">'[2]BPU Routeurs'!$F$12</definedName>
    <definedName name="Abo_ISR4451">'[3]BPU Routeurs'!$F$15</definedName>
    <definedName name="Abo_NIM_1GE">'[2]BPU Routeurs'!$F$29</definedName>
    <definedName name="Abo_NIM_2GE">'[2]BPU Routeurs'!$F$30</definedName>
    <definedName name="Abo_Perf_44">'[3]BPU Routeurs'!$F$39</definedName>
    <definedName name="Avance" localSheetId="1">[4]Synthèse!#REF!</definedName>
    <definedName name="Avance">[5]Synthèse!#REF!</definedName>
    <definedName name="BackupRNIS" localSheetId="1">'[4]Coûts Options'!#REF!</definedName>
    <definedName name="BackupRNIS">'[5]Coûts Options'!#REF!</definedName>
    <definedName name="Bronze_20_0_run_HZ">'[2]BPU PA B-S-G-PM'!$F$15</definedName>
    <definedName name="CA" localSheetId="1">#REF!</definedName>
    <definedName name="CA">#REF!</definedName>
    <definedName name="CA_Annuel" localSheetId="1">#REF!</definedName>
    <definedName name="CA_Annuel">#REF!</definedName>
    <definedName name="CA_fourchette" localSheetId="1">[4]Synthèse!#REF!</definedName>
    <definedName name="CA_fourchette">[5]Synthèse!#REF!</definedName>
    <definedName name="Cnx_voix">'20260309 suivi sites'!$W$2</definedName>
    <definedName name="collecte" localSheetId="1">'[6]Détail Coûts'!#REF!</definedName>
    <definedName name="collecte">'[6]Détail Coûts'!#REF!</definedName>
    <definedName name="coutrnis" localSheetId="1">[4]Services!#REF!</definedName>
    <definedName name="coutrnis">[5]Services!#REF!</definedName>
    <definedName name="CPE_sur_mesure_1" localSheetId="1">'[4]Prix Options'!#REF!</definedName>
    <definedName name="CPE_sur_mesure_1">'[5]Prix Options'!#REF!</definedName>
    <definedName name="DIV" localSheetId="1">#REF!</definedName>
    <definedName name="DIV">#REF!</definedName>
    <definedName name="DOM" localSheetId="1">'[4]Prix Options'!#REF!</definedName>
    <definedName name="DOM">'[5]Prix Options'!#REF!</definedName>
    <definedName name="DOM_Confort__LS_64K" localSheetId="1">'[4]Prix Options'!#REF!</definedName>
    <definedName name="DOM_Confort__LS_64K">'[5]Prix Options'!#REF!</definedName>
    <definedName name="DSI" localSheetId="1">#REF!</definedName>
    <definedName name="DSI">#REF!</definedName>
    <definedName name="Extranet" localSheetId="1">#REF!</definedName>
    <definedName name="Extranet">#REF!</definedName>
    <definedName name="Gold_20_20_run">'[7]BPU PA B-S-G-PM'!$D$124</definedName>
    <definedName name="Gold_200_200_run">'[1]BPU PA B-S-G-PM'!$D$130</definedName>
    <definedName name="Gold_FAS">'[1]BPU PA B-S-G-PM'!$C$117</definedName>
    <definedName name="Instal_du_POOL__en_€HT" localSheetId="1">[4]Services!#REF!</definedName>
    <definedName name="Instal_du_POOL__en_€HT">[5]Services!#REF!</definedName>
    <definedName name="International" localSheetId="1">'[4]Prix Options'!#REF!</definedName>
    <definedName name="International">'[5]Prix Options'!#REF!</definedName>
    <definedName name="Liste_2_Cisco">[8]Informations_complémentaires!$A$40:$B$62</definedName>
    <definedName name="Liste_DOM" localSheetId="1">'[4]Prix Options'!#REF!</definedName>
    <definedName name="Liste_DOM">'[5]Prix Options'!#REF!</definedName>
    <definedName name="Liste_FiltreComplexe" localSheetId="1">'[9]Facture SEPTEMBRE 2010'!#REF!</definedName>
    <definedName name="Liste_FiltreComplexe">'[9]Facture SEPTEMBRE 2010'!#REF!</definedName>
    <definedName name="Liste_LivraisonGbEth" localSheetId="1">'[9]Facture SEPTEMBRE 2010'!#REF!</definedName>
    <definedName name="Liste_LivraisonGbEth">'[9]Facture SEPTEMBRE 2010'!#REF!</definedName>
    <definedName name="Liste_Netflow" localSheetId="1">'[9]Facture SEPTEMBRE 2010'!#REF!</definedName>
    <definedName name="Liste_Netflow">'[9]Facture SEPTEMBRE 2010'!#REF!</definedName>
    <definedName name="Liste_Prix_Cisco">[8]Price_Liste_NCR_Cisco!$C$15:$J$45000</definedName>
    <definedName name="Liste_TranslationAdresses" localSheetId="1">'[9]Facture SEPTEMBRE 2010'!#REF!</definedName>
    <definedName name="Liste_TranslationAdresses">'[9]Facture SEPTEMBRE 2010'!#REF!</definedName>
    <definedName name="max_adslza_i" localSheetId="1">[4]Services!#REF!</definedName>
    <definedName name="max_adslza_i">[5]Services!#REF!</definedName>
    <definedName name="max_adslza_m" localSheetId="1">[4]Services!#REF!</definedName>
    <definedName name="max_adslza_m">[5]Services!#REF!</definedName>
    <definedName name="max_adslzb_I" localSheetId="1">[4]Services!#REF!</definedName>
    <definedName name="max_adslzb_I">[5]Services!#REF!</definedName>
    <definedName name="max_adslzb_m" localSheetId="1">[4]Services!#REF!</definedName>
    <definedName name="max_adslzb_m">[5]Services!#REF!</definedName>
    <definedName name="max_eco_i" localSheetId="1">[4]Services!#REF!</definedName>
    <definedName name="max_eco_i">[5]Services!#REF!</definedName>
    <definedName name="max_eco_m" localSheetId="1">[4]Services!#REF!</definedName>
    <definedName name="max_eco_m">[5]Services!#REF!</definedName>
    <definedName name="max_ls_i" localSheetId="1">[4]Services!#REF!</definedName>
    <definedName name="max_ls_i">[5]Services!#REF!</definedName>
    <definedName name="max_ls_m" localSheetId="1">[4]Services!#REF!</definedName>
    <definedName name="max_ls_m">[5]Services!#REF!</definedName>
    <definedName name="max_options_i" localSheetId="1">[4]Services!#REF!</definedName>
    <definedName name="max_options_i">[5]Services!#REF!</definedName>
    <definedName name="max_options_m" localSheetId="1">[4]Services!#REF!</definedName>
    <definedName name="max_options_m">[5]Services!#REF!</definedName>
    <definedName name="max_sdslza_i" localSheetId="1">[4]Services!#REF!</definedName>
    <definedName name="max_sdslza_i">[5]Services!#REF!</definedName>
    <definedName name="max_sdslza_m" localSheetId="1">[4]Services!#REF!</definedName>
    <definedName name="max_sdslza_m">[5]Services!#REF!</definedName>
    <definedName name="max_sdslzb_i" localSheetId="1">[4]Services!#REF!</definedName>
    <definedName name="max_sdslzb_i">[5]Services!#REF!</definedName>
    <definedName name="max_sdslzb_m" localSheetId="1">[4]Services!#REF!</definedName>
    <definedName name="max_sdslzb_m">[5]Services!#REF!</definedName>
    <definedName name="ModeOp" localSheetId="1">#REF!</definedName>
    <definedName name="ModeOp">#REF!</definedName>
    <definedName name="ND" localSheetId="1">'[4]Prix Options'!#REF!</definedName>
    <definedName name="ND">'[5]Prix Options'!#REF!</definedName>
    <definedName name="Nomades_Com" localSheetId="1">'[4]Prix Options'!#REF!</definedName>
    <definedName name="Nomades_Com">'[5]Prix Options'!#REF!</definedName>
    <definedName name="Nomades_Nbre_d_heures" localSheetId="1">'[4]Prix Options'!#REF!</definedName>
    <definedName name="Nomades_Nbre_d_heures">'[5]Prix Options'!#REF!</definedName>
    <definedName name="Nomades_NbreUtil" localSheetId="1">'[4]Prix Options'!#REF!</definedName>
    <definedName name="Nomades_NbreUtil">'[5]Prix Options'!#REF!</definedName>
    <definedName name="Nomades_Type" localSheetId="1">'[4]Prix Options'!#REF!</definedName>
    <definedName name="Nomades_Type">'[5]Prix Options'!#REF!</definedName>
    <definedName name="Optimisation" localSheetId="1">#REF!</definedName>
    <definedName name="Optimisation">#REF!</definedName>
    <definedName name="Platinum_MAN_700_0_run">'[3]BPU PA B-S-G-PM'!$D$58</definedName>
    <definedName name="Pourcentage_Remise" localSheetId="1">#REF!</definedName>
    <definedName name="Pourcentage_Remise">#REF!</definedName>
    <definedName name="Prestas" localSheetId="1">'[4]Prix Options'!#REF!</definedName>
    <definedName name="Prestas">'[5]Prix Options'!#REF!</definedName>
    <definedName name="Prises_DOM_Classique" localSheetId="1">[4]Services!#REF!</definedName>
    <definedName name="Prises_DOM_Classique">[5]Services!#REF!</definedName>
    <definedName name="R_forfait_pack" localSheetId="1">[4]Services!#REF!</definedName>
    <definedName name="R_forfait_pack">[5]Services!#REF!</definedName>
    <definedName name="R_moisEco_pack" localSheetId="1">'[4]Coûts Options'!#REF!</definedName>
    <definedName name="R_moisEco_pack">'[5]Coûts Options'!#REF!</definedName>
    <definedName name="R_moisLS_pack">'[10]Tarifs packagés'!$E$15</definedName>
    <definedName name="R_moisZA_pack">'[11]Tarifs packagés'!$E$11</definedName>
    <definedName name="R_moisZA_pack_ADSL">'[10]Tarifs packagés'!$E$11</definedName>
    <definedName name="R_moisZA_pack_SDSL">'[10]Tarifs packagés'!$E$13</definedName>
    <definedName name="R_moisZBC_pack_ADSL">'[10]Tarifs packagés'!$E$12</definedName>
    <definedName name="R_moisZBC_pack_SDSL">'[10]Tarifs packagés'!$E$14</definedName>
    <definedName name="RefDUREE">[12]ref!$B$2:$H$21</definedName>
    <definedName name="RefRESTANT">[12]ref!$M$2:$N$4</definedName>
    <definedName name="RefTOPO">[12]ref!$J$2:$K$4</definedName>
    <definedName name="Remise_Durée" localSheetId="1">'[4]Prix Prises'!#REF!</definedName>
    <definedName name="Remise_Durée">'[5]Prix Prises'!#REF!</definedName>
    <definedName name="Remise_MC_ADSL" localSheetId="1">#REF!</definedName>
    <definedName name="Remise_MC_ADSL">#REF!</definedName>
    <definedName name="Remise_MC_SDSL" localSheetId="1">#REF!</definedName>
    <definedName name="Remise_MC_SDSL">#REF!</definedName>
    <definedName name="RemiseMCADSL" localSheetId="1">#REF!</definedName>
    <definedName name="RemiseMCADSL">#REF!</definedName>
    <definedName name="RemiseMCSDSL" localSheetId="1">#REF!</definedName>
    <definedName name="RemiseMCSDSL">#REF!</definedName>
    <definedName name="Service" localSheetId="1">[4]Synthèse!#REF!</definedName>
    <definedName name="Service">[5]Synthèse!#REF!</definedName>
    <definedName name="ServicePersonnalisé" localSheetId="1">#REF!</definedName>
    <definedName name="ServicePersonnalisé">#REF!</definedName>
    <definedName name="Silver_20_20_run">'[2]BPU PA B-S-G-PM'!$D$79</definedName>
    <definedName name="SUdir" localSheetId="1">'[6]Détail Coûts'!#REF!</definedName>
    <definedName name="SUdir">'[6]Détail Coûts'!#REF!</definedName>
    <definedName name="SUind" localSheetId="1">'[6]Détail Coûts'!#REF!</definedName>
    <definedName name="SUind">'[6]Détail Coûts'!#REF!</definedName>
    <definedName name="SupDéportée" localSheetId="1">#REF!</definedName>
    <definedName name="SupDéportée">#REF!</definedName>
    <definedName name="Tableau_INTL" localSheetId="1">'[4]Prix Options'!#REF!</definedName>
    <definedName name="Tableau_INTL">'[5]Prix Options'!#REF!</definedName>
    <definedName name="Tableau_Nomades" localSheetId="1">'[4]Prix Options'!#REF!</definedName>
    <definedName name="Tableau_Nomades">'[5]Prix Options'!#REF!</definedName>
    <definedName name="Tableau_Nomades_Usage" localSheetId="1">'[4]Prix Options'!#REF!</definedName>
    <definedName name="Tableau_Nomades_Usage">'[5]Prix Options'!#REF!</definedName>
    <definedName name="Tableau_THD" localSheetId="1">'[4]Prix Prises'!#REF!</definedName>
    <definedName name="Tableau_THD">'[5]Prix Prises'!#REF!</definedName>
    <definedName name="tableB" localSheetId="1">#REF!</definedName>
    <definedName name="tableB">#REF!</definedName>
    <definedName name="taux">'[6]Synth service'!$T$1</definedName>
    <definedName name="tauxSU">'[6]Détail Coûts'!$B$5</definedName>
    <definedName name="term" localSheetId="1">'[6]Détail Coûts'!#REF!</definedName>
    <definedName name="term">'[6]Détail Coûts'!#REF!</definedName>
    <definedName name="THD" localSheetId="1">'[4]Prix Prises'!#REF!</definedName>
    <definedName name="THD">'[5]Prix Prises'!#REF!</definedName>
    <definedName name="THD_Internet" localSheetId="1">'[4]Prix Prises'!#REF!</definedName>
    <definedName name="THD_Internet">'[5]Prix Prises'!#REF!</definedName>
    <definedName name="trans1" localSheetId="1">#REF!</definedName>
    <definedName name="trans1">#REF!</definedName>
    <definedName name="Type_Prix" localSheetId="1">[4]Services!#REF!</definedName>
    <definedName name="Type_Prix">[5]Services!#REF!</definedName>
    <definedName name="ZBC" localSheetId="1">#REF!</definedName>
    <definedName name="ZBC">#REF!</definedName>
    <definedName name="zoneA">#REF!</definedName>
    <definedName name="ZoneD">#REF!</definedName>
    <definedName name="ZoneJ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76" i="47" l="1"/>
  <c r="L376" i="47"/>
  <c r="S375" i="47"/>
  <c r="R375" i="47"/>
  <c r="U374" i="47"/>
  <c r="S374" i="47"/>
  <c r="H374" i="47"/>
  <c r="D374" i="47"/>
  <c r="V373" i="47"/>
  <c r="U373" i="47"/>
  <c r="Y372" i="47"/>
  <c r="X372" i="47"/>
  <c r="Y371" i="47"/>
  <c r="X371" i="47"/>
  <c r="AE370" i="47"/>
  <c r="AD370" i="47"/>
  <c r="AH369" i="47"/>
  <c r="AG369" i="47"/>
  <c r="AH368" i="47"/>
  <c r="AG368" i="47"/>
  <c r="AK367" i="47"/>
  <c r="AJ367" i="47"/>
  <c r="AK366" i="47"/>
  <c r="AJ366" i="47"/>
  <c r="AN365" i="47"/>
  <c r="AM365" i="47"/>
  <c r="AN364" i="47"/>
  <c r="AM364" i="47"/>
  <c r="AN363" i="47"/>
  <c r="AM363" i="47"/>
  <c r="AE363" i="47"/>
  <c r="AD363" i="47"/>
  <c r="I363" i="47"/>
  <c r="AN362" i="47"/>
  <c r="AM362" i="47"/>
  <c r="M362" i="47"/>
  <c r="L362" i="47"/>
  <c r="AU361" i="47"/>
  <c r="AT361" i="47"/>
  <c r="AS361" i="47"/>
  <c r="AH361" i="47"/>
  <c r="AG361" i="47"/>
  <c r="AW360" i="47"/>
  <c r="AV360" i="47"/>
  <c r="H360" i="47"/>
  <c r="BC359" i="47"/>
  <c r="BB359" i="47"/>
  <c r="BF358" i="47"/>
  <c r="BE358" i="47"/>
  <c r="BG357" i="47"/>
  <c r="BF357" i="47"/>
  <c r="BE357" i="47"/>
  <c r="BR356" i="47"/>
  <c r="BQ356" i="47"/>
  <c r="BU355" i="47"/>
  <c r="BT355" i="47"/>
  <c r="BR355" i="47"/>
  <c r="BQ355" i="47"/>
  <c r="BO355" i="47"/>
  <c r="BN355" i="47"/>
  <c r="BL355" i="47"/>
  <c r="BK355" i="47"/>
  <c r="BI355" i="47"/>
  <c r="BH355" i="47"/>
  <c r="BF355" i="47"/>
  <c r="BE355" i="47"/>
  <c r="BC355" i="47"/>
  <c r="BB355" i="47"/>
  <c r="AZ355" i="47"/>
  <c r="AY355" i="47"/>
  <c r="AW355" i="47"/>
  <c r="AV355" i="47"/>
  <c r="AT355" i="47"/>
  <c r="AS355" i="47"/>
  <c r="AQ355" i="47"/>
  <c r="AP355" i="47"/>
  <c r="AN355" i="47"/>
  <c r="AM355" i="47"/>
  <c r="AK355" i="47"/>
  <c r="AJ355" i="47"/>
  <c r="AH355" i="47"/>
  <c r="AG355" i="47"/>
  <c r="AE355" i="47"/>
  <c r="AD355" i="47"/>
  <c r="AB355" i="47"/>
  <c r="AA355" i="47"/>
  <c r="Y355" i="47"/>
  <c r="X355" i="47"/>
  <c r="V355" i="47"/>
  <c r="U355" i="47"/>
  <c r="S355" i="47"/>
  <c r="R355" i="47"/>
  <c r="P355" i="47"/>
  <c r="O355" i="47"/>
  <c r="M355" i="47"/>
  <c r="L355" i="47"/>
  <c r="J355" i="47"/>
  <c r="I355" i="47"/>
  <c r="H355" i="47"/>
  <c r="CA354" i="47"/>
  <c r="BZ354" i="47"/>
  <c r="CB353" i="47"/>
  <c r="CA353" i="47"/>
  <c r="BZ353" i="47"/>
  <c r="BL353" i="47"/>
  <c r="BK353" i="47"/>
  <c r="M353" i="47"/>
  <c r="L353" i="47"/>
  <c r="CE352" i="47"/>
  <c r="CD352" i="47"/>
  <c r="CC352" i="47"/>
  <c r="AT352" i="47"/>
  <c r="AS352" i="47"/>
  <c r="CE351" i="47"/>
  <c r="CD351" i="47"/>
  <c r="CC351" i="47"/>
  <c r="H351" i="47"/>
  <c r="CN350" i="47"/>
  <c r="CM350" i="47"/>
  <c r="CL350" i="47"/>
  <c r="AZ350" i="47"/>
  <c r="AY350" i="47"/>
  <c r="H350" i="47"/>
  <c r="G350" i="47"/>
  <c r="CP349" i="47"/>
  <c r="CO349" i="47"/>
  <c r="EC348" i="47"/>
  <c r="EB348" i="47"/>
  <c r="G348" i="47"/>
  <c r="IX347" i="47"/>
  <c r="IW347" i="47"/>
  <c r="IY347" i="47" s="1"/>
  <c r="EL347" i="47"/>
  <c r="AS347" i="47"/>
  <c r="D347" i="47"/>
  <c r="IY346" i="47"/>
  <c r="IX346" i="47"/>
  <c r="IW346" i="47"/>
  <c r="IW345" i="47"/>
  <c r="FA345" i="47"/>
  <c r="EZ345" i="47"/>
  <c r="BX345" i="47"/>
  <c r="BW345" i="47"/>
  <c r="IX344" i="47"/>
  <c r="IW344" i="47"/>
  <c r="FG344" i="47"/>
  <c r="EF344" i="47"/>
  <c r="EE344" i="47"/>
  <c r="BC344" i="47"/>
  <c r="BB344" i="47"/>
  <c r="IX343" i="47"/>
  <c r="IW343" i="47"/>
  <c r="IX342" i="47"/>
  <c r="IW342" i="47"/>
  <c r="DT342" i="47"/>
  <c r="DS342" i="47"/>
  <c r="IX341" i="47"/>
  <c r="IW341" i="47"/>
  <c r="IX340" i="47"/>
  <c r="IW340" i="47"/>
  <c r="IX339" i="47"/>
  <c r="IW339" i="47"/>
  <c r="IX338" i="47"/>
  <c r="IW338" i="47"/>
  <c r="DY338" i="47"/>
  <c r="IX337" i="47"/>
  <c r="IW337" i="47"/>
  <c r="IX336" i="47"/>
  <c r="IW336" i="47"/>
  <c r="DW336" i="47"/>
  <c r="DV336" i="47"/>
  <c r="IX335" i="47"/>
  <c r="IW335" i="47"/>
  <c r="BW335" i="47"/>
  <c r="AE335" i="47"/>
  <c r="AD335" i="47"/>
  <c r="IX334" i="47"/>
  <c r="IW334" i="47"/>
  <c r="BU334" i="47"/>
  <c r="BT334" i="47"/>
  <c r="BR334" i="47"/>
  <c r="BQ334" i="47"/>
  <c r="BO334" i="47"/>
  <c r="BN334" i="47"/>
  <c r="BL334" i="47"/>
  <c r="BK334" i="47"/>
  <c r="BI334" i="47"/>
  <c r="BH334" i="47"/>
  <c r="BF334" i="47"/>
  <c r="BE334" i="47"/>
  <c r="BC334" i="47"/>
  <c r="BB334" i="47"/>
  <c r="AZ334" i="47"/>
  <c r="AY334" i="47"/>
  <c r="AW334" i="47"/>
  <c r="AV334" i="47"/>
  <c r="AT334" i="47"/>
  <c r="AS334" i="47"/>
  <c r="AQ334" i="47"/>
  <c r="AP334" i="47"/>
  <c r="AN334" i="47"/>
  <c r="AM334" i="47"/>
  <c r="AK334" i="47"/>
  <c r="AJ334" i="47"/>
  <c r="AH334" i="47"/>
  <c r="AG334" i="47"/>
  <c r="AE334" i="47"/>
  <c r="AD334" i="47"/>
  <c r="AB334" i="47"/>
  <c r="AA334" i="47"/>
  <c r="Y334" i="47"/>
  <c r="X334" i="47"/>
  <c r="V334" i="47"/>
  <c r="U334" i="47"/>
  <c r="S334" i="47"/>
  <c r="R334" i="47"/>
  <c r="P334" i="47"/>
  <c r="O334" i="47"/>
  <c r="M334" i="47"/>
  <c r="L334" i="47"/>
  <c r="J334" i="47"/>
  <c r="I334" i="47"/>
  <c r="IX333" i="47"/>
  <c r="IW333" i="47"/>
  <c r="IX332" i="47"/>
  <c r="IW332" i="47"/>
  <c r="S332" i="47"/>
  <c r="R332" i="47"/>
  <c r="D332" i="47"/>
  <c r="IX331" i="47"/>
  <c r="IW331" i="47"/>
  <c r="S331" i="47"/>
  <c r="R331" i="47"/>
  <c r="D331" i="47"/>
  <c r="IX330" i="47"/>
  <c r="IW330" i="47"/>
  <c r="I330" i="47"/>
  <c r="IX329" i="47"/>
  <c r="IW329" i="47"/>
  <c r="AE329" i="47"/>
  <c r="AD329" i="47"/>
  <c r="IX328" i="47"/>
  <c r="IW328" i="47"/>
  <c r="IX327" i="47"/>
  <c r="IW327" i="47"/>
  <c r="I327" i="47"/>
  <c r="IX326" i="47"/>
  <c r="IW326" i="47"/>
  <c r="IX325" i="47"/>
  <c r="IW325" i="47"/>
  <c r="BX325" i="47"/>
  <c r="BW325" i="47"/>
  <c r="IX324" i="47"/>
  <c r="IW324" i="47"/>
  <c r="IX323" i="47"/>
  <c r="IW323" i="47"/>
  <c r="DW323" i="47"/>
  <c r="DV323" i="47"/>
  <c r="Y323" i="47"/>
  <c r="X323" i="47"/>
  <c r="IX322" i="47"/>
  <c r="IW322" i="47"/>
  <c r="AQ322" i="47"/>
  <c r="AP322" i="47"/>
  <c r="JA321" i="47"/>
  <c r="JB321" i="47" s="1"/>
  <c r="IY321" i="47"/>
  <c r="IX321" i="47"/>
  <c r="IW321" i="47"/>
  <c r="AS321" i="47"/>
  <c r="AK321" i="47"/>
  <c r="AJ321" i="47"/>
  <c r="AH321" i="47"/>
  <c r="AG321" i="47"/>
  <c r="IX320" i="47"/>
  <c r="IW320" i="47"/>
  <c r="IX319" i="47"/>
  <c r="IW319" i="47"/>
  <c r="IX318" i="47"/>
  <c r="IW318" i="47"/>
  <c r="IX317" i="47"/>
  <c r="IW317" i="47"/>
  <c r="IX316" i="47"/>
  <c r="IW316" i="47"/>
  <c r="AE316" i="47"/>
  <c r="AD316" i="47"/>
  <c r="IX315" i="47"/>
  <c r="IW315" i="47"/>
  <c r="IW314" i="47"/>
  <c r="GF314" i="47"/>
  <c r="GD314" i="47"/>
  <c r="BX314" i="47"/>
  <c r="BW314" i="47"/>
  <c r="IX313" i="47"/>
  <c r="IW313" i="47"/>
  <c r="BX313" i="47"/>
  <c r="BW313" i="47"/>
  <c r="G313" i="47"/>
  <c r="E313" i="47"/>
  <c r="D313" i="47"/>
  <c r="IX312" i="47"/>
  <c r="IW312" i="47"/>
  <c r="FL312" i="47"/>
  <c r="DQ312" i="47"/>
  <c r="DP312" i="47"/>
  <c r="IW311" i="47"/>
  <c r="IW310" i="47"/>
  <c r="IX309" i="47"/>
  <c r="IW309" i="47"/>
  <c r="AS309" i="47"/>
  <c r="IW308" i="47"/>
  <c r="BI308" i="47"/>
  <c r="BH308" i="47"/>
  <c r="AZ308" i="47"/>
  <c r="AY308" i="47"/>
  <c r="IX307" i="47"/>
  <c r="IW307" i="47"/>
  <c r="IX306" i="47"/>
  <c r="IW306" i="47"/>
  <c r="IX305" i="47"/>
  <c r="IW305" i="47"/>
  <c r="DH305" i="47"/>
  <c r="DG305" i="47"/>
  <c r="IX304" i="47"/>
  <c r="IW304" i="47"/>
  <c r="AS304" i="47"/>
  <c r="IX303" i="47"/>
  <c r="IW303" i="47"/>
  <c r="CJ303" i="47"/>
  <c r="CI303" i="47"/>
  <c r="Y303" i="47"/>
  <c r="X303" i="47"/>
  <c r="IX302" i="47"/>
  <c r="IW302" i="47"/>
  <c r="IX301" i="47"/>
  <c r="IW301" i="47"/>
  <c r="IX300" i="47"/>
  <c r="IW300" i="47"/>
  <c r="BX300" i="47"/>
  <c r="BW300" i="47"/>
  <c r="IX299" i="47"/>
  <c r="IW299" i="47"/>
  <c r="FA299" i="47"/>
  <c r="EZ299" i="47"/>
  <c r="CS299" i="47"/>
  <c r="CR299" i="47"/>
  <c r="IX298" i="47"/>
  <c r="IW298" i="47"/>
  <c r="AS298" i="47"/>
  <c r="D298" i="47"/>
  <c r="IX297" i="47"/>
  <c r="IW297" i="47"/>
  <c r="IX296" i="47"/>
  <c r="IW296" i="47"/>
  <c r="IX295" i="47"/>
  <c r="IW295" i="47"/>
  <c r="AS295" i="47"/>
  <c r="IX294" i="47"/>
  <c r="IW294" i="47"/>
  <c r="AT294" i="47"/>
  <c r="AS294" i="47"/>
  <c r="AP294" i="47"/>
  <c r="D294" i="47"/>
  <c r="IX293" i="47"/>
  <c r="IW293" i="47"/>
  <c r="IX292" i="47"/>
  <c r="IW292" i="47"/>
  <c r="AS292" i="47"/>
  <c r="IX291" i="47"/>
  <c r="IW291" i="47"/>
  <c r="Y291" i="47"/>
  <c r="X291" i="47"/>
  <c r="IX290" i="47"/>
  <c r="IW290" i="47"/>
  <c r="IX289" i="47"/>
  <c r="IW289" i="47"/>
  <c r="AS289" i="47"/>
  <c r="IX288" i="47"/>
  <c r="IW288" i="47"/>
  <c r="BU288" i="47"/>
  <c r="BT288" i="47"/>
  <c r="BR288" i="47"/>
  <c r="BQ288" i="47"/>
  <c r="BO288" i="47"/>
  <c r="BN288" i="47"/>
  <c r="BL288" i="47"/>
  <c r="BK288" i="47"/>
  <c r="BI288" i="47"/>
  <c r="BH288" i="47"/>
  <c r="BF288" i="47"/>
  <c r="BE288" i="47"/>
  <c r="BC288" i="47"/>
  <c r="BB288" i="47"/>
  <c r="AZ288" i="47"/>
  <c r="AY288" i="47"/>
  <c r="AW288" i="47"/>
  <c r="AV288" i="47"/>
  <c r="AT288" i="47"/>
  <c r="AS288" i="47"/>
  <c r="AQ288" i="47"/>
  <c r="AP288" i="47"/>
  <c r="AN288" i="47"/>
  <c r="AM288" i="47"/>
  <c r="AK288" i="47"/>
  <c r="AJ288" i="47"/>
  <c r="AH288" i="47"/>
  <c r="AG288" i="47"/>
  <c r="AE288" i="47"/>
  <c r="AD288" i="47"/>
  <c r="AB288" i="47"/>
  <c r="AA288" i="47"/>
  <c r="Y288" i="47"/>
  <c r="X288" i="47"/>
  <c r="V288" i="47"/>
  <c r="U288" i="47"/>
  <c r="S288" i="47"/>
  <c r="R288" i="47"/>
  <c r="P288" i="47"/>
  <c r="O288" i="47"/>
  <c r="M288" i="47"/>
  <c r="L288" i="47"/>
  <c r="J288" i="47"/>
  <c r="I288" i="47"/>
  <c r="IX287" i="47"/>
  <c r="IW287" i="47"/>
  <c r="BL287" i="47"/>
  <c r="BK287" i="47"/>
  <c r="IX286" i="47"/>
  <c r="IW286" i="47"/>
  <c r="IX285" i="47"/>
  <c r="IW285" i="47"/>
  <c r="GE285" i="47"/>
  <c r="GD285" i="47"/>
  <c r="IX284" i="47"/>
  <c r="IW284" i="47"/>
  <c r="HF284" i="47"/>
  <c r="HC284" i="47"/>
  <c r="GZ284" i="47"/>
  <c r="GW284" i="47"/>
  <c r="GV284" i="47"/>
  <c r="GT284" i="47"/>
  <c r="GQ284" i="47"/>
  <c r="GN284" i="47"/>
  <c r="GK284" i="47"/>
  <c r="GH284" i="47"/>
  <c r="GE284" i="47"/>
  <c r="GB284" i="47"/>
  <c r="FY284" i="47"/>
  <c r="FV284" i="47"/>
  <c r="FS284" i="47"/>
  <c r="FP284" i="47"/>
  <c r="FM284" i="47"/>
  <c r="FJ284" i="47"/>
  <c r="FG284" i="47"/>
  <c r="FD284" i="47"/>
  <c r="FA284" i="47"/>
  <c r="EX284" i="47"/>
  <c r="EU284" i="47"/>
  <c r="ER284" i="47"/>
  <c r="EO284" i="47"/>
  <c r="EL284" i="47"/>
  <c r="EI284" i="47"/>
  <c r="EF284" i="47"/>
  <c r="EC284" i="47"/>
  <c r="DZ284" i="47"/>
  <c r="DW284" i="47"/>
  <c r="DT284" i="47"/>
  <c r="DQ284" i="47"/>
  <c r="DN284" i="47"/>
  <c r="DK284" i="47"/>
  <c r="DH284" i="47"/>
  <c r="DE284" i="47"/>
  <c r="DB284" i="47"/>
  <c r="CY284" i="47"/>
  <c r="CV284" i="47"/>
  <c r="CS284" i="47"/>
  <c r="CP284" i="47"/>
  <c r="CM284" i="47"/>
  <c r="CJ284" i="47"/>
  <c r="CG284" i="47"/>
  <c r="CD284" i="47"/>
  <c r="CA284" i="47"/>
  <c r="BX284" i="47"/>
  <c r="BU284" i="47"/>
  <c r="BR284" i="47"/>
  <c r="BO284" i="47"/>
  <c r="BL284" i="47"/>
  <c r="BI284" i="47"/>
  <c r="BF284" i="47"/>
  <c r="BC284" i="47"/>
  <c r="AZ284" i="47"/>
  <c r="AW284" i="47"/>
  <c r="AT284" i="47"/>
  <c r="AQ284" i="47"/>
  <c r="AN284" i="47"/>
  <c r="AK284" i="47"/>
  <c r="AH284" i="47"/>
  <c r="AE284" i="47"/>
  <c r="AB284" i="47"/>
  <c r="Y284" i="47"/>
  <c r="V284" i="47"/>
  <c r="S284" i="47"/>
  <c r="P284" i="47"/>
  <c r="M284" i="47"/>
  <c r="J284" i="47"/>
  <c r="IX283" i="47"/>
  <c r="IW283" i="47"/>
  <c r="HF283" i="47"/>
  <c r="HC283" i="47"/>
  <c r="GZ283" i="47"/>
  <c r="GW283" i="47"/>
  <c r="GT283" i="47"/>
  <c r="GQ283" i="47"/>
  <c r="GN283" i="47"/>
  <c r="GK283" i="47"/>
  <c r="GH283" i="47"/>
  <c r="GE283" i="47"/>
  <c r="GB283" i="47"/>
  <c r="FY283" i="47"/>
  <c r="FV283" i="47"/>
  <c r="FS283" i="47"/>
  <c r="FP283" i="47"/>
  <c r="FM283" i="47"/>
  <c r="FJ283" i="47"/>
  <c r="FG283" i="47"/>
  <c r="FD283" i="47"/>
  <c r="FA283" i="47"/>
  <c r="EX283" i="47"/>
  <c r="EU283" i="47"/>
  <c r="ER283" i="47"/>
  <c r="EO283" i="47"/>
  <c r="EL283" i="47"/>
  <c r="EI283" i="47"/>
  <c r="EF283" i="47"/>
  <c r="EC283" i="47"/>
  <c r="DZ283" i="47"/>
  <c r="DW283" i="47"/>
  <c r="DT283" i="47"/>
  <c r="DQ283" i="47"/>
  <c r="DN283" i="47"/>
  <c r="DK283" i="47"/>
  <c r="DH283" i="47"/>
  <c r="DE283" i="47"/>
  <c r="DB283" i="47"/>
  <c r="CY283" i="47"/>
  <c r="CV283" i="47"/>
  <c r="CS283" i="47"/>
  <c r="CP283" i="47"/>
  <c r="CM283" i="47"/>
  <c r="CJ283" i="47"/>
  <c r="CG283" i="47"/>
  <c r="CD283" i="47"/>
  <c r="CA283" i="47"/>
  <c r="BX283" i="47"/>
  <c r="BU283" i="47"/>
  <c r="BR283" i="47"/>
  <c r="BO283" i="47"/>
  <c r="BK283" i="47"/>
  <c r="IX282" i="47"/>
  <c r="IW282" i="47"/>
  <c r="DS282" i="47"/>
  <c r="AS282" i="47"/>
  <c r="IX281" i="47"/>
  <c r="IW281" i="47"/>
  <c r="EI281" i="47"/>
  <c r="EH281" i="47"/>
  <c r="IX280" i="47"/>
  <c r="IW280" i="47"/>
  <c r="EI280" i="47"/>
  <c r="EH280" i="47"/>
  <c r="IX279" i="47"/>
  <c r="IW279" i="47"/>
  <c r="AS279" i="47"/>
  <c r="IX278" i="47"/>
  <c r="IW278" i="47"/>
  <c r="IX277" i="47"/>
  <c r="IW277" i="47"/>
  <c r="IX276" i="47"/>
  <c r="IW276" i="47"/>
  <c r="IX275" i="47"/>
  <c r="IW275" i="47"/>
  <c r="AS275" i="47"/>
  <c r="IX274" i="47"/>
  <c r="IW274" i="47"/>
  <c r="G274" i="47"/>
  <c r="D274" i="47"/>
  <c r="IX273" i="47"/>
  <c r="IW273" i="47"/>
  <c r="CS273" i="47"/>
  <c r="CR273" i="47"/>
  <c r="IX272" i="47"/>
  <c r="IW272" i="47"/>
  <c r="HF272" i="47"/>
  <c r="HC272" i="47"/>
  <c r="GZ272" i="47"/>
  <c r="GW272" i="47"/>
  <c r="GT272" i="47"/>
  <c r="GQ272" i="47"/>
  <c r="GN272" i="47"/>
  <c r="GK272" i="47"/>
  <c r="GH272" i="47"/>
  <c r="GE272" i="47"/>
  <c r="GB272" i="47"/>
  <c r="FY272" i="47"/>
  <c r="FV272" i="47"/>
  <c r="FS272" i="47"/>
  <c r="FP272" i="47"/>
  <c r="FM272" i="47"/>
  <c r="FJ272" i="47"/>
  <c r="FG272" i="47"/>
  <c r="FD272" i="47"/>
  <c r="FA272" i="47"/>
  <c r="EX272" i="47"/>
  <c r="EU272" i="47"/>
  <c r="ER272" i="47"/>
  <c r="EO272" i="47"/>
  <c r="EL272" i="47"/>
  <c r="EI272" i="47"/>
  <c r="EF272" i="47"/>
  <c r="EC272" i="47"/>
  <c r="DZ272" i="47"/>
  <c r="DW272" i="47"/>
  <c r="DT272" i="47"/>
  <c r="DQ272" i="47"/>
  <c r="DN272" i="47"/>
  <c r="DK272" i="47"/>
  <c r="DH272" i="47"/>
  <c r="DE272" i="47"/>
  <c r="DB272" i="47"/>
  <c r="CY272" i="47"/>
  <c r="CV272" i="47"/>
  <c r="CS272" i="47"/>
  <c r="CP272" i="47"/>
  <c r="CM272" i="47"/>
  <c r="CJ272" i="47"/>
  <c r="CG272" i="47"/>
  <c r="CD272" i="47"/>
  <c r="CA272" i="47"/>
  <c r="BX272" i="47"/>
  <c r="BU272" i="47"/>
  <c r="BR272" i="47"/>
  <c r="BO272" i="47"/>
  <c r="BL272" i="47"/>
  <c r="BI272" i="47"/>
  <c r="BF272" i="47"/>
  <c r="BC272" i="47"/>
  <c r="AZ272" i="47"/>
  <c r="AW272" i="47"/>
  <c r="AT272" i="47"/>
  <c r="AQ272" i="47"/>
  <c r="AN272" i="47"/>
  <c r="AK272" i="47"/>
  <c r="AH272" i="47"/>
  <c r="AE272" i="47"/>
  <c r="AB272" i="47"/>
  <c r="Y272" i="47"/>
  <c r="V272" i="47"/>
  <c r="S272" i="47"/>
  <c r="P272" i="47"/>
  <c r="M272" i="47"/>
  <c r="J272" i="47"/>
  <c r="IX271" i="47"/>
  <c r="IW271" i="47"/>
  <c r="HF271" i="47"/>
  <c r="HC271" i="47"/>
  <c r="GZ271" i="47"/>
  <c r="GW271" i="47"/>
  <c r="GT271" i="47"/>
  <c r="GQ271" i="47"/>
  <c r="GN271" i="47"/>
  <c r="GK271" i="47"/>
  <c r="GH271" i="47"/>
  <c r="GE271" i="47"/>
  <c r="GB271" i="47"/>
  <c r="FY271" i="47"/>
  <c r="FV271" i="47"/>
  <c r="FS271" i="47"/>
  <c r="FP271" i="47"/>
  <c r="FM271" i="47"/>
  <c r="FJ271" i="47"/>
  <c r="FG271" i="47"/>
  <c r="FD271" i="47"/>
  <c r="FA271" i="47"/>
  <c r="EX271" i="47"/>
  <c r="EU271" i="47"/>
  <c r="ER271" i="47"/>
  <c r="EO271" i="47"/>
  <c r="EL271" i="47"/>
  <c r="EI271" i="47"/>
  <c r="EF271" i="47"/>
  <c r="EC271" i="47"/>
  <c r="DZ271" i="47"/>
  <c r="DW271" i="47"/>
  <c r="DT271" i="47"/>
  <c r="DQ271" i="47"/>
  <c r="DP271" i="47"/>
  <c r="G271" i="47"/>
  <c r="F271" i="47"/>
  <c r="D271" i="47"/>
  <c r="IX270" i="47"/>
  <c r="IW270" i="47"/>
  <c r="AS270" i="47"/>
  <c r="D270" i="47"/>
  <c r="IX269" i="47"/>
  <c r="IW269" i="47"/>
  <c r="BR269" i="47"/>
  <c r="BQ269" i="47"/>
  <c r="IX268" i="47"/>
  <c r="IW268" i="47"/>
  <c r="J268" i="47"/>
  <c r="I268" i="47"/>
  <c r="IX267" i="47"/>
  <c r="IW267" i="47"/>
  <c r="HF267" i="47"/>
  <c r="HC267" i="47"/>
  <c r="GZ267" i="47"/>
  <c r="GW267" i="47"/>
  <c r="GT267" i="47"/>
  <c r="GQ267" i="47"/>
  <c r="GN267" i="47"/>
  <c r="GK267" i="47"/>
  <c r="GH267" i="47"/>
  <c r="GE267" i="47"/>
  <c r="GB267" i="47"/>
  <c r="FY267" i="47"/>
  <c r="FV267" i="47"/>
  <c r="FS267" i="47"/>
  <c r="FP267" i="47"/>
  <c r="FM267" i="47"/>
  <c r="FJ267" i="47"/>
  <c r="FG267" i="47"/>
  <c r="FD267" i="47"/>
  <c r="FA267" i="47"/>
  <c r="EX267" i="47"/>
  <c r="EU267" i="47"/>
  <c r="ER267" i="47"/>
  <c r="EO267" i="47"/>
  <c r="EL267" i="47"/>
  <c r="EI267" i="47"/>
  <c r="EF267" i="47"/>
  <c r="EC267" i="47"/>
  <c r="DZ267" i="47"/>
  <c r="DW267" i="47"/>
  <c r="DT267" i="47"/>
  <c r="DQ267" i="47"/>
  <c r="DN267" i="47"/>
  <c r="DK267" i="47"/>
  <c r="DH267" i="47"/>
  <c r="DE267" i="47"/>
  <c r="DB267" i="47"/>
  <c r="CY267" i="47"/>
  <c r="CV267" i="47"/>
  <c r="CS267" i="47"/>
  <c r="CP267" i="47"/>
  <c r="CM267" i="47"/>
  <c r="CJ267" i="47"/>
  <c r="CG267" i="47"/>
  <c r="CD267" i="47"/>
  <c r="CA267" i="47"/>
  <c r="BX267" i="47"/>
  <c r="BU267" i="47"/>
  <c r="BR267" i="47"/>
  <c r="BO267" i="47"/>
  <c r="BL267" i="47"/>
  <c r="BI267" i="47"/>
  <c r="BF267" i="47"/>
  <c r="BC267" i="47"/>
  <c r="AZ267" i="47"/>
  <c r="AY267" i="47"/>
  <c r="IX266" i="47"/>
  <c r="IW266" i="47"/>
  <c r="IX265" i="47"/>
  <c r="IW265" i="47"/>
  <c r="G265" i="47"/>
  <c r="D265" i="47"/>
  <c r="IX264" i="47"/>
  <c r="IW264" i="47"/>
  <c r="AS264" i="47"/>
  <c r="D264" i="47"/>
  <c r="IX263" i="47"/>
  <c r="IW263" i="47"/>
  <c r="AS263" i="47"/>
  <c r="IX262" i="47"/>
  <c r="IW262" i="47"/>
  <c r="AS262" i="47"/>
  <c r="IX261" i="47"/>
  <c r="IW261" i="47"/>
  <c r="HF261" i="47"/>
  <c r="HC261" i="47"/>
  <c r="GZ261" i="47"/>
  <c r="GW261" i="47"/>
  <c r="GT261" i="47"/>
  <c r="GQ261" i="47"/>
  <c r="GN261" i="47"/>
  <c r="GK261" i="47"/>
  <c r="GH261" i="47"/>
  <c r="GE261" i="47"/>
  <c r="GB261" i="47"/>
  <c r="FY261" i="47"/>
  <c r="FV261" i="47"/>
  <c r="FS261" i="47"/>
  <c r="FP261" i="47"/>
  <c r="FM261" i="47"/>
  <c r="FJ261" i="47"/>
  <c r="FG261" i="47"/>
  <c r="FD261" i="47"/>
  <c r="FA261" i="47"/>
  <c r="EX261" i="47"/>
  <c r="EU261" i="47"/>
  <c r="ER261" i="47"/>
  <c r="EO261" i="47"/>
  <c r="EL261" i="47"/>
  <c r="EJ261" i="47"/>
  <c r="EI261" i="47"/>
  <c r="EH261" i="47"/>
  <c r="IX260" i="47"/>
  <c r="IW260" i="47"/>
  <c r="AW260" i="47"/>
  <c r="AV260" i="47"/>
  <c r="IX259" i="47"/>
  <c r="IW259" i="47"/>
  <c r="HF259" i="47"/>
  <c r="HC259" i="47"/>
  <c r="GZ259" i="47"/>
  <c r="GW259" i="47"/>
  <c r="GT259" i="47"/>
  <c r="GQ259" i="47"/>
  <c r="GN259" i="47"/>
  <c r="GK259" i="47"/>
  <c r="GH259" i="47"/>
  <c r="GE259" i="47"/>
  <c r="GB259" i="47"/>
  <c r="FY259" i="47"/>
  <c r="FV259" i="47"/>
  <c r="FS259" i="47"/>
  <c r="FP259" i="47"/>
  <c r="FM259" i="47"/>
  <c r="FJ259" i="47"/>
  <c r="FG259" i="47"/>
  <c r="FD259" i="47"/>
  <c r="FA259" i="47"/>
  <c r="EX259" i="47"/>
  <c r="EU259" i="47"/>
  <c r="ER259" i="47"/>
  <c r="EO259" i="47"/>
  <c r="EL259" i="47"/>
  <c r="EI259" i="47"/>
  <c r="EF259" i="47"/>
  <c r="EC259" i="47"/>
  <c r="DZ259" i="47"/>
  <c r="DW259" i="47"/>
  <c r="DT259" i="47"/>
  <c r="DQ259" i="47"/>
  <c r="DN259" i="47"/>
  <c r="DK259" i="47"/>
  <c r="DH259" i="47"/>
  <c r="DE259" i="47"/>
  <c r="DB259" i="47"/>
  <c r="CY259" i="47"/>
  <c r="CV259" i="47"/>
  <c r="CS259" i="47"/>
  <c r="CP259" i="47"/>
  <c r="CM259" i="47"/>
  <c r="CJ259" i="47"/>
  <c r="CG259" i="47"/>
  <c r="CD259" i="47"/>
  <c r="CA259" i="47"/>
  <c r="BX259" i="47"/>
  <c r="BU259" i="47"/>
  <c r="BR259" i="47"/>
  <c r="BO259" i="47"/>
  <c r="BL259" i="47"/>
  <c r="BI259" i="47"/>
  <c r="BF259" i="47"/>
  <c r="BC259" i="47"/>
  <c r="AZ259" i="47"/>
  <c r="AW259" i="47"/>
  <c r="AT259" i="47"/>
  <c r="AQ259" i="47"/>
  <c r="AN259" i="47"/>
  <c r="AK259" i="47"/>
  <c r="AH259" i="47"/>
  <c r="AE259" i="47"/>
  <c r="AB259" i="47"/>
  <c r="Y259" i="47"/>
  <c r="V259" i="47"/>
  <c r="S259" i="47"/>
  <c r="P259" i="47"/>
  <c r="M259" i="47"/>
  <c r="J259" i="47"/>
  <c r="IX258" i="47"/>
  <c r="IW258" i="47"/>
  <c r="AK258" i="47"/>
  <c r="AJ258" i="47"/>
  <c r="IX257" i="47"/>
  <c r="IW257" i="47"/>
  <c r="AS257" i="47"/>
  <c r="IX256" i="47"/>
  <c r="IW256" i="47"/>
  <c r="AS256" i="47"/>
  <c r="IX255" i="47"/>
  <c r="IW255" i="47"/>
  <c r="HF255" i="47"/>
  <c r="HC255" i="47"/>
  <c r="GZ255" i="47"/>
  <c r="GW255" i="47"/>
  <c r="GT255" i="47"/>
  <c r="GQ255" i="47"/>
  <c r="GN255" i="47"/>
  <c r="GK255" i="47"/>
  <c r="GH255" i="47"/>
  <c r="GE255" i="47"/>
  <c r="GB255" i="47"/>
  <c r="FY255" i="47"/>
  <c r="FV255" i="47"/>
  <c r="FS255" i="47"/>
  <c r="FP255" i="47"/>
  <c r="FM255" i="47"/>
  <c r="FJ255" i="47"/>
  <c r="FG255" i="47"/>
  <c r="FD255" i="47"/>
  <c r="FA255" i="47"/>
  <c r="EX255" i="47"/>
  <c r="EU255" i="47"/>
  <c r="ER255" i="47"/>
  <c r="EO255" i="47"/>
  <c r="EL255" i="47"/>
  <c r="EI255" i="47"/>
  <c r="EF255" i="47"/>
  <c r="EC255" i="47"/>
  <c r="DZ255" i="47"/>
  <c r="DW255" i="47"/>
  <c r="DT255" i="47"/>
  <c r="DQ255" i="47"/>
  <c r="DN255" i="47"/>
  <c r="DK255" i="47"/>
  <c r="DH255" i="47"/>
  <c r="DE255" i="47"/>
  <c r="DB255" i="47"/>
  <c r="CY255" i="47"/>
  <c r="CV255" i="47"/>
  <c r="CS255" i="47"/>
  <c r="CP255" i="47"/>
  <c r="CM255" i="47"/>
  <c r="CJ255" i="47"/>
  <c r="CG255" i="47"/>
  <c r="CD255" i="47"/>
  <c r="CA255" i="47"/>
  <c r="BX255" i="47"/>
  <c r="BU255" i="47"/>
  <c r="BR255" i="47"/>
  <c r="BO255" i="47"/>
  <c r="BL255" i="47"/>
  <c r="BI255" i="47"/>
  <c r="BF255" i="47"/>
  <c r="BC255" i="47"/>
  <c r="AZ255" i="47"/>
  <c r="AW255" i="47"/>
  <c r="AT255" i="47"/>
  <c r="AQ255" i="47"/>
  <c r="AN255" i="47"/>
  <c r="AK255" i="47"/>
  <c r="AH255" i="47"/>
  <c r="AE255" i="47"/>
  <c r="AB255" i="47"/>
  <c r="Y255" i="47"/>
  <c r="V255" i="47"/>
  <c r="S255" i="47"/>
  <c r="P255" i="47"/>
  <c r="M255" i="47"/>
  <c r="J255" i="47"/>
  <c r="IX254" i="47"/>
  <c r="IW254" i="47"/>
  <c r="IX253" i="47"/>
  <c r="IW253" i="47"/>
  <c r="S252" i="47"/>
  <c r="R252" i="47"/>
  <c r="IX251" i="47"/>
  <c r="IW251" i="47"/>
  <c r="AS251" i="47"/>
  <c r="IX250" i="47"/>
  <c r="IW250" i="47"/>
  <c r="AS250" i="47"/>
  <c r="IX249" i="47"/>
  <c r="IW249" i="47"/>
  <c r="IX248" i="47"/>
  <c r="IW248" i="47"/>
  <c r="BS248" i="47"/>
  <c r="BR248" i="47"/>
  <c r="BQ248" i="47"/>
  <c r="IX247" i="47"/>
  <c r="IW247" i="47"/>
  <c r="IX246" i="47"/>
  <c r="IW246" i="47"/>
  <c r="IX245" i="47"/>
  <c r="IW245" i="47"/>
  <c r="R245" i="47"/>
  <c r="IX244" i="47"/>
  <c r="IW244" i="47"/>
  <c r="HF244" i="47"/>
  <c r="HC244" i="47"/>
  <c r="GZ244" i="47"/>
  <c r="GW244" i="47"/>
  <c r="GT244" i="47"/>
  <c r="GQ244" i="47"/>
  <c r="GN244" i="47"/>
  <c r="GK244" i="47"/>
  <c r="GH244" i="47"/>
  <c r="GE244" i="47"/>
  <c r="GB244" i="47"/>
  <c r="FY244" i="47"/>
  <c r="FV244" i="47"/>
  <c r="FS244" i="47"/>
  <c r="FP244" i="47"/>
  <c r="FM244" i="47"/>
  <c r="FJ244" i="47"/>
  <c r="FG244" i="47"/>
  <c r="FD244" i="47"/>
  <c r="FA244" i="47"/>
  <c r="EX244" i="47"/>
  <c r="EU244" i="47"/>
  <c r="ER244" i="47"/>
  <c r="EO244" i="47"/>
  <c r="IX243" i="47"/>
  <c r="IW243" i="47"/>
  <c r="GA243" i="47"/>
  <c r="AS243" i="47"/>
  <c r="D243" i="47"/>
  <c r="IX242" i="47"/>
  <c r="IW242" i="47"/>
  <c r="BX242" i="47"/>
  <c r="BW242" i="47"/>
  <c r="IX241" i="47"/>
  <c r="IW241" i="47"/>
  <c r="HF241" i="47"/>
  <c r="HC241" i="47"/>
  <c r="GZ241" i="47"/>
  <c r="GW241" i="47"/>
  <c r="GT241" i="47"/>
  <c r="GQ241" i="47"/>
  <c r="GN241" i="47"/>
  <c r="GK241" i="47"/>
  <c r="GH241" i="47"/>
  <c r="GE241" i="47"/>
  <c r="GB241" i="47"/>
  <c r="FY241" i="47"/>
  <c r="FV241" i="47"/>
  <c r="FS241" i="47"/>
  <c r="FP241" i="47"/>
  <c r="FM241" i="47"/>
  <c r="FJ241" i="47"/>
  <c r="FG241" i="47"/>
  <c r="FD241" i="47"/>
  <c r="FA241" i="47"/>
  <c r="EX241" i="47"/>
  <c r="EU241" i="47"/>
  <c r="ER241" i="47"/>
  <c r="EO241" i="47"/>
  <c r="EL241" i="47"/>
  <c r="EI241" i="47"/>
  <c r="EF241" i="47"/>
  <c r="EC241" i="47"/>
  <c r="DZ241" i="47"/>
  <c r="DW241" i="47"/>
  <c r="DV241" i="47"/>
  <c r="IX240" i="47"/>
  <c r="IW240" i="47"/>
  <c r="HF240" i="47"/>
  <c r="HC240" i="47"/>
  <c r="GZ240" i="47"/>
  <c r="GW240" i="47"/>
  <c r="GT240" i="47"/>
  <c r="GQ240" i="47"/>
  <c r="GN240" i="47"/>
  <c r="GK240" i="47"/>
  <c r="GH240" i="47"/>
  <c r="GE240" i="47"/>
  <c r="GB240" i="47"/>
  <c r="FY240" i="47"/>
  <c r="FV240" i="47"/>
  <c r="FS240" i="47"/>
  <c r="FP240" i="47"/>
  <c r="FM240" i="47"/>
  <c r="FJ240" i="47"/>
  <c r="FG240" i="47"/>
  <c r="FD240" i="47"/>
  <c r="FA240" i="47"/>
  <c r="EX240" i="47"/>
  <c r="EU240" i="47"/>
  <c r="ER240" i="47"/>
  <c r="EO240" i="47"/>
  <c r="EL240" i="47"/>
  <c r="EI240" i="47"/>
  <c r="EF240" i="47"/>
  <c r="EC240" i="47"/>
  <c r="DZ240" i="47"/>
  <c r="DW240" i="47"/>
  <c r="DT240" i="47"/>
  <c r="DQ240" i="47"/>
  <c r="DN240" i="47"/>
  <c r="DK240" i="47"/>
  <c r="DH240" i="47"/>
  <c r="DE240" i="47"/>
  <c r="DB240" i="47"/>
  <c r="CY240" i="47"/>
  <c r="CV240" i="47"/>
  <c r="CS240" i="47"/>
  <c r="CP240" i="47"/>
  <c r="CM240" i="47"/>
  <c r="CJ240" i="47"/>
  <c r="CG240" i="47"/>
  <c r="CD240" i="47"/>
  <c r="CA240" i="47"/>
  <c r="BX240" i="47"/>
  <c r="BU240" i="47"/>
  <c r="BR240" i="47"/>
  <c r="BO240" i="47"/>
  <c r="BL240" i="47"/>
  <c r="BI240" i="47"/>
  <c r="BF240" i="47"/>
  <c r="BC240" i="47"/>
  <c r="AZ240" i="47"/>
  <c r="AW240" i="47"/>
  <c r="AT240" i="47"/>
  <c r="AQ240" i="47"/>
  <c r="AN240" i="47"/>
  <c r="AK240" i="47"/>
  <c r="AH240" i="47"/>
  <c r="AE240" i="47"/>
  <c r="AB240" i="47"/>
  <c r="Y240" i="47"/>
  <c r="V240" i="47"/>
  <c r="S240" i="47"/>
  <c r="P240" i="47"/>
  <c r="M240" i="47"/>
  <c r="J240" i="47"/>
  <c r="IX239" i="47"/>
  <c r="IW239" i="47"/>
  <c r="HF239" i="47"/>
  <c r="HC239" i="47"/>
  <c r="GZ239" i="47"/>
  <c r="GW239" i="47"/>
  <c r="GT239" i="47"/>
  <c r="GQ239" i="47"/>
  <c r="GN239" i="47"/>
  <c r="GK239" i="47"/>
  <c r="GH239" i="47"/>
  <c r="GE239" i="47"/>
  <c r="GB239" i="47"/>
  <c r="FY239" i="47"/>
  <c r="FV239" i="47"/>
  <c r="FS239" i="47"/>
  <c r="FP239" i="47"/>
  <c r="FM239" i="47"/>
  <c r="FJ239" i="47"/>
  <c r="FG239" i="47"/>
  <c r="FD239" i="47"/>
  <c r="FA239" i="47"/>
  <c r="EX239" i="47"/>
  <c r="EU239" i="47"/>
  <c r="ER239" i="47"/>
  <c r="EO239" i="47"/>
  <c r="EL239" i="47"/>
  <c r="EI239" i="47"/>
  <c r="EF239" i="47"/>
  <c r="EC239" i="47"/>
  <c r="DZ239" i="47"/>
  <c r="DW239" i="47"/>
  <c r="DT239" i="47"/>
  <c r="DQ239" i="47"/>
  <c r="DN239" i="47"/>
  <c r="DK239" i="47"/>
  <c r="DH239" i="47"/>
  <c r="DE239" i="47"/>
  <c r="DB239" i="47"/>
  <c r="CY239" i="47"/>
  <c r="CV239" i="47"/>
  <c r="CS239" i="47"/>
  <c r="CP239" i="47"/>
  <c r="CM239" i="47"/>
  <c r="CJ239" i="47"/>
  <c r="CG239" i="47"/>
  <c r="CD239" i="47"/>
  <c r="CA239" i="47"/>
  <c r="BX239" i="47"/>
  <c r="BU239" i="47"/>
  <c r="BR239" i="47"/>
  <c r="BO239" i="47"/>
  <c r="BL239" i="47"/>
  <c r="BI239" i="47"/>
  <c r="BF239" i="47"/>
  <c r="BC239" i="47"/>
  <c r="AZ239" i="47"/>
  <c r="AW239" i="47"/>
  <c r="AT239" i="47"/>
  <c r="AQ239" i="47"/>
  <c r="AN239" i="47"/>
  <c r="AK239" i="47"/>
  <c r="AH239" i="47"/>
  <c r="AE239" i="47"/>
  <c r="AB239" i="47"/>
  <c r="Y239" i="47"/>
  <c r="V239" i="47"/>
  <c r="S239" i="47"/>
  <c r="P239" i="47"/>
  <c r="M239" i="47"/>
  <c r="J239" i="47"/>
  <c r="H239" i="47"/>
  <c r="IX238" i="47"/>
  <c r="IW238" i="47"/>
  <c r="BX238" i="47"/>
  <c r="BW238" i="47"/>
  <c r="IX237" i="47"/>
  <c r="IW237" i="47"/>
  <c r="IX236" i="47"/>
  <c r="IW236" i="47"/>
  <c r="IX235" i="47"/>
  <c r="IW235" i="47"/>
  <c r="AE235" i="47"/>
  <c r="AD235" i="47"/>
  <c r="M235" i="47"/>
  <c r="L235" i="47"/>
  <c r="IX234" i="47"/>
  <c r="IW234" i="47"/>
  <c r="AQ234" i="47"/>
  <c r="AP234" i="47"/>
  <c r="IX233" i="47"/>
  <c r="IW233" i="47"/>
  <c r="DT233" i="47"/>
  <c r="DS233" i="47"/>
  <c r="IX232" i="47"/>
  <c r="IW232" i="47"/>
  <c r="HF232" i="47"/>
  <c r="HC232" i="47"/>
  <c r="GZ232" i="47"/>
  <c r="GW232" i="47"/>
  <c r="GT232" i="47"/>
  <c r="GQ232" i="47"/>
  <c r="GN232" i="47"/>
  <c r="GK232" i="47"/>
  <c r="GH232" i="47"/>
  <c r="GE232" i="47"/>
  <c r="GB232" i="47"/>
  <c r="FY232" i="47"/>
  <c r="FV232" i="47"/>
  <c r="FS232" i="47"/>
  <c r="FP232" i="47"/>
  <c r="FM232" i="47"/>
  <c r="FJ232" i="47"/>
  <c r="FG232" i="47"/>
  <c r="FD232" i="47"/>
  <c r="FA232" i="47"/>
  <c r="EX232" i="47"/>
  <c r="EU232" i="47"/>
  <c r="ER232" i="47"/>
  <c r="EO232" i="47"/>
  <c r="EL232" i="47"/>
  <c r="EI232" i="47"/>
  <c r="EF232" i="47"/>
  <c r="EC232" i="47"/>
  <c r="DZ232" i="47"/>
  <c r="DW232" i="47"/>
  <c r="DT232" i="47"/>
  <c r="DQ232" i="47"/>
  <c r="DN232" i="47"/>
  <c r="DK232" i="47"/>
  <c r="DH232" i="47"/>
  <c r="DE232" i="47"/>
  <c r="DB232" i="47"/>
  <c r="CY232" i="47"/>
  <c r="CV232" i="47"/>
  <c r="CS232" i="47"/>
  <c r="CP232" i="47"/>
  <c r="CM232" i="47"/>
  <c r="CJ232" i="47"/>
  <c r="CG232" i="47"/>
  <c r="CD232" i="47"/>
  <c r="CA232" i="47"/>
  <c r="BX232" i="47"/>
  <c r="BU232" i="47"/>
  <c r="BR232" i="47"/>
  <c r="BO232" i="47"/>
  <c r="BL232" i="47"/>
  <c r="BI232" i="47"/>
  <c r="BF232" i="47"/>
  <c r="BC232" i="47"/>
  <c r="AZ232" i="47"/>
  <c r="AW232" i="47"/>
  <c r="AT232" i="47"/>
  <c r="AQ232" i="47"/>
  <c r="AN232" i="47"/>
  <c r="AK232" i="47"/>
  <c r="AH232" i="47"/>
  <c r="AE232" i="47"/>
  <c r="AB232" i="47"/>
  <c r="Y232" i="47"/>
  <c r="V232" i="47"/>
  <c r="S232" i="47"/>
  <c r="P232" i="47"/>
  <c r="M232" i="47"/>
  <c r="J232" i="47"/>
  <c r="IX231" i="47"/>
  <c r="IW231" i="47"/>
  <c r="AS231" i="47"/>
  <c r="IX230" i="47"/>
  <c r="IW230" i="47"/>
  <c r="HF230" i="47"/>
  <c r="HC230" i="47"/>
  <c r="GZ230" i="47"/>
  <c r="GW230" i="47"/>
  <c r="GT230" i="47"/>
  <c r="GQ230" i="47"/>
  <c r="GN230" i="47"/>
  <c r="GK230" i="47"/>
  <c r="GH230" i="47"/>
  <c r="GE230" i="47"/>
  <c r="GB230" i="47"/>
  <c r="FY230" i="47"/>
  <c r="FV230" i="47"/>
  <c r="FS230" i="47"/>
  <c r="FP230" i="47"/>
  <c r="FM230" i="47"/>
  <c r="FJ230" i="47"/>
  <c r="FG230" i="47"/>
  <c r="FD230" i="47"/>
  <c r="FA230" i="47"/>
  <c r="EX230" i="47"/>
  <c r="EU230" i="47"/>
  <c r="ER230" i="47"/>
  <c r="EO230" i="47"/>
  <c r="EL230" i="47"/>
  <c r="EI230" i="47"/>
  <c r="EF230" i="47"/>
  <c r="EC230" i="47"/>
  <c r="DZ230" i="47"/>
  <c r="DW230" i="47"/>
  <c r="DT230" i="47"/>
  <c r="DQ230" i="47"/>
  <c r="DN230" i="47"/>
  <c r="DK230" i="47"/>
  <c r="DH230" i="47"/>
  <c r="DE230" i="47"/>
  <c r="DB230" i="47"/>
  <c r="CY230" i="47"/>
  <c r="CV230" i="47"/>
  <c r="CS230" i="47"/>
  <c r="CP230" i="47"/>
  <c r="CM230" i="47"/>
  <c r="CJ230" i="47"/>
  <c r="CG230" i="47"/>
  <c r="CD230" i="47"/>
  <c r="CA230" i="47"/>
  <c r="BX230" i="47"/>
  <c r="BU230" i="47"/>
  <c r="BR230" i="47"/>
  <c r="BO230" i="47"/>
  <c r="BL230" i="47"/>
  <c r="BI230" i="47"/>
  <c r="BF230" i="47"/>
  <c r="BC230" i="47"/>
  <c r="AZ230" i="47"/>
  <c r="AW230" i="47"/>
  <c r="AT230" i="47"/>
  <c r="AQ230" i="47"/>
  <c r="AN230" i="47"/>
  <c r="AK230" i="47"/>
  <c r="AH230" i="47"/>
  <c r="AE230" i="47"/>
  <c r="AB230" i="47"/>
  <c r="Y230" i="47"/>
  <c r="V230" i="47"/>
  <c r="S230" i="47"/>
  <c r="P230" i="47"/>
  <c r="M230" i="47"/>
  <c r="J230" i="47"/>
  <c r="IX229" i="47"/>
  <c r="IW229" i="47"/>
  <c r="CA229" i="47"/>
  <c r="BZ229" i="47"/>
  <c r="IX228" i="47"/>
  <c r="IW228" i="47"/>
  <c r="IX227" i="47"/>
  <c r="IW227" i="47"/>
  <c r="AS227" i="47"/>
  <c r="IX226" i="47"/>
  <c r="IW226" i="47"/>
  <c r="AS226" i="47"/>
  <c r="IX225" i="47"/>
  <c r="IW225" i="47"/>
  <c r="HF225" i="47"/>
  <c r="HC225" i="47"/>
  <c r="GZ225" i="47"/>
  <c r="GW225" i="47"/>
  <c r="GT225" i="47"/>
  <c r="GQ225" i="47"/>
  <c r="GN225" i="47"/>
  <c r="GK225" i="47"/>
  <c r="GH225" i="47"/>
  <c r="GE225" i="47"/>
  <c r="GB225" i="47"/>
  <c r="FY225" i="47"/>
  <c r="FV225" i="47"/>
  <c r="FS225" i="47"/>
  <c r="FP225" i="47"/>
  <c r="FM225" i="47"/>
  <c r="FJ225" i="47"/>
  <c r="FG225" i="47"/>
  <c r="FD225" i="47"/>
  <c r="FA225" i="47"/>
  <c r="EX225" i="47"/>
  <c r="EU225" i="47"/>
  <c r="ER225" i="47"/>
  <c r="EO225" i="47"/>
  <c r="EL225" i="47"/>
  <c r="EI225" i="47"/>
  <c r="EF225" i="47"/>
  <c r="EC225" i="47"/>
  <c r="DZ225" i="47"/>
  <c r="DW225" i="47"/>
  <c r="DT225" i="47"/>
  <c r="DQ225" i="47"/>
  <c r="DN225" i="47"/>
  <c r="DK225" i="47"/>
  <c r="DH225" i="47"/>
  <c r="DE225" i="47"/>
  <c r="IX224" i="47"/>
  <c r="IW224" i="47"/>
  <c r="HF224" i="47"/>
  <c r="HC224" i="47"/>
  <c r="GZ224" i="47"/>
  <c r="GW224" i="47"/>
  <c r="GT224" i="47"/>
  <c r="GQ224" i="47"/>
  <c r="GN224" i="47"/>
  <c r="GK224" i="47"/>
  <c r="GH224" i="47"/>
  <c r="GE224" i="47"/>
  <c r="GB224" i="47"/>
  <c r="FY224" i="47"/>
  <c r="FV224" i="47"/>
  <c r="FS224" i="47"/>
  <c r="FP224" i="47"/>
  <c r="FM224" i="47"/>
  <c r="FJ224" i="47"/>
  <c r="FG224" i="47"/>
  <c r="FD224" i="47"/>
  <c r="FA224" i="47"/>
  <c r="EX224" i="47"/>
  <c r="EU224" i="47"/>
  <c r="ER224" i="47"/>
  <c r="EO224" i="47"/>
  <c r="EL224" i="47"/>
  <c r="EI224" i="47"/>
  <c r="EF224" i="47"/>
  <c r="EC224" i="47"/>
  <c r="DZ224" i="47"/>
  <c r="DW224" i="47"/>
  <c r="DV224" i="47"/>
  <c r="IX223" i="47"/>
  <c r="IW223" i="47"/>
  <c r="AS223" i="47"/>
  <c r="IX222" i="47"/>
  <c r="IW222" i="47"/>
  <c r="FI222" i="47"/>
  <c r="FF222" i="47"/>
  <c r="DE222" i="47"/>
  <c r="DD222" i="47"/>
  <c r="CY222" i="47"/>
  <c r="CX222" i="47"/>
  <c r="IX221" i="47"/>
  <c r="IW221" i="47"/>
  <c r="IX220" i="47"/>
  <c r="IW220" i="47"/>
  <c r="AK220" i="47"/>
  <c r="AJ220" i="47"/>
  <c r="IX219" i="47"/>
  <c r="IW219" i="47"/>
  <c r="AQ219" i="47"/>
  <c r="AP219" i="47"/>
  <c r="IX218" i="47"/>
  <c r="IW218" i="47"/>
  <c r="S218" i="47"/>
  <c r="R218" i="47"/>
  <c r="IX217" i="47"/>
  <c r="IW217" i="47"/>
  <c r="S217" i="47"/>
  <c r="R217" i="47"/>
  <c r="IX216" i="47"/>
  <c r="IW216" i="47"/>
  <c r="IX215" i="47"/>
  <c r="IW215" i="47"/>
  <c r="HF215" i="47"/>
  <c r="HC215" i="47"/>
  <c r="GZ215" i="47"/>
  <c r="GW215" i="47"/>
  <c r="GT215" i="47"/>
  <c r="GQ215" i="47"/>
  <c r="GN215" i="47"/>
  <c r="GK215" i="47"/>
  <c r="GH215" i="47"/>
  <c r="GE215" i="47"/>
  <c r="GB215" i="47"/>
  <c r="FY215" i="47"/>
  <c r="FV215" i="47"/>
  <c r="FS215" i="47"/>
  <c r="FP215" i="47"/>
  <c r="FM215" i="47"/>
  <c r="FJ215" i="47"/>
  <c r="FG215" i="47"/>
  <c r="FD215" i="47"/>
  <c r="FA215" i="47"/>
  <c r="EX215" i="47"/>
  <c r="EU215" i="47"/>
  <c r="ER215" i="47"/>
  <c r="EO215" i="47"/>
  <c r="EL215" i="47"/>
  <c r="EI215" i="47"/>
  <c r="EF215" i="47"/>
  <c r="EC215" i="47"/>
  <c r="DZ215" i="47"/>
  <c r="DW215" i="47"/>
  <c r="DT215" i="47"/>
  <c r="DQ215" i="47"/>
  <c r="DN215" i="47"/>
  <c r="DK215" i="47"/>
  <c r="DH215" i="47"/>
  <c r="DE215" i="47"/>
  <c r="DB215" i="47"/>
  <c r="CY215" i="47"/>
  <c r="CV215" i="47"/>
  <c r="CS215" i="47"/>
  <c r="CP215" i="47"/>
  <c r="CM215" i="47"/>
  <c r="CJ215" i="47"/>
  <c r="CG215" i="47"/>
  <c r="CD215" i="47"/>
  <c r="CA215" i="47"/>
  <c r="BX215" i="47"/>
  <c r="BU215" i="47"/>
  <c r="BR215" i="47"/>
  <c r="BO215" i="47"/>
  <c r="BL215" i="47"/>
  <c r="BI215" i="47"/>
  <c r="BF215" i="47"/>
  <c r="BC215" i="47"/>
  <c r="AZ215" i="47"/>
  <c r="AW215" i="47"/>
  <c r="AT215" i="47"/>
  <c r="AQ215" i="47"/>
  <c r="AN215" i="47"/>
  <c r="AK215" i="47"/>
  <c r="AH215" i="47"/>
  <c r="AE215" i="47"/>
  <c r="AB215" i="47"/>
  <c r="Y215" i="47"/>
  <c r="V215" i="47"/>
  <c r="S215" i="47"/>
  <c r="P215" i="47"/>
  <c r="M215" i="47"/>
  <c r="J215" i="47"/>
  <c r="IX214" i="47"/>
  <c r="IW214" i="47"/>
  <c r="AS214" i="47"/>
  <c r="IX213" i="47"/>
  <c r="IW213" i="47"/>
  <c r="IX212" i="47"/>
  <c r="IW212" i="47"/>
  <c r="DQ212" i="47"/>
  <c r="DP212" i="47"/>
  <c r="IX211" i="47"/>
  <c r="IW211" i="47"/>
  <c r="Y211" i="47"/>
  <c r="X211" i="47"/>
  <c r="IX210" i="47"/>
  <c r="IW210" i="47"/>
  <c r="HF210" i="47"/>
  <c r="HC210" i="47"/>
  <c r="GZ210" i="47"/>
  <c r="GW210" i="47"/>
  <c r="GT210" i="47"/>
  <c r="GQ210" i="47"/>
  <c r="GN210" i="47"/>
  <c r="GK210" i="47"/>
  <c r="GH210" i="47"/>
  <c r="GE210" i="47"/>
  <c r="GB210" i="47"/>
  <c r="FY210" i="47"/>
  <c r="FV210" i="47"/>
  <c r="FS210" i="47"/>
  <c r="FP210" i="47"/>
  <c r="FM210" i="47"/>
  <c r="FJ210" i="47"/>
  <c r="FG210" i="47"/>
  <c r="FD210" i="47"/>
  <c r="FA210" i="47"/>
  <c r="EX210" i="47"/>
  <c r="EU210" i="47"/>
  <c r="ER210" i="47"/>
  <c r="EO210" i="47"/>
  <c r="EL210" i="47"/>
  <c r="EI210" i="47"/>
  <c r="EF210" i="47"/>
  <c r="EC210" i="47"/>
  <c r="DZ210" i="47"/>
  <c r="DW210" i="47"/>
  <c r="DT210" i="47"/>
  <c r="DQ210" i="47"/>
  <c r="DN210" i="47"/>
  <c r="DK210" i="47"/>
  <c r="DH210" i="47"/>
  <c r="DE210" i="47"/>
  <c r="DB210" i="47"/>
  <c r="CY210" i="47"/>
  <c r="CV210" i="47"/>
  <c r="CS210" i="47"/>
  <c r="CP210" i="47"/>
  <c r="CM210" i="47"/>
  <c r="CJ210" i="47"/>
  <c r="CG210" i="47"/>
  <c r="CD210" i="47"/>
  <c r="CA210" i="47"/>
  <c r="BX210" i="47"/>
  <c r="BU210" i="47"/>
  <c r="BR210" i="47"/>
  <c r="BO210" i="47"/>
  <c r="BL210" i="47"/>
  <c r="BI210" i="47"/>
  <c r="BF210" i="47"/>
  <c r="BC210" i="47"/>
  <c r="AZ210" i="47"/>
  <c r="AW210" i="47"/>
  <c r="AT210" i="47"/>
  <c r="AQ210" i="47"/>
  <c r="AN210" i="47"/>
  <c r="AK210" i="47"/>
  <c r="AH210" i="47"/>
  <c r="AE210" i="47"/>
  <c r="AB210" i="47"/>
  <c r="Y210" i="47"/>
  <c r="V210" i="47"/>
  <c r="S210" i="47"/>
  <c r="P210" i="47"/>
  <c r="M210" i="47"/>
  <c r="J210" i="47"/>
  <c r="IX209" i="47"/>
  <c r="IW209" i="47"/>
  <c r="AT209" i="47"/>
  <c r="AS209" i="47"/>
  <c r="IX208" i="47"/>
  <c r="IW208" i="47"/>
  <c r="IX207" i="47"/>
  <c r="IW207" i="47"/>
  <c r="HF207" i="47"/>
  <c r="HC207" i="47"/>
  <c r="GZ207" i="47"/>
  <c r="GW207" i="47"/>
  <c r="GT207" i="47"/>
  <c r="GQ207" i="47"/>
  <c r="GN207" i="47"/>
  <c r="GK207" i="47"/>
  <c r="GH207" i="47"/>
  <c r="GE207" i="47"/>
  <c r="GB207" i="47"/>
  <c r="FY207" i="47"/>
  <c r="FV207" i="47"/>
  <c r="FS207" i="47"/>
  <c r="FP207" i="47"/>
  <c r="FM207" i="47"/>
  <c r="FJ207" i="47"/>
  <c r="FG207" i="47"/>
  <c r="FD207" i="47"/>
  <c r="FA207" i="47"/>
  <c r="EX207" i="47"/>
  <c r="EU207" i="47"/>
  <c r="ER207" i="47"/>
  <c r="EO207" i="47"/>
  <c r="EL207" i="47"/>
  <c r="EI207" i="47"/>
  <c r="EF207" i="47"/>
  <c r="EC207" i="47"/>
  <c r="DZ207" i="47"/>
  <c r="DW207" i="47"/>
  <c r="DT207" i="47"/>
  <c r="DQ207" i="47"/>
  <c r="DN207" i="47"/>
  <c r="DK207" i="47"/>
  <c r="DH207" i="47"/>
  <c r="DE207" i="47"/>
  <c r="DB207" i="47"/>
  <c r="CY207" i="47"/>
  <c r="CV207" i="47"/>
  <c r="CS207" i="47"/>
  <c r="CP207" i="47"/>
  <c r="CM207" i="47"/>
  <c r="CJ207" i="47"/>
  <c r="CG207" i="47"/>
  <c r="CD207" i="47"/>
  <c r="CA207" i="47"/>
  <c r="BX207" i="47"/>
  <c r="BU207" i="47"/>
  <c r="BR207" i="47"/>
  <c r="BO207" i="47"/>
  <c r="BL207" i="47"/>
  <c r="BI207" i="47"/>
  <c r="BF207" i="47"/>
  <c r="BC207" i="47"/>
  <c r="AZ207" i="47"/>
  <c r="AW207" i="47"/>
  <c r="AT207" i="47"/>
  <c r="AQ207" i="47"/>
  <c r="AN207" i="47"/>
  <c r="AK207" i="47"/>
  <c r="AH207" i="47"/>
  <c r="AE207" i="47"/>
  <c r="AB207" i="47"/>
  <c r="Y207" i="47"/>
  <c r="V207" i="47"/>
  <c r="S207" i="47"/>
  <c r="P207" i="47"/>
  <c r="M207" i="47"/>
  <c r="J207" i="47"/>
  <c r="IX206" i="47"/>
  <c r="IW206" i="47"/>
  <c r="IY206" i="47" s="1"/>
  <c r="HP206" i="47"/>
  <c r="HF206" i="47"/>
  <c r="HC206" i="47"/>
  <c r="GZ206" i="47"/>
  <c r="GW206" i="47"/>
  <c r="GT206" i="47"/>
  <c r="GQ206" i="47"/>
  <c r="GN206" i="47"/>
  <c r="GK206" i="47"/>
  <c r="GH206" i="47"/>
  <c r="GE206" i="47"/>
  <c r="GB206" i="47"/>
  <c r="FY206" i="47"/>
  <c r="FV206" i="47"/>
  <c r="FS206" i="47"/>
  <c r="FP206" i="47"/>
  <c r="FM206" i="47"/>
  <c r="FJ206" i="47"/>
  <c r="FG206" i="47"/>
  <c r="FD206" i="47"/>
  <c r="FA206" i="47"/>
  <c r="EX206" i="47"/>
  <c r="EU206" i="47"/>
  <c r="ER206" i="47"/>
  <c r="EO206" i="47"/>
  <c r="EL206" i="47"/>
  <c r="EI206" i="47"/>
  <c r="EF206" i="47"/>
  <c r="EC206" i="47"/>
  <c r="DZ206" i="47"/>
  <c r="DW206" i="47"/>
  <c r="DT206" i="47"/>
  <c r="DQ206" i="47"/>
  <c r="DN206" i="47"/>
  <c r="DK206" i="47"/>
  <c r="DH206" i="47"/>
  <c r="DE206" i="47"/>
  <c r="DB206" i="47"/>
  <c r="CY206" i="47"/>
  <c r="CV206" i="47"/>
  <c r="CS206" i="47"/>
  <c r="CP206" i="47"/>
  <c r="CM206" i="47"/>
  <c r="CJ206" i="47"/>
  <c r="CG206" i="47"/>
  <c r="CD206" i="47"/>
  <c r="CA206" i="47"/>
  <c r="BX206" i="47"/>
  <c r="BU206" i="47"/>
  <c r="BR206" i="47"/>
  <c r="BO206" i="47"/>
  <c r="BL206" i="47"/>
  <c r="BI206" i="47"/>
  <c r="BF206" i="47"/>
  <c r="BC206" i="47"/>
  <c r="AZ206" i="47"/>
  <c r="AW206" i="47"/>
  <c r="AT206" i="47"/>
  <c r="AQ206" i="47"/>
  <c r="AN206" i="47"/>
  <c r="AK206" i="47"/>
  <c r="AH206" i="47"/>
  <c r="AE206" i="47"/>
  <c r="AB206" i="47"/>
  <c r="Y206" i="47"/>
  <c r="V206" i="47"/>
  <c r="S206" i="47"/>
  <c r="P206" i="47"/>
  <c r="M206" i="47"/>
  <c r="J206" i="47"/>
  <c r="I206" i="47"/>
  <c r="IX205" i="47"/>
  <c r="IW205" i="47"/>
  <c r="DE205" i="47"/>
  <c r="DD205" i="47"/>
  <c r="AS205" i="47"/>
  <c r="I205" i="47"/>
  <c r="IX204" i="47"/>
  <c r="IW204" i="47"/>
  <c r="J204" i="47"/>
  <c r="I204" i="47"/>
  <c r="IX203" i="47"/>
  <c r="IW203" i="47"/>
  <c r="EL203" i="47"/>
  <c r="DH203" i="47"/>
  <c r="DG203" i="47"/>
  <c r="IX202" i="47"/>
  <c r="IW202" i="47"/>
  <c r="EL202" i="47"/>
  <c r="DH202" i="47"/>
  <c r="DG202" i="47"/>
  <c r="IX201" i="47"/>
  <c r="IW201" i="47"/>
  <c r="BX201" i="47"/>
  <c r="BW201" i="47"/>
  <c r="IX200" i="47"/>
  <c r="IW200" i="47"/>
  <c r="IX199" i="47"/>
  <c r="IW199" i="47"/>
  <c r="HF199" i="47"/>
  <c r="HC199" i="47"/>
  <c r="GZ199" i="47"/>
  <c r="GW199" i="47"/>
  <c r="GT199" i="47"/>
  <c r="GQ199" i="47"/>
  <c r="GN199" i="47"/>
  <c r="GK199" i="47"/>
  <c r="GH199" i="47"/>
  <c r="GE199" i="47"/>
  <c r="GB199" i="47"/>
  <c r="FY199" i="47"/>
  <c r="FV199" i="47"/>
  <c r="FS199" i="47"/>
  <c r="FP199" i="47"/>
  <c r="FM199" i="47"/>
  <c r="FJ199" i="47"/>
  <c r="FG199" i="47"/>
  <c r="FD199" i="47"/>
  <c r="FA199" i="47"/>
  <c r="EX199" i="47"/>
  <c r="EU199" i="47"/>
  <c r="ER199" i="47"/>
  <c r="EO199" i="47"/>
  <c r="EL199" i="47"/>
  <c r="EI199" i="47"/>
  <c r="EF199" i="47"/>
  <c r="EC199" i="47"/>
  <c r="DZ199" i="47"/>
  <c r="DW199" i="47"/>
  <c r="DT199" i="47"/>
  <c r="DQ199" i="47"/>
  <c r="DN199" i="47"/>
  <c r="DK199" i="47"/>
  <c r="DH199" i="47"/>
  <c r="DG199" i="47"/>
  <c r="DE199" i="47"/>
  <c r="DB199" i="47"/>
  <c r="CY199" i="47"/>
  <c r="CV199" i="47"/>
  <c r="CS199" i="47"/>
  <c r="CP199" i="47"/>
  <c r="CM199" i="47"/>
  <c r="CJ199" i="47"/>
  <c r="CG199" i="47"/>
  <c r="CD199" i="47"/>
  <c r="CA199" i="47"/>
  <c r="BX199" i="47"/>
  <c r="BU199" i="47"/>
  <c r="BR199" i="47"/>
  <c r="BO199" i="47"/>
  <c r="BL199" i="47"/>
  <c r="BI199" i="47"/>
  <c r="BF199" i="47"/>
  <c r="BC199" i="47"/>
  <c r="AZ199" i="47"/>
  <c r="AW199" i="47"/>
  <c r="AT199" i="47"/>
  <c r="AQ199" i="47"/>
  <c r="AN199" i="47"/>
  <c r="AK199" i="47"/>
  <c r="AH199" i="47"/>
  <c r="AE199" i="47"/>
  <c r="AB199" i="47"/>
  <c r="Y199" i="47"/>
  <c r="V199" i="47"/>
  <c r="S199" i="47"/>
  <c r="P199" i="47"/>
  <c r="M199" i="47"/>
  <c r="J199" i="47"/>
  <c r="IX198" i="47"/>
  <c r="IW198" i="47"/>
  <c r="AS198" i="47"/>
  <c r="IX197" i="47"/>
  <c r="IW197" i="47"/>
  <c r="HF197" i="47"/>
  <c r="HC197" i="47"/>
  <c r="GZ197" i="47"/>
  <c r="GW197" i="47"/>
  <c r="GT197" i="47"/>
  <c r="GQ197" i="47"/>
  <c r="GN197" i="47"/>
  <c r="GK197" i="47"/>
  <c r="GH197" i="47"/>
  <c r="GE197" i="47"/>
  <c r="GB197" i="47"/>
  <c r="FY197" i="47"/>
  <c r="FV197" i="47"/>
  <c r="FS197" i="47"/>
  <c r="FP197" i="47"/>
  <c r="FM197" i="47"/>
  <c r="FJ197" i="47"/>
  <c r="FG197" i="47"/>
  <c r="FD197" i="47"/>
  <c r="FA197" i="47"/>
  <c r="EX197" i="47"/>
  <c r="EU197" i="47"/>
  <c r="ER197" i="47"/>
  <c r="EO197" i="47"/>
  <c r="EL197" i="47"/>
  <c r="EI197" i="47"/>
  <c r="EF197" i="47"/>
  <c r="EC197" i="47"/>
  <c r="DZ197" i="47"/>
  <c r="DY197" i="47"/>
  <c r="DW197" i="47"/>
  <c r="DT197" i="47"/>
  <c r="DQ197" i="47"/>
  <c r="DN197" i="47"/>
  <c r="DK197" i="47"/>
  <c r="DH197" i="47"/>
  <c r="DE197" i="47"/>
  <c r="DB197" i="47"/>
  <c r="CY197" i="47"/>
  <c r="CV197" i="47"/>
  <c r="CS197" i="47"/>
  <c r="CP197" i="47"/>
  <c r="CM197" i="47"/>
  <c r="CJ197" i="47"/>
  <c r="CG197" i="47"/>
  <c r="CD197" i="47"/>
  <c r="CA197" i="47"/>
  <c r="BX197" i="47"/>
  <c r="BU197" i="47"/>
  <c r="BR197" i="47"/>
  <c r="BO197" i="47"/>
  <c r="BL197" i="47"/>
  <c r="BI197" i="47"/>
  <c r="BF197" i="47"/>
  <c r="BC197" i="47"/>
  <c r="AZ197" i="47"/>
  <c r="AW197" i="47"/>
  <c r="AT197" i="47"/>
  <c r="AQ197" i="47"/>
  <c r="AN197" i="47"/>
  <c r="AK197" i="47"/>
  <c r="AH197" i="47"/>
  <c r="AE197" i="47"/>
  <c r="AB197" i="47"/>
  <c r="Y197" i="47"/>
  <c r="V197" i="47"/>
  <c r="S197" i="47"/>
  <c r="P197" i="47"/>
  <c r="M197" i="47"/>
  <c r="J197" i="47"/>
  <c r="D197" i="47"/>
  <c r="IX196" i="47"/>
  <c r="IW196" i="47"/>
  <c r="HF196" i="47"/>
  <c r="HC196" i="47"/>
  <c r="GZ196" i="47"/>
  <c r="GW196" i="47"/>
  <c r="GT196" i="47"/>
  <c r="GQ196" i="47"/>
  <c r="GN196" i="47"/>
  <c r="GK196" i="47"/>
  <c r="GH196" i="47"/>
  <c r="GE196" i="47"/>
  <c r="GD196" i="47"/>
  <c r="N196" i="47"/>
  <c r="M196" i="47"/>
  <c r="L196" i="47"/>
  <c r="IX195" i="47"/>
  <c r="IW195" i="47"/>
  <c r="HF195" i="47"/>
  <c r="HC195" i="47"/>
  <c r="GZ195" i="47"/>
  <c r="GW195" i="47"/>
  <c r="GT195" i="47"/>
  <c r="GQ195" i="47"/>
  <c r="GN195" i="47"/>
  <c r="GK195" i="47"/>
  <c r="GH195" i="47"/>
  <c r="GE195" i="47"/>
  <c r="GD195" i="47"/>
  <c r="N195" i="47"/>
  <c r="M195" i="47"/>
  <c r="L195" i="47"/>
  <c r="IX194" i="47"/>
  <c r="IW194" i="47"/>
  <c r="HF194" i="47"/>
  <c r="HC194" i="47"/>
  <c r="GZ194" i="47"/>
  <c r="GW194" i="47"/>
  <c r="GT194" i="47"/>
  <c r="GQ194" i="47"/>
  <c r="GN194" i="47"/>
  <c r="GK194" i="47"/>
  <c r="GH194" i="47"/>
  <c r="GE194" i="47"/>
  <c r="GB194" i="47"/>
  <c r="FY194" i="47"/>
  <c r="FV194" i="47"/>
  <c r="FS194" i="47"/>
  <c r="FP194" i="47"/>
  <c r="FM194" i="47"/>
  <c r="FJ194" i="47"/>
  <c r="FG194" i="47"/>
  <c r="FD194" i="47"/>
  <c r="FA194" i="47"/>
  <c r="EX194" i="47"/>
  <c r="EU194" i="47"/>
  <c r="ER194" i="47"/>
  <c r="EO194" i="47"/>
  <c r="EL194" i="47"/>
  <c r="EI194" i="47"/>
  <c r="EF194" i="47"/>
  <c r="EC194" i="47"/>
  <c r="DZ194" i="47"/>
  <c r="DW194" i="47"/>
  <c r="DT194" i="47"/>
  <c r="DQ194" i="47"/>
  <c r="DN194" i="47"/>
  <c r="DK194" i="47"/>
  <c r="DH194" i="47"/>
  <c r="DE194" i="47"/>
  <c r="DB194" i="47"/>
  <c r="CY194" i="47"/>
  <c r="CV194" i="47"/>
  <c r="CS194" i="47"/>
  <c r="CP194" i="47"/>
  <c r="CM194" i="47"/>
  <c r="CJ194" i="47"/>
  <c r="CG194" i="47"/>
  <c r="CD194" i="47"/>
  <c r="CA194" i="47"/>
  <c r="BX194" i="47"/>
  <c r="BU194" i="47"/>
  <c r="BR194" i="47"/>
  <c r="BO194" i="47"/>
  <c r="BL194" i="47"/>
  <c r="BI194" i="47"/>
  <c r="BF194" i="47"/>
  <c r="BC194" i="47"/>
  <c r="AZ194" i="47"/>
  <c r="AW194" i="47"/>
  <c r="AT194" i="47"/>
  <c r="AQ194" i="47"/>
  <c r="AN194" i="47"/>
  <c r="AK194" i="47"/>
  <c r="AH194" i="47"/>
  <c r="AE194" i="47"/>
  <c r="AB194" i="47"/>
  <c r="Y194" i="47"/>
  <c r="V194" i="47"/>
  <c r="S194" i="47"/>
  <c r="P194" i="47"/>
  <c r="M194" i="47"/>
  <c r="J194" i="47"/>
  <c r="IX193" i="47"/>
  <c r="IW193" i="47"/>
  <c r="HF193" i="47"/>
  <c r="HC193" i="47"/>
  <c r="GZ193" i="47"/>
  <c r="GW193" i="47"/>
  <c r="GT193" i="47"/>
  <c r="GQ193" i="47"/>
  <c r="GN193" i="47"/>
  <c r="GK193" i="47"/>
  <c r="GH193" i="47"/>
  <c r="GE193" i="47"/>
  <c r="GB193" i="47"/>
  <c r="FY193" i="47"/>
  <c r="FV193" i="47"/>
  <c r="FS193" i="47"/>
  <c r="FP193" i="47"/>
  <c r="FM193" i="47"/>
  <c r="FJ193" i="47"/>
  <c r="FG193" i="47"/>
  <c r="FD193" i="47"/>
  <c r="FA193" i="47"/>
  <c r="EX193" i="47"/>
  <c r="EU193" i="47"/>
  <c r="ER193" i="47"/>
  <c r="EO193" i="47"/>
  <c r="EL193" i="47"/>
  <c r="EI193" i="47"/>
  <c r="EF193" i="47"/>
  <c r="EC193" i="47"/>
  <c r="DZ193" i="47"/>
  <c r="DW193" i="47"/>
  <c r="DT193" i="47"/>
  <c r="DQ193" i="47"/>
  <c r="DN193" i="47"/>
  <c r="DK193" i="47"/>
  <c r="DH193" i="47"/>
  <c r="DE193" i="47"/>
  <c r="DB193" i="47"/>
  <c r="CY193" i="47"/>
  <c r="CV193" i="47"/>
  <c r="CS193" i="47"/>
  <c r="CP193" i="47"/>
  <c r="CM193" i="47"/>
  <c r="CJ193" i="47"/>
  <c r="CG193" i="47"/>
  <c r="CD193" i="47"/>
  <c r="CA193" i="47"/>
  <c r="BX193" i="47"/>
  <c r="BU193" i="47"/>
  <c r="BR193" i="47"/>
  <c r="BO193" i="47"/>
  <c r="BL193" i="47"/>
  <c r="BI193" i="47"/>
  <c r="BF193" i="47"/>
  <c r="BC193" i="47"/>
  <c r="BB193" i="47"/>
  <c r="IX192" i="47"/>
  <c r="IW192" i="47"/>
  <c r="HF192" i="47"/>
  <c r="HC192" i="47"/>
  <c r="GZ192" i="47"/>
  <c r="GW192" i="47"/>
  <c r="GT192" i="47"/>
  <c r="GQ192" i="47"/>
  <c r="GN192" i="47"/>
  <c r="GK192" i="47"/>
  <c r="GH192" i="47"/>
  <c r="GE192" i="47"/>
  <c r="GB192" i="47"/>
  <c r="FY192" i="47"/>
  <c r="FV192" i="47"/>
  <c r="FS192" i="47"/>
  <c r="FP192" i="47"/>
  <c r="FM192" i="47"/>
  <c r="FJ192" i="47"/>
  <c r="FG192" i="47"/>
  <c r="FD192" i="47"/>
  <c r="FA192" i="47"/>
  <c r="EX192" i="47"/>
  <c r="EU192" i="47"/>
  <c r="ER192" i="47"/>
  <c r="EO192" i="47"/>
  <c r="EL192" i="47"/>
  <c r="EI192" i="47"/>
  <c r="EF192" i="47"/>
  <c r="EC192" i="47"/>
  <c r="DZ192" i="47"/>
  <c r="DW192" i="47"/>
  <c r="DT192" i="47"/>
  <c r="DQ192" i="47"/>
  <c r="DN192" i="47"/>
  <c r="DK192" i="47"/>
  <c r="DH192" i="47"/>
  <c r="DE192" i="47"/>
  <c r="DB192" i="47"/>
  <c r="CY192" i="47"/>
  <c r="CV192" i="47"/>
  <c r="CS192" i="47"/>
  <c r="CP192" i="47"/>
  <c r="CM192" i="47"/>
  <c r="CJ192" i="47"/>
  <c r="CG192" i="47"/>
  <c r="CD192" i="47"/>
  <c r="CA192" i="47"/>
  <c r="BX192" i="47"/>
  <c r="BU192" i="47"/>
  <c r="BR192" i="47"/>
  <c r="BO192" i="47"/>
  <c r="BL192" i="47"/>
  <c r="BI192" i="47"/>
  <c r="BF192" i="47"/>
  <c r="BC192" i="47"/>
  <c r="AZ192" i="47"/>
  <c r="AW192" i="47"/>
  <c r="AT192" i="47"/>
  <c r="AQ192" i="47"/>
  <c r="AN192" i="47"/>
  <c r="AK192" i="47"/>
  <c r="AH192" i="47"/>
  <c r="AE192" i="47"/>
  <c r="AB192" i="47"/>
  <c r="Y192" i="47"/>
  <c r="V192" i="47"/>
  <c r="S192" i="47"/>
  <c r="P192" i="47"/>
  <c r="M192" i="47"/>
  <c r="J192" i="47"/>
  <c r="I192" i="47"/>
  <c r="IX191" i="47"/>
  <c r="IW191" i="47"/>
  <c r="HF191" i="47"/>
  <c r="HC191" i="47"/>
  <c r="GZ191" i="47"/>
  <c r="GW191" i="47"/>
  <c r="GT191" i="47"/>
  <c r="GQ191" i="47"/>
  <c r="GN191" i="47"/>
  <c r="GK191" i="47"/>
  <c r="GH191" i="47"/>
  <c r="GE191" i="47"/>
  <c r="GB191" i="47"/>
  <c r="FY191" i="47"/>
  <c r="FV191" i="47"/>
  <c r="FS191" i="47"/>
  <c r="FP191" i="47"/>
  <c r="FM191" i="47"/>
  <c r="FJ191" i="47"/>
  <c r="FG191" i="47"/>
  <c r="FD191" i="47"/>
  <c r="FA191" i="47"/>
  <c r="EX191" i="47"/>
  <c r="EU191" i="47"/>
  <c r="ER191" i="47"/>
  <c r="EO191" i="47"/>
  <c r="EL191" i="47"/>
  <c r="EI191" i="47"/>
  <c r="EF191" i="47"/>
  <c r="EC191" i="47"/>
  <c r="DZ191" i="47"/>
  <c r="DW191" i="47"/>
  <c r="DT191" i="47"/>
  <c r="DQ191" i="47"/>
  <c r="DN191" i="47"/>
  <c r="DK191" i="47"/>
  <c r="DH191" i="47"/>
  <c r="DE191" i="47"/>
  <c r="DB191" i="47"/>
  <c r="CY191" i="47"/>
  <c r="CV191" i="47"/>
  <c r="CS191" i="47"/>
  <c r="CP191" i="47"/>
  <c r="CM191" i="47"/>
  <c r="CJ191" i="47"/>
  <c r="CG191" i="47"/>
  <c r="CD191" i="47"/>
  <c r="CA191" i="47"/>
  <c r="BX191" i="47"/>
  <c r="BU191" i="47"/>
  <c r="BR191" i="47"/>
  <c r="BL191" i="47"/>
  <c r="BK191" i="47"/>
  <c r="IX190" i="47"/>
  <c r="IW190" i="47"/>
  <c r="IX189" i="47"/>
  <c r="IW189" i="47"/>
  <c r="HF189" i="47"/>
  <c r="HC189" i="47"/>
  <c r="GZ189" i="47"/>
  <c r="GW189" i="47"/>
  <c r="GT189" i="47"/>
  <c r="GQ189" i="47"/>
  <c r="GN189" i="47"/>
  <c r="GK189" i="47"/>
  <c r="GH189" i="47"/>
  <c r="GE189" i="47"/>
  <c r="GB189" i="47"/>
  <c r="FY189" i="47"/>
  <c r="FV189" i="47"/>
  <c r="FS189" i="47"/>
  <c r="FP189" i="47"/>
  <c r="FM189" i="47"/>
  <c r="FJ189" i="47"/>
  <c r="FG189" i="47"/>
  <c r="FD189" i="47"/>
  <c r="FA189" i="47"/>
  <c r="EX189" i="47"/>
  <c r="EU189" i="47"/>
  <c r="ER189" i="47"/>
  <c r="EO189" i="47"/>
  <c r="EL189" i="47"/>
  <c r="EI189" i="47"/>
  <c r="EF189" i="47"/>
  <c r="EC189" i="47"/>
  <c r="DZ189" i="47"/>
  <c r="DW189" i="47"/>
  <c r="DT189" i="47"/>
  <c r="IX188" i="47"/>
  <c r="IW188" i="47"/>
  <c r="HF188" i="47"/>
  <c r="HC188" i="47"/>
  <c r="GZ188" i="47"/>
  <c r="GW188" i="47"/>
  <c r="GT188" i="47"/>
  <c r="GQ188" i="47"/>
  <c r="GN188" i="47"/>
  <c r="GK188" i="47"/>
  <c r="GH188" i="47"/>
  <c r="GE188" i="47"/>
  <c r="GB188" i="47"/>
  <c r="FY188" i="47"/>
  <c r="FV188" i="47"/>
  <c r="FS188" i="47"/>
  <c r="FP188" i="47"/>
  <c r="FM188" i="47"/>
  <c r="FJ188" i="47"/>
  <c r="FG188" i="47"/>
  <c r="FD188" i="47"/>
  <c r="FA188" i="47"/>
  <c r="EX188" i="47"/>
  <c r="EU188" i="47"/>
  <c r="ER188" i="47"/>
  <c r="EO188" i="47"/>
  <c r="EL188" i="47"/>
  <c r="EI188" i="47"/>
  <c r="EF188" i="47"/>
  <c r="EC188" i="47"/>
  <c r="DZ188" i="47"/>
  <c r="DW188" i="47"/>
  <c r="DT188" i="47"/>
  <c r="DQ188" i="47"/>
  <c r="DN188" i="47"/>
  <c r="DK188" i="47"/>
  <c r="DH188" i="47"/>
  <c r="DE188" i="47"/>
  <c r="DB188" i="47"/>
  <c r="CY188" i="47"/>
  <c r="CV188" i="47"/>
  <c r="CS188" i="47"/>
  <c r="CP188" i="47"/>
  <c r="CM188" i="47"/>
  <c r="CJ188" i="47"/>
  <c r="CG188" i="47"/>
  <c r="CD188" i="47"/>
  <c r="CA188" i="47"/>
  <c r="BX188" i="47"/>
  <c r="BU188" i="47"/>
  <c r="BR188" i="47"/>
  <c r="BO188" i="47"/>
  <c r="BL188" i="47"/>
  <c r="BI188" i="47"/>
  <c r="BF188" i="47"/>
  <c r="BC188" i="47"/>
  <c r="AZ188" i="47"/>
  <c r="AW188" i="47"/>
  <c r="AT188" i="47"/>
  <c r="AQ188" i="47"/>
  <c r="AN188" i="47"/>
  <c r="AK188" i="47"/>
  <c r="AH188" i="47"/>
  <c r="AE188" i="47"/>
  <c r="AB188" i="47"/>
  <c r="Y188" i="47"/>
  <c r="V188" i="47"/>
  <c r="S188" i="47"/>
  <c r="P188" i="47"/>
  <c r="M188" i="47"/>
  <c r="J188" i="47"/>
  <c r="IX187" i="47"/>
  <c r="IW187" i="47"/>
  <c r="IX186" i="47"/>
  <c r="IW186" i="47"/>
  <c r="DT186" i="47"/>
  <c r="DS186" i="47"/>
  <c r="IX185" i="47"/>
  <c r="IW185" i="47"/>
  <c r="IX184" i="47"/>
  <c r="IW184" i="47"/>
  <c r="IX183" i="47"/>
  <c r="IW183" i="47"/>
  <c r="HF183" i="47"/>
  <c r="HC183" i="47"/>
  <c r="GZ183" i="47"/>
  <c r="GW183" i="47"/>
  <c r="GT183" i="47"/>
  <c r="GQ183" i="47"/>
  <c r="GN183" i="47"/>
  <c r="GK183" i="47"/>
  <c r="GH183" i="47"/>
  <c r="GE183" i="47"/>
  <c r="GB183" i="47"/>
  <c r="FY183" i="47"/>
  <c r="FV183" i="47"/>
  <c r="FS183" i="47"/>
  <c r="FP183" i="47"/>
  <c r="FM183" i="47"/>
  <c r="FJ183" i="47"/>
  <c r="FG183" i="47"/>
  <c r="FD183" i="47"/>
  <c r="FA183" i="47"/>
  <c r="EX183" i="47"/>
  <c r="EU183" i="47"/>
  <c r="ER183" i="47"/>
  <c r="EO183" i="47"/>
  <c r="EL183" i="47"/>
  <c r="EI183" i="47"/>
  <c r="EF183" i="47"/>
  <c r="EC183" i="47"/>
  <c r="DZ183" i="47"/>
  <c r="DW183" i="47"/>
  <c r="DT183" i="47"/>
  <c r="DQ183" i="47"/>
  <c r="DP183" i="47"/>
  <c r="DG183" i="47"/>
  <c r="CJ183" i="47"/>
  <c r="CI183" i="47"/>
  <c r="IX182" i="47"/>
  <c r="IW182" i="47"/>
  <c r="HF182" i="47"/>
  <c r="HC182" i="47"/>
  <c r="GZ182" i="47"/>
  <c r="GW182" i="47"/>
  <c r="GT182" i="47"/>
  <c r="GQ182" i="47"/>
  <c r="GN182" i="47"/>
  <c r="GK182" i="47"/>
  <c r="GH182" i="47"/>
  <c r="GE182" i="47"/>
  <c r="GB182" i="47"/>
  <c r="FY182" i="47"/>
  <c r="FV182" i="47"/>
  <c r="FS182" i="47"/>
  <c r="FP182" i="47"/>
  <c r="FM182" i="47"/>
  <c r="FJ182" i="47"/>
  <c r="FG182" i="47"/>
  <c r="FD182" i="47"/>
  <c r="FA182" i="47"/>
  <c r="EX182" i="47"/>
  <c r="EU182" i="47"/>
  <c r="ER182" i="47"/>
  <c r="EO182" i="47"/>
  <c r="EL182" i="47"/>
  <c r="EI182" i="47"/>
  <c r="EF182" i="47"/>
  <c r="EC182" i="47"/>
  <c r="DZ182" i="47"/>
  <c r="DW182" i="47"/>
  <c r="DT182" i="47"/>
  <c r="DQ182" i="47"/>
  <c r="DN182" i="47"/>
  <c r="DK182" i="47"/>
  <c r="DH182" i="47"/>
  <c r="DE182" i="47"/>
  <c r="DB182" i="47"/>
  <c r="CY182" i="47"/>
  <c r="CV182" i="47"/>
  <c r="CS182" i="47"/>
  <c r="CP182" i="47"/>
  <c r="CM182" i="47"/>
  <c r="CJ182" i="47"/>
  <c r="CG182" i="47"/>
  <c r="CD182" i="47"/>
  <c r="CA182" i="47"/>
  <c r="BX182" i="47"/>
  <c r="BU182" i="47"/>
  <c r="BR182" i="47"/>
  <c r="BO182" i="47"/>
  <c r="BL182" i="47"/>
  <c r="BI182" i="47"/>
  <c r="BF182" i="47"/>
  <c r="BC182" i="47"/>
  <c r="AZ182" i="47"/>
  <c r="AW182" i="47"/>
  <c r="AT182" i="47"/>
  <c r="AQ182" i="47"/>
  <c r="AN182" i="47"/>
  <c r="AK182" i="47"/>
  <c r="AH182" i="47"/>
  <c r="AE182" i="47"/>
  <c r="AB182" i="47"/>
  <c r="Y182" i="47"/>
  <c r="V182" i="47"/>
  <c r="S182" i="47"/>
  <c r="P182" i="47"/>
  <c r="M182" i="47"/>
  <c r="J182" i="47"/>
  <c r="I182" i="47"/>
  <c r="IX181" i="47"/>
  <c r="IW181" i="47"/>
  <c r="IX180" i="47"/>
  <c r="IW180" i="47"/>
  <c r="HF180" i="47"/>
  <c r="HC180" i="47"/>
  <c r="GZ180" i="47"/>
  <c r="GW180" i="47"/>
  <c r="GT180" i="47"/>
  <c r="GQ180" i="47"/>
  <c r="GN180" i="47"/>
  <c r="GK180" i="47"/>
  <c r="GH180" i="47"/>
  <c r="GE180" i="47"/>
  <c r="GB180" i="47"/>
  <c r="FY180" i="47"/>
  <c r="FV180" i="47"/>
  <c r="FS180" i="47"/>
  <c r="FP180" i="47"/>
  <c r="FM180" i="47"/>
  <c r="FJ180" i="47"/>
  <c r="FG180" i="47"/>
  <c r="FD180" i="47"/>
  <c r="FA180" i="47"/>
  <c r="EX180" i="47"/>
  <c r="EU180" i="47"/>
  <c r="ER180" i="47"/>
  <c r="EO180" i="47"/>
  <c r="EL180" i="47"/>
  <c r="EI180" i="47"/>
  <c r="EF180" i="47"/>
  <c r="EC180" i="47"/>
  <c r="DZ180" i="47"/>
  <c r="DW180" i="47"/>
  <c r="DT180" i="47"/>
  <c r="DQ180" i="47"/>
  <c r="DN180" i="47"/>
  <c r="DK180" i="47"/>
  <c r="DH180" i="47"/>
  <c r="DE180" i="47"/>
  <c r="DD180" i="47"/>
  <c r="BF180" i="47"/>
  <c r="BE180" i="47"/>
  <c r="IX179" i="47"/>
  <c r="IW179" i="47"/>
  <c r="AS179" i="47"/>
  <c r="IX178" i="47"/>
  <c r="IW178" i="47"/>
  <c r="DE178" i="47"/>
  <c r="DD178" i="47"/>
  <c r="CX178" i="47"/>
  <c r="IX177" i="47"/>
  <c r="IY177" i="47" s="1"/>
  <c r="IW177" i="47"/>
  <c r="AS177" i="47"/>
  <c r="IY176" i="47"/>
  <c r="IX176" i="47"/>
  <c r="IW176" i="47"/>
  <c r="HF176" i="47"/>
  <c r="HC176" i="47"/>
  <c r="GZ176" i="47"/>
  <c r="GW176" i="47"/>
  <c r="GT176" i="47"/>
  <c r="GQ176" i="47"/>
  <c r="GN176" i="47"/>
  <c r="GK176" i="47"/>
  <c r="GH176" i="47"/>
  <c r="GE176" i="47"/>
  <c r="GB176" i="47"/>
  <c r="FY176" i="47"/>
  <c r="FV176" i="47"/>
  <c r="FS176" i="47"/>
  <c r="FP176" i="47"/>
  <c r="FM176" i="47"/>
  <c r="IX175" i="47"/>
  <c r="IY175" i="47" s="1"/>
  <c r="IW175" i="47"/>
  <c r="HY175" i="47" s="1"/>
  <c r="HF175" i="47"/>
  <c r="HC175" i="47"/>
  <c r="GZ175" i="47"/>
  <c r="GW175" i="47"/>
  <c r="GT175" i="47"/>
  <c r="GQ175" i="47"/>
  <c r="GN175" i="47"/>
  <c r="IY174" i="47"/>
  <c r="IX174" i="47"/>
  <c r="IW174" i="47"/>
  <c r="HY174" i="47"/>
  <c r="HF174" i="47"/>
  <c r="HC174" i="47"/>
  <c r="GZ174" i="47"/>
  <c r="GW174" i="47"/>
  <c r="GT174" i="47"/>
  <c r="GQ174" i="47"/>
  <c r="GN174" i="47"/>
  <c r="GK174" i="47"/>
  <c r="GH174" i="47"/>
  <c r="GE174" i="47"/>
  <c r="GB174" i="47"/>
  <c r="FY174" i="47"/>
  <c r="FV174" i="47"/>
  <c r="FS174" i="47"/>
  <c r="FP174" i="47"/>
  <c r="FM174" i="47"/>
  <c r="FJ174" i="47"/>
  <c r="FG174" i="47"/>
  <c r="FD174" i="47"/>
  <c r="FA174" i="47"/>
  <c r="EX174" i="47"/>
  <c r="EU174" i="47"/>
  <c r="ER174" i="47"/>
  <c r="EO174" i="47"/>
  <c r="EL174" i="47"/>
  <c r="EI174" i="47"/>
  <c r="EF174" i="47"/>
  <c r="EC174" i="47"/>
  <c r="DZ174" i="47"/>
  <c r="DW174" i="47"/>
  <c r="DT174" i="47"/>
  <c r="DQ174" i="47"/>
  <c r="DN174" i="47"/>
  <c r="DK174" i="47"/>
  <c r="DH174" i="47"/>
  <c r="DE174" i="47"/>
  <c r="DB174" i="47"/>
  <c r="CY174" i="47"/>
  <c r="CV174" i="47"/>
  <c r="CS174" i="47"/>
  <c r="CP174" i="47"/>
  <c r="CM174" i="47"/>
  <c r="CJ174" i="47"/>
  <c r="CG174" i="47"/>
  <c r="CD174" i="47"/>
  <c r="CA174" i="47"/>
  <c r="BX174" i="47"/>
  <c r="BU174" i="47"/>
  <c r="BR174" i="47"/>
  <c r="BO174" i="47"/>
  <c r="BL174" i="47"/>
  <c r="BI174" i="47"/>
  <c r="BF174" i="47"/>
  <c r="BC174" i="47"/>
  <c r="AZ174" i="47"/>
  <c r="AW174" i="47"/>
  <c r="AT174" i="47"/>
  <c r="AQ174" i="47"/>
  <c r="AN174" i="47"/>
  <c r="AK174" i="47"/>
  <c r="AH174" i="47"/>
  <c r="AE174" i="47"/>
  <c r="AB174" i="47"/>
  <c r="Y174" i="47"/>
  <c r="V174" i="47"/>
  <c r="S174" i="47"/>
  <c r="P174" i="47"/>
  <c r="M174" i="47"/>
  <c r="J174" i="47"/>
  <c r="IX173" i="47"/>
  <c r="IY173" i="47" s="1"/>
  <c r="IW173" i="47"/>
  <c r="IX172" i="47"/>
  <c r="IY172" i="47" s="1"/>
  <c r="IW172" i="47"/>
  <c r="HF172" i="47"/>
  <c r="HC172" i="47"/>
  <c r="GZ172" i="47"/>
  <c r="GW172" i="47"/>
  <c r="GT172" i="47"/>
  <c r="GQ172" i="47"/>
  <c r="GN172" i="47"/>
  <c r="GK172" i="47"/>
  <c r="GH172" i="47"/>
  <c r="GE172" i="47"/>
  <c r="IY171" i="47"/>
  <c r="IX171" i="47"/>
  <c r="IW171" i="47"/>
  <c r="HF171" i="47"/>
  <c r="HC171" i="47"/>
  <c r="GZ171" i="47"/>
  <c r="GW171" i="47"/>
  <c r="IY170" i="47"/>
  <c r="IX170" i="47"/>
  <c r="IW170" i="47"/>
  <c r="AS170" i="47"/>
  <c r="IX169" i="47"/>
  <c r="IY169" i="47" s="1"/>
  <c r="IW169" i="47"/>
  <c r="HY169" i="47" s="1"/>
  <c r="HY12" i="47" s="1"/>
  <c r="IX168" i="47"/>
  <c r="IY168" i="47" s="1"/>
  <c r="IW168" i="47"/>
  <c r="HY168" i="47"/>
  <c r="IY167" i="47"/>
  <c r="IX167" i="47"/>
  <c r="IW167" i="47"/>
  <c r="AS167" i="47"/>
  <c r="D167" i="47"/>
  <c r="A167" i="47"/>
  <c r="IY166" i="47"/>
  <c r="IX166" i="47"/>
  <c r="IW166" i="47"/>
  <c r="HF166" i="47"/>
  <c r="HC166" i="47"/>
  <c r="GZ166" i="47"/>
  <c r="GW166" i="47"/>
  <c r="GT166" i="47"/>
  <c r="GQ166" i="47"/>
  <c r="GN166" i="47"/>
  <c r="GK166" i="47"/>
  <c r="GH166" i="47"/>
  <c r="GE166" i="47"/>
  <c r="GB166" i="47"/>
  <c r="FY166" i="47"/>
  <c r="FV166" i="47"/>
  <c r="FS166" i="47"/>
  <c r="FP166" i="47"/>
  <c r="FM166" i="47"/>
  <c r="FJ166" i="47"/>
  <c r="FG166" i="47"/>
  <c r="FD166" i="47"/>
  <c r="FA166" i="47"/>
  <c r="EX166" i="47"/>
  <c r="EU166" i="47"/>
  <c r="ER166" i="47"/>
  <c r="EO166" i="47"/>
  <c r="EL166" i="47"/>
  <c r="EI166" i="47"/>
  <c r="EF166" i="47"/>
  <c r="EC166" i="47"/>
  <c r="DZ166" i="47"/>
  <c r="DW166" i="47"/>
  <c r="DT166" i="47"/>
  <c r="DQ166" i="47"/>
  <c r="DN166" i="47"/>
  <c r="DK166" i="47"/>
  <c r="DH166" i="47"/>
  <c r="DE166" i="47"/>
  <c r="DB166" i="47"/>
  <c r="CY166" i="47"/>
  <c r="CV166" i="47"/>
  <c r="CS166" i="47"/>
  <c r="CP166" i="47"/>
  <c r="CM166" i="47"/>
  <c r="CJ166" i="47"/>
  <c r="CG166" i="47"/>
  <c r="CD166" i="47"/>
  <c r="CA166" i="47"/>
  <c r="BX166" i="47"/>
  <c r="BU166" i="47"/>
  <c r="BR166" i="47"/>
  <c r="BO166" i="47"/>
  <c r="BL166" i="47"/>
  <c r="BI166" i="47"/>
  <c r="BF166" i="47"/>
  <c r="BC166" i="47"/>
  <c r="AZ166" i="47"/>
  <c r="AW166" i="47"/>
  <c r="AT166" i="47"/>
  <c r="AQ166" i="47"/>
  <c r="AN166" i="47"/>
  <c r="AK166" i="47"/>
  <c r="AH166" i="47"/>
  <c r="AE166" i="47"/>
  <c r="AB166" i="47"/>
  <c r="Y166" i="47"/>
  <c r="V166" i="47"/>
  <c r="S166" i="47"/>
  <c r="P166" i="47"/>
  <c r="M166" i="47"/>
  <c r="J166" i="47"/>
  <c r="A166" i="47"/>
  <c r="IX165" i="47"/>
  <c r="IY165" i="47" s="1"/>
  <c r="IW165" i="47"/>
  <c r="HF165" i="47"/>
  <c r="HC165" i="47"/>
  <c r="GZ165" i="47"/>
  <c r="GW165" i="47"/>
  <c r="GT165" i="47"/>
  <c r="GQ165" i="47"/>
  <c r="GN165" i="47"/>
  <c r="GK165" i="47"/>
  <c r="GH165" i="47"/>
  <c r="GE165" i="47"/>
  <c r="GB165" i="47"/>
  <c r="FY165" i="47"/>
  <c r="FV165" i="47"/>
  <c r="FS165" i="47"/>
  <c r="FP165" i="47"/>
  <c r="FM165" i="47"/>
  <c r="FJ165" i="47"/>
  <c r="FG165" i="47"/>
  <c r="FD165" i="47"/>
  <c r="FA165" i="47"/>
  <c r="EX165" i="47"/>
  <c r="EU165" i="47"/>
  <c r="ER165" i="47"/>
  <c r="EO165" i="47"/>
  <c r="EL165" i="47"/>
  <c r="IX164" i="47"/>
  <c r="IY164" i="47" s="1"/>
  <c r="IW164" i="47"/>
  <c r="AS164" i="47"/>
  <c r="IY163" i="47"/>
  <c r="IX163" i="47"/>
  <c r="IW163" i="47"/>
  <c r="IY162" i="47"/>
  <c r="IX162" i="47"/>
  <c r="IW162" i="47"/>
  <c r="HF162" i="47"/>
  <c r="HC162" i="47"/>
  <c r="GZ162" i="47"/>
  <c r="GW162" i="47"/>
  <c r="IX161" i="47"/>
  <c r="IY161" i="47" s="1"/>
  <c r="IW161" i="47"/>
  <c r="HF161" i="47"/>
  <c r="HC161" i="47"/>
  <c r="GZ161" i="47"/>
  <c r="GW161" i="47"/>
  <c r="GT161" i="47"/>
  <c r="GQ161" i="47"/>
  <c r="GN161" i="47"/>
  <c r="GK161" i="47"/>
  <c r="GH161" i="47"/>
  <c r="GE161" i="47"/>
  <c r="GB161" i="47"/>
  <c r="FY161" i="47"/>
  <c r="FV161" i="47"/>
  <c r="FS161" i="47"/>
  <c r="FP161" i="47"/>
  <c r="FM161" i="47"/>
  <c r="FJ161" i="47"/>
  <c r="FG161" i="47"/>
  <c r="FD161" i="47"/>
  <c r="FA161" i="47"/>
  <c r="EX161" i="47"/>
  <c r="EU161" i="47"/>
  <c r="ER161" i="47"/>
  <c r="EO161" i="47"/>
  <c r="EL161" i="47"/>
  <c r="EI161" i="47"/>
  <c r="EF161" i="47"/>
  <c r="EC161" i="47"/>
  <c r="DZ161" i="47"/>
  <c r="DW161" i="47"/>
  <c r="DT161" i="47"/>
  <c r="DQ161" i="47"/>
  <c r="DN161" i="47"/>
  <c r="DK161" i="47"/>
  <c r="DH161" i="47"/>
  <c r="DE161" i="47"/>
  <c r="DB161" i="47"/>
  <c r="CY161" i="47"/>
  <c r="CV161" i="47"/>
  <c r="CS161" i="47"/>
  <c r="CP161" i="47"/>
  <c r="CM161" i="47"/>
  <c r="CJ161" i="47"/>
  <c r="CG161" i="47"/>
  <c r="CD161" i="47"/>
  <c r="CA161" i="47"/>
  <c r="BX161" i="47"/>
  <c r="BU161" i="47"/>
  <c r="BR161" i="47"/>
  <c r="BO161" i="47"/>
  <c r="BL161" i="47"/>
  <c r="BI161" i="47"/>
  <c r="BF161" i="47"/>
  <c r="BC161" i="47"/>
  <c r="AZ161" i="47"/>
  <c r="AW161" i="47"/>
  <c r="AT161" i="47"/>
  <c r="AQ161" i="47"/>
  <c r="AN161" i="47"/>
  <c r="AK161" i="47"/>
  <c r="AH161" i="47"/>
  <c r="AE161" i="47"/>
  <c r="AB161" i="47"/>
  <c r="Y161" i="47"/>
  <c r="V161" i="47"/>
  <c r="S161" i="47"/>
  <c r="P161" i="47"/>
  <c r="M161" i="47"/>
  <c r="J161" i="47"/>
  <c r="IX160" i="47"/>
  <c r="IY160" i="47" s="1"/>
  <c r="IW160" i="47"/>
  <c r="HF160" i="47"/>
  <c r="HC160" i="47"/>
  <c r="GZ160" i="47"/>
  <c r="GW160" i="47"/>
  <c r="GT160" i="47"/>
  <c r="GQ160" i="47"/>
  <c r="GN160" i="47"/>
  <c r="GK160" i="47"/>
  <c r="GH160" i="47"/>
  <c r="GE160" i="47"/>
  <c r="GB160" i="47"/>
  <c r="FY160" i="47"/>
  <c r="FV160" i="47"/>
  <c r="FS160" i="47"/>
  <c r="FP160" i="47"/>
  <c r="FM160" i="47"/>
  <c r="FJ160" i="47"/>
  <c r="FG160" i="47"/>
  <c r="FD160" i="47"/>
  <c r="FA160" i="47"/>
  <c r="EX160" i="47"/>
  <c r="EU160" i="47"/>
  <c r="ER160" i="47"/>
  <c r="EO160" i="47"/>
  <c r="EL160" i="47"/>
  <c r="EI160" i="47"/>
  <c r="EF160" i="47"/>
  <c r="EC160" i="47"/>
  <c r="DZ160" i="47"/>
  <c r="DW160" i="47"/>
  <c r="DT160" i="47"/>
  <c r="DQ160" i="47"/>
  <c r="DN160" i="47"/>
  <c r="DK160" i="47"/>
  <c r="DH160" i="47"/>
  <c r="DE160" i="47"/>
  <c r="DB160" i="47"/>
  <c r="CY160" i="47"/>
  <c r="CV160" i="47"/>
  <c r="CS160" i="47"/>
  <c r="CP160" i="47"/>
  <c r="CM160" i="47"/>
  <c r="CJ160" i="47"/>
  <c r="CG160" i="47"/>
  <c r="CD160" i="47"/>
  <c r="CA160" i="47"/>
  <c r="BX160" i="47"/>
  <c r="BU160" i="47"/>
  <c r="BR160" i="47"/>
  <c r="BO160" i="47"/>
  <c r="BL160" i="47"/>
  <c r="BI160" i="47"/>
  <c r="BF160" i="47"/>
  <c r="BC160" i="47"/>
  <c r="AZ160" i="47"/>
  <c r="AW160" i="47"/>
  <c r="AT160" i="47"/>
  <c r="AQ160" i="47"/>
  <c r="AN160" i="47"/>
  <c r="AK160" i="47"/>
  <c r="AH160" i="47"/>
  <c r="AE160" i="47"/>
  <c r="AB160" i="47"/>
  <c r="Y160" i="47"/>
  <c r="V160" i="47"/>
  <c r="S160" i="47"/>
  <c r="P160" i="47"/>
  <c r="M160" i="47"/>
  <c r="J160" i="47"/>
  <c r="I160" i="47"/>
  <c r="IX159" i="47"/>
  <c r="IY159" i="47" s="1"/>
  <c r="IW159" i="47"/>
  <c r="IY158" i="47"/>
  <c r="IX158" i="47"/>
  <c r="IW158" i="47"/>
  <c r="GW158" i="47"/>
  <c r="IX157" i="47"/>
  <c r="IW157" i="47"/>
  <c r="IY157" i="47" s="1"/>
  <c r="HF157" i="47"/>
  <c r="HC157" i="47"/>
  <c r="GZ157" i="47"/>
  <c r="GW157" i="47"/>
  <c r="GT157" i="47"/>
  <c r="GQ157" i="47"/>
  <c r="GN157" i="47"/>
  <c r="GK157" i="47"/>
  <c r="GH157" i="47"/>
  <c r="GE157" i="47"/>
  <c r="GB157" i="47"/>
  <c r="FY157" i="47"/>
  <c r="FV157" i="47"/>
  <c r="FS157" i="47"/>
  <c r="FP157" i="47"/>
  <c r="FM157" i="47"/>
  <c r="FJ157" i="47"/>
  <c r="FG157" i="47"/>
  <c r="FD157" i="47"/>
  <c r="FA157" i="47"/>
  <c r="EX157" i="47"/>
  <c r="EU157" i="47"/>
  <c r="ER157" i="47"/>
  <c r="EO157" i="47"/>
  <c r="EL157" i="47"/>
  <c r="EI157" i="47"/>
  <c r="EF157" i="47"/>
  <c r="EC157" i="47"/>
  <c r="DZ157" i="47"/>
  <c r="DW157" i="47"/>
  <c r="DT157" i="47"/>
  <c r="DQ157" i="47"/>
  <c r="DN157" i="47"/>
  <c r="DK157" i="47"/>
  <c r="DH157" i="47"/>
  <c r="DE157" i="47"/>
  <c r="DB157" i="47"/>
  <c r="CY157" i="47"/>
  <c r="CV157" i="47"/>
  <c r="CS157" i="47"/>
  <c r="CP157" i="47"/>
  <c r="CM157" i="47"/>
  <c r="CJ157" i="47"/>
  <c r="CG157" i="47"/>
  <c r="CD157" i="47"/>
  <c r="CA157" i="47"/>
  <c r="BX157" i="47"/>
  <c r="BU157" i="47"/>
  <c r="BR157" i="47"/>
  <c r="BO157" i="47"/>
  <c r="BL157" i="47"/>
  <c r="BI157" i="47"/>
  <c r="BF157" i="47"/>
  <c r="BC157" i="47"/>
  <c r="BB157" i="47"/>
  <c r="AZ157" i="47"/>
  <c r="AW157" i="47"/>
  <c r="AT157" i="47"/>
  <c r="AQ157" i="47"/>
  <c r="AN157" i="47"/>
  <c r="AK157" i="47"/>
  <c r="AH157" i="47"/>
  <c r="AE157" i="47"/>
  <c r="AB157" i="47"/>
  <c r="Y157" i="47"/>
  <c r="V157" i="47"/>
  <c r="S157" i="47"/>
  <c r="P157" i="47"/>
  <c r="M157" i="47"/>
  <c r="J157" i="47"/>
  <c r="IX156" i="47"/>
  <c r="IY156" i="47" s="1"/>
  <c r="IW156" i="47"/>
  <c r="DQ156" i="47"/>
  <c r="DP156" i="47"/>
  <c r="IY155" i="47"/>
  <c r="IX155" i="47"/>
  <c r="IW155" i="47"/>
  <c r="HF155" i="47"/>
  <c r="HC155" i="47"/>
  <c r="GZ155" i="47"/>
  <c r="GW155" i="47"/>
  <c r="GT155" i="47"/>
  <c r="GQ155" i="47"/>
  <c r="GN155" i="47"/>
  <c r="GK155" i="47"/>
  <c r="GH155" i="47"/>
  <c r="GE155" i="47"/>
  <c r="GB155" i="47"/>
  <c r="FY155" i="47"/>
  <c r="FV155" i="47"/>
  <c r="FS155" i="47"/>
  <c r="FP155" i="47"/>
  <c r="FM155" i="47"/>
  <c r="FJ155" i="47"/>
  <c r="FG155" i="47"/>
  <c r="FD155" i="47"/>
  <c r="FA155" i="47"/>
  <c r="EX155" i="47"/>
  <c r="EU155" i="47"/>
  <c r="ER155" i="47"/>
  <c r="EO155" i="47"/>
  <c r="EL155" i="47"/>
  <c r="EI155" i="47"/>
  <c r="EF155" i="47"/>
  <c r="EC155" i="47"/>
  <c r="DZ155" i="47"/>
  <c r="DW155" i="47"/>
  <c r="DT155" i="47"/>
  <c r="DQ155" i="47"/>
  <c r="DN155" i="47"/>
  <c r="DK155" i="47"/>
  <c r="DH155" i="47"/>
  <c r="DE155" i="47"/>
  <c r="DB155" i="47"/>
  <c r="CY155" i="47"/>
  <c r="CV155" i="47"/>
  <c r="CS155" i="47"/>
  <c r="CP155" i="47"/>
  <c r="CM155" i="47"/>
  <c r="CJ155" i="47"/>
  <c r="CG155" i="47"/>
  <c r="CD155" i="47"/>
  <c r="CA155" i="47"/>
  <c r="BX155" i="47"/>
  <c r="BU155" i="47"/>
  <c r="BR155" i="47"/>
  <c r="BO155" i="47"/>
  <c r="BL155" i="47"/>
  <c r="BI155" i="47"/>
  <c r="BF155" i="47"/>
  <c r="BC155" i="47"/>
  <c r="AZ155" i="47"/>
  <c r="AW155" i="47"/>
  <c r="AT155" i="47"/>
  <c r="AQ155" i="47"/>
  <c r="AN155" i="47"/>
  <c r="AK155" i="47"/>
  <c r="AH155" i="47"/>
  <c r="AE155" i="47"/>
  <c r="AB155" i="47"/>
  <c r="Y155" i="47"/>
  <c r="V155" i="47"/>
  <c r="S155" i="47"/>
  <c r="P155" i="47"/>
  <c r="M155" i="47"/>
  <c r="J155" i="47"/>
  <c r="IY154" i="47"/>
  <c r="IX154" i="47"/>
  <c r="IW154" i="47"/>
  <c r="HF154" i="47"/>
  <c r="HC154" i="47"/>
  <c r="GZ154" i="47"/>
  <c r="GW154" i="47"/>
  <c r="GT154" i="47"/>
  <c r="GQ154" i="47"/>
  <c r="GN154" i="47"/>
  <c r="GM154" i="47"/>
  <c r="IX153" i="47"/>
  <c r="IY153" i="47" s="1"/>
  <c r="IW153" i="47"/>
  <c r="IY152" i="47"/>
  <c r="IX152" i="47"/>
  <c r="IW152" i="47"/>
  <c r="IX151" i="47"/>
  <c r="IY151" i="47" s="1"/>
  <c r="IW151" i="47"/>
  <c r="HF151" i="47"/>
  <c r="HC151" i="47"/>
  <c r="GZ151" i="47"/>
  <c r="GW151" i="47"/>
  <c r="GT151" i="47"/>
  <c r="GQ151" i="47"/>
  <c r="GN151" i="47"/>
  <c r="GK151" i="47"/>
  <c r="GH151" i="47"/>
  <c r="GE151" i="47"/>
  <c r="IX150" i="47"/>
  <c r="IW150" i="47"/>
  <c r="IY150" i="47" s="1"/>
  <c r="IY149" i="47"/>
  <c r="IX149" i="47"/>
  <c r="IW149" i="47"/>
  <c r="HF149" i="47"/>
  <c r="HC149" i="47"/>
  <c r="GZ149" i="47"/>
  <c r="GW149" i="47"/>
  <c r="GT149" i="47"/>
  <c r="GQ149" i="47"/>
  <c r="GN149" i="47"/>
  <c r="GK149" i="47"/>
  <c r="GH149" i="47"/>
  <c r="GE149" i="47"/>
  <c r="GB149" i="47"/>
  <c r="FY149" i="47"/>
  <c r="FV149" i="47"/>
  <c r="FS149" i="47"/>
  <c r="FP149" i="47"/>
  <c r="FM149" i="47"/>
  <c r="FJ149" i="47"/>
  <c r="FG149" i="47"/>
  <c r="FD149" i="47"/>
  <c r="FA149" i="47"/>
  <c r="EX149" i="47"/>
  <c r="EU149" i="47"/>
  <c r="ER149" i="47"/>
  <c r="EO149" i="47"/>
  <c r="EL149" i="47"/>
  <c r="EI149" i="47"/>
  <c r="EF149" i="47"/>
  <c r="EC149" i="47"/>
  <c r="DZ149" i="47"/>
  <c r="DW149" i="47"/>
  <c r="DT149" i="47"/>
  <c r="DQ149" i="47"/>
  <c r="DN149" i="47"/>
  <c r="DK149" i="47"/>
  <c r="DH149" i="47"/>
  <c r="DE149" i="47"/>
  <c r="DB149" i="47"/>
  <c r="CY149" i="47"/>
  <c r="CV149" i="47"/>
  <c r="CS149" i="47"/>
  <c r="CP149" i="47"/>
  <c r="CM149" i="47"/>
  <c r="CJ149" i="47"/>
  <c r="CG149" i="47"/>
  <c r="CD149" i="47"/>
  <c r="CA149" i="47"/>
  <c r="BX149" i="47"/>
  <c r="BU149" i="47"/>
  <c r="BR149" i="47"/>
  <c r="BO149" i="47"/>
  <c r="BL149" i="47"/>
  <c r="BI149" i="47"/>
  <c r="BF149" i="47"/>
  <c r="BC149" i="47"/>
  <c r="AZ149" i="47"/>
  <c r="AW149" i="47"/>
  <c r="AT149" i="47"/>
  <c r="AQ149" i="47"/>
  <c r="AN149" i="47"/>
  <c r="AK149" i="47"/>
  <c r="AH149" i="47"/>
  <c r="AE149" i="47"/>
  <c r="AB149" i="47"/>
  <c r="Y149" i="47"/>
  <c r="V149" i="47"/>
  <c r="S149" i="47"/>
  <c r="P149" i="47"/>
  <c r="M149" i="47"/>
  <c r="J149" i="47"/>
  <c r="IY148" i="47"/>
  <c r="IX148" i="47"/>
  <c r="IW148" i="47"/>
  <c r="HF148" i="47"/>
  <c r="HC148" i="47"/>
  <c r="GZ148" i="47"/>
  <c r="GW148" i="47"/>
  <c r="GT148" i="47"/>
  <c r="GQ148" i="47"/>
  <c r="IX147" i="47"/>
  <c r="IW147" i="47"/>
  <c r="IY147" i="47" s="1"/>
  <c r="HF147" i="47"/>
  <c r="HC147" i="47"/>
  <c r="GZ147" i="47"/>
  <c r="GW147" i="47"/>
  <c r="IX146" i="47"/>
  <c r="IY146" i="47" s="1"/>
  <c r="IW146" i="47"/>
  <c r="HF146" i="47"/>
  <c r="HC146" i="47"/>
  <c r="GZ146" i="47"/>
  <c r="GW146" i="47"/>
  <c r="GT146" i="47"/>
  <c r="GQ146" i="47"/>
  <c r="GN146" i="47"/>
  <c r="GK146" i="47"/>
  <c r="GH146" i="47"/>
  <c r="GE146" i="47"/>
  <c r="GB146" i="47"/>
  <c r="FY146" i="47"/>
  <c r="FV146" i="47"/>
  <c r="FS146" i="47"/>
  <c r="FP146" i="47"/>
  <c r="FM146" i="47"/>
  <c r="FJ146" i="47"/>
  <c r="FG146" i="47"/>
  <c r="FD146" i="47"/>
  <c r="FA146" i="47"/>
  <c r="EX146" i="47"/>
  <c r="EU146" i="47"/>
  <c r="ER146" i="47"/>
  <c r="EO146" i="47"/>
  <c r="EL146" i="47"/>
  <c r="EI146" i="47"/>
  <c r="EF146" i="47"/>
  <c r="EC146" i="47"/>
  <c r="DZ146" i="47"/>
  <c r="DW146" i="47"/>
  <c r="DT146" i="47"/>
  <c r="DQ146" i="47"/>
  <c r="DN146" i="47"/>
  <c r="DK146" i="47"/>
  <c r="DH146" i="47"/>
  <c r="DE146" i="47"/>
  <c r="DB146" i="47"/>
  <c r="CY146" i="47"/>
  <c r="CV146" i="47"/>
  <c r="CS146" i="47"/>
  <c r="CP146" i="47"/>
  <c r="CM146" i="47"/>
  <c r="CJ146" i="47"/>
  <c r="CG146" i="47"/>
  <c r="CD146" i="47"/>
  <c r="CA146" i="47"/>
  <c r="BX146" i="47"/>
  <c r="BU146" i="47"/>
  <c r="BR146" i="47"/>
  <c r="BO146" i="47"/>
  <c r="BL146" i="47"/>
  <c r="BI146" i="47"/>
  <c r="BF146" i="47"/>
  <c r="BC146" i="47"/>
  <c r="AZ146" i="47"/>
  <c r="AW146" i="47"/>
  <c r="AT146" i="47"/>
  <c r="AQ146" i="47"/>
  <c r="AN146" i="47"/>
  <c r="AK146" i="47"/>
  <c r="AH146" i="47"/>
  <c r="AE146" i="47"/>
  <c r="AB146" i="47"/>
  <c r="Y146" i="47"/>
  <c r="V146" i="47"/>
  <c r="S146" i="47"/>
  <c r="P146" i="47"/>
  <c r="M146" i="47"/>
  <c r="J146" i="47"/>
  <c r="IX145" i="47"/>
  <c r="IY145" i="47" s="1"/>
  <c r="IW145" i="47"/>
  <c r="HF145" i="47"/>
  <c r="HC145" i="47"/>
  <c r="GZ145" i="47"/>
  <c r="GW145" i="47"/>
  <c r="GT145" i="47"/>
  <c r="GQ145" i="47"/>
  <c r="GN145" i="47"/>
  <c r="GK145" i="47"/>
  <c r="GH145" i="47"/>
  <c r="GE145" i="47"/>
  <c r="GB145" i="47"/>
  <c r="FY145" i="47"/>
  <c r="FV145" i="47"/>
  <c r="FS145" i="47"/>
  <c r="FP145" i="47"/>
  <c r="FM145" i="47"/>
  <c r="FJ145" i="47"/>
  <c r="FG145" i="47"/>
  <c r="FD145" i="47"/>
  <c r="FA145" i="47"/>
  <c r="EX145" i="47"/>
  <c r="EU145" i="47"/>
  <c r="ER145" i="47"/>
  <c r="EO145" i="47"/>
  <c r="EL145" i="47"/>
  <c r="EI145" i="47"/>
  <c r="EF145" i="47"/>
  <c r="EC145" i="47"/>
  <c r="DZ145" i="47"/>
  <c r="DW145" i="47"/>
  <c r="DV145" i="47"/>
  <c r="IX144" i="47"/>
  <c r="IY144" i="47" s="1"/>
  <c r="IW144" i="47"/>
  <c r="HF144" i="47"/>
  <c r="HC144" i="47"/>
  <c r="GZ144" i="47"/>
  <c r="GW144" i="47"/>
  <c r="GT144" i="47"/>
  <c r="GQ144" i="47"/>
  <c r="GN144" i="47"/>
  <c r="GK144" i="47"/>
  <c r="GH144" i="47"/>
  <c r="GE144" i="47"/>
  <c r="GB144" i="47"/>
  <c r="FY144" i="47"/>
  <c r="FV144" i="47"/>
  <c r="FS144" i="47"/>
  <c r="FP144" i="47"/>
  <c r="FM144" i="47"/>
  <c r="FJ144" i="47"/>
  <c r="FG144" i="47"/>
  <c r="FD144" i="47"/>
  <c r="FA144" i="47"/>
  <c r="EX144" i="47"/>
  <c r="EU144" i="47"/>
  <c r="ER144" i="47"/>
  <c r="EO144" i="47"/>
  <c r="EL144" i="47"/>
  <c r="EI144" i="47"/>
  <c r="EF144" i="47"/>
  <c r="EC144" i="47"/>
  <c r="DZ144" i="47"/>
  <c r="DW144" i="47"/>
  <c r="DT144" i="47"/>
  <c r="DQ144" i="47"/>
  <c r="DN144" i="47"/>
  <c r="DK144" i="47"/>
  <c r="DH144" i="47"/>
  <c r="DE144" i="47"/>
  <c r="DD144" i="47"/>
  <c r="IY143" i="47"/>
  <c r="IX143" i="47"/>
  <c r="IW143" i="47"/>
  <c r="AS143" i="47"/>
  <c r="IX142" i="47"/>
  <c r="IY142" i="47" s="1"/>
  <c r="IW142" i="47"/>
  <c r="HF142" i="47"/>
  <c r="HC142" i="47"/>
  <c r="GZ142" i="47"/>
  <c r="GW142" i="47"/>
  <c r="GT142" i="47"/>
  <c r="GQ142" i="47"/>
  <c r="GN142" i="47"/>
  <c r="GK142" i="47"/>
  <c r="GH142" i="47"/>
  <c r="GE142" i="47"/>
  <c r="GB142" i="47"/>
  <c r="FY142" i="47"/>
  <c r="FV142" i="47"/>
  <c r="FS142" i="47"/>
  <c r="FP142" i="47"/>
  <c r="FM142" i="47"/>
  <c r="FJ142" i="47"/>
  <c r="FG142" i="47"/>
  <c r="FD142" i="47"/>
  <c r="FA142" i="47"/>
  <c r="EX142" i="47"/>
  <c r="EU142" i="47"/>
  <c r="ER142" i="47"/>
  <c r="EO142" i="47"/>
  <c r="EL142" i="47"/>
  <c r="EI142" i="47"/>
  <c r="EF142" i="47"/>
  <c r="EC142" i="47"/>
  <c r="DZ142" i="47"/>
  <c r="DW142" i="47"/>
  <c r="DT142" i="47"/>
  <c r="DQ142" i="47"/>
  <c r="DN142" i="47"/>
  <c r="DK142" i="47"/>
  <c r="DH142" i="47"/>
  <c r="DE142" i="47"/>
  <c r="DB142" i="47"/>
  <c r="CY142" i="47"/>
  <c r="CV142" i="47"/>
  <c r="CS142" i="47"/>
  <c r="CP142" i="47"/>
  <c r="CM142" i="47"/>
  <c r="CJ142" i="47"/>
  <c r="CG142" i="47"/>
  <c r="CD142" i="47"/>
  <c r="CA142" i="47"/>
  <c r="BX142" i="47"/>
  <c r="BU142" i="47"/>
  <c r="BR142" i="47"/>
  <c r="BO142" i="47"/>
  <c r="BL142" i="47"/>
  <c r="BI142" i="47"/>
  <c r="BF142" i="47"/>
  <c r="BC142" i="47"/>
  <c r="AZ142" i="47"/>
  <c r="AW142" i="47"/>
  <c r="AT142" i="47"/>
  <c r="AS142" i="47"/>
  <c r="AQ142" i="47"/>
  <c r="AN142" i="47"/>
  <c r="AK142" i="47"/>
  <c r="AH142" i="47"/>
  <c r="AE142" i="47"/>
  <c r="AB142" i="47"/>
  <c r="Y142" i="47"/>
  <c r="V142" i="47"/>
  <c r="S142" i="47"/>
  <c r="P142" i="47"/>
  <c r="M142" i="47"/>
  <c r="J142" i="47"/>
  <c r="IX141" i="47"/>
  <c r="IY141" i="47" s="1"/>
  <c r="IW141" i="47"/>
  <c r="AS141" i="47"/>
  <c r="Y141" i="47"/>
  <c r="X141" i="47"/>
  <c r="IY140" i="47"/>
  <c r="IX140" i="47"/>
  <c r="IW140" i="47"/>
  <c r="IX139" i="47"/>
  <c r="IY139" i="47" s="1"/>
  <c r="IW139" i="47"/>
  <c r="IX138" i="47"/>
  <c r="IY138" i="47" s="1"/>
  <c r="IW138" i="47"/>
  <c r="HF138" i="47"/>
  <c r="HC138" i="47"/>
  <c r="GZ138" i="47"/>
  <c r="GW138" i="47"/>
  <c r="GT138" i="47"/>
  <c r="GQ138" i="47"/>
  <c r="GN138" i="47"/>
  <c r="GK138" i="47"/>
  <c r="GH138" i="47"/>
  <c r="GE138" i="47"/>
  <c r="GB138" i="47"/>
  <c r="FY138" i="47"/>
  <c r="FV138" i="47"/>
  <c r="FS138" i="47"/>
  <c r="FP138" i="47"/>
  <c r="FM138" i="47"/>
  <c r="FJ138" i="47"/>
  <c r="FG138" i="47"/>
  <c r="FD138" i="47"/>
  <c r="FA138" i="47"/>
  <c r="EX138" i="47"/>
  <c r="EU138" i="47"/>
  <c r="ER138" i="47"/>
  <c r="EO138" i="47"/>
  <c r="EL138" i="47"/>
  <c r="EI138" i="47"/>
  <c r="EF138" i="47"/>
  <c r="EC138" i="47"/>
  <c r="DZ138" i="47"/>
  <c r="DW138" i="47"/>
  <c r="DT138" i="47"/>
  <c r="DQ138" i="47"/>
  <c r="DP138" i="47"/>
  <c r="IX137" i="47"/>
  <c r="IY137" i="47" s="1"/>
  <c r="IW137" i="47"/>
  <c r="EL137" i="47"/>
  <c r="EK137" i="47"/>
  <c r="IX136" i="47"/>
  <c r="IY136" i="47" s="1"/>
  <c r="IW136" i="47"/>
  <c r="HF136" i="47"/>
  <c r="HC136" i="47"/>
  <c r="GZ136" i="47"/>
  <c r="GW136" i="47"/>
  <c r="GT136" i="47"/>
  <c r="GQ136" i="47"/>
  <c r="GN136" i="47"/>
  <c r="GK136" i="47"/>
  <c r="GH136" i="47"/>
  <c r="GE136" i="47"/>
  <c r="GB136" i="47"/>
  <c r="FY136" i="47"/>
  <c r="DS136" i="47"/>
  <c r="AK136" i="47"/>
  <c r="AJ136" i="47"/>
  <c r="IX135" i="47"/>
  <c r="IY135" i="47" s="1"/>
  <c r="IW135" i="47"/>
  <c r="DE135" i="47"/>
  <c r="DD135" i="47"/>
  <c r="IY134" i="47"/>
  <c r="IX134" i="47"/>
  <c r="IW134" i="47"/>
  <c r="HT134" i="47"/>
  <c r="AH134" i="47"/>
  <c r="AG134" i="47"/>
  <c r="IX133" i="47"/>
  <c r="IW133" i="47"/>
  <c r="IY133" i="47" s="1"/>
  <c r="HF133" i="47"/>
  <c r="HC133" i="47"/>
  <c r="GZ133" i="47"/>
  <c r="GW133" i="47"/>
  <c r="GT133" i="47"/>
  <c r="GQ133" i="47"/>
  <c r="GN133" i="47"/>
  <c r="GK133" i="47"/>
  <c r="GH133" i="47"/>
  <c r="GE133" i="47"/>
  <c r="GB133" i="47"/>
  <c r="FY133" i="47"/>
  <c r="FV133" i="47"/>
  <c r="FS133" i="47"/>
  <c r="FP133" i="47"/>
  <c r="FM133" i="47"/>
  <c r="FJ133" i="47"/>
  <c r="FG133" i="47"/>
  <c r="FD133" i="47"/>
  <c r="FA133" i="47"/>
  <c r="EX133" i="47"/>
  <c r="EU133" i="47"/>
  <c r="ER133" i="47"/>
  <c r="EO133" i="47"/>
  <c r="EL133" i="47"/>
  <c r="EI133" i="47"/>
  <c r="EF133" i="47"/>
  <c r="EC133" i="47"/>
  <c r="DZ133" i="47"/>
  <c r="DW133" i="47"/>
  <c r="DV133" i="47"/>
  <c r="DT133" i="47"/>
  <c r="DQ133" i="47"/>
  <c r="DN133" i="47"/>
  <c r="DK133" i="47"/>
  <c r="DH133" i="47"/>
  <c r="DE133" i="47"/>
  <c r="DB133" i="47"/>
  <c r="CY133" i="47"/>
  <c r="CV133" i="47"/>
  <c r="CS133" i="47"/>
  <c r="CP133" i="47"/>
  <c r="CM133" i="47"/>
  <c r="CJ133" i="47"/>
  <c r="CG133" i="47"/>
  <c r="CD133" i="47"/>
  <c r="CA133" i="47"/>
  <c r="BX133" i="47"/>
  <c r="BU133" i="47"/>
  <c r="BR133" i="47"/>
  <c r="BO133" i="47"/>
  <c r="BL133" i="47"/>
  <c r="BI133" i="47"/>
  <c r="BF133" i="47"/>
  <c r="BC133" i="47"/>
  <c r="AZ133" i="47"/>
  <c r="AW133" i="47"/>
  <c r="AT133" i="47"/>
  <c r="AQ133" i="47"/>
  <c r="AN133" i="47"/>
  <c r="AK133" i="47"/>
  <c r="AH133" i="47"/>
  <c r="AE133" i="47"/>
  <c r="AB133" i="47"/>
  <c r="Y133" i="47"/>
  <c r="V133" i="47"/>
  <c r="S133" i="47"/>
  <c r="P133" i="47"/>
  <c r="M133" i="47"/>
  <c r="J133" i="47"/>
  <c r="D133" i="47"/>
  <c r="IX132" i="47"/>
  <c r="IY132" i="47" s="1"/>
  <c r="IW132" i="47"/>
  <c r="EL132" i="47"/>
  <c r="EK132" i="47"/>
  <c r="Y132" i="47"/>
  <c r="X132" i="47"/>
  <c r="IY131" i="47"/>
  <c r="IX131" i="47"/>
  <c r="IW131" i="47"/>
  <c r="HF131" i="47"/>
  <c r="HC131" i="47"/>
  <c r="GZ131" i="47"/>
  <c r="GW131" i="47"/>
  <c r="GT131" i="47"/>
  <c r="GQ131" i="47"/>
  <c r="GN131" i="47"/>
  <c r="GK131" i="47"/>
  <c r="GH131" i="47"/>
  <c r="GE131" i="47"/>
  <c r="GB131" i="47"/>
  <c r="FY131" i="47"/>
  <c r="FV131" i="47"/>
  <c r="FS131" i="47"/>
  <c r="FP131" i="47"/>
  <c r="FM131" i="47"/>
  <c r="FJ131" i="47"/>
  <c r="FG131" i="47"/>
  <c r="FD131" i="47"/>
  <c r="FA131" i="47"/>
  <c r="EX131" i="47"/>
  <c r="EU131" i="47"/>
  <c r="ER131" i="47"/>
  <c r="EO131" i="47"/>
  <c r="EL131" i="47"/>
  <c r="EI131" i="47"/>
  <c r="EF131" i="47"/>
  <c r="EC131" i="47"/>
  <c r="DZ131" i="47"/>
  <c r="DW131" i="47"/>
  <c r="DT131" i="47"/>
  <c r="DQ131" i="47"/>
  <c r="DN131" i="47"/>
  <c r="DK131" i="47"/>
  <c r="DH131" i="47"/>
  <c r="DE131" i="47"/>
  <c r="DB131" i="47"/>
  <c r="CY131" i="47"/>
  <c r="CV131" i="47"/>
  <c r="CS131" i="47"/>
  <c r="CP131" i="47"/>
  <c r="CM131" i="47"/>
  <c r="CJ131" i="47"/>
  <c r="CG131" i="47"/>
  <c r="CD131" i="47"/>
  <c r="CA131" i="47"/>
  <c r="BX131" i="47"/>
  <c r="BU131" i="47"/>
  <c r="BR131" i="47"/>
  <c r="BO131" i="47"/>
  <c r="BL131" i="47"/>
  <c r="BI131" i="47"/>
  <c r="BF131" i="47"/>
  <c r="BC131" i="47"/>
  <c r="AZ131" i="47"/>
  <c r="AW131" i="47"/>
  <c r="AT131" i="47"/>
  <c r="AQ131" i="47"/>
  <c r="AN131" i="47"/>
  <c r="AK131" i="47"/>
  <c r="AH131" i="47"/>
  <c r="AE131" i="47"/>
  <c r="AB131" i="47"/>
  <c r="Y131" i="47"/>
  <c r="V131" i="47"/>
  <c r="S131" i="47"/>
  <c r="P131" i="47"/>
  <c r="M131" i="47"/>
  <c r="J131" i="47"/>
  <c r="I131" i="47"/>
  <c r="IX130" i="47"/>
  <c r="IY130" i="47" s="1"/>
  <c r="IW130" i="47"/>
  <c r="AQ130" i="47"/>
  <c r="AP130" i="47"/>
  <c r="IY129" i="47"/>
  <c r="IX129" i="47"/>
  <c r="IW129" i="47"/>
  <c r="HF129" i="47"/>
  <c r="HC129" i="47"/>
  <c r="GZ129" i="47"/>
  <c r="GW129" i="47"/>
  <c r="GT129" i="47"/>
  <c r="GQ129" i="47"/>
  <c r="GN129" i="47"/>
  <c r="GK129" i="47"/>
  <c r="GH129" i="47"/>
  <c r="GE129" i="47"/>
  <c r="GB129" i="47"/>
  <c r="FY129" i="47"/>
  <c r="FV129" i="47"/>
  <c r="FS129" i="47"/>
  <c r="FP129" i="47"/>
  <c r="FM129" i="47"/>
  <c r="FJ129" i="47"/>
  <c r="FG129" i="47"/>
  <c r="FD129" i="47"/>
  <c r="FA129" i="47"/>
  <c r="EX129" i="47"/>
  <c r="EU129" i="47"/>
  <c r="ER129" i="47"/>
  <c r="EO129" i="47"/>
  <c r="EL129" i="47"/>
  <c r="EI129" i="47"/>
  <c r="EF129" i="47"/>
  <c r="EC129" i="47"/>
  <c r="DZ129" i="47"/>
  <c r="DW129" i="47"/>
  <c r="DT129" i="47"/>
  <c r="DQ129" i="47"/>
  <c r="DN129" i="47"/>
  <c r="DK129" i="47"/>
  <c r="DH129" i="47"/>
  <c r="DE129" i="47"/>
  <c r="DB129" i="47"/>
  <c r="CY129" i="47"/>
  <c r="CV129" i="47"/>
  <c r="CS129" i="47"/>
  <c r="CP129" i="47"/>
  <c r="CM129" i="47"/>
  <c r="CJ129" i="47"/>
  <c r="CG129" i="47"/>
  <c r="CD129" i="47"/>
  <c r="CA129" i="47"/>
  <c r="BX129" i="47"/>
  <c r="BU129" i="47"/>
  <c r="BR129" i="47"/>
  <c r="BO129" i="47"/>
  <c r="BL129" i="47"/>
  <c r="BI129" i="47"/>
  <c r="BF129" i="47"/>
  <c r="BC129" i="47"/>
  <c r="AZ129" i="47"/>
  <c r="AW129" i="47"/>
  <c r="AT129" i="47"/>
  <c r="AQ129" i="47"/>
  <c r="AN129" i="47"/>
  <c r="AK129" i="47"/>
  <c r="AH129" i="47"/>
  <c r="AE129" i="47"/>
  <c r="AB129" i="47"/>
  <c r="Y129" i="47"/>
  <c r="V129" i="47"/>
  <c r="S129" i="47"/>
  <c r="P129" i="47"/>
  <c r="M129" i="47"/>
  <c r="J129" i="47"/>
  <c r="IY128" i="47"/>
  <c r="IX128" i="47"/>
  <c r="IW128" i="47"/>
  <c r="S128" i="47"/>
  <c r="R128" i="47"/>
  <c r="IY127" i="47"/>
  <c r="IX127" i="47"/>
  <c r="IW127" i="47"/>
  <c r="HF127" i="47"/>
  <c r="HC127" i="47"/>
  <c r="GZ127" i="47"/>
  <c r="GW127" i="47"/>
  <c r="GT127" i="47"/>
  <c r="GQ127" i="47"/>
  <c r="GN127" i="47"/>
  <c r="GK127" i="47"/>
  <c r="GH127" i="47"/>
  <c r="GE127" i="47"/>
  <c r="GB127" i="47"/>
  <c r="FY127" i="47"/>
  <c r="FV127" i="47"/>
  <c r="FS127" i="47"/>
  <c r="FP127" i="47"/>
  <c r="FM127" i="47"/>
  <c r="FJ127" i="47"/>
  <c r="FG127" i="47"/>
  <c r="FD127" i="47"/>
  <c r="FA127" i="47"/>
  <c r="EX127" i="47"/>
  <c r="EU127" i="47"/>
  <c r="ER127" i="47"/>
  <c r="EO127" i="47"/>
  <c r="EL127" i="47"/>
  <c r="EI127" i="47"/>
  <c r="EF127" i="47"/>
  <c r="EE127" i="47"/>
  <c r="EC127" i="47"/>
  <c r="DZ127" i="47"/>
  <c r="DW127" i="47"/>
  <c r="DT127" i="47"/>
  <c r="DQ127" i="47"/>
  <c r="DN127" i="47"/>
  <c r="DK127" i="47"/>
  <c r="DH127" i="47"/>
  <c r="DE127" i="47"/>
  <c r="DB127" i="47"/>
  <c r="CY127" i="47"/>
  <c r="CV127" i="47"/>
  <c r="CS127" i="47"/>
  <c r="CP127" i="47"/>
  <c r="CM127" i="47"/>
  <c r="CJ127" i="47"/>
  <c r="CG127" i="47"/>
  <c r="CD127" i="47"/>
  <c r="CA127" i="47"/>
  <c r="BX127" i="47"/>
  <c r="BU127" i="47"/>
  <c r="BR127" i="47"/>
  <c r="BO127" i="47"/>
  <c r="BL127" i="47"/>
  <c r="BI127" i="47"/>
  <c r="BF127" i="47"/>
  <c r="BC127" i="47"/>
  <c r="AZ127" i="47"/>
  <c r="AW127" i="47"/>
  <c r="AT127" i="47"/>
  <c r="AQ127" i="47"/>
  <c r="AN127" i="47"/>
  <c r="AK127" i="47"/>
  <c r="AH127" i="47"/>
  <c r="AE127" i="47"/>
  <c r="AB127" i="47"/>
  <c r="Y127" i="47"/>
  <c r="V127" i="47"/>
  <c r="S127" i="47"/>
  <c r="P127" i="47"/>
  <c r="M127" i="47"/>
  <c r="J127" i="47"/>
  <c r="IW126" i="47"/>
  <c r="ID126" i="47"/>
  <c r="IX126" i="47" s="1"/>
  <c r="IY126" i="47" s="1"/>
  <c r="IX125" i="47"/>
  <c r="IW125" i="47"/>
  <c r="IY125" i="47" s="1"/>
  <c r="ID125" i="47"/>
  <c r="HF125" i="47"/>
  <c r="HC125" i="47"/>
  <c r="GZ125" i="47"/>
  <c r="GW125" i="47"/>
  <c r="GT125" i="47"/>
  <c r="GQ125" i="47"/>
  <c r="GN125" i="47"/>
  <c r="GK125" i="47"/>
  <c r="GH125" i="47"/>
  <c r="GE125" i="47"/>
  <c r="GB125" i="47"/>
  <c r="FY125" i="47"/>
  <c r="FV125" i="47"/>
  <c r="FS125" i="47"/>
  <c r="FP125" i="47"/>
  <c r="FM125" i="47"/>
  <c r="FJ125" i="47"/>
  <c r="FG125" i="47"/>
  <c r="FD125" i="47"/>
  <c r="FA125" i="47"/>
  <c r="EX125" i="47"/>
  <c r="EU125" i="47"/>
  <c r="ER125" i="47"/>
  <c r="EO125" i="47"/>
  <c r="EL125" i="47"/>
  <c r="EI125" i="47"/>
  <c r="EF125" i="47"/>
  <c r="EC125" i="47"/>
  <c r="DZ125" i="47"/>
  <c r="DW125" i="47"/>
  <c r="DT125" i="47"/>
  <c r="DQ125" i="47"/>
  <c r="DN125" i="47"/>
  <c r="DK125" i="47"/>
  <c r="DH125" i="47"/>
  <c r="DE125" i="47"/>
  <c r="DB125" i="47"/>
  <c r="CY125" i="47"/>
  <c r="CV125" i="47"/>
  <c r="CS125" i="47"/>
  <c r="CP125" i="47"/>
  <c r="CM125" i="47"/>
  <c r="CJ125" i="47"/>
  <c r="CG125" i="47"/>
  <c r="CD125" i="47"/>
  <c r="CA125" i="47"/>
  <c r="BX125" i="47"/>
  <c r="BU125" i="47"/>
  <c r="BR125" i="47"/>
  <c r="BO125" i="47"/>
  <c r="BL125" i="47"/>
  <c r="BI125" i="47"/>
  <c r="BF125" i="47"/>
  <c r="BC125" i="47"/>
  <c r="AZ125" i="47"/>
  <c r="AW125" i="47"/>
  <c r="AT125" i="47"/>
  <c r="AQ125" i="47"/>
  <c r="AN125" i="47"/>
  <c r="AK125" i="47"/>
  <c r="IX124" i="47"/>
  <c r="IY124" i="47" s="1"/>
  <c r="IW124" i="47"/>
  <c r="ID124" i="47"/>
  <c r="HF124" i="47"/>
  <c r="HC124" i="47"/>
  <c r="GZ124" i="47"/>
  <c r="GW124" i="47"/>
  <c r="GT124" i="47"/>
  <c r="GQ124" i="47"/>
  <c r="GN124" i="47"/>
  <c r="GK124" i="47"/>
  <c r="GH124" i="47"/>
  <c r="GE124" i="47"/>
  <c r="GB124" i="47"/>
  <c r="FY124" i="47"/>
  <c r="FV124" i="47"/>
  <c r="FS124" i="47"/>
  <c r="FP124" i="47"/>
  <c r="FM124" i="47"/>
  <c r="FJ124" i="47"/>
  <c r="FG124" i="47"/>
  <c r="FD124" i="47"/>
  <c r="FA124" i="47"/>
  <c r="EX124" i="47"/>
  <c r="EU124" i="47"/>
  <c r="ER124" i="47"/>
  <c r="EO124" i="47"/>
  <c r="EL124" i="47"/>
  <c r="EI124" i="47"/>
  <c r="EF124" i="47"/>
  <c r="EC124" i="47"/>
  <c r="DZ124" i="47"/>
  <c r="DW124" i="47"/>
  <c r="DV124" i="47"/>
  <c r="DT124" i="47"/>
  <c r="DQ124" i="47"/>
  <c r="DN124" i="47"/>
  <c r="DK124" i="47"/>
  <c r="DH124" i="47"/>
  <c r="DE124" i="47"/>
  <c r="DB124" i="47"/>
  <c r="CY124" i="47"/>
  <c r="CV124" i="47"/>
  <c r="CS124" i="47"/>
  <c r="CP124" i="47"/>
  <c r="CM124" i="47"/>
  <c r="CJ124" i="47"/>
  <c r="CG124" i="47"/>
  <c r="CD124" i="47"/>
  <c r="CA124" i="47"/>
  <c r="BX124" i="47"/>
  <c r="BU124" i="47"/>
  <c r="BR124" i="47"/>
  <c r="BO124" i="47"/>
  <c r="BL124" i="47"/>
  <c r="BI124" i="47"/>
  <c r="BF124" i="47"/>
  <c r="BC124" i="47"/>
  <c r="AZ124" i="47"/>
  <c r="AW124" i="47"/>
  <c r="AT124" i="47"/>
  <c r="AQ124" i="47"/>
  <c r="AN124" i="47"/>
  <c r="AK124" i="47"/>
  <c r="AH124" i="47"/>
  <c r="AE124" i="47"/>
  <c r="AB124" i="47"/>
  <c r="Y124" i="47"/>
  <c r="V124" i="47"/>
  <c r="S124" i="47"/>
  <c r="P124" i="47"/>
  <c r="M124" i="47"/>
  <c r="J124" i="47"/>
  <c r="IX123" i="47"/>
  <c r="IY123" i="47" s="1"/>
  <c r="IW123" i="47"/>
  <c r="ID123" i="47"/>
  <c r="HF123" i="47"/>
  <c r="HC123" i="47"/>
  <c r="GZ123" i="47"/>
  <c r="GW123" i="47"/>
  <c r="GT123" i="47"/>
  <c r="GQ123" i="47"/>
  <c r="GN123" i="47"/>
  <c r="GK123" i="47"/>
  <c r="GH123" i="47"/>
  <c r="GE123" i="47"/>
  <c r="GB123" i="47"/>
  <c r="FY123" i="47"/>
  <c r="FV123" i="47"/>
  <c r="FS123" i="47"/>
  <c r="FP123" i="47"/>
  <c r="FM123" i="47"/>
  <c r="FJ123" i="47"/>
  <c r="FG123" i="47"/>
  <c r="FD123" i="47"/>
  <c r="FA123" i="47"/>
  <c r="EX123" i="47"/>
  <c r="EU123" i="47"/>
  <c r="IW122" i="47"/>
  <c r="ID122" i="47"/>
  <c r="IX122" i="47" s="1"/>
  <c r="IY122" i="47" s="1"/>
  <c r="AE122" i="47"/>
  <c r="AD122" i="47"/>
  <c r="IW121" i="47"/>
  <c r="ID121" i="47"/>
  <c r="IX121" i="47" s="1"/>
  <c r="IY121" i="47" s="1"/>
  <c r="HF121" i="47"/>
  <c r="HC121" i="47"/>
  <c r="GZ121" i="47"/>
  <c r="GW121" i="47"/>
  <c r="GT121" i="47"/>
  <c r="GQ121" i="47"/>
  <c r="GN121" i="47"/>
  <c r="GK121" i="47"/>
  <c r="GH121" i="47"/>
  <c r="GE121" i="47"/>
  <c r="GB121" i="47"/>
  <c r="FY121" i="47"/>
  <c r="FV121" i="47"/>
  <c r="FS121" i="47"/>
  <c r="FP121" i="47"/>
  <c r="FM121" i="47"/>
  <c r="FJ121" i="47"/>
  <c r="FG121" i="47"/>
  <c r="FD121" i="47"/>
  <c r="FA121" i="47"/>
  <c r="EX121" i="47"/>
  <c r="EU121" i="47"/>
  <c r="ER121" i="47"/>
  <c r="EO121" i="47"/>
  <c r="EL121" i="47"/>
  <c r="EI121" i="47"/>
  <c r="EF121" i="47"/>
  <c r="EC121" i="47"/>
  <c r="DZ121" i="47"/>
  <c r="DW121" i="47"/>
  <c r="DT121" i="47"/>
  <c r="DQ121" i="47"/>
  <c r="DN121" i="47"/>
  <c r="DK121" i="47"/>
  <c r="DH121" i="47"/>
  <c r="DE121" i="47"/>
  <c r="DB121" i="47"/>
  <c r="CY121" i="47"/>
  <c r="CV121" i="47"/>
  <c r="CS121" i="47"/>
  <c r="CP121" i="47"/>
  <c r="CM121" i="47"/>
  <c r="CJ121" i="47"/>
  <c r="CG121" i="47"/>
  <c r="CD121" i="47"/>
  <c r="CA121" i="47"/>
  <c r="BX121" i="47"/>
  <c r="BU121" i="47"/>
  <c r="BR121" i="47"/>
  <c r="BO121" i="47"/>
  <c r="BL121" i="47"/>
  <c r="BI121" i="47"/>
  <c r="BF121" i="47"/>
  <c r="BC121" i="47"/>
  <c r="AZ121" i="47"/>
  <c r="AY121" i="47"/>
  <c r="AW121" i="47"/>
  <c r="AT121" i="47"/>
  <c r="AQ121" i="47"/>
  <c r="AN121" i="47"/>
  <c r="AK121" i="47"/>
  <c r="AH121" i="47"/>
  <c r="AE121" i="47"/>
  <c r="AB121" i="47"/>
  <c r="Y121" i="47"/>
  <c r="V121" i="47"/>
  <c r="S121" i="47"/>
  <c r="P121" i="47"/>
  <c r="M121" i="47"/>
  <c r="J121" i="47"/>
  <c r="IX120" i="47"/>
  <c r="IY120" i="47" s="1"/>
  <c r="IW120" i="47"/>
  <c r="ID120" i="47"/>
  <c r="AN120" i="47"/>
  <c r="AM120" i="47"/>
  <c r="IX119" i="47"/>
  <c r="IY119" i="47" s="1"/>
  <c r="IW119" i="47"/>
  <c r="ID119" i="47"/>
  <c r="AN119" i="47"/>
  <c r="AM119" i="47"/>
  <c r="IX118" i="47"/>
  <c r="IY118" i="47" s="1"/>
  <c r="IW118" i="47"/>
  <c r="ID118" i="47"/>
  <c r="IW117" i="47"/>
  <c r="ID117" i="47"/>
  <c r="IX117" i="47" s="1"/>
  <c r="IY117" i="47" s="1"/>
  <c r="HX117" i="47"/>
  <c r="G117" i="47"/>
  <c r="D117" i="47"/>
  <c r="IW116" i="47"/>
  <c r="ID116" i="47"/>
  <c r="IX116" i="47" s="1"/>
  <c r="IY116" i="47" s="1"/>
  <c r="HF116" i="47"/>
  <c r="HC116" i="47"/>
  <c r="GZ116" i="47"/>
  <c r="GW116" i="47"/>
  <c r="GT116" i="47"/>
  <c r="GQ116" i="47"/>
  <c r="GN116" i="47"/>
  <c r="GK116" i="47"/>
  <c r="GH116" i="47"/>
  <c r="GE116" i="47"/>
  <c r="GB116" i="47"/>
  <c r="FY116" i="47"/>
  <c r="FV116" i="47"/>
  <c r="FS116" i="47"/>
  <c r="FP116" i="47"/>
  <c r="FM116" i="47"/>
  <c r="FJ116" i="47"/>
  <c r="FG116" i="47"/>
  <c r="FD116" i="47"/>
  <c r="FA116" i="47"/>
  <c r="EX116" i="47"/>
  <c r="EU116" i="47"/>
  <c r="ER116" i="47"/>
  <c r="EO116" i="47"/>
  <c r="EL116" i="47"/>
  <c r="EI116" i="47"/>
  <c r="EF116" i="47"/>
  <c r="EC116" i="47"/>
  <c r="DZ116" i="47"/>
  <c r="DW116" i="47"/>
  <c r="DT116" i="47"/>
  <c r="DQ116" i="47"/>
  <c r="DN116" i="47"/>
  <c r="DK116" i="47"/>
  <c r="DH116" i="47"/>
  <c r="DE116" i="47"/>
  <c r="DB116" i="47"/>
  <c r="CY116" i="47"/>
  <c r="CV116" i="47"/>
  <c r="CS116" i="47"/>
  <c r="CP116" i="47"/>
  <c r="CM116" i="47"/>
  <c r="CJ116" i="47"/>
  <c r="CG116" i="47"/>
  <c r="CD116" i="47"/>
  <c r="CA116" i="47"/>
  <c r="BX116" i="47"/>
  <c r="BU116" i="47"/>
  <c r="BR116" i="47"/>
  <c r="BO116" i="47"/>
  <c r="BL116" i="47"/>
  <c r="BI116" i="47"/>
  <c r="BF116" i="47"/>
  <c r="BC116" i="47"/>
  <c r="AZ116" i="47"/>
  <c r="AW116" i="47"/>
  <c r="AT116" i="47"/>
  <c r="AQ116" i="47"/>
  <c r="AN116" i="47"/>
  <c r="AK116" i="47"/>
  <c r="AH116" i="47"/>
  <c r="AE116" i="47"/>
  <c r="AB116" i="47"/>
  <c r="Y116" i="47"/>
  <c r="V116" i="47"/>
  <c r="S116" i="47"/>
  <c r="P116" i="47"/>
  <c r="M116" i="47"/>
  <c r="J116" i="47"/>
  <c r="IX115" i="47"/>
  <c r="IY115" i="47" s="1"/>
  <c r="IW115" i="47"/>
  <c r="ID115" i="47"/>
  <c r="H115" i="47"/>
  <c r="G115" i="47"/>
  <c r="D115" i="47"/>
  <c r="IW114" i="47"/>
  <c r="ID114" i="47"/>
  <c r="IX114" i="47" s="1"/>
  <c r="IY114" i="47" s="1"/>
  <c r="HT114" i="47"/>
  <c r="IX113" i="47"/>
  <c r="IY113" i="47" s="1"/>
  <c r="IW113" i="47"/>
  <c r="ID113" i="47"/>
  <c r="HF113" i="47"/>
  <c r="HC113" i="47"/>
  <c r="GZ113" i="47"/>
  <c r="GW113" i="47"/>
  <c r="GT113" i="47"/>
  <c r="GQ113" i="47"/>
  <c r="GN113" i="47"/>
  <c r="GK113" i="47"/>
  <c r="GH113" i="47"/>
  <c r="GE113" i="47"/>
  <c r="GB113" i="47"/>
  <c r="FY113" i="47"/>
  <c r="FV113" i="47"/>
  <c r="FS113" i="47"/>
  <c r="FP113" i="47"/>
  <c r="FM113" i="47"/>
  <c r="FJ113" i="47"/>
  <c r="FG113" i="47"/>
  <c r="FD113" i="47"/>
  <c r="FA113" i="47"/>
  <c r="EX113" i="47"/>
  <c r="EU113" i="47"/>
  <c r="ER113" i="47"/>
  <c r="EO113" i="47"/>
  <c r="EL113" i="47"/>
  <c r="EI113" i="47"/>
  <c r="EF113" i="47"/>
  <c r="EC113" i="47"/>
  <c r="DZ113" i="47"/>
  <c r="DW113" i="47"/>
  <c r="DT113" i="47"/>
  <c r="DQ113" i="47"/>
  <c r="DN113" i="47"/>
  <c r="DK113" i="47"/>
  <c r="DH113" i="47"/>
  <c r="DE113" i="47"/>
  <c r="DB113" i="47"/>
  <c r="CY113" i="47"/>
  <c r="CV113" i="47"/>
  <c r="CS113" i="47"/>
  <c r="CP113" i="47"/>
  <c r="CM113" i="47"/>
  <c r="CJ113" i="47"/>
  <c r="CG113" i="47"/>
  <c r="CD113" i="47"/>
  <c r="CA113" i="47"/>
  <c r="BX113" i="47"/>
  <c r="BU113" i="47"/>
  <c r="BR113" i="47"/>
  <c r="BO113" i="47"/>
  <c r="BL113" i="47"/>
  <c r="BI113" i="47"/>
  <c r="BF113" i="47"/>
  <c r="BC113" i="47"/>
  <c r="AZ113" i="47"/>
  <c r="AW113" i="47"/>
  <c r="AT113" i="47"/>
  <c r="AQ113" i="47"/>
  <c r="AN113" i="47"/>
  <c r="AK113" i="47"/>
  <c r="AH113" i="47"/>
  <c r="AE113" i="47"/>
  <c r="AB113" i="47"/>
  <c r="Y113" i="47"/>
  <c r="V113" i="47"/>
  <c r="S113" i="47"/>
  <c r="P113" i="47"/>
  <c r="M113" i="47"/>
  <c r="J113" i="47"/>
  <c r="IW112" i="47"/>
  <c r="ID112" i="47"/>
  <c r="IX112" i="47" s="1"/>
  <c r="IY112" i="47" s="1"/>
  <c r="CY112" i="47"/>
  <c r="CX112" i="47"/>
  <c r="Y112" i="47"/>
  <c r="X112" i="47"/>
  <c r="IX111" i="47"/>
  <c r="IY111" i="47" s="1"/>
  <c r="IW111" i="47"/>
  <c r="ID111" i="47"/>
  <c r="AE111" i="47"/>
  <c r="AD111" i="47"/>
  <c r="IY110" i="47"/>
  <c r="IX110" i="47"/>
  <c r="IW110" i="47"/>
  <c r="HF110" i="47"/>
  <c r="HC110" i="47"/>
  <c r="GZ110" i="47"/>
  <c r="GW110" i="47"/>
  <c r="GT110" i="47"/>
  <c r="GQ110" i="47"/>
  <c r="GN110" i="47"/>
  <c r="GK110" i="47"/>
  <c r="GH110" i="47"/>
  <c r="GE110" i="47"/>
  <c r="GB110" i="47"/>
  <c r="FY110" i="47"/>
  <c r="FV110" i="47"/>
  <c r="FS110" i="47"/>
  <c r="FP110" i="47"/>
  <c r="FM110" i="47"/>
  <c r="FJ110" i="47"/>
  <c r="FG110" i="47"/>
  <c r="FD110" i="47"/>
  <c r="FA110" i="47"/>
  <c r="EX110" i="47"/>
  <c r="EU110" i="47"/>
  <c r="ER110" i="47"/>
  <c r="EO110" i="47"/>
  <c r="EL110" i="47"/>
  <c r="EI110" i="47"/>
  <c r="EF110" i="47"/>
  <c r="EC110" i="47"/>
  <c r="DZ110" i="47"/>
  <c r="DW110" i="47"/>
  <c r="DT110" i="47"/>
  <c r="DQ110" i="47"/>
  <c r="DN110" i="47"/>
  <c r="DK110" i="47"/>
  <c r="DH110" i="47"/>
  <c r="DE110" i="47"/>
  <c r="DB110" i="47"/>
  <c r="CY110" i="47"/>
  <c r="CX110" i="47"/>
  <c r="CV110" i="47"/>
  <c r="CS110" i="47"/>
  <c r="CP110" i="47"/>
  <c r="CM110" i="47"/>
  <c r="CJ110" i="47"/>
  <c r="CG110" i="47"/>
  <c r="CD110" i="47"/>
  <c r="CA110" i="47"/>
  <c r="BX110" i="47"/>
  <c r="BU110" i="47"/>
  <c r="BR110" i="47"/>
  <c r="BO110" i="47"/>
  <c r="BL110" i="47"/>
  <c r="BI110" i="47"/>
  <c r="BF110" i="47"/>
  <c r="BC110" i="47"/>
  <c r="AZ110" i="47"/>
  <c r="AW110" i="47"/>
  <c r="AT110" i="47"/>
  <c r="AQ110" i="47"/>
  <c r="AN110" i="47"/>
  <c r="AK110" i="47"/>
  <c r="AH110" i="47"/>
  <c r="AE110" i="47"/>
  <c r="AB110" i="47"/>
  <c r="Y110" i="47"/>
  <c r="V110" i="47"/>
  <c r="S110" i="47"/>
  <c r="R110" i="47"/>
  <c r="IX109" i="47"/>
  <c r="IY109" i="47" s="1"/>
  <c r="IW109" i="47"/>
  <c r="ID109" i="47"/>
  <c r="HF109" i="47"/>
  <c r="HC109" i="47"/>
  <c r="GZ109" i="47"/>
  <c r="GW109" i="47"/>
  <c r="GT109" i="47"/>
  <c r="GQ109" i="47"/>
  <c r="GN109" i="47"/>
  <c r="GK109" i="47"/>
  <c r="GH109" i="47"/>
  <c r="GE109" i="47"/>
  <c r="GB109" i="47"/>
  <c r="FY109" i="47"/>
  <c r="FV109" i="47"/>
  <c r="FS109" i="47"/>
  <c r="FP109" i="47"/>
  <c r="FM109" i="47"/>
  <c r="FJ109" i="47"/>
  <c r="FG109" i="47"/>
  <c r="FD109" i="47"/>
  <c r="FA109" i="47"/>
  <c r="EX109" i="47"/>
  <c r="EU109" i="47"/>
  <c r="ER109" i="47"/>
  <c r="EO109" i="47"/>
  <c r="EL109" i="47"/>
  <c r="EI109" i="47"/>
  <c r="EF109" i="47"/>
  <c r="EC109" i="47"/>
  <c r="DZ109" i="47"/>
  <c r="DW109" i="47"/>
  <c r="DV109" i="47"/>
  <c r="IW108" i="47"/>
  <c r="IF108" i="47"/>
  <c r="ID108" i="47"/>
  <c r="IX108" i="47" s="1"/>
  <c r="IY108" i="47" s="1"/>
  <c r="BL108" i="47"/>
  <c r="BK108" i="47"/>
  <c r="IW107" i="47"/>
  <c r="IF107" i="47"/>
  <c r="ID107" i="47"/>
  <c r="IX107" i="47" s="1"/>
  <c r="HF107" i="47"/>
  <c r="HC107" i="47"/>
  <c r="GZ107" i="47"/>
  <c r="GW107" i="47"/>
  <c r="GT107" i="47"/>
  <c r="GQ107" i="47"/>
  <c r="GN107" i="47"/>
  <c r="GK107" i="47"/>
  <c r="GH107" i="47"/>
  <c r="GE107" i="47"/>
  <c r="GB107" i="47"/>
  <c r="FY107" i="47"/>
  <c r="FV107" i="47"/>
  <c r="FS107" i="47"/>
  <c r="FP107" i="47"/>
  <c r="FM107" i="47"/>
  <c r="FJ107" i="47"/>
  <c r="FG107" i="47"/>
  <c r="FD107" i="47"/>
  <c r="FA107" i="47"/>
  <c r="EX107" i="47"/>
  <c r="EU107" i="47"/>
  <c r="ER107" i="47"/>
  <c r="EO107" i="47"/>
  <c r="EL107" i="47"/>
  <c r="EI107" i="47"/>
  <c r="EF107" i="47"/>
  <c r="EC107" i="47"/>
  <c r="DZ107" i="47"/>
  <c r="DW107" i="47"/>
  <c r="DT107" i="47"/>
  <c r="DQ107" i="47"/>
  <c r="DN107" i="47"/>
  <c r="DK107" i="47"/>
  <c r="DH107" i="47"/>
  <c r="DE107" i="47"/>
  <c r="DB107" i="47"/>
  <c r="CY107" i="47"/>
  <c r="CV107" i="47"/>
  <c r="CS107" i="47"/>
  <c r="CP107" i="47"/>
  <c r="CM107" i="47"/>
  <c r="CJ107" i="47"/>
  <c r="CG107" i="47"/>
  <c r="CD107" i="47"/>
  <c r="CA107" i="47"/>
  <c r="BX107" i="47"/>
  <c r="BU107" i="47"/>
  <c r="BR107" i="47"/>
  <c r="BO107" i="47"/>
  <c r="BL107" i="47"/>
  <c r="BI107" i="47"/>
  <c r="BF107" i="47"/>
  <c r="BC107" i="47"/>
  <c r="AZ107" i="47"/>
  <c r="AW107" i="47"/>
  <c r="AT107" i="47"/>
  <c r="AQ107" i="47"/>
  <c r="AN107" i="47"/>
  <c r="AK107" i="47"/>
  <c r="AH107" i="47"/>
  <c r="AE107" i="47"/>
  <c r="AB107" i="47"/>
  <c r="Y107" i="47"/>
  <c r="V107" i="47"/>
  <c r="S107" i="47"/>
  <c r="P107" i="47"/>
  <c r="M107" i="47"/>
  <c r="J107" i="47"/>
  <c r="I107" i="47"/>
  <c r="IW106" i="47"/>
  <c r="IF106" i="47"/>
  <c r="ID106" i="47"/>
  <c r="IX106" i="47" s="1"/>
  <c r="IY106" i="47" s="1"/>
  <c r="HT106" i="47"/>
  <c r="IW105" i="47"/>
  <c r="IF105" i="47"/>
  <c r="ID105" i="47"/>
  <c r="IX105" i="47" s="1"/>
  <c r="AP105" i="47"/>
  <c r="IW104" i="47"/>
  <c r="IF104" i="47"/>
  <c r="ID104" i="47"/>
  <c r="IX104" i="47" s="1"/>
  <c r="IY104" i="47" s="1"/>
  <c r="IW103" i="47"/>
  <c r="IF103" i="47"/>
  <c r="ID103" i="47"/>
  <c r="IX103" i="47" s="1"/>
  <c r="IY103" i="47" s="1"/>
  <c r="HF103" i="47"/>
  <c r="HC103" i="47"/>
  <c r="GZ103" i="47"/>
  <c r="GW103" i="47"/>
  <c r="GT103" i="47"/>
  <c r="GQ103" i="47"/>
  <c r="GN103" i="47"/>
  <c r="GK103" i="47"/>
  <c r="GH103" i="47"/>
  <c r="GE103" i="47"/>
  <c r="GB103" i="47"/>
  <c r="FY103" i="47"/>
  <c r="FV103" i="47"/>
  <c r="FS103" i="47"/>
  <c r="FP103" i="47"/>
  <c r="FM103" i="47"/>
  <c r="FJ103" i="47"/>
  <c r="FG103" i="47"/>
  <c r="FD103" i="47"/>
  <c r="FA103" i="47"/>
  <c r="EX103" i="47"/>
  <c r="EU103" i="47"/>
  <c r="ER103" i="47"/>
  <c r="EO103" i="47"/>
  <c r="EL103" i="47"/>
  <c r="EI103" i="47"/>
  <c r="EF103" i="47"/>
  <c r="EC103" i="47"/>
  <c r="DZ103" i="47"/>
  <c r="DW103" i="47"/>
  <c r="DT103" i="47"/>
  <c r="DS103" i="47"/>
  <c r="DQ103" i="47"/>
  <c r="DN103" i="47"/>
  <c r="DK103" i="47"/>
  <c r="DH103" i="47"/>
  <c r="DE103" i="47"/>
  <c r="DB103" i="47"/>
  <c r="CY103" i="47"/>
  <c r="CV103" i="47"/>
  <c r="CS103" i="47"/>
  <c r="CP103" i="47"/>
  <c r="CM103" i="47"/>
  <c r="CJ103" i="47"/>
  <c r="CG103" i="47"/>
  <c r="IX102" i="47"/>
  <c r="IW102" i="47"/>
  <c r="IY102" i="47" s="1"/>
  <c r="IF102" i="47"/>
  <c r="ID102" i="47"/>
  <c r="HF102" i="47"/>
  <c r="HC102" i="47"/>
  <c r="GZ102" i="47"/>
  <c r="GW102" i="47"/>
  <c r="GT102" i="47"/>
  <c r="GQ102" i="47"/>
  <c r="GN102" i="47"/>
  <c r="GK102" i="47"/>
  <c r="GH102" i="47"/>
  <c r="GE102" i="47"/>
  <c r="GB102" i="47"/>
  <c r="FY102" i="47"/>
  <c r="FV102" i="47"/>
  <c r="FS102" i="47"/>
  <c r="FP102" i="47"/>
  <c r="FM102" i="47"/>
  <c r="FJ102" i="47"/>
  <c r="FG102" i="47"/>
  <c r="FD102" i="47"/>
  <c r="FA102" i="47"/>
  <c r="EX102" i="47"/>
  <c r="EU102" i="47"/>
  <c r="ER102" i="47"/>
  <c r="EO102" i="47"/>
  <c r="EL102" i="47"/>
  <c r="EI102" i="47"/>
  <c r="EF102" i="47"/>
  <c r="EC102" i="47"/>
  <c r="DZ102" i="47"/>
  <c r="DW102" i="47"/>
  <c r="DT102" i="47"/>
  <c r="DQ102" i="47"/>
  <c r="DN102" i="47"/>
  <c r="DK102" i="47"/>
  <c r="DH102" i="47"/>
  <c r="DE102" i="47"/>
  <c r="DB102" i="47"/>
  <c r="CY102" i="47"/>
  <c r="CV102" i="47"/>
  <c r="CS102" i="47"/>
  <c r="CP102" i="47"/>
  <c r="CM102" i="47"/>
  <c r="CJ102" i="47"/>
  <c r="CG102" i="47"/>
  <c r="CD102" i="47"/>
  <c r="CA102" i="47"/>
  <c r="BX102" i="47"/>
  <c r="BU102" i="47"/>
  <c r="BR102" i="47"/>
  <c r="BO102" i="47"/>
  <c r="BL102" i="47"/>
  <c r="BK102" i="47"/>
  <c r="BF102" i="47"/>
  <c r="BE102" i="47"/>
  <c r="IW101" i="47"/>
  <c r="IF101" i="47"/>
  <c r="ID101" i="47"/>
  <c r="IX101" i="47" s="1"/>
  <c r="IY101" i="47" s="1"/>
  <c r="AN101" i="47"/>
  <c r="AM101" i="47"/>
  <c r="IX100" i="47"/>
  <c r="IW100" i="47"/>
  <c r="IY100" i="47" s="1"/>
  <c r="IF100" i="47"/>
  <c r="ID100" i="47"/>
  <c r="AN100" i="47"/>
  <c r="AM100" i="47"/>
  <c r="IY99" i="47"/>
  <c r="IX99" i="47"/>
  <c r="IW99" i="47"/>
  <c r="IF99" i="47"/>
  <c r="ID99" i="47"/>
  <c r="IX98" i="47"/>
  <c r="IY98" i="47" s="1"/>
  <c r="IW98" i="47"/>
  <c r="IF98" i="47"/>
  <c r="ID98" i="47"/>
  <c r="M98" i="47"/>
  <c r="L98" i="47"/>
  <c r="IY97" i="47"/>
  <c r="IX97" i="47"/>
  <c r="IW97" i="47"/>
  <c r="IF97" i="47"/>
  <c r="ID97" i="47"/>
  <c r="HF97" i="47"/>
  <c r="HC97" i="47"/>
  <c r="GZ97" i="47"/>
  <c r="GW97" i="47"/>
  <c r="GT97" i="47"/>
  <c r="GQ97" i="47"/>
  <c r="GN97" i="47"/>
  <c r="GK97" i="47"/>
  <c r="GH97" i="47"/>
  <c r="GE97" i="47"/>
  <c r="GB97" i="47"/>
  <c r="FY97" i="47"/>
  <c r="FV97" i="47"/>
  <c r="FS97" i="47"/>
  <c r="FP97" i="47"/>
  <c r="FM97" i="47"/>
  <c r="FJ97" i="47"/>
  <c r="FG97" i="47"/>
  <c r="FD97" i="47"/>
  <c r="FA97" i="47"/>
  <c r="EX97" i="47"/>
  <c r="EU97" i="47"/>
  <c r="ER97" i="47"/>
  <c r="EO97" i="47"/>
  <c r="EL97" i="47"/>
  <c r="EI97" i="47"/>
  <c r="EF97" i="47"/>
  <c r="EC97" i="47"/>
  <c r="DZ97" i="47"/>
  <c r="DW97" i="47"/>
  <c r="DT97" i="47"/>
  <c r="DQ97" i="47"/>
  <c r="DN97" i="47"/>
  <c r="DK97" i="47"/>
  <c r="DH97" i="47"/>
  <c r="DE97" i="47"/>
  <c r="DB97" i="47"/>
  <c r="CY97" i="47"/>
  <c r="CV97" i="47"/>
  <c r="CS97" i="47"/>
  <c r="CP97" i="47"/>
  <c r="CM97" i="47"/>
  <c r="CJ97" i="47"/>
  <c r="CG97" i="47"/>
  <c r="CD97" i="47"/>
  <c r="CA97" i="47"/>
  <c r="BX97" i="47"/>
  <c r="BU97" i="47"/>
  <c r="BR97" i="47"/>
  <c r="BO97" i="47"/>
  <c r="BL97" i="47"/>
  <c r="BI97" i="47"/>
  <c r="BF97" i="47"/>
  <c r="BC97" i="47"/>
  <c r="AZ97" i="47"/>
  <c r="AW97" i="47"/>
  <c r="AT97" i="47"/>
  <c r="AQ97" i="47"/>
  <c r="AN97" i="47"/>
  <c r="AK97" i="47"/>
  <c r="AH97" i="47"/>
  <c r="AE97" i="47"/>
  <c r="AB97" i="47"/>
  <c r="Y97" i="47"/>
  <c r="V97" i="47"/>
  <c r="S97" i="47"/>
  <c r="P97" i="47"/>
  <c r="M97" i="47"/>
  <c r="J97" i="47"/>
  <c r="G97" i="47"/>
  <c r="IW96" i="47"/>
  <c r="IF96" i="47"/>
  <c r="ID96" i="47"/>
  <c r="IX96" i="47" s="1"/>
  <c r="IY96" i="47" s="1"/>
  <c r="CA96" i="47"/>
  <c r="BZ96" i="47"/>
  <c r="D96" i="47"/>
  <c r="IW95" i="47"/>
  <c r="IF95" i="47"/>
  <c r="ID95" i="47"/>
  <c r="IX95" i="47" s="1"/>
  <c r="AH95" i="47"/>
  <c r="AG95" i="47"/>
  <c r="IY94" i="47"/>
  <c r="IX94" i="47"/>
  <c r="IW94" i="47"/>
  <c r="IF94" i="47"/>
  <c r="ID94" i="47"/>
  <c r="HF94" i="47"/>
  <c r="HC94" i="47"/>
  <c r="GZ94" i="47"/>
  <c r="GW94" i="47"/>
  <c r="GT94" i="47"/>
  <c r="GQ94" i="47"/>
  <c r="GN94" i="47"/>
  <c r="GK94" i="47"/>
  <c r="GH94" i="47"/>
  <c r="GE94" i="47"/>
  <c r="GB94" i="47"/>
  <c r="FY94" i="47"/>
  <c r="FV94" i="47"/>
  <c r="FS94" i="47"/>
  <c r="FP94" i="47"/>
  <c r="FM94" i="47"/>
  <c r="FJ94" i="47"/>
  <c r="FG94" i="47"/>
  <c r="FD94" i="47"/>
  <c r="FA94" i="47"/>
  <c r="EX94" i="47"/>
  <c r="EU94" i="47"/>
  <c r="ER94" i="47"/>
  <c r="EO94" i="47"/>
  <c r="EL94" i="47"/>
  <c r="EI94" i="47"/>
  <c r="EF94" i="47"/>
  <c r="EC94" i="47"/>
  <c r="DZ94" i="47"/>
  <c r="DW94" i="47"/>
  <c r="DV94" i="47"/>
  <c r="DT94" i="47"/>
  <c r="DQ94" i="47"/>
  <c r="DN94" i="47"/>
  <c r="DK94" i="47"/>
  <c r="DH94" i="47"/>
  <c r="DE94" i="47"/>
  <c r="DD94" i="47"/>
  <c r="DB94" i="47"/>
  <c r="CY94" i="47"/>
  <c r="CV94" i="47"/>
  <c r="CS94" i="47"/>
  <c r="CP94" i="47"/>
  <c r="CM94" i="47"/>
  <c r="CJ94" i="47"/>
  <c r="CG94" i="47"/>
  <c r="CD94" i="47"/>
  <c r="CA94" i="47"/>
  <c r="BX94" i="47"/>
  <c r="BU94" i="47"/>
  <c r="BR94" i="47"/>
  <c r="BO94" i="47"/>
  <c r="BL94" i="47"/>
  <c r="BI94" i="47"/>
  <c r="BF94" i="47"/>
  <c r="BC94" i="47"/>
  <c r="AZ94" i="47"/>
  <c r="AW94" i="47"/>
  <c r="AT94" i="47"/>
  <c r="AQ94" i="47"/>
  <c r="AN94" i="47"/>
  <c r="AK94" i="47"/>
  <c r="AH94" i="47"/>
  <c r="AE94" i="47"/>
  <c r="AB94" i="47"/>
  <c r="Y94" i="47"/>
  <c r="V94" i="47"/>
  <c r="S94" i="47"/>
  <c r="P94" i="47"/>
  <c r="M94" i="47"/>
  <c r="J94" i="47"/>
  <c r="IW93" i="47"/>
  <c r="IY93" i="47" s="1"/>
  <c r="IF93" i="47"/>
  <c r="ID93" i="47"/>
  <c r="IX93" i="47" s="1"/>
  <c r="HF93" i="47"/>
  <c r="HC93" i="47"/>
  <c r="GZ93" i="47"/>
  <c r="GW93" i="47"/>
  <c r="GT93" i="47"/>
  <c r="GQ93" i="47"/>
  <c r="GN93" i="47"/>
  <c r="GK93" i="47"/>
  <c r="GH93" i="47"/>
  <c r="GE93" i="47"/>
  <c r="GB93" i="47"/>
  <c r="FY93" i="47"/>
  <c r="FV93" i="47"/>
  <c r="FS93" i="47"/>
  <c r="FP93" i="47"/>
  <c r="FM93" i="47"/>
  <c r="FJ93" i="47"/>
  <c r="FG93" i="47"/>
  <c r="FD93" i="47"/>
  <c r="FA93" i="47"/>
  <c r="EX93" i="47"/>
  <c r="EU93" i="47"/>
  <c r="ER93" i="47"/>
  <c r="EO93" i="47"/>
  <c r="EL93" i="47"/>
  <c r="EI93" i="47"/>
  <c r="EF93" i="47"/>
  <c r="EC93" i="47"/>
  <c r="DZ93" i="47"/>
  <c r="DW93" i="47"/>
  <c r="DT93" i="47"/>
  <c r="DQ93" i="47"/>
  <c r="DN93" i="47"/>
  <c r="DK93" i="47"/>
  <c r="DH93" i="47"/>
  <c r="DE93" i="47"/>
  <c r="DB93" i="47"/>
  <c r="CY93" i="47"/>
  <c r="CV93" i="47"/>
  <c r="CS93" i="47"/>
  <c r="CP93" i="47"/>
  <c r="CM93" i="47"/>
  <c r="CJ93" i="47"/>
  <c r="CG93" i="47"/>
  <c r="CD93" i="47"/>
  <c r="CA93" i="47"/>
  <c r="BX93" i="47"/>
  <c r="BU93" i="47"/>
  <c r="BR93" i="47"/>
  <c r="BO93" i="47"/>
  <c r="BL93" i="47"/>
  <c r="BI93" i="47"/>
  <c r="BF93" i="47"/>
  <c r="BC93" i="47"/>
  <c r="AZ93" i="47"/>
  <c r="AW93" i="47"/>
  <c r="AT93" i="47"/>
  <c r="AQ93" i="47"/>
  <c r="AM93" i="47"/>
  <c r="IW92" i="47"/>
  <c r="IF92" i="47"/>
  <c r="ID92" i="47"/>
  <c r="IX92" i="47" s="1"/>
  <c r="IY92" i="47" s="1"/>
  <c r="IX91" i="47"/>
  <c r="IW91" i="47"/>
  <c r="IY91" i="47" s="1"/>
  <c r="IF91" i="47"/>
  <c r="ID91" i="47"/>
  <c r="CV91" i="47"/>
  <c r="CU91" i="47"/>
  <c r="IW90" i="47"/>
  <c r="IH90" i="47"/>
  <c r="IF90" i="47"/>
  <c r="ID90" i="47"/>
  <c r="IX90" i="47" s="1"/>
  <c r="IY90" i="47" s="1"/>
  <c r="BU90" i="47"/>
  <c r="BT90" i="47"/>
  <c r="BR90" i="47"/>
  <c r="BQ90" i="47"/>
  <c r="BO90" i="47"/>
  <c r="BN90" i="47"/>
  <c r="BL90" i="47"/>
  <c r="BK90" i="47"/>
  <c r="BI90" i="47"/>
  <c r="G90" i="47"/>
  <c r="E90" i="47"/>
  <c r="D90" i="47"/>
  <c r="IY89" i="47"/>
  <c r="IX89" i="47"/>
  <c r="IW89" i="47"/>
  <c r="IH89" i="47"/>
  <c r="IF89" i="47"/>
  <c r="ID89" i="47"/>
  <c r="IW88" i="47"/>
  <c r="IH88" i="47"/>
  <c r="IF88" i="47"/>
  <c r="ID88" i="47"/>
  <c r="IX88" i="47" s="1"/>
  <c r="IY88" i="47" s="1"/>
  <c r="AS88" i="47"/>
  <c r="D88" i="47"/>
  <c r="IW87" i="47"/>
  <c r="IH87" i="47"/>
  <c r="IF87" i="47"/>
  <c r="ID87" i="47"/>
  <c r="IX87" i="47" s="1"/>
  <c r="HF87" i="47"/>
  <c r="HC87" i="47"/>
  <c r="GZ87" i="47"/>
  <c r="GW87" i="47"/>
  <c r="GT87" i="47"/>
  <c r="GQ87" i="47"/>
  <c r="GN87" i="47"/>
  <c r="GK87" i="47"/>
  <c r="GH87" i="47"/>
  <c r="GE87" i="47"/>
  <c r="GB87" i="47"/>
  <c r="FY87" i="47"/>
  <c r="FV87" i="47"/>
  <c r="FS87" i="47"/>
  <c r="FP87" i="47"/>
  <c r="FM87" i="47"/>
  <c r="FJ87" i="47"/>
  <c r="FG87" i="47"/>
  <c r="FD87" i="47"/>
  <c r="FA87" i="47"/>
  <c r="EX87" i="47"/>
  <c r="EU87" i="47"/>
  <c r="ER87" i="47"/>
  <c r="EO87" i="47"/>
  <c r="EL87" i="47"/>
  <c r="EI87" i="47"/>
  <c r="EF87" i="47"/>
  <c r="EC87" i="47"/>
  <c r="DZ87" i="47"/>
  <c r="DW87" i="47"/>
  <c r="DT87" i="47"/>
  <c r="DQ87" i="47"/>
  <c r="DN87" i="47"/>
  <c r="DK87" i="47"/>
  <c r="DH87" i="47"/>
  <c r="DE87" i="47"/>
  <c r="DB87" i="47"/>
  <c r="CY87" i="47"/>
  <c r="CV87" i="47"/>
  <c r="CS87" i="47"/>
  <c r="CP87" i="47"/>
  <c r="CM87" i="47"/>
  <c r="CJ87" i="47"/>
  <c r="CG87" i="47"/>
  <c r="CD87" i="47"/>
  <c r="CA87" i="47"/>
  <c r="BX87" i="47"/>
  <c r="BU87" i="47"/>
  <c r="BR87" i="47"/>
  <c r="BO87" i="47"/>
  <c r="BL87" i="47"/>
  <c r="BI87" i="47"/>
  <c r="BF87" i="47"/>
  <c r="BC87" i="47"/>
  <c r="AZ87" i="47"/>
  <c r="AW87" i="47"/>
  <c r="AT87" i="47"/>
  <c r="AQ87" i="47"/>
  <c r="AN87" i="47"/>
  <c r="AK87" i="47"/>
  <c r="AH87" i="47"/>
  <c r="AE87" i="47"/>
  <c r="AB87" i="47"/>
  <c r="Y87" i="47"/>
  <c r="V87" i="47"/>
  <c r="S87" i="47"/>
  <c r="P87" i="47"/>
  <c r="M87" i="47"/>
  <c r="J87" i="47"/>
  <c r="IW86" i="47"/>
  <c r="IH86" i="47"/>
  <c r="IF86" i="47"/>
  <c r="ID86" i="47"/>
  <c r="IX86" i="47" s="1"/>
  <c r="HF86" i="47"/>
  <c r="HC86" i="47"/>
  <c r="GZ86" i="47"/>
  <c r="GW86" i="47"/>
  <c r="GT86" i="47"/>
  <c r="GQ86" i="47"/>
  <c r="GN86" i="47"/>
  <c r="GK86" i="47"/>
  <c r="GH86" i="47"/>
  <c r="GE86" i="47"/>
  <c r="GB86" i="47"/>
  <c r="FY86" i="47"/>
  <c r="FV86" i="47"/>
  <c r="FS86" i="47"/>
  <c r="FP86" i="47"/>
  <c r="FM86" i="47"/>
  <c r="FJ86" i="47"/>
  <c r="FG86" i="47"/>
  <c r="FD86" i="47"/>
  <c r="FA86" i="47"/>
  <c r="EX86" i="47"/>
  <c r="EU86" i="47"/>
  <c r="ER86" i="47"/>
  <c r="EO86" i="47"/>
  <c r="EL86" i="47"/>
  <c r="EI86" i="47"/>
  <c r="EF86" i="47"/>
  <c r="EC86" i="47"/>
  <c r="DZ86" i="47"/>
  <c r="DW86" i="47"/>
  <c r="DT86" i="47"/>
  <c r="DQ86" i="47"/>
  <c r="DN86" i="47"/>
  <c r="DK86" i="47"/>
  <c r="DH86" i="47"/>
  <c r="DE86" i="47"/>
  <c r="DB86" i="47"/>
  <c r="CY86" i="47"/>
  <c r="CV86" i="47"/>
  <c r="CS86" i="47"/>
  <c r="CP86" i="47"/>
  <c r="CM86" i="47"/>
  <c r="CJ86" i="47"/>
  <c r="CG86" i="47"/>
  <c r="CD86" i="47"/>
  <c r="CA86" i="47"/>
  <c r="BX86" i="47"/>
  <c r="BU86" i="47"/>
  <c r="BR86" i="47"/>
  <c r="BO86" i="47"/>
  <c r="BL86" i="47"/>
  <c r="BI86" i="47"/>
  <c r="BF86" i="47"/>
  <c r="BC86" i="47"/>
  <c r="AZ86" i="47"/>
  <c r="AW86" i="47"/>
  <c r="AT86" i="47"/>
  <c r="AQ86" i="47"/>
  <c r="AN86" i="47"/>
  <c r="AK86" i="47"/>
  <c r="AH86" i="47"/>
  <c r="AE86" i="47"/>
  <c r="AB86" i="47"/>
  <c r="Y86" i="47"/>
  <c r="V86" i="47"/>
  <c r="S86" i="47"/>
  <c r="P86" i="47"/>
  <c r="M86" i="47"/>
  <c r="J86" i="47"/>
  <c r="I86" i="47"/>
  <c r="IX85" i="47"/>
  <c r="IW85" i="47"/>
  <c r="IY85" i="47" s="1"/>
  <c r="IH85" i="47"/>
  <c r="IF85" i="47"/>
  <c r="ID85" i="47"/>
  <c r="HF85" i="47"/>
  <c r="HC85" i="47"/>
  <c r="GZ85" i="47"/>
  <c r="GW85" i="47"/>
  <c r="GT85" i="47"/>
  <c r="GQ85" i="47"/>
  <c r="GN85" i="47"/>
  <c r="GK85" i="47"/>
  <c r="GH85" i="47"/>
  <c r="GE85" i="47"/>
  <c r="GB85" i="47"/>
  <c r="FY85" i="47"/>
  <c r="FV85" i="47"/>
  <c r="FS85" i="47"/>
  <c r="FP85" i="47"/>
  <c r="FM85" i="47"/>
  <c r="FJ85" i="47"/>
  <c r="FG85" i="47"/>
  <c r="FD85" i="47"/>
  <c r="FA85" i="47"/>
  <c r="EX85" i="47"/>
  <c r="EU85" i="47"/>
  <c r="ER85" i="47"/>
  <c r="EO85" i="47"/>
  <c r="EL85" i="47"/>
  <c r="EI85" i="47"/>
  <c r="EF85" i="47"/>
  <c r="EC85" i="47"/>
  <c r="DZ85" i="47"/>
  <c r="DW85" i="47"/>
  <c r="DT85" i="47"/>
  <c r="DQ85" i="47"/>
  <c r="DN85" i="47"/>
  <c r="DK85" i="47"/>
  <c r="DH85" i="47"/>
  <c r="DE85" i="47"/>
  <c r="DB85" i="47"/>
  <c r="CY85" i="47"/>
  <c r="CV85" i="47"/>
  <c r="CS85" i="47"/>
  <c r="CP85" i="47"/>
  <c r="CM85" i="47"/>
  <c r="IX84" i="47"/>
  <c r="IW84" i="47"/>
  <c r="IY84" i="47" s="1"/>
  <c r="IH84" i="47"/>
  <c r="IF84" i="47"/>
  <c r="ID84" i="47"/>
  <c r="IX83" i="47"/>
  <c r="IW83" i="47"/>
  <c r="IY83" i="47" s="1"/>
  <c r="IH83" i="47"/>
  <c r="IF83" i="47"/>
  <c r="ID83" i="47"/>
  <c r="AS83" i="47"/>
  <c r="IY82" i="47"/>
  <c r="IX82" i="47"/>
  <c r="IW82" i="47"/>
  <c r="IH82" i="47"/>
  <c r="IF82" i="47"/>
  <c r="ID82" i="47"/>
  <c r="IW81" i="47"/>
  <c r="IH81" i="47"/>
  <c r="IF81" i="47"/>
  <c r="ID81" i="47"/>
  <c r="IX81" i="47" s="1"/>
  <c r="HF81" i="47"/>
  <c r="HC81" i="47"/>
  <c r="GZ81" i="47"/>
  <c r="GW81" i="47"/>
  <c r="GT81" i="47"/>
  <c r="GQ81" i="47"/>
  <c r="GN81" i="47"/>
  <c r="GK81" i="47"/>
  <c r="GH81" i="47"/>
  <c r="GE81" i="47"/>
  <c r="GB81" i="47"/>
  <c r="FY81" i="47"/>
  <c r="FV81" i="47"/>
  <c r="FS81" i="47"/>
  <c r="FP81" i="47"/>
  <c r="FM81" i="47"/>
  <c r="FJ81" i="47"/>
  <c r="FG81" i="47"/>
  <c r="FD81" i="47"/>
  <c r="FA81" i="47"/>
  <c r="EX81" i="47"/>
  <c r="EU81" i="47"/>
  <c r="ER81" i="47"/>
  <c r="EO81" i="47"/>
  <c r="EL81" i="47"/>
  <c r="EI81" i="47"/>
  <c r="EF81" i="47"/>
  <c r="EC81" i="47"/>
  <c r="DZ81" i="47"/>
  <c r="DW81" i="47"/>
  <c r="DT81" i="47"/>
  <c r="DQ81" i="47"/>
  <c r="DN81" i="47"/>
  <c r="DK81" i="47"/>
  <c r="DH81" i="47"/>
  <c r="DE81" i="47"/>
  <c r="DB81" i="47"/>
  <c r="CY81" i="47"/>
  <c r="CV81" i="47"/>
  <c r="CS81" i="47"/>
  <c r="CP81" i="47"/>
  <c r="CM81" i="47"/>
  <c r="CJ81" i="47"/>
  <c r="CG81" i="47"/>
  <c r="CD81" i="47"/>
  <c r="CA81" i="47"/>
  <c r="BX81" i="47"/>
  <c r="BU81" i="47"/>
  <c r="BR81" i="47"/>
  <c r="BO81" i="47"/>
  <c r="BL81" i="47"/>
  <c r="BI81" i="47"/>
  <c r="BF81" i="47"/>
  <c r="BC81" i="47"/>
  <c r="AZ81" i="47"/>
  <c r="AW81" i="47"/>
  <c r="AT81" i="47"/>
  <c r="AQ81" i="47"/>
  <c r="AN81" i="47"/>
  <c r="AK81" i="47"/>
  <c r="AH81" i="47"/>
  <c r="AE81" i="47"/>
  <c r="AB81" i="47"/>
  <c r="Y81" i="47"/>
  <c r="V81" i="47"/>
  <c r="S81" i="47"/>
  <c r="P81" i="47"/>
  <c r="M81" i="47"/>
  <c r="J81" i="47"/>
  <c r="G81" i="47"/>
  <c r="IW80" i="47"/>
  <c r="IY80" i="47" s="1"/>
  <c r="IH80" i="47"/>
  <c r="IF80" i="47"/>
  <c r="ID80" i="47"/>
  <c r="IX80" i="47" s="1"/>
  <c r="AK80" i="47"/>
  <c r="AJ80" i="47"/>
  <c r="IW79" i="47"/>
  <c r="IY79" i="47" s="1"/>
  <c r="IH79" i="47"/>
  <c r="IF79" i="47"/>
  <c r="ID79" i="47"/>
  <c r="IX79" i="47" s="1"/>
  <c r="AK79" i="47"/>
  <c r="AJ79" i="47"/>
  <c r="IX78" i="47"/>
  <c r="IY78" i="47" s="1"/>
  <c r="IW78" i="47"/>
  <c r="IH78" i="47"/>
  <c r="IF78" i="47"/>
  <c r="ID78" i="47"/>
  <c r="HX78" i="47"/>
  <c r="HF78" i="47"/>
  <c r="HC78" i="47"/>
  <c r="GZ78" i="47"/>
  <c r="GW78" i="47"/>
  <c r="GT78" i="47"/>
  <c r="GQ78" i="47"/>
  <c r="GN78" i="47"/>
  <c r="GK78" i="47"/>
  <c r="GH78" i="47"/>
  <c r="GE78" i="47"/>
  <c r="GB78" i="47"/>
  <c r="FY78" i="47"/>
  <c r="FV78" i="47"/>
  <c r="FS78" i="47"/>
  <c r="FP78" i="47"/>
  <c r="FM78" i="47"/>
  <c r="FJ78" i="47"/>
  <c r="FG78" i="47"/>
  <c r="FD78" i="47"/>
  <c r="FA78" i="47"/>
  <c r="EX78" i="47"/>
  <c r="EU78" i="47"/>
  <c r="ER78" i="47"/>
  <c r="EO78" i="47"/>
  <c r="EL78" i="47"/>
  <c r="EI78" i="47"/>
  <c r="EF78" i="47"/>
  <c r="EC78" i="47"/>
  <c r="DZ78" i="47"/>
  <c r="DW78" i="47"/>
  <c r="DT78" i="47"/>
  <c r="DQ78" i="47"/>
  <c r="DN78" i="47"/>
  <c r="DK78" i="47"/>
  <c r="DH78" i="47"/>
  <c r="DE78" i="47"/>
  <c r="DB78" i="47"/>
  <c r="CY78" i="47"/>
  <c r="CV78" i="47"/>
  <c r="CS78" i="47"/>
  <c r="CP78" i="47"/>
  <c r="CM78" i="47"/>
  <c r="CJ78" i="47"/>
  <c r="CG78" i="47"/>
  <c r="CD78" i="47"/>
  <c r="CA78" i="47"/>
  <c r="BX78" i="47"/>
  <c r="BU78" i="47"/>
  <c r="BR78" i="47"/>
  <c r="BO78" i="47"/>
  <c r="BL78" i="47"/>
  <c r="BI78" i="47"/>
  <c r="BF78" i="47"/>
  <c r="BC78" i="47"/>
  <c r="AZ78" i="47"/>
  <c r="AW78" i="47"/>
  <c r="AT78" i="47"/>
  <c r="AQ78" i="47"/>
  <c r="AN78" i="47"/>
  <c r="AK78" i="47"/>
  <c r="AH78" i="47"/>
  <c r="AE78" i="47"/>
  <c r="AB78" i="47"/>
  <c r="Y78" i="47"/>
  <c r="V78" i="47"/>
  <c r="S78" i="47"/>
  <c r="P78" i="47"/>
  <c r="M78" i="47"/>
  <c r="J78" i="47"/>
  <c r="IW77" i="47"/>
  <c r="IH77" i="47"/>
  <c r="IF77" i="47"/>
  <c r="ID77" i="47"/>
  <c r="IX77" i="47" s="1"/>
  <c r="AN77" i="47"/>
  <c r="AM77" i="47"/>
  <c r="IX76" i="47"/>
  <c r="IY76" i="47" s="1"/>
  <c r="IW76" i="47"/>
  <c r="IH76" i="47"/>
  <c r="IF76" i="47"/>
  <c r="ID76" i="47"/>
  <c r="AS76" i="47"/>
  <c r="IW75" i="47"/>
  <c r="IH75" i="47"/>
  <c r="IF75" i="47"/>
  <c r="ID75" i="47"/>
  <c r="IX75" i="47" s="1"/>
  <c r="IY75" i="47" s="1"/>
  <c r="HF75" i="47"/>
  <c r="HC75" i="47"/>
  <c r="GZ75" i="47"/>
  <c r="GW75" i="47"/>
  <c r="GT75" i="47"/>
  <c r="GQ75" i="47"/>
  <c r="GN75" i="47"/>
  <c r="GK75" i="47"/>
  <c r="GH75" i="47"/>
  <c r="GE75" i="47"/>
  <c r="GB75" i="47"/>
  <c r="FY75" i="47"/>
  <c r="FV75" i="47"/>
  <c r="FS75" i="47"/>
  <c r="FP75" i="47"/>
  <c r="FM75" i="47"/>
  <c r="FJ75" i="47"/>
  <c r="FG75" i="47"/>
  <c r="FD75" i="47"/>
  <c r="FA75" i="47"/>
  <c r="EX75" i="47"/>
  <c r="EU75" i="47"/>
  <c r="ER75" i="47"/>
  <c r="EO75" i="47"/>
  <c r="EL75" i="47"/>
  <c r="EI75" i="47"/>
  <c r="EF75" i="47"/>
  <c r="EC75" i="47"/>
  <c r="DZ75" i="47"/>
  <c r="DW75" i="47"/>
  <c r="DT75" i="47"/>
  <c r="DQ75" i="47"/>
  <c r="DN75" i="47"/>
  <c r="DK75" i="47"/>
  <c r="DH75" i="47"/>
  <c r="DE75" i="47"/>
  <c r="DB75" i="47"/>
  <c r="CY75" i="47"/>
  <c r="CV75" i="47"/>
  <c r="CS75" i="47"/>
  <c r="CP75" i="47"/>
  <c r="CM75" i="47"/>
  <c r="CJ75" i="47"/>
  <c r="CG75" i="47"/>
  <c r="CD75" i="47"/>
  <c r="CA75" i="47"/>
  <c r="BX75" i="47"/>
  <c r="BU75" i="47"/>
  <c r="BR75" i="47"/>
  <c r="BO75" i="47"/>
  <c r="BL75" i="47"/>
  <c r="BI75" i="47"/>
  <c r="BF75" i="47"/>
  <c r="BC75" i="47"/>
  <c r="AZ75" i="47"/>
  <c r="AW75" i="47"/>
  <c r="AT75" i="47"/>
  <c r="AQ75" i="47"/>
  <c r="AN75" i="47"/>
  <c r="AK75" i="47"/>
  <c r="AH75" i="47"/>
  <c r="AE75" i="47"/>
  <c r="AB75" i="47"/>
  <c r="Y75" i="47"/>
  <c r="V75" i="47"/>
  <c r="S75" i="47"/>
  <c r="P75" i="47"/>
  <c r="M75" i="47"/>
  <c r="J75" i="47"/>
  <c r="I75" i="47"/>
  <c r="IX74" i="47"/>
  <c r="IW74" i="47"/>
  <c r="IY74" i="47" s="1"/>
  <c r="IJ74" i="47"/>
  <c r="IH74" i="47"/>
  <c r="IF74" i="47"/>
  <c r="ID74" i="47"/>
  <c r="HX74" i="47"/>
  <c r="HF74" i="47"/>
  <c r="HC74" i="47"/>
  <c r="GZ74" i="47"/>
  <c r="GW74" i="47"/>
  <c r="GT74" i="47"/>
  <c r="GQ74" i="47"/>
  <c r="GN74" i="47"/>
  <c r="GK74" i="47"/>
  <c r="GH74" i="47"/>
  <c r="GE74" i="47"/>
  <c r="GB74" i="47"/>
  <c r="FY74" i="47"/>
  <c r="FV74" i="47"/>
  <c r="FS74" i="47"/>
  <c r="FP74" i="47"/>
  <c r="FM74" i="47"/>
  <c r="FJ74" i="47"/>
  <c r="FG74" i="47"/>
  <c r="FD74" i="47"/>
  <c r="FA74" i="47"/>
  <c r="EX74" i="47"/>
  <c r="EU74" i="47"/>
  <c r="ER74" i="47"/>
  <c r="EO74" i="47"/>
  <c r="EL74" i="47"/>
  <c r="EI74" i="47"/>
  <c r="EF74" i="47"/>
  <c r="EC74" i="47"/>
  <c r="DZ74" i="47"/>
  <c r="DW74" i="47"/>
  <c r="DT74" i="47"/>
  <c r="DQ74" i="47"/>
  <c r="DP74" i="47"/>
  <c r="CX74" i="47"/>
  <c r="BC74" i="47"/>
  <c r="BB74" i="47"/>
  <c r="AZ74" i="47"/>
  <c r="AY74" i="47"/>
  <c r="AW74" i="47"/>
  <c r="AV74" i="47"/>
  <c r="IX73" i="47"/>
  <c r="IW73" i="47"/>
  <c r="IY73" i="47" s="1"/>
  <c r="IJ73" i="47"/>
  <c r="IH73" i="47"/>
  <c r="IF73" i="47"/>
  <c r="ID73" i="47"/>
  <c r="HF73" i="47"/>
  <c r="HC73" i="47"/>
  <c r="GZ73" i="47"/>
  <c r="GW73" i="47"/>
  <c r="GT73" i="47"/>
  <c r="GQ73" i="47"/>
  <c r="GN73" i="47"/>
  <c r="GK73" i="47"/>
  <c r="GH73" i="47"/>
  <c r="GE73" i="47"/>
  <c r="GB73" i="47"/>
  <c r="FY73" i="47"/>
  <c r="FV73" i="47"/>
  <c r="FS73" i="47"/>
  <c r="FP73" i="47"/>
  <c r="FM73" i="47"/>
  <c r="FJ73" i="47"/>
  <c r="FG73" i="47"/>
  <c r="FD73" i="47"/>
  <c r="FA73" i="47"/>
  <c r="EX73" i="47"/>
  <c r="EU73" i="47"/>
  <c r="ER73" i="47"/>
  <c r="EO73" i="47"/>
  <c r="EL73" i="47"/>
  <c r="EI73" i="47"/>
  <c r="EF73" i="47"/>
  <c r="EC73" i="47"/>
  <c r="DZ73" i="47"/>
  <c r="DW73" i="47"/>
  <c r="DT73" i="47"/>
  <c r="DQ73" i="47"/>
  <c r="DN73" i="47"/>
  <c r="DK73" i="47"/>
  <c r="DH73" i="47"/>
  <c r="DE73" i="47"/>
  <c r="DB73" i="47"/>
  <c r="CY73" i="47"/>
  <c r="CV73" i="47"/>
  <c r="CS73" i="47"/>
  <c r="CP73" i="47"/>
  <c r="CM73" i="47"/>
  <c r="CJ73" i="47"/>
  <c r="CG73" i="47"/>
  <c r="CD73" i="47"/>
  <c r="CA73" i="47"/>
  <c r="BX73" i="47"/>
  <c r="BU73" i="47"/>
  <c r="BR73" i="47"/>
  <c r="BO73" i="47"/>
  <c r="BL73" i="47"/>
  <c r="BI73" i="47"/>
  <c r="BF73" i="47"/>
  <c r="BC73" i="47"/>
  <c r="AZ73" i="47"/>
  <c r="AW73" i="47"/>
  <c r="AT73" i="47"/>
  <c r="AS73" i="47"/>
  <c r="AQ73" i="47"/>
  <c r="AN73" i="47"/>
  <c r="AK73" i="47"/>
  <c r="AH73" i="47"/>
  <c r="AE73" i="47"/>
  <c r="AB73" i="47"/>
  <c r="Y73" i="47"/>
  <c r="V73" i="47"/>
  <c r="S73" i="47"/>
  <c r="P73" i="47"/>
  <c r="O73" i="47"/>
  <c r="G73" i="47"/>
  <c r="D73" i="47"/>
  <c r="IX72" i="47"/>
  <c r="IW72" i="47"/>
  <c r="IY72" i="47" s="1"/>
  <c r="IJ72" i="47"/>
  <c r="IH72" i="47"/>
  <c r="IF72" i="47"/>
  <c r="ID72" i="47"/>
  <c r="HF72" i="47"/>
  <c r="HC72" i="47"/>
  <c r="GZ72" i="47"/>
  <c r="GW72" i="47"/>
  <c r="GT72" i="47"/>
  <c r="GQ72" i="47"/>
  <c r="GN72" i="47"/>
  <c r="GK72" i="47"/>
  <c r="GH72" i="47"/>
  <c r="GE72" i="47"/>
  <c r="GB72" i="47"/>
  <c r="FY72" i="47"/>
  <c r="FV72" i="47"/>
  <c r="FS72" i="47"/>
  <c r="FP72" i="47"/>
  <c r="FM72" i="47"/>
  <c r="FJ72" i="47"/>
  <c r="FG72" i="47"/>
  <c r="FD72" i="47"/>
  <c r="FA72" i="47"/>
  <c r="EX72" i="47"/>
  <c r="EU72" i="47"/>
  <c r="ER72" i="47"/>
  <c r="EO72" i="47"/>
  <c r="EL72" i="47"/>
  <c r="EI72" i="47"/>
  <c r="EF72" i="47"/>
  <c r="EC72" i="47"/>
  <c r="DZ72" i="47"/>
  <c r="DW72" i="47"/>
  <c r="DT72" i="47"/>
  <c r="DQ72" i="47"/>
  <c r="DN72" i="47"/>
  <c r="DK72" i="47"/>
  <c r="DH72" i="47"/>
  <c r="DE72" i="47"/>
  <c r="DB72" i="47"/>
  <c r="CY72" i="47"/>
  <c r="CV72" i="47"/>
  <c r="CS72" i="47"/>
  <c r="CP72" i="47"/>
  <c r="CM72" i="47"/>
  <c r="CJ72" i="47"/>
  <c r="CG72" i="47"/>
  <c r="CD72" i="47"/>
  <c r="CA72" i="47"/>
  <c r="BX72" i="47"/>
  <c r="BU72" i="47"/>
  <c r="BR72" i="47"/>
  <c r="BO72" i="47"/>
  <c r="BL72" i="47"/>
  <c r="BI72" i="47"/>
  <c r="BF72" i="47"/>
  <c r="BC72" i="47"/>
  <c r="AZ72" i="47"/>
  <c r="AW72" i="47"/>
  <c r="AT72" i="47"/>
  <c r="AS72" i="47"/>
  <c r="AQ72" i="47"/>
  <c r="AN72" i="47"/>
  <c r="AK72" i="47"/>
  <c r="AH72" i="47"/>
  <c r="AE72" i="47"/>
  <c r="AB72" i="47"/>
  <c r="Y72" i="47"/>
  <c r="V72" i="47"/>
  <c r="S72" i="47"/>
  <c r="P72" i="47"/>
  <c r="M72" i="47"/>
  <c r="J72" i="47"/>
  <c r="G72" i="47"/>
  <c r="IW71" i="47"/>
  <c r="IJ71" i="47"/>
  <c r="IH71" i="47"/>
  <c r="IF71" i="47"/>
  <c r="ID71" i="47"/>
  <c r="IX71" i="47" s="1"/>
  <c r="HF71" i="47"/>
  <c r="HC71" i="47"/>
  <c r="GZ71" i="47"/>
  <c r="GW71" i="47"/>
  <c r="GT71" i="47"/>
  <c r="GQ71" i="47"/>
  <c r="GN71" i="47"/>
  <c r="GK71" i="47"/>
  <c r="GH71" i="47"/>
  <c r="GE71" i="47"/>
  <c r="GB71" i="47"/>
  <c r="FY71" i="47"/>
  <c r="FV71" i="47"/>
  <c r="FS71" i="47"/>
  <c r="FP71" i="47"/>
  <c r="FM71" i="47"/>
  <c r="FJ71" i="47"/>
  <c r="FG71" i="47"/>
  <c r="FD71" i="47"/>
  <c r="FA71" i="47"/>
  <c r="EX71" i="47"/>
  <c r="EU71" i="47"/>
  <c r="ER71" i="47"/>
  <c r="EO71" i="47"/>
  <c r="EL71" i="47"/>
  <c r="EI71" i="47"/>
  <c r="EF71" i="47"/>
  <c r="EC71" i="47"/>
  <c r="DZ71" i="47"/>
  <c r="DW71" i="47"/>
  <c r="DT71" i="47"/>
  <c r="DQ71" i="47"/>
  <c r="DN71" i="47"/>
  <c r="DK71" i="47"/>
  <c r="DH71" i="47"/>
  <c r="DE71" i="47"/>
  <c r="DB71" i="47"/>
  <c r="CY71" i="47"/>
  <c r="CV71" i="47"/>
  <c r="CS71" i="47"/>
  <c r="CP71" i="47"/>
  <c r="CM71" i="47"/>
  <c r="CJ71" i="47"/>
  <c r="CG71" i="47"/>
  <c r="CD71" i="47"/>
  <c r="CA71" i="47"/>
  <c r="BX71" i="47"/>
  <c r="BU71" i="47"/>
  <c r="BR71" i="47"/>
  <c r="BL71" i="47"/>
  <c r="BK71" i="47"/>
  <c r="IX70" i="47"/>
  <c r="IY70" i="47" s="1"/>
  <c r="IW70" i="47"/>
  <c r="IJ70" i="47"/>
  <c r="IH70" i="47"/>
  <c r="IF70" i="47"/>
  <c r="ID70" i="47"/>
  <c r="HZ70" i="47"/>
  <c r="HX70" i="47"/>
  <c r="HF70" i="47"/>
  <c r="HC70" i="47"/>
  <c r="GZ70" i="47"/>
  <c r="GW70" i="47"/>
  <c r="GT70" i="47"/>
  <c r="GQ70" i="47"/>
  <c r="GN70" i="47"/>
  <c r="GK70" i="47"/>
  <c r="GH70" i="47"/>
  <c r="GE70" i="47"/>
  <c r="GB70" i="47"/>
  <c r="FY70" i="47"/>
  <c r="FV70" i="47"/>
  <c r="FS70" i="47"/>
  <c r="FP70" i="47"/>
  <c r="FM70" i="47"/>
  <c r="FJ70" i="47"/>
  <c r="FG70" i="47"/>
  <c r="FD70" i="47"/>
  <c r="FA70" i="47"/>
  <c r="EX70" i="47"/>
  <c r="EU70" i="47"/>
  <c r="ER70" i="47"/>
  <c r="EO70" i="47"/>
  <c r="EL70" i="47"/>
  <c r="EI70" i="47"/>
  <c r="EF70" i="47"/>
  <c r="EC70" i="47"/>
  <c r="DZ70" i="47"/>
  <c r="DW70" i="47"/>
  <c r="DT70" i="47"/>
  <c r="DQ70" i="47"/>
  <c r="DN70" i="47"/>
  <c r="DK70" i="47"/>
  <c r="DH70" i="47"/>
  <c r="DE70" i="47"/>
  <c r="DB70" i="47"/>
  <c r="CY70" i="47"/>
  <c r="CV70" i="47"/>
  <c r="CS70" i="47"/>
  <c r="CP70" i="47"/>
  <c r="CM70" i="47"/>
  <c r="CJ70" i="47"/>
  <c r="CG70" i="47"/>
  <c r="CD70" i="47"/>
  <c r="CA70" i="47"/>
  <c r="BX70" i="47"/>
  <c r="BU70" i="47"/>
  <c r="BR70" i="47"/>
  <c r="BO70" i="47"/>
  <c r="BL70" i="47"/>
  <c r="BI70" i="47"/>
  <c r="BF70" i="47"/>
  <c r="BC70" i="47"/>
  <c r="AZ70" i="47"/>
  <c r="AW70" i="47"/>
  <c r="AT70" i="47"/>
  <c r="AQ70" i="47"/>
  <c r="AN70" i="47"/>
  <c r="AK70" i="47"/>
  <c r="AH70" i="47"/>
  <c r="AE70" i="47"/>
  <c r="AB70" i="47"/>
  <c r="Y70" i="47"/>
  <c r="V70" i="47"/>
  <c r="S70" i="47"/>
  <c r="P70" i="47"/>
  <c r="M70" i="47"/>
  <c r="J70" i="47"/>
  <c r="IW69" i="47"/>
  <c r="IJ69" i="47"/>
  <c r="IH69" i="47"/>
  <c r="IF69" i="47"/>
  <c r="ID69" i="47"/>
  <c r="IX69" i="47" s="1"/>
  <c r="HF69" i="47"/>
  <c r="HC69" i="47"/>
  <c r="GZ69" i="47"/>
  <c r="GW69" i="47"/>
  <c r="GT69" i="47"/>
  <c r="GQ69" i="47"/>
  <c r="GN69" i="47"/>
  <c r="GK69" i="47"/>
  <c r="GH69" i="47"/>
  <c r="GE69" i="47"/>
  <c r="IX68" i="47"/>
  <c r="IW68" i="47"/>
  <c r="IY68" i="47" s="1"/>
  <c r="IJ68" i="47"/>
  <c r="IH68" i="47"/>
  <c r="IF68" i="47"/>
  <c r="ID68" i="47"/>
  <c r="HF68" i="47"/>
  <c r="HC68" i="47"/>
  <c r="GZ68" i="47"/>
  <c r="GW68" i="47"/>
  <c r="GT68" i="47"/>
  <c r="GQ68" i="47"/>
  <c r="GN68" i="47"/>
  <c r="GK68" i="47"/>
  <c r="GH68" i="47"/>
  <c r="GE68" i="47"/>
  <c r="GB68" i="47"/>
  <c r="FY68" i="47"/>
  <c r="FV68" i="47"/>
  <c r="FS68" i="47"/>
  <c r="FP68" i="47"/>
  <c r="FM68" i="47"/>
  <c r="FJ68" i="47"/>
  <c r="FG68" i="47"/>
  <c r="FD68" i="47"/>
  <c r="FA68" i="47"/>
  <c r="EX68" i="47"/>
  <c r="EU68" i="47"/>
  <c r="ER68" i="47"/>
  <c r="EO68" i="47"/>
  <c r="EL68" i="47"/>
  <c r="EI68" i="47"/>
  <c r="EF68" i="47"/>
  <c r="EC68" i="47"/>
  <c r="DZ68" i="47"/>
  <c r="DW68" i="47"/>
  <c r="DT68" i="47"/>
  <c r="DQ68" i="47"/>
  <c r="DN68" i="47"/>
  <c r="DK68" i="47"/>
  <c r="DH68" i="47"/>
  <c r="DG68" i="47"/>
  <c r="DE68" i="47"/>
  <c r="DB68" i="47"/>
  <c r="CY68" i="47"/>
  <c r="CV68" i="47"/>
  <c r="CS68" i="47"/>
  <c r="CP68" i="47"/>
  <c r="CM68" i="47"/>
  <c r="CJ68" i="47"/>
  <c r="CG68" i="47"/>
  <c r="CD68" i="47"/>
  <c r="CA68" i="47"/>
  <c r="BX68" i="47"/>
  <c r="BW68" i="47"/>
  <c r="IW67" i="47"/>
  <c r="IY67" i="47" s="1"/>
  <c r="IJ67" i="47"/>
  <c r="IH67" i="47"/>
  <c r="IF67" i="47"/>
  <c r="ID67" i="47"/>
  <c r="IX67" i="47" s="1"/>
  <c r="HF67" i="47"/>
  <c r="HC67" i="47"/>
  <c r="GZ67" i="47"/>
  <c r="GW67" i="47"/>
  <c r="GT67" i="47"/>
  <c r="GQ67" i="47"/>
  <c r="GN67" i="47"/>
  <c r="GK67" i="47"/>
  <c r="GH67" i="47"/>
  <c r="GE67" i="47"/>
  <c r="GB67" i="47"/>
  <c r="FY67" i="47"/>
  <c r="FV67" i="47"/>
  <c r="FS67" i="47"/>
  <c r="FP67" i="47"/>
  <c r="FM67" i="47"/>
  <c r="FJ67" i="47"/>
  <c r="FG67" i="47"/>
  <c r="FD67" i="47"/>
  <c r="FA67" i="47"/>
  <c r="EX67" i="47"/>
  <c r="EU67" i="47"/>
  <c r="ER67" i="47"/>
  <c r="EO67" i="47"/>
  <c r="EL67" i="47"/>
  <c r="EI67" i="47"/>
  <c r="EF67" i="47"/>
  <c r="EC67" i="47"/>
  <c r="DZ67" i="47"/>
  <c r="DW67" i="47"/>
  <c r="DT67" i="47"/>
  <c r="DQ67" i="47"/>
  <c r="DN67" i="47"/>
  <c r="DK67" i="47"/>
  <c r="DH67" i="47"/>
  <c r="DE67" i="47"/>
  <c r="DB67" i="47"/>
  <c r="CY67" i="47"/>
  <c r="CV67" i="47"/>
  <c r="CS67" i="47"/>
  <c r="CP67" i="47"/>
  <c r="CM67" i="47"/>
  <c r="CJ67" i="47"/>
  <c r="CG67" i="47"/>
  <c r="CD67" i="47"/>
  <c r="CA67" i="47"/>
  <c r="BX67" i="47"/>
  <c r="BU67" i="47"/>
  <c r="BR67" i="47"/>
  <c r="BO67" i="47"/>
  <c r="BL67" i="47"/>
  <c r="BI67" i="47"/>
  <c r="BF67" i="47"/>
  <c r="BC67" i="47"/>
  <c r="AZ67" i="47"/>
  <c r="AW67" i="47"/>
  <c r="AT67" i="47"/>
  <c r="AQ67" i="47"/>
  <c r="AN67" i="47"/>
  <c r="AK67" i="47"/>
  <c r="AH67" i="47"/>
  <c r="AE67" i="47"/>
  <c r="AB67" i="47"/>
  <c r="Y67" i="47"/>
  <c r="V67" i="47"/>
  <c r="S67" i="47"/>
  <c r="P67" i="47"/>
  <c r="M67" i="47"/>
  <c r="J67" i="47"/>
  <c r="IX66" i="47"/>
  <c r="IW66" i="47"/>
  <c r="IY66" i="47" s="1"/>
  <c r="IJ66" i="47"/>
  <c r="IH66" i="47"/>
  <c r="IF66" i="47"/>
  <c r="ID66" i="47"/>
  <c r="HF66" i="47"/>
  <c r="HC66" i="47"/>
  <c r="GZ66" i="47"/>
  <c r="GW66" i="47"/>
  <c r="GT66" i="47"/>
  <c r="GQ66" i="47"/>
  <c r="GN66" i="47"/>
  <c r="GK66" i="47"/>
  <c r="GH66" i="47"/>
  <c r="GE66" i="47"/>
  <c r="GB66" i="47"/>
  <c r="FY66" i="47"/>
  <c r="FV66" i="47"/>
  <c r="FS66" i="47"/>
  <c r="FP66" i="47"/>
  <c r="FM66" i="47"/>
  <c r="FJ66" i="47"/>
  <c r="FG66" i="47"/>
  <c r="FD66" i="47"/>
  <c r="FA66" i="47"/>
  <c r="EX66" i="47"/>
  <c r="EU66" i="47"/>
  <c r="ER66" i="47"/>
  <c r="EO66" i="47"/>
  <c r="EL66" i="47"/>
  <c r="EI66" i="47"/>
  <c r="EF66" i="47"/>
  <c r="EC66" i="47"/>
  <c r="DZ66" i="47"/>
  <c r="DW66" i="47"/>
  <c r="DT66" i="47"/>
  <c r="DQ66" i="47"/>
  <c r="DN66" i="47"/>
  <c r="DK66" i="47"/>
  <c r="DH66" i="47"/>
  <c r="DE66" i="47"/>
  <c r="DB66" i="47"/>
  <c r="CY66" i="47"/>
  <c r="CV66" i="47"/>
  <c r="CS66" i="47"/>
  <c r="CP66" i="47"/>
  <c r="CM66" i="47"/>
  <c r="CJ66" i="47"/>
  <c r="CG66" i="47"/>
  <c r="CD66" i="47"/>
  <c r="CA66" i="47"/>
  <c r="BX66" i="47"/>
  <c r="BU66" i="47"/>
  <c r="BR66" i="47"/>
  <c r="BO66" i="47"/>
  <c r="BL66" i="47"/>
  <c r="BI66" i="47"/>
  <c r="BF66" i="47"/>
  <c r="BE66" i="47"/>
  <c r="IW65" i="47"/>
  <c r="IJ65" i="47"/>
  <c r="IH65" i="47"/>
  <c r="IF65" i="47"/>
  <c r="ID65" i="47"/>
  <c r="IX65" i="47" s="1"/>
  <c r="IY65" i="47" s="1"/>
  <c r="HT65" i="47"/>
  <c r="IW64" i="47"/>
  <c r="IL64" i="47"/>
  <c r="IJ64" i="47"/>
  <c r="IH64" i="47"/>
  <c r="IF64" i="47"/>
  <c r="ID64" i="47"/>
  <c r="IX64" i="47" s="1"/>
  <c r="HF64" i="47"/>
  <c r="HC64" i="47"/>
  <c r="GZ64" i="47"/>
  <c r="GW64" i="47"/>
  <c r="GT64" i="47"/>
  <c r="GQ64" i="47"/>
  <c r="GN64" i="47"/>
  <c r="GK64" i="47"/>
  <c r="GH64" i="47"/>
  <c r="GE64" i="47"/>
  <c r="GB64" i="47"/>
  <c r="FY64" i="47"/>
  <c r="FV64" i="47"/>
  <c r="FS64" i="47"/>
  <c r="FP64" i="47"/>
  <c r="FM64" i="47"/>
  <c r="FJ64" i="47"/>
  <c r="FG64" i="47"/>
  <c r="FD64" i="47"/>
  <c r="FA64" i="47"/>
  <c r="EX64" i="47"/>
  <c r="EU64" i="47"/>
  <c r="ER64" i="47"/>
  <c r="EO64" i="47"/>
  <c r="EL64" i="47"/>
  <c r="EI64" i="47"/>
  <c r="EF64" i="47"/>
  <c r="EC64" i="47"/>
  <c r="DZ64" i="47"/>
  <c r="DW64" i="47"/>
  <c r="DT64" i="47"/>
  <c r="DQ64" i="47"/>
  <c r="DN64" i="47"/>
  <c r="DK64" i="47"/>
  <c r="DH64" i="47"/>
  <c r="DE64" i="47"/>
  <c r="DB64" i="47"/>
  <c r="CY64" i="47"/>
  <c r="CV64" i="47"/>
  <c r="CS64" i="47"/>
  <c r="CP64" i="47"/>
  <c r="CM64" i="47"/>
  <c r="CJ64" i="47"/>
  <c r="CG64" i="47"/>
  <c r="CD64" i="47"/>
  <c r="CA64" i="47"/>
  <c r="BX64" i="47"/>
  <c r="BU64" i="47"/>
  <c r="BR64" i="47"/>
  <c r="BO64" i="47"/>
  <c r="BL64" i="47"/>
  <c r="BI64" i="47"/>
  <c r="BF64" i="47"/>
  <c r="BC64" i="47"/>
  <c r="AZ64" i="47"/>
  <c r="AW64" i="47"/>
  <c r="AT64" i="47"/>
  <c r="AQ64" i="47"/>
  <c r="AN64" i="47"/>
  <c r="AK64" i="47"/>
  <c r="AH64" i="47"/>
  <c r="AE64" i="47"/>
  <c r="AB64" i="47"/>
  <c r="Y64" i="47"/>
  <c r="V64" i="47"/>
  <c r="U64" i="47"/>
  <c r="IW63" i="47"/>
  <c r="IL63" i="47"/>
  <c r="IJ63" i="47"/>
  <c r="IH63" i="47"/>
  <c r="IF63" i="47"/>
  <c r="ID63" i="47"/>
  <c r="IX63" i="47" s="1"/>
  <c r="HF63" i="47"/>
  <c r="HC63" i="47"/>
  <c r="GZ63" i="47"/>
  <c r="GW63" i="47"/>
  <c r="GT63" i="47"/>
  <c r="GQ63" i="47"/>
  <c r="GN63" i="47"/>
  <c r="GK63" i="47"/>
  <c r="GH63" i="47"/>
  <c r="GE63" i="47"/>
  <c r="GB63" i="47"/>
  <c r="FY63" i="47"/>
  <c r="FV63" i="47"/>
  <c r="FS63" i="47"/>
  <c r="FP63" i="47"/>
  <c r="FM63" i="47"/>
  <c r="FJ63" i="47"/>
  <c r="FG63" i="47"/>
  <c r="FD63" i="47"/>
  <c r="FA63" i="47"/>
  <c r="EX63" i="47"/>
  <c r="EU63" i="47"/>
  <c r="ER63" i="47"/>
  <c r="EO63" i="47"/>
  <c r="EL63" i="47"/>
  <c r="EI63" i="47"/>
  <c r="EF63" i="47"/>
  <c r="EC63" i="47"/>
  <c r="DZ63" i="47"/>
  <c r="DW63" i="47"/>
  <c r="DT63" i="47"/>
  <c r="DQ63" i="47"/>
  <c r="DN63" i="47"/>
  <c r="DK63" i="47"/>
  <c r="DH63" i="47"/>
  <c r="DE63" i="47"/>
  <c r="DB63" i="47"/>
  <c r="CY63" i="47"/>
  <c r="CX63" i="47"/>
  <c r="Y63" i="47"/>
  <c r="X63" i="47"/>
  <c r="IX62" i="47"/>
  <c r="IW62" i="47"/>
  <c r="IY62" i="47" s="1"/>
  <c r="IL62" i="47"/>
  <c r="IJ62" i="47"/>
  <c r="IH62" i="47"/>
  <c r="IF62" i="47"/>
  <c r="ID62" i="47"/>
  <c r="HF62" i="47"/>
  <c r="HC62" i="47"/>
  <c r="GZ62" i="47"/>
  <c r="GW62" i="47"/>
  <c r="GT62" i="47"/>
  <c r="GQ62" i="47"/>
  <c r="GN62" i="47"/>
  <c r="GK62" i="47"/>
  <c r="GH62" i="47"/>
  <c r="GE62" i="47"/>
  <c r="GB62" i="47"/>
  <c r="FY62" i="47"/>
  <c r="FV62" i="47"/>
  <c r="FS62" i="47"/>
  <c r="FP62" i="47"/>
  <c r="FM62" i="47"/>
  <c r="FJ62" i="47"/>
  <c r="FG62" i="47"/>
  <c r="FD62" i="47"/>
  <c r="FA62" i="47"/>
  <c r="EX62" i="47"/>
  <c r="EU62" i="47"/>
  <c r="ER62" i="47"/>
  <c r="EO62" i="47"/>
  <c r="EL62" i="47"/>
  <c r="EI62" i="47"/>
  <c r="EF62" i="47"/>
  <c r="EC62" i="47"/>
  <c r="DZ62" i="47"/>
  <c r="DW62" i="47"/>
  <c r="DT62" i="47"/>
  <c r="DQ62" i="47"/>
  <c r="DN62" i="47"/>
  <c r="DK62" i="47"/>
  <c r="DH62" i="47"/>
  <c r="DE62" i="47"/>
  <c r="DB62" i="47"/>
  <c r="CY62" i="47"/>
  <c r="CV62" i="47"/>
  <c r="CS62" i="47"/>
  <c r="CP62" i="47"/>
  <c r="CM62" i="47"/>
  <c r="CJ62" i="47"/>
  <c r="CG62" i="47"/>
  <c r="CD62" i="47"/>
  <c r="CA62" i="47"/>
  <c r="BX62" i="47"/>
  <c r="BU62" i="47"/>
  <c r="BR62" i="47"/>
  <c r="BO62" i="47"/>
  <c r="BL62" i="47"/>
  <c r="BI62" i="47"/>
  <c r="BF62" i="47"/>
  <c r="BC62" i="47"/>
  <c r="AZ62" i="47"/>
  <c r="AW62" i="47"/>
  <c r="AT62" i="47"/>
  <c r="AQ62" i="47"/>
  <c r="AN62" i="47"/>
  <c r="AK62" i="47"/>
  <c r="AH62" i="47"/>
  <c r="AE62" i="47"/>
  <c r="AB62" i="47"/>
  <c r="Y62" i="47"/>
  <c r="V62" i="47"/>
  <c r="S62" i="47"/>
  <c r="P62" i="47"/>
  <c r="M62" i="47"/>
  <c r="J62" i="47"/>
  <c r="IX61" i="47"/>
  <c r="IY61" i="47" s="1"/>
  <c r="IW61" i="47"/>
  <c r="IL61" i="47"/>
  <c r="IJ61" i="47"/>
  <c r="IH61" i="47"/>
  <c r="IF61" i="47"/>
  <c r="ID61" i="47"/>
  <c r="HX61" i="47"/>
  <c r="HF61" i="47"/>
  <c r="HC61" i="47"/>
  <c r="GZ61" i="47"/>
  <c r="GW61" i="47"/>
  <c r="GT61" i="47"/>
  <c r="GQ61" i="47"/>
  <c r="GN61" i="47"/>
  <c r="GK61" i="47"/>
  <c r="IW60" i="47"/>
  <c r="IL60" i="47"/>
  <c r="IJ60" i="47"/>
  <c r="IH60" i="47"/>
  <c r="IF60" i="47"/>
  <c r="ID60" i="47"/>
  <c r="IX60" i="47" s="1"/>
  <c r="IY60" i="47" s="1"/>
  <c r="HF60" i="47"/>
  <c r="HC60" i="47"/>
  <c r="GZ60" i="47"/>
  <c r="GW60" i="47"/>
  <c r="GT60" i="47"/>
  <c r="GQ60" i="47"/>
  <c r="GN60" i="47"/>
  <c r="GK60" i="47"/>
  <c r="GH60" i="47"/>
  <c r="GE60" i="47"/>
  <c r="GB60" i="47"/>
  <c r="FY60" i="47"/>
  <c r="FV60" i="47"/>
  <c r="FS60" i="47"/>
  <c r="FP60" i="47"/>
  <c r="FM60" i="47"/>
  <c r="FJ60" i="47"/>
  <c r="FG60" i="47"/>
  <c r="FD60" i="47"/>
  <c r="FA60" i="47"/>
  <c r="EX60" i="47"/>
  <c r="EU60" i="47"/>
  <c r="ER60" i="47"/>
  <c r="EO60" i="47"/>
  <c r="EL60" i="47"/>
  <c r="EI60" i="47"/>
  <c r="EF60" i="47"/>
  <c r="EC60" i="47"/>
  <c r="DZ60" i="47"/>
  <c r="DW60" i="47"/>
  <c r="DT60" i="47"/>
  <c r="DQ60" i="47"/>
  <c r="DN60" i="47"/>
  <c r="DK60" i="47"/>
  <c r="DH60" i="47"/>
  <c r="DE60" i="47"/>
  <c r="DB60" i="47"/>
  <c r="CY60" i="47"/>
  <c r="CV60" i="47"/>
  <c r="CS60" i="47"/>
  <c r="CP60" i="47"/>
  <c r="CM60" i="47"/>
  <c r="CJ60" i="47"/>
  <c r="CG60" i="47"/>
  <c r="CD60" i="47"/>
  <c r="CA60" i="47"/>
  <c r="BX60" i="47"/>
  <c r="BU60" i="47"/>
  <c r="BR60" i="47"/>
  <c r="BQ60" i="47"/>
  <c r="IW59" i="47"/>
  <c r="IY59" i="47" s="1"/>
  <c r="IL59" i="47"/>
  <c r="IJ59" i="47"/>
  <c r="IH59" i="47"/>
  <c r="IF59" i="47"/>
  <c r="ID59" i="47"/>
  <c r="IX59" i="47" s="1"/>
  <c r="HF59" i="47"/>
  <c r="HC59" i="47"/>
  <c r="GZ59" i="47"/>
  <c r="GW59" i="47"/>
  <c r="GT59" i="47"/>
  <c r="GQ59" i="47"/>
  <c r="GN59" i="47"/>
  <c r="GK59" i="47"/>
  <c r="GH59" i="47"/>
  <c r="GE59" i="47"/>
  <c r="GB59" i="47"/>
  <c r="FY59" i="47"/>
  <c r="FV59" i="47"/>
  <c r="FS59" i="47"/>
  <c r="FP59" i="47"/>
  <c r="FM59" i="47"/>
  <c r="FJ59" i="47"/>
  <c r="FG59" i="47"/>
  <c r="FD59" i="47"/>
  <c r="FA59" i="47"/>
  <c r="EX59" i="47"/>
  <c r="EU59" i="47"/>
  <c r="ER59" i="47"/>
  <c r="EO59" i="47"/>
  <c r="EL59" i="47"/>
  <c r="EI59" i="47"/>
  <c r="EF59" i="47"/>
  <c r="EC59" i="47"/>
  <c r="DZ59" i="47"/>
  <c r="DW59" i="47"/>
  <c r="DT59" i="47"/>
  <c r="DQ59" i="47"/>
  <c r="DN59" i="47"/>
  <c r="DK59" i="47"/>
  <c r="DH59" i="47"/>
  <c r="DE59" i="47"/>
  <c r="DB59" i="47"/>
  <c r="CY59" i="47"/>
  <c r="CV59" i="47"/>
  <c r="CS59" i="47"/>
  <c r="CP59" i="47"/>
  <c r="CM59" i="47"/>
  <c r="CJ59" i="47"/>
  <c r="CG59" i="47"/>
  <c r="CD59" i="47"/>
  <c r="CA59" i="47"/>
  <c r="BX59" i="47"/>
  <c r="BU59" i="47"/>
  <c r="BR59" i="47"/>
  <c r="BL59" i="47"/>
  <c r="BK59" i="47"/>
  <c r="IW58" i="47"/>
  <c r="IN58" i="47"/>
  <c r="IL58" i="47"/>
  <c r="IJ58" i="47"/>
  <c r="IH58" i="47"/>
  <c r="IF58" i="47"/>
  <c r="ID58" i="47"/>
  <c r="IX58" i="47" s="1"/>
  <c r="HF58" i="47"/>
  <c r="HC58" i="47"/>
  <c r="GZ58" i="47"/>
  <c r="GW58" i="47"/>
  <c r="GT58" i="47"/>
  <c r="GQ58" i="47"/>
  <c r="GN58" i="47"/>
  <c r="GK58" i="47"/>
  <c r="GH58" i="47"/>
  <c r="GE58" i="47"/>
  <c r="GB58" i="47"/>
  <c r="FY58" i="47"/>
  <c r="FV58" i="47"/>
  <c r="FS58" i="47"/>
  <c r="FP58" i="47"/>
  <c r="FM58" i="47"/>
  <c r="FJ58" i="47"/>
  <c r="FG58" i="47"/>
  <c r="FD58" i="47"/>
  <c r="FA58" i="47"/>
  <c r="EX58" i="47"/>
  <c r="EU58" i="47"/>
  <c r="ER58" i="47"/>
  <c r="EO58" i="47"/>
  <c r="EL58" i="47"/>
  <c r="EI58" i="47"/>
  <c r="EF58" i="47"/>
  <c r="EC58" i="47"/>
  <c r="DZ58" i="47"/>
  <c r="DW58" i="47"/>
  <c r="DT58" i="47"/>
  <c r="DQ58" i="47"/>
  <c r="DN58" i="47"/>
  <c r="DK58" i="47"/>
  <c r="DH58" i="47"/>
  <c r="DE58" i="47"/>
  <c r="DB58" i="47"/>
  <c r="CY58" i="47"/>
  <c r="CV58" i="47"/>
  <c r="CS58" i="47"/>
  <c r="CP58" i="47"/>
  <c r="CM58" i="47"/>
  <c r="CJ58" i="47"/>
  <c r="CG58" i="47"/>
  <c r="CD58" i="47"/>
  <c r="CA58" i="47"/>
  <c r="BX58" i="47"/>
  <c r="BU58" i="47"/>
  <c r="BR58" i="47"/>
  <c r="BO58" i="47"/>
  <c r="BL58" i="47"/>
  <c r="BI58" i="47"/>
  <c r="BF58" i="47"/>
  <c r="BC58" i="47"/>
  <c r="AZ58" i="47"/>
  <c r="AW58" i="47"/>
  <c r="AT58" i="47"/>
  <c r="AQ58" i="47"/>
  <c r="AN58" i="47"/>
  <c r="AK58" i="47"/>
  <c r="AH58" i="47"/>
  <c r="AE58" i="47"/>
  <c r="AB58" i="47"/>
  <c r="Y58" i="47"/>
  <c r="V58" i="47"/>
  <c r="S58" i="47"/>
  <c r="P58" i="47"/>
  <c r="M58" i="47"/>
  <c r="J58" i="47"/>
  <c r="IX57" i="47"/>
  <c r="IY57" i="47" s="1"/>
  <c r="IW57" i="47"/>
  <c r="IN57" i="47"/>
  <c r="IL57" i="47"/>
  <c r="IJ57" i="47"/>
  <c r="IH57" i="47"/>
  <c r="IF57" i="47"/>
  <c r="ID57" i="47"/>
  <c r="HF57" i="47"/>
  <c r="HC57" i="47"/>
  <c r="GZ57" i="47"/>
  <c r="GW57" i="47"/>
  <c r="GT57" i="47"/>
  <c r="GQ57" i="47"/>
  <c r="GN57" i="47"/>
  <c r="GK57" i="47"/>
  <c r="GH57" i="47"/>
  <c r="GE57" i="47"/>
  <c r="GB57" i="47"/>
  <c r="FY57" i="47"/>
  <c r="FV57" i="47"/>
  <c r="FS57" i="47"/>
  <c r="FP57" i="47"/>
  <c r="FM57" i="47"/>
  <c r="FJ57" i="47"/>
  <c r="FG57" i="47"/>
  <c r="FD57" i="47"/>
  <c r="FA57" i="47"/>
  <c r="EX57" i="47"/>
  <c r="EU57" i="47"/>
  <c r="ER57" i="47"/>
  <c r="EO57" i="47"/>
  <c r="EL57" i="47"/>
  <c r="EI57" i="47"/>
  <c r="EF57" i="47"/>
  <c r="EC57" i="47"/>
  <c r="DZ57" i="47"/>
  <c r="DW57" i="47"/>
  <c r="DT57" i="47"/>
  <c r="DQ57" i="47"/>
  <c r="DN57" i="47"/>
  <c r="DK57" i="47"/>
  <c r="DH57" i="47"/>
  <c r="DE57" i="47"/>
  <c r="DB57" i="47"/>
  <c r="CY57" i="47"/>
  <c r="CV57" i="47"/>
  <c r="CS57" i="47"/>
  <c r="CP57" i="47"/>
  <c r="CM57" i="47"/>
  <c r="CJ57" i="47"/>
  <c r="CG57" i="47"/>
  <c r="CD57" i="47"/>
  <c r="CA57" i="47"/>
  <c r="BX57" i="47"/>
  <c r="BU57" i="47"/>
  <c r="BR57" i="47"/>
  <c r="BQ57" i="47"/>
  <c r="IX56" i="47"/>
  <c r="IW56" i="47"/>
  <c r="IY56" i="47" s="1"/>
  <c r="IN56" i="47"/>
  <c r="IL56" i="47"/>
  <c r="IJ56" i="47"/>
  <c r="IH56" i="47"/>
  <c r="IF56" i="47"/>
  <c r="ID56" i="47"/>
  <c r="HF56" i="47"/>
  <c r="HC56" i="47"/>
  <c r="GZ56" i="47"/>
  <c r="GW56" i="47"/>
  <c r="GT56" i="47"/>
  <c r="GQ56" i="47"/>
  <c r="GN56" i="47"/>
  <c r="GK56" i="47"/>
  <c r="GH56" i="47"/>
  <c r="GE56" i="47"/>
  <c r="GB56" i="47"/>
  <c r="FY56" i="47"/>
  <c r="FV56" i="47"/>
  <c r="FS56" i="47"/>
  <c r="FP56" i="47"/>
  <c r="FM56" i="47"/>
  <c r="FJ56" i="47"/>
  <c r="FG56" i="47"/>
  <c r="FD56" i="47"/>
  <c r="FA56" i="47"/>
  <c r="EX56" i="47"/>
  <c r="EU56" i="47"/>
  <c r="ER56" i="47"/>
  <c r="EO56" i="47"/>
  <c r="EL56" i="47"/>
  <c r="EI56" i="47"/>
  <c r="EF56" i="47"/>
  <c r="EC56" i="47"/>
  <c r="DZ56" i="47"/>
  <c r="DW56" i="47"/>
  <c r="DT56" i="47"/>
  <c r="DQ56" i="47"/>
  <c r="DN56" i="47"/>
  <c r="DK56" i="47"/>
  <c r="DH56" i="47"/>
  <c r="DE56" i="47"/>
  <c r="DB56" i="47"/>
  <c r="CY56" i="47"/>
  <c r="CV56" i="47"/>
  <c r="CS56" i="47"/>
  <c r="CP56" i="47"/>
  <c r="CM56" i="47"/>
  <c r="CJ56" i="47"/>
  <c r="CG56" i="47"/>
  <c r="CD56" i="47"/>
  <c r="CA56" i="47"/>
  <c r="BX56" i="47"/>
  <c r="BW56" i="47"/>
  <c r="BU56" i="47"/>
  <c r="BT56" i="47"/>
  <c r="BR56" i="47"/>
  <c r="BQ56" i="47"/>
  <c r="BO56" i="47"/>
  <c r="BN56" i="47"/>
  <c r="BL56" i="47"/>
  <c r="BK56" i="47"/>
  <c r="BI56" i="47"/>
  <c r="BH56" i="47"/>
  <c r="BF56" i="47"/>
  <c r="BE56" i="47"/>
  <c r="BC56" i="47"/>
  <c r="BB56" i="47"/>
  <c r="AZ56" i="47"/>
  <c r="AY56" i="47"/>
  <c r="AW56" i="47"/>
  <c r="AV56" i="47"/>
  <c r="AT56" i="47"/>
  <c r="AS56" i="47"/>
  <c r="AQ56" i="47"/>
  <c r="AP56" i="47"/>
  <c r="AN56" i="47"/>
  <c r="AM56" i="47"/>
  <c r="AK56" i="47"/>
  <c r="AJ56" i="47"/>
  <c r="AH56" i="47"/>
  <c r="AG56" i="47"/>
  <c r="AE56" i="47"/>
  <c r="AD56" i="47"/>
  <c r="AB56" i="47"/>
  <c r="AA56" i="47"/>
  <c r="Y56" i="47"/>
  <c r="X56" i="47"/>
  <c r="V56" i="47"/>
  <c r="U56" i="47"/>
  <c r="S56" i="47"/>
  <c r="R56" i="47"/>
  <c r="P56" i="47"/>
  <c r="O56" i="47"/>
  <c r="M56" i="47"/>
  <c r="L56" i="47"/>
  <c r="J56" i="47"/>
  <c r="I56" i="47"/>
  <c r="IX55" i="47"/>
  <c r="IY55" i="47" s="1"/>
  <c r="IW55" i="47"/>
  <c r="IN55" i="47"/>
  <c r="IL55" i="47"/>
  <c r="IJ55" i="47"/>
  <c r="IH55" i="47"/>
  <c r="IF55" i="47"/>
  <c r="ID55" i="47"/>
  <c r="HF55" i="47"/>
  <c r="HC55" i="47"/>
  <c r="GZ55" i="47"/>
  <c r="GW55" i="47"/>
  <c r="GT55" i="47"/>
  <c r="GQ55" i="47"/>
  <c r="GN55" i="47"/>
  <c r="GK55" i="47"/>
  <c r="GH55" i="47"/>
  <c r="GE55" i="47"/>
  <c r="GB55" i="47"/>
  <c r="FY55" i="47"/>
  <c r="FV55" i="47"/>
  <c r="FS55" i="47"/>
  <c r="FP55" i="47"/>
  <c r="FM55" i="47"/>
  <c r="FJ55" i="47"/>
  <c r="FG55" i="47"/>
  <c r="FD55" i="47"/>
  <c r="FA55" i="47"/>
  <c r="EX55" i="47"/>
  <c r="EU55" i="47"/>
  <c r="ER55" i="47"/>
  <c r="EO55" i="47"/>
  <c r="EL55" i="47"/>
  <c r="EI55" i="47"/>
  <c r="EF55" i="47"/>
  <c r="EC55" i="47"/>
  <c r="DZ55" i="47"/>
  <c r="DW55" i="47"/>
  <c r="DT55" i="47"/>
  <c r="DQ55" i="47"/>
  <c r="DN55" i="47"/>
  <c r="DK55" i="47"/>
  <c r="DH55" i="47"/>
  <c r="DE55" i="47"/>
  <c r="DB55" i="47"/>
  <c r="CY55" i="47"/>
  <c r="CV55" i="47"/>
  <c r="CS55" i="47"/>
  <c r="CP55" i="47"/>
  <c r="CM55" i="47"/>
  <c r="CJ55" i="47"/>
  <c r="IW54" i="47"/>
  <c r="IN54" i="47"/>
  <c r="IL54" i="47"/>
  <c r="IJ54" i="47"/>
  <c r="IH54" i="47"/>
  <c r="IF54" i="47"/>
  <c r="ID54" i="47"/>
  <c r="IX54" i="47" s="1"/>
  <c r="IY54" i="47" s="1"/>
  <c r="HF54" i="47"/>
  <c r="HC54" i="47"/>
  <c r="GZ54" i="47"/>
  <c r="GW54" i="47"/>
  <c r="GT54" i="47"/>
  <c r="GQ54" i="47"/>
  <c r="GN54" i="47"/>
  <c r="GK54" i="47"/>
  <c r="GH54" i="47"/>
  <c r="GE54" i="47"/>
  <c r="GB54" i="47"/>
  <c r="FY54" i="47"/>
  <c r="FV54" i="47"/>
  <c r="FS54" i="47"/>
  <c r="FP54" i="47"/>
  <c r="FM54" i="47"/>
  <c r="FJ54" i="47"/>
  <c r="FG54" i="47"/>
  <c r="FD54" i="47"/>
  <c r="FA54" i="47"/>
  <c r="EX54" i="47"/>
  <c r="EU54" i="47"/>
  <c r="ER54" i="47"/>
  <c r="EO54" i="47"/>
  <c r="EL54" i="47"/>
  <c r="EI54" i="47"/>
  <c r="EF54" i="47"/>
  <c r="EC54" i="47"/>
  <c r="DZ54" i="47"/>
  <c r="DW54" i="47"/>
  <c r="DT54" i="47"/>
  <c r="DQ54" i="47"/>
  <c r="DN54" i="47"/>
  <c r="DK54" i="47"/>
  <c r="DH54" i="47"/>
  <c r="DE54" i="47"/>
  <c r="DB54" i="47"/>
  <c r="CY54" i="47"/>
  <c r="CV54" i="47"/>
  <c r="CS54" i="47"/>
  <c r="CP54" i="47"/>
  <c r="CM54" i="47"/>
  <c r="CJ54" i="47"/>
  <c r="CG54" i="47"/>
  <c r="CD54" i="47"/>
  <c r="CA54" i="47"/>
  <c r="BX54" i="47"/>
  <c r="BU54" i="47"/>
  <c r="BR54" i="47"/>
  <c r="BO54" i="47"/>
  <c r="BL54" i="47"/>
  <c r="BI54" i="47"/>
  <c r="BF54" i="47"/>
  <c r="BC54" i="47"/>
  <c r="AZ54" i="47"/>
  <c r="AW54" i="47"/>
  <c r="AT54" i="47"/>
  <c r="AQ54" i="47"/>
  <c r="AN54" i="47"/>
  <c r="AK54" i="47"/>
  <c r="AJ54" i="47"/>
  <c r="AH54" i="47"/>
  <c r="AE54" i="47"/>
  <c r="AB54" i="47"/>
  <c r="Y54" i="47"/>
  <c r="V54" i="47"/>
  <c r="S54" i="47"/>
  <c r="P54" i="47"/>
  <c r="M54" i="47"/>
  <c r="J54" i="47"/>
  <c r="IX53" i="47"/>
  <c r="IW53" i="47"/>
  <c r="IY53" i="47" s="1"/>
  <c r="IN53" i="47"/>
  <c r="IL53" i="47"/>
  <c r="IJ53" i="47"/>
  <c r="IH53" i="47"/>
  <c r="IF53" i="47"/>
  <c r="ID53" i="47"/>
  <c r="HF53" i="47"/>
  <c r="HC53" i="47"/>
  <c r="GZ53" i="47"/>
  <c r="GW53" i="47"/>
  <c r="GT53" i="47"/>
  <c r="GQ53" i="47"/>
  <c r="GN53" i="47"/>
  <c r="GK53" i="47"/>
  <c r="GH53" i="47"/>
  <c r="GE53" i="47"/>
  <c r="GB53" i="47"/>
  <c r="FY53" i="47"/>
  <c r="FV53" i="47"/>
  <c r="FS53" i="47"/>
  <c r="FP53" i="47"/>
  <c r="FM53" i="47"/>
  <c r="FJ53" i="47"/>
  <c r="FG53" i="47"/>
  <c r="FD53" i="47"/>
  <c r="FA53" i="47"/>
  <c r="EX53" i="47"/>
  <c r="EU53" i="47"/>
  <c r="ER53" i="47"/>
  <c r="EO53" i="47"/>
  <c r="EL53" i="47"/>
  <c r="EI53" i="47"/>
  <c r="EF53" i="47"/>
  <c r="EC53" i="47"/>
  <c r="DZ53" i="47"/>
  <c r="DW53" i="47"/>
  <c r="DT53" i="47"/>
  <c r="DQ53" i="47"/>
  <c r="DN53" i="47"/>
  <c r="DK53" i="47"/>
  <c r="DH53" i="47"/>
  <c r="DE53" i="47"/>
  <c r="DB53" i="47"/>
  <c r="CY53" i="47"/>
  <c r="CX53" i="47"/>
  <c r="IX52" i="47"/>
  <c r="IW52" i="47"/>
  <c r="IY52" i="47" s="1"/>
  <c r="IN52" i="47"/>
  <c r="IL52" i="47"/>
  <c r="IJ52" i="47"/>
  <c r="IH52" i="47"/>
  <c r="IF52" i="47"/>
  <c r="ID52" i="47"/>
  <c r="HF52" i="47"/>
  <c r="HC52" i="47"/>
  <c r="GZ52" i="47"/>
  <c r="GW52" i="47"/>
  <c r="GT52" i="47"/>
  <c r="GQ52" i="47"/>
  <c r="GN52" i="47"/>
  <c r="GK52" i="47"/>
  <c r="GH52" i="47"/>
  <c r="GE52" i="47"/>
  <c r="GB52" i="47"/>
  <c r="FY52" i="47"/>
  <c r="FV52" i="47"/>
  <c r="FS52" i="47"/>
  <c r="FP52" i="47"/>
  <c r="FM52" i="47"/>
  <c r="FJ52" i="47"/>
  <c r="FG52" i="47"/>
  <c r="FD52" i="47"/>
  <c r="FA52" i="47"/>
  <c r="EX52" i="47"/>
  <c r="EU52" i="47"/>
  <c r="ER52" i="47"/>
  <c r="EO52" i="47"/>
  <c r="EL52" i="47"/>
  <c r="EI52" i="47"/>
  <c r="EF52" i="47"/>
  <c r="EC52" i="47"/>
  <c r="DZ52" i="47"/>
  <c r="DW52" i="47"/>
  <c r="DT52" i="47"/>
  <c r="DQ52" i="47"/>
  <c r="DN52" i="47"/>
  <c r="DK52" i="47"/>
  <c r="DH52" i="47"/>
  <c r="DE52" i="47"/>
  <c r="DB52" i="47"/>
  <c r="CY52" i="47"/>
  <c r="CV52" i="47"/>
  <c r="CS52" i="47"/>
  <c r="CP52" i="47"/>
  <c r="CM52" i="47"/>
  <c r="CJ52" i="47"/>
  <c r="CG52" i="47"/>
  <c r="CD52" i="47"/>
  <c r="CA52" i="47"/>
  <c r="BX52" i="47"/>
  <c r="BW52" i="47"/>
  <c r="AH52" i="47"/>
  <c r="AG52" i="47"/>
  <c r="IX51" i="47"/>
  <c r="IW51" i="47"/>
  <c r="IY51" i="47" s="1"/>
  <c r="IN51" i="47"/>
  <c r="IL51" i="47"/>
  <c r="IJ51" i="47"/>
  <c r="IH51" i="47"/>
  <c r="IF51" i="47"/>
  <c r="ID51" i="47"/>
  <c r="HF51" i="47"/>
  <c r="HC51" i="47"/>
  <c r="GZ51" i="47"/>
  <c r="GW51" i="47"/>
  <c r="GT51" i="47"/>
  <c r="GQ51" i="47"/>
  <c r="GN51" i="47"/>
  <c r="GK51" i="47"/>
  <c r="GH51" i="47"/>
  <c r="GE51" i="47"/>
  <c r="GB51" i="47"/>
  <c r="FY51" i="47"/>
  <c r="FV51" i="47"/>
  <c r="FS51" i="47"/>
  <c r="FP51" i="47"/>
  <c r="FM51" i="47"/>
  <c r="FJ51" i="47"/>
  <c r="FG51" i="47"/>
  <c r="FD51" i="47"/>
  <c r="FA51" i="47"/>
  <c r="EX51" i="47"/>
  <c r="EU51" i="47"/>
  <c r="ER51" i="47"/>
  <c r="EO51" i="47"/>
  <c r="EL51" i="47"/>
  <c r="EI51" i="47"/>
  <c r="EF51" i="47"/>
  <c r="EC51" i="47"/>
  <c r="DZ51" i="47"/>
  <c r="DW51" i="47"/>
  <c r="DT51" i="47"/>
  <c r="DQ51" i="47"/>
  <c r="DN51" i="47"/>
  <c r="DK51" i="47"/>
  <c r="DH51" i="47"/>
  <c r="DE51" i="47"/>
  <c r="DD51" i="47"/>
  <c r="DB51" i="47"/>
  <c r="CY51" i="47"/>
  <c r="CV51" i="47"/>
  <c r="CS51" i="47"/>
  <c r="CP51" i="47"/>
  <c r="CM51" i="47"/>
  <c r="CJ51" i="47"/>
  <c r="CG51" i="47"/>
  <c r="CD51" i="47"/>
  <c r="CA51" i="47"/>
  <c r="BX51" i="47"/>
  <c r="BU51" i="47"/>
  <c r="BR51" i="47"/>
  <c r="BO51" i="47"/>
  <c r="BL51" i="47"/>
  <c r="BI51" i="47"/>
  <c r="BF51" i="47"/>
  <c r="BC51" i="47"/>
  <c r="AZ51" i="47"/>
  <c r="AW51" i="47"/>
  <c r="AT51" i="47"/>
  <c r="AQ51" i="47"/>
  <c r="AN51" i="47"/>
  <c r="AK51" i="47"/>
  <c r="AH51" i="47"/>
  <c r="AE51" i="47"/>
  <c r="AB51" i="47"/>
  <c r="Y51" i="47"/>
  <c r="V51" i="47"/>
  <c r="S51" i="47"/>
  <c r="P51" i="47"/>
  <c r="M51" i="47"/>
  <c r="J51" i="47"/>
  <c r="IW50" i="47"/>
  <c r="IN50" i="47"/>
  <c r="IL50" i="47"/>
  <c r="IJ50" i="47"/>
  <c r="IH50" i="47"/>
  <c r="IF50" i="47"/>
  <c r="ID50" i="47"/>
  <c r="IX50" i="47" s="1"/>
  <c r="IY50" i="47" s="1"/>
  <c r="HX50" i="47"/>
  <c r="HF50" i="47"/>
  <c r="HC50" i="47"/>
  <c r="GZ50" i="47"/>
  <c r="GW50" i="47"/>
  <c r="GT50" i="47"/>
  <c r="GQ50" i="47"/>
  <c r="GN50" i="47"/>
  <c r="GK50" i="47"/>
  <c r="GH50" i="47"/>
  <c r="GE50" i="47"/>
  <c r="GB50" i="47"/>
  <c r="FY50" i="47"/>
  <c r="FV50" i="47"/>
  <c r="FS50" i="47"/>
  <c r="FP50" i="47"/>
  <c r="FM50" i="47"/>
  <c r="FJ50" i="47"/>
  <c r="FG50" i="47"/>
  <c r="FD50" i="47"/>
  <c r="FA50" i="47"/>
  <c r="EX50" i="47"/>
  <c r="EU50" i="47"/>
  <c r="ER50" i="47"/>
  <c r="EO50" i="47"/>
  <c r="EL50" i="47"/>
  <c r="EI50" i="47"/>
  <c r="EF50" i="47"/>
  <c r="EC50" i="47"/>
  <c r="DZ50" i="47"/>
  <c r="DW50" i="47"/>
  <c r="DT50" i="47"/>
  <c r="DQ50" i="47"/>
  <c r="DN50" i="47"/>
  <c r="DK50" i="47"/>
  <c r="DH50" i="47"/>
  <c r="DE50" i="47"/>
  <c r="DB50" i="47"/>
  <c r="CY50" i="47"/>
  <c r="CV50" i="47"/>
  <c r="CS50" i="47"/>
  <c r="CP50" i="47"/>
  <c r="CM50" i="47"/>
  <c r="CJ50" i="47"/>
  <c r="CG50" i="47"/>
  <c r="CD50" i="47"/>
  <c r="CA50" i="47"/>
  <c r="BX50" i="47"/>
  <c r="BU50" i="47"/>
  <c r="BR50" i="47"/>
  <c r="BO50" i="47"/>
  <c r="BL50" i="47"/>
  <c r="BI50" i="47"/>
  <c r="BF50" i="47"/>
  <c r="BC50" i="47"/>
  <c r="AZ50" i="47"/>
  <c r="AW50" i="47"/>
  <c r="AT50" i="47"/>
  <c r="AQ50" i="47"/>
  <c r="AN50" i="47"/>
  <c r="AK50" i="47"/>
  <c r="AH50" i="47"/>
  <c r="AE50" i="47"/>
  <c r="AB50" i="47"/>
  <c r="Y50" i="47"/>
  <c r="V50" i="47"/>
  <c r="S50" i="47"/>
  <c r="P50" i="47"/>
  <c r="M50" i="47"/>
  <c r="J50" i="47"/>
  <c r="IX49" i="47"/>
  <c r="IW49" i="47"/>
  <c r="IY49" i="47" s="1"/>
  <c r="IN49" i="47"/>
  <c r="IL49" i="47"/>
  <c r="IJ49" i="47"/>
  <c r="IH49" i="47"/>
  <c r="IF49" i="47"/>
  <c r="ID49" i="47"/>
  <c r="HF49" i="47"/>
  <c r="HC49" i="47"/>
  <c r="GZ49" i="47"/>
  <c r="GW49" i="47"/>
  <c r="GT49" i="47"/>
  <c r="GQ49" i="47"/>
  <c r="GN49" i="47"/>
  <c r="GK49" i="47"/>
  <c r="GH49" i="47"/>
  <c r="GE49" i="47"/>
  <c r="GB49" i="47"/>
  <c r="FY49" i="47"/>
  <c r="FV49" i="47"/>
  <c r="FS49" i="47"/>
  <c r="FP49" i="47"/>
  <c r="FM49" i="47"/>
  <c r="FJ49" i="47"/>
  <c r="FG49" i="47"/>
  <c r="FD49" i="47"/>
  <c r="FA49" i="47"/>
  <c r="EX49" i="47"/>
  <c r="EU49" i="47"/>
  <c r="ER49" i="47"/>
  <c r="EO49" i="47"/>
  <c r="EL49" i="47"/>
  <c r="EI49" i="47"/>
  <c r="EF49" i="47"/>
  <c r="EC49" i="47"/>
  <c r="DZ49" i="47"/>
  <c r="DW49" i="47"/>
  <c r="DT49" i="47"/>
  <c r="DQ49" i="47"/>
  <c r="DN49" i="47"/>
  <c r="DK49" i="47"/>
  <c r="DH49" i="47"/>
  <c r="DE49" i="47"/>
  <c r="DB49" i="47"/>
  <c r="CY49" i="47"/>
  <c r="CV49" i="47"/>
  <c r="CS49" i="47"/>
  <c r="CP49" i="47"/>
  <c r="CM49" i="47"/>
  <c r="CJ49" i="47"/>
  <c r="CG49" i="47"/>
  <c r="CD49" i="47"/>
  <c r="CA49" i="47"/>
  <c r="BX49" i="47"/>
  <c r="BU49" i="47"/>
  <c r="BR49" i="47"/>
  <c r="BO49" i="47"/>
  <c r="BL49" i="47"/>
  <c r="BI49" i="47"/>
  <c r="BF49" i="47"/>
  <c r="BC49" i="47"/>
  <c r="AZ49" i="47"/>
  <c r="AW49" i="47"/>
  <c r="AT49" i="47"/>
  <c r="AQ49" i="47"/>
  <c r="AN49" i="47"/>
  <c r="AK49" i="47"/>
  <c r="AH49" i="47"/>
  <c r="AE49" i="47"/>
  <c r="AD49" i="47"/>
  <c r="IX48" i="47"/>
  <c r="IW48" i="47"/>
  <c r="IY48" i="47" s="1"/>
  <c r="IN48" i="47"/>
  <c r="IL48" i="47"/>
  <c r="IJ48" i="47"/>
  <c r="IH48" i="47"/>
  <c r="IF48" i="47"/>
  <c r="ID48" i="47"/>
  <c r="HF48" i="47"/>
  <c r="HC48" i="47"/>
  <c r="GZ48" i="47"/>
  <c r="GW48" i="47"/>
  <c r="GT48" i="47"/>
  <c r="GQ48" i="47"/>
  <c r="GN48" i="47"/>
  <c r="GK48" i="47"/>
  <c r="GH48" i="47"/>
  <c r="GE48" i="47"/>
  <c r="GB48" i="47"/>
  <c r="FY48" i="47"/>
  <c r="FV48" i="47"/>
  <c r="FS48" i="47"/>
  <c r="FP48" i="47"/>
  <c r="FM48" i="47"/>
  <c r="FJ48" i="47"/>
  <c r="FG48" i="47"/>
  <c r="FD48" i="47"/>
  <c r="FA48" i="47"/>
  <c r="EX48" i="47"/>
  <c r="EU48" i="47"/>
  <c r="ER48" i="47"/>
  <c r="EO48" i="47"/>
  <c r="EL48" i="47"/>
  <c r="EI48" i="47"/>
  <c r="EF48" i="47"/>
  <c r="EC48" i="47"/>
  <c r="DZ48" i="47"/>
  <c r="DW48" i="47"/>
  <c r="DT48" i="47"/>
  <c r="DQ48" i="47"/>
  <c r="DN48" i="47"/>
  <c r="DK48" i="47"/>
  <c r="DH48" i="47"/>
  <c r="DE48" i="47"/>
  <c r="DB48" i="47"/>
  <c r="CY48" i="47"/>
  <c r="CV48" i="47"/>
  <c r="CS48" i="47"/>
  <c r="CP48" i="47"/>
  <c r="CM48" i="47"/>
  <c r="CJ48" i="47"/>
  <c r="CG48" i="47"/>
  <c r="CD48" i="47"/>
  <c r="CA48" i="47"/>
  <c r="BX48" i="47"/>
  <c r="BU48" i="47"/>
  <c r="BR48" i="47"/>
  <c r="BO48" i="47"/>
  <c r="BL48" i="47"/>
  <c r="BI48" i="47"/>
  <c r="BF48" i="47"/>
  <c r="BC48" i="47"/>
  <c r="AZ48" i="47"/>
  <c r="AW48" i="47"/>
  <c r="AT48" i="47"/>
  <c r="AQ48" i="47"/>
  <c r="AN48" i="47"/>
  <c r="AK48" i="47"/>
  <c r="AH48" i="47"/>
  <c r="AE48" i="47"/>
  <c r="AB48" i="47"/>
  <c r="Y48" i="47"/>
  <c r="V48" i="47"/>
  <c r="S48" i="47"/>
  <c r="P48" i="47"/>
  <c r="M48" i="47"/>
  <c r="J48" i="47"/>
  <c r="IW47" i="47"/>
  <c r="IY47" i="47" s="1"/>
  <c r="IN47" i="47"/>
  <c r="IL47" i="47"/>
  <c r="IJ47" i="47"/>
  <c r="IH47" i="47"/>
  <c r="IF47" i="47"/>
  <c r="ID47" i="47"/>
  <c r="IX47" i="47" s="1"/>
  <c r="HF47" i="47"/>
  <c r="HC47" i="47"/>
  <c r="GZ47" i="47"/>
  <c r="GW47" i="47"/>
  <c r="GT47" i="47"/>
  <c r="GQ47" i="47"/>
  <c r="GN47" i="47"/>
  <c r="GK47" i="47"/>
  <c r="GH47" i="47"/>
  <c r="GE47" i="47"/>
  <c r="GB47" i="47"/>
  <c r="FY47" i="47"/>
  <c r="FV47" i="47"/>
  <c r="FS47" i="47"/>
  <c r="FP47" i="47"/>
  <c r="FM47" i="47"/>
  <c r="FJ47" i="47"/>
  <c r="FG47" i="47"/>
  <c r="FD47" i="47"/>
  <c r="FA47" i="47"/>
  <c r="EX47" i="47"/>
  <c r="EU47" i="47"/>
  <c r="ER47" i="47"/>
  <c r="EO47" i="47"/>
  <c r="EL47" i="47"/>
  <c r="EI47" i="47"/>
  <c r="EF47" i="47"/>
  <c r="EC47" i="47"/>
  <c r="DZ47" i="47"/>
  <c r="DW47" i="47"/>
  <c r="DT47" i="47"/>
  <c r="DQ47" i="47"/>
  <c r="DN47" i="47"/>
  <c r="DK47" i="47"/>
  <c r="DH47" i="47"/>
  <c r="DE47" i="47"/>
  <c r="DB47" i="47"/>
  <c r="CY47" i="47"/>
  <c r="CV47" i="47"/>
  <c r="CS47" i="47"/>
  <c r="CP47" i="47"/>
  <c r="CM47" i="47"/>
  <c r="CJ47" i="47"/>
  <c r="CG47" i="47"/>
  <c r="CD47" i="47"/>
  <c r="CA47" i="47"/>
  <c r="BX47" i="47"/>
  <c r="BU47" i="47"/>
  <c r="BR47" i="47"/>
  <c r="BO47" i="47"/>
  <c r="BL47" i="47"/>
  <c r="BI47" i="47"/>
  <c r="BF47" i="47"/>
  <c r="BE47" i="47"/>
  <c r="IW46" i="47"/>
  <c r="IN46" i="47"/>
  <c r="IL46" i="47"/>
  <c r="IJ46" i="47"/>
  <c r="IH46" i="47"/>
  <c r="IF46" i="47"/>
  <c r="ID46" i="47"/>
  <c r="IX46" i="47" s="1"/>
  <c r="IY46" i="47" s="1"/>
  <c r="HF46" i="47"/>
  <c r="HC46" i="47"/>
  <c r="GZ46" i="47"/>
  <c r="GW46" i="47"/>
  <c r="GT46" i="47"/>
  <c r="GQ46" i="47"/>
  <c r="GN46" i="47"/>
  <c r="GK46" i="47"/>
  <c r="GH46" i="47"/>
  <c r="GE46" i="47"/>
  <c r="GB46" i="47"/>
  <c r="FY46" i="47"/>
  <c r="FV46" i="47"/>
  <c r="FS46" i="47"/>
  <c r="FP46" i="47"/>
  <c r="FM46" i="47"/>
  <c r="FJ46" i="47"/>
  <c r="FG46" i="47"/>
  <c r="FD46" i="47"/>
  <c r="IX45" i="47"/>
  <c r="IW45" i="47"/>
  <c r="IY45" i="47" s="1"/>
  <c r="IN45" i="47"/>
  <c r="IL45" i="47"/>
  <c r="IJ45" i="47"/>
  <c r="IH45" i="47"/>
  <c r="IF45" i="47"/>
  <c r="ID45" i="47"/>
  <c r="HF45" i="47"/>
  <c r="HC45" i="47"/>
  <c r="GZ45" i="47"/>
  <c r="GW45" i="47"/>
  <c r="GT45" i="47"/>
  <c r="GQ45" i="47"/>
  <c r="GN45" i="47"/>
  <c r="GK45" i="47"/>
  <c r="GH45" i="47"/>
  <c r="GE45" i="47"/>
  <c r="GB45" i="47"/>
  <c r="FY45" i="47"/>
  <c r="FV45" i="47"/>
  <c r="FS45" i="47"/>
  <c r="FP45" i="47"/>
  <c r="FM45" i="47"/>
  <c r="FJ45" i="47"/>
  <c r="FG45" i="47"/>
  <c r="FD45" i="47"/>
  <c r="FA45" i="47"/>
  <c r="EX45" i="47"/>
  <c r="EU45" i="47"/>
  <c r="ER45" i="47"/>
  <c r="EO45" i="47"/>
  <c r="EL45" i="47"/>
  <c r="EI45" i="47"/>
  <c r="EF45" i="47"/>
  <c r="EC45" i="47"/>
  <c r="DZ45" i="47"/>
  <c r="DW45" i="47"/>
  <c r="DT45" i="47"/>
  <c r="DQ45" i="47"/>
  <c r="DN45" i="47"/>
  <c r="DK45" i="47"/>
  <c r="DH45" i="47"/>
  <c r="DE45" i="47"/>
  <c r="DB45" i="47"/>
  <c r="CY45" i="47"/>
  <c r="CV45" i="47"/>
  <c r="CS45" i="47"/>
  <c r="CP45" i="47"/>
  <c r="CM45" i="47"/>
  <c r="CJ45" i="47"/>
  <c r="CG45" i="47"/>
  <c r="CD45" i="47"/>
  <c r="CA45" i="47"/>
  <c r="BX45" i="47"/>
  <c r="BU45" i="47"/>
  <c r="BR45" i="47"/>
  <c r="BO45" i="47"/>
  <c r="BL45" i="47"/>
  <c r="BI45" i="47"/>
  <c r="BF45" i="47"/>
  <c r="BC45" i="47"/>
  <c r="AZ45" i="47"/>
  <c r="AW45" i="47"/>
  <c r="AT45" i="47"/>
  <c r="AQ45" i="47"/>
  <c r="AN45" i="47"/>
  <c r="AK45" i="47"/>
  <c r="AH45" i="47"/>
  <c r="AE45" i="47"/>
  <c r="AB45" i="47"/>
  <c r="Y45" i="47"/>
  <c r="V45" i="47"/>
  <c r="S45" i="47"/>
  <c r="P45" i="47"/>
  <c r="M45" i="47"/>
  <c r="J45" i="47"/>
  <c r="IW44" i="47"/>
  <c r="IN44" i="47"/>
  <c r="IL44" i="47"/>
  <c r="IJ44" i="47"/>
  <c r="IH44" i="47"/>
  <c r="IF44" i="47"/>
  <c r="ID44" i="47"/>
  <c r="IX44" i="47" s="1"/>
  <c r="IY43" i="47"/>
  <c r="IX43" i="47"/>
  <c r="IW43" i="47"/>
  <c r="IN43" i="47"/>
  <c r="IL43" i="47"/>
  <c r="IJ43" i="47"/>
  <c r="IH43" i="47"/>
  <c r="IF43" i="47"/>
  <c r="ID43" i="47"/>
  <c r="HF43" i="47"/>
  <c r="HC43" i="47"/>
  <c r="GZ43" i="47"/>
  <c r="GW43" i="47"/>
  <c r="GT43" i="47"/>
  <c r="GQ43" i="47"/>
  <c r="GN43" i="47"/>
  <c r="GK43" i="47"/>
  <c r="GH43" i="47"/>
  <c r="GE43" i="47"/>
  <c r="GB43" i="47"/>
  <c r="FY43" i="47"/>
  <c r="FV43" i="47"/>
  <c r="FS43" i="47"/>
  <c r="FP43" i="47"/>
  <c r="FM43" i="47"/>
  <c r="FJ43" i="47"/>
  <c r="FG43" i="47"/>
  <c r="FD43" i="47"/>
  <c r="FA43" i="47"/>
  <c r="EX43" i="47"/>
  <c r="EU43" i="47"/>
  <c r="ER43" i="47"/>
  <c r="EO43" i="47"/>
  <c r="EL43" i="47"/>
  <c r="EI43" i="47"/>
  <c r="EF43" i="47"/>
  <c r="EC43" i="47"/>
  <c r="IW42" i="47"/>
  <c r="IN42" i="47"/>
  <c r="IL42" i="47"/>
  <c r="IJ42" i="47"/>
  <c r="IH42" i="47"/>
  <c r="IF42" i="47"/>
  <c r="ID42" i="47"/>
  <c r="IX42" i="47" s="1"/>
  <c r="IY42" i="47" s="1"/>
  <c r="HF42" i="47"/>
  <c r="HC42" i="47"/>
  <c r="GZ42" i="47"/>
  <c r="GW42" i="47"/>
  <c r="GT42" i="47"/>
  <c r="GQ42" i="47"/>
  <c r="GN42" i="47"/>
  <c r="GK42" i="47"/>
  <c r="GH42" i="47"/>
  <c r="GE42" i="47"/>
  <c r="GB42" i="47"/>
  <c r="FY42" i="47"/>
  <c r="FV42" i="47"/>
  <c r="FS42" i="47"/>
  <c r="FP42" i="47"/>
  <c r="FM42" i="47"/>
  <c r="FJ42" i="47"/>
  <c r="FG42" i="47"/>
  <c r="FD42" i="47"/>
  <c r="FA42" i="47"/>
  <c r="EX42" i="47"/>
  <c r="EU42" i="47"/>
  <c r="ER42" i="47"/>
  <c r="EO42" i="47"/>
  <c r="EL42" i="47"/>
  <c r="EI42" i="47"/>
  <c r="EF42" i="47"/>
  <c r="EC42" i="47"/>
  <c r="DZ42" i="47"/>
  <c r="DW42" i="47"/>
  <c r="DT42" i="47"/>
  <c r="DQ42" i="47"/>
  <c r="DN42" i="47"/>
  <c r="DK42" i="47"/>
  <c r="DH42" i="47"/>
  <c r="DE42" i="47"/>
  <c r="DB42" i="47"/>
  <c r="CY42" i="47"/>
  <c r="CV42" i="47"/>
  <c r="CS42" i="47"/>
  <c r="CP42" i="47"/>
  <c r="CM42" i="47"/>
  <c r="CJ42" i="47"/>
  <c r="CG42" i="47"/>
  <c r="CD42" i="47"/>
  <c r="CA42" i="47"/>
  <c r="BZ42" i="47"/>
  <c r="BX42" i="47"/>
  <c r="BU42" i="47"/>
  <c r="BR42" i="47"/>
  <c r="BO42" i="47"/>
  <c r="BL42" i="47"/>
  <c r="BI42" i="47"/>
  <c r="BF42" i="47"/>
  <c r="BC42" i="47"/>
  <c r="AZ42" i="47"/>
  <c r="AW42" i="47"/>
  <c r="AT42" i="47"/>
  <c r="AQ42" i="47"/>
  <c r="AN42" i="47"/>
  <c r="AK42" i="47"/>
  <c r="AH42" i="47"/>
  <c r="AE42" i="47"/>
  <c r="AB42" i="47"/>
  <c r="Y42" i="47"/>
  <c r="V42" i="47"/>
  <c r="S42" i="47"/>
  <c r="P42" i="47"/>
  <c r="M42" i="47"/>
  <c r="J42" i="47"/>
  <c r="IX41" i="47"/>
  <c r="IW41" i="47"/>
  <c r="IY41" i="47" s="1"/>
  <c r="IN41" i="47"/>
  <c r="IL41" i="47"/>
  <c r="IJ41" i="47"/>
  <c r="IH41" i="47"/>
  <c r="IF41" i="47"/>
  <c r="ID41" i="47"/>
  <c r="FG41" i="47"/>
  <c r="FF41" i="47"/>
  <c r="FD41" i="47"/>
  <c r="FA41" i="47"/>
  <c r="EX41" i="47"/>
  <c r="EU41" i="47"/>
  <c r="ER41" i="47"/>
  <c r="EO41" i="47"/>
  <c r="EL41" i="47"/>
  <c r="EI41" i="47"/>
  <c r="EF41" i="47"/>
  <c r="EC41" i="47"/>
  <c r="DZ41" i="47"/>
  <c r="DW41" i="47"/>
  <c r="DT41" i="47"/>
  <c r="DQ41" i="47"/>
  <c r="DN41" i="47"/>
  <c r="DK41" i="47"/>
  <c r="DH41" i="47"/>
  <c r="DE41" i="47"/>
  <c r="DB41" i="47"/>
  <c r="CY41" i="47"/>
  <c r="CV41" i="47"/>
  <c r="CS41" i="47"/>
  <c r="CP41" i="47"/>
  <c r="CM41" i="47"/>
  <c r="CJ41" i="47"/>
  <c r="CG41" i="47"/>
  <c r="CD41" i="47"/>
  <c r="CA41" i="47"/>
  <c r="BX41" i="47"/>
  <c r="BU41" i="47"/>
  <c r="BR41" i="47"/>
  <c r="BO41" i="47"/>
  <c r="BL41" i="47"/>
  <c r="BI41" i="47"/>
  <c r="BF41" i="47"/>
  <c r="BC41" i="47"/>
  <c r="AZ41" i="47"/>
  <c r="AW41" i="47"/>
  <c r="AT41" i="47"/>
  <c r="AQ41" i="47"/>
  <c r="AN41" i="47"/>
  <c r="AK41" i="47"/>
  <c r="AH41" i="47"/>
  <c r="AE41" i="47"/>
  <c r="AB41" i="47"/>
  <c r="Y41" i="47"/>
  <c r="V41" i="47"/>
  <c r="S41" i="47"/>
  <c r="P41" i="47"/>
  <c r="M41" i="47"/>
  <c r="J41" i="47"/>
  <c r="G41" i="47"/>
  <c r="E41" i="47"/>
  <c r="D41" i="47"/>
  <c r="IW40" i="47"/>
  <c r="IN40" i="47"/>
  <c r="IL40" i="47"/>
  <c r="IJ40" i="47"/>
  <c r="IH40" i="47"/>
  <c r="IF40" i="47"/>
  <c r="ID40" i="47"/>
  <c r="IX40" i="47" s="1"/>
  <c r="IY40" i="47" s="1"/>
  <c r="HX40" i="47"/>
  <c r="HF40" i="47"/>
  <c r="HC40" i="47"/>
  <c r="GZ40" i="47"/>
  <c r="GW40" i="47"/>
  <c r="GT40" i="47"/>
  <c r="GQ40" i="47"/>
  <c r="GN40" i="47"/>
  <c r="GK40" i="47"/>
  <c r="GH40" i="47"/>
  <c r="GE40" i="47"/>
  <c r="GB40" i="47"/>
  <c r="FY40" i="47"/>
  <c r="FV40" i="47"/>
  <c r="FS40" i="47"/>
  <c r="FP40" i="47"/>
  <c r="FM40" i="47"/>
  <c r="FJ40" i="47"/>
  <c r="FG40" i="47"/>
  <c r="FD40" i="47"/>
  <c r="FA40" i="47"/>
  <c r="EX40" i="47"/>
  <c r="EU40" i="47"/>
  <c r="ER40" i="47"/>
  <c r="EO40" i="47"/>
  <c r="EL40" i="47"/>
  <c r="EI40" i="47"/>
  <c r="EF40" i="47"/>
  <c r="EC40" i="47"/>
  <c r="DZ40" i="47"/>
  <c r="DW40" i="47"/>
  <c r="DT40" i="47"/>
  <c r="DQ40" i="47"/>
  <c r="DN40" i="47"/>
  <c r="DK40" i="47"/>
  <c r="DH40" i="47"/>
  <c r="DE40" i="47"/>
  <c r="DB40" i="47"/>
  <c r="CY40" i="47"/>
  <c r="CV40" i="47"/>
  <c r="CS40" i="47"/>
  <c r="CP40" i="47"/>
  <c r="CM40" i="47"/>
  <c r="CJ40" i="47"/>
  <c r="CG40" i="47"/>
  <c r="CD40" i="47"/>
  <c r="CA40" i="47"/>
  <c r="BX40" i="47"/>
  <c r="BU40" i="47"/>
  <c r="BR40" i="47"/>
  <c r="BL40" i="47"/>
  <c r="BK40" i="47"/>
  <c r="BF40" i="47"/>
  <c r="BE40" i="47"/>
  <c r="S40" i="47"/>
  <c r="R40" i="47"/>
  <c r="G40" i="47"/>
  <c r="AW39" i="47"/>
  <c r="AV39" i="47"/>
  <c r="IX38" i="47"/>
  <c r="IW38" i="47"/>
  <c r="IY38" i="47" s="1"/>
  <c r="IN38" i="47"/>
  <c r="IL38" i="47"/>
  <c r="IJ38" i="47"/>
  <c r="IH38" i="47"/>
  <c r="IF38" i="47"/>
  <c r="ID38" i="47"/>
  <c r="HX38" i="47"/>
  <c r="HF38" i="47"/>
  <c r="HC38" i="47"/>
  <c r="GZ38" i="47"/>
  <c r="GW38" i="47"/>
  <c r="GT38" i="47"/>
  <c r="GQ38" i="47"/>
  <c r="GN38" i="47"/>
  <c r="GK38" i="47"/>
  <c r="GH38" i="47"/>
  <c r="GE38" i="47"/>
  <c r="GB38" i="47"/>
  <c r="FY38" i="47"/>
  <c r="FV38" i="47"/>
  <c r="FS38" i="47"/>
  <c r="FP38" i="47"/>
  <c r="FM38" i="47"/>
  <c r="FJ38" i="47"/>
  <c r="FG38" i="47"/>
  <c r="FD38" i="47"/>
  <c r="FA38" i="47"/>
  <c r="EX38" i="47"/>
  <c r="EU38" i="47"/>
  <c r="ER38" i="47"/>
  <c r="EO38" i="47"/>
  <c r="EL38" i="47"/>
  <c r="EI38" i="47"/>
  <c r="EF38" i="47"/>
  <c r="EC38" i="47"/>
  <c r="DZ38" i="47"/>
  <c r="DW38" i="47"/>
  <c r="DT38" i="47"/>
  <c r="DQ38" i="47"/>
  <c r="DN38" i="47"/>
  <c r="DK38" i="47"/>
  <c r="DH38" i="47"/>
  <c r="DE38" i="47"/>
  <c r="DB38" i="47"/>
  <c r="CY38" i="47"/>
  <c r="CV38" i="47"/>
  <c r="CS38" i="47"/>
  <c r="CP38" i="47"/>
  <c r="CM38" i="47"/>
  <c r="CJ38" i="47"/>
  <c r="CG38" i="47"/>
  <c r="CD38" i="47"/>
  <c r="CA38" i="47"/>
  <c r="BX38" i="47"/>
  <c r="BU38" i="47"/>
  <c r="BR38" i="47"/>
  <c r="BO38" i="47"/>
  <c r="BL38" i="47"/>
  <c r="BI38" i="47"/>
  <c r="BF38" i="47"/>
  <c r="BC38" i="47"/>
  <c r="AZ38" i="47"/>
  <c r="AW38" i="47"/>
  <c r="AV38" i="47"/>
  <c r="IW37" i="47"/>
  <c r="IN37" i="47"/>
  <c r="IL37" i="47"/>
  <c r="IJ37" i="47"/>
  <c r="IH37" i="47"/>
  <c r="IF37" i="47"/>
  <c r="ID37" i="47"/>
  <c r="IX37" i="47" s="1"/>
  <c r="IY37" i="47" s="1"/>
  <c r="HF37" i="47"/>
  <c r="HC37" i="47"/>
  <c r="GZ37" i="47"/>
  <c r="GW37" i="47"/>
  <c r="GT37" i="47"/>
  <c r="GQ37" i="47"/>
  <c r="GN37" i="47"/>
  <c r="GK37" i="47"/>
  <c r="GH37" i="47"/>
  <c r="GE37" i="47"/>
  <c r="GB37" i="47"/>
  <c r="FY37" i="47"/>
  <c r="FV37" i="47"/>
  <c r="FS37" i="47"/>
  <c r="FP37" i="47"/>
  <c r="FM37" i="47"/>
  <c r="FJ37" i="47"/>
  <c r="FG37" i="47"/>
  <c r="FD37" i="47"/>
  <c r="FA37" i="47"/>
  <c r="EX37" i="47"/>
  <c r="EU37" i="47"/>
  <c r="ER37" i="47"/>
  <c r="EO37" i="47"/>
  <c r="EL37" i="47"/>
  <c r="EI37" i="47"/>
  <c r="EF37" i="47"/>
  <c r="EC37" i="47"/>
  <c r="DZ37" i="47"/>
  <c r="DW37" i="47"/>
  <c r="DT37" i="47"/>
  <c r="DQ37" i="47"/>
  <c r="DN37" i="47"/>
  <c r="DK37" i="47"/>
  <c r="DH37" i="47"/>
  <c r="DE37" i="47"/>
  <c r="DB37" i="47"/>
  <c r="CY37" i="47"/>
  <c r="CV37" i="47"/>
  <c r="CS37" i="47"/>
  <c r="CP37" i="47"/>
  <c r="CM37" i="47"/>
  <c r="CJ37" i="47"/>
  <c r="CG37" i="47"/>
  <c r="CD37" i="47"/>
  <c r="CA37" i="47"/>
  <c r="BX37" i="47"/>
  <c r="BU37" i="47"/>
  <c r="BR37" i="47"/>
  <c r="BO37" i="47"/>
  <c r="BL37" i="47"/>
  <c r="BI37" i="47"/>
  <c r="BF37" i="47"/>
  <c r="BC37" i="47"/>
  <c r="AZ37" i="47"/>
  <c r="AW37" i="47"/>
  <c r="AT37" i="47"/>
  <c r="AQ37" i="47"/>
  <c r="AN37" i="47"/>
  <c r="AK37" i="47"/>
  <c r="AH37" i="47"/>
  <c r="AE37" i="47"/>
  <c r="AB37" i="47"/>
  <c r="Y37" i="47"/>
  <c r="X37" i="47"/>
  <c r="IX36" i="47"/>
  <c r="IW36" i="47"/>
  <c r="IY36" i="47" s="1"/>
  <c r="IN36" i="47"/>
  <c r="IL36" i="47"/>
  <c r="IJ36" i="47"/>
  <c r="IH36" i="47"/>
  <c r="IF36" i="47"/>
  <c r="ID36" i="47"/>
  <c r="HF36" i="47"/>
  <c r="HC36" i="47"/>
  <c r="GZ36" i="47"/>
  <c r="GW36" i="47"/>
  <c r="GT36" i="47"/>
  <c r="GQ36" i="47"/>
  <c r="GN36" i="47"/>
  <c r="GK36" i="47"/>
  <c r="GH36" i="47"/>
  <c r="GE36" i="47"/>
  <c r="GB36" i="47"/>
  <c r="FY36" i="47"/>
  <c r="FV36" i="47"/>
  <c r="FS36" i="47"/>
  <c r="FP36" i="47"/>
  <c r="FM36" i="47"/>
  <c r="FJ36" i="47"/>
  <c r="FG36" i="47"/>
  <c r="FD36" i="47"/>
  <c r="FA36" i="47"/>
  <c r="EX36" i="47"/>
  <c r="EU36" i="47"/>
  <c r="ER36" i="47"/>
  <c r="EO36" i="47"/>
  <c r="EL36" i="47"/>
  <c r="EI36" i="47"/>
  <c r="EF36" i="47"/>
  <c r="EC36" i="47"/>
  <c r="DZ36" i="47"/>
  <c r="DW36" i="47"/>
  <c r="DT36" i="47"/>
  <c r="DQ36" i="47"/>
  <c r="DN36" i="47"/>
  <c r="DK36" i="47"/>
  <c r="DH36" i="47"/>
  <c r="DE36" i="47"/>
  <c r="DB36" i="47"/>
  <c r="CY36" i="47"/>
  <c r="CV36" i="47"/>
  <c r="CS36" i="47"/>
  <c r="CP36" i="47"/>
  <c r="CM36" i="47"/>
  <c r="CJ36" i="47"/>
  <c r="CG36" i="47"/>
  <c r="CD36" i="47"/>
  <c r="CA36" i="47"/>
  <c r="BX36" i="47"/>
  <c r="BU36" i="47"/>
  <c r="BR36" i="47"/>
  <c r="BO36" i="47"/>
  <c r="BL36" i="47"/>
  <c r="BI36" i="47"/>
  <c r="BF36" i="47"/>
  <c r="BC36" i="47"/>
  <c r="AZ36" i="47"/>
  <c r="AW36" i="47"/>
  <c r="AT36" i="47"/>
  <c r="AQ36" i="47"/>
  <c r="AN36" i="47"/>
  <c r="AK36" i="47"/>
  <c r="AH36" i="47"/>
  <c r="AE36" i="47"/>
  <c r="AB36" i="47"/>
  <c r="Y36" i="47"/>
  <c r="V36" i="47"/>
  <c r="S36" i="47"/>
  <c r="P36" i="47"/>
  <c r="M36" i="47"/>
  <c r="J36" i="47"/>
  <c r="I36" i="47"/>
  <c r="IY35" i="47"/>
  <c r="IX35" i="47"/>
  <c r="IW35" i="47"/>
  <c r="IN35" i="47"/>
  <c r="IL35" i="47"/>
  <c r="IJ35" i="47"/>
  <c r="IH35" i="47"/>
  <c r="IF35" i="47"/>
  <c r="ID35" i="47"/>
  <c r="HX35" i="47"/>
  <c r="HF35" i="47"/>
  <c r="HC35" i="47"/>
  <c r="GZ35" i="47"/>
  <c r="GW35" i="47"/>
  <c r="GT35" i="47"/>
  <c r="GQ35" i="47"/>
  <c r="GN35" i="47"/>
  <c r="GK35" i="47"/>
  <c r="GH35" i="47"/>
  <c r="GH12" i="47" s="1"/>
  <c r="GE35" i="47"/>
  <c r="GE12" i="47" s="1"/>
  <c r="GB35" i="47"/>
  <c r="FY35" i="47"/>
  <c r="FV35" i="47"/>
  <c r="FS35" i="47"/>
  <c r="FP35" i="47"/>
  <c r="FM35" i="47"/>
  <c r="FJ35" i="47"/>
  <c r="FG35" i="47"/>
  <c r="FD35" i="47"/>
  <c r="FA35" i="47"/>
  <c r="EX35" i="47"/>
  <c r="EX12" i="47" s="1"/>
  <c r="EU35" i="47"/>
  <c r="EU12" i="47" s="1"/>
  <c r="ER35" i="47"/>
  <c r="EO35" i="47"/>
  <c r="EL35" i="47"/>
  <c r="EI35" i="47"/>
  <c r="EF35" i="47"/>
  <c r="EC35" i="47"/>
  <c r="DZ35" i="47"/>
  <c r="DW35" i="47"/>
  <c r="DT35" i="47"/>
  <c r="DQ35" i="47"/>
  <c r="DN35" i="47"/>
  <c r="DN12" i="47" s="1"/>
  <c r="DK35" i="47"/>
  <c r="DK12" i="47" s="1"/>
  <c r="DH35" i="47"/>
  <c r="DE35" i="47"/>
  <c r="DB35" i="47"/>
  <c r="CY35" i="47"/>
  <c r="CV35" i="47"/>
  <c r="CS35" i="47"/>
  <c r="CP35" i="47"/>
  <c r="CM35" i="47"/>
  <c r="CJ35" i="47"/>
  <c r="CG35" i="47"/>
  <c r="CD35" i="47"/>
  <c r="CD12" i="47" s="1"/>
  <c r="CA35" i="47"/>
  <c r="CA12" i="47" s="1"/>
  <c r="BX35" i="47"/>
  <c r="BU35" i="47"/>
  <c r="BR35" i="47"/>
  <c r="BO35" i="47"/>
  <c r="BL35" i="47"/>
  <c r="BI35" i="47"/>
  <c r="BF35" i="47"/>
  <c r="BC35" i="47"/>
  <c r="AZ35" i="47"/>
  <c r="AW35" i="47"/>
  <c r="AT35" i="47"/>
  <c r="AT12" i="47" s="1"/>
  <c r="AQ35" i="47"/>
  <c r="AQ12" i="47" s="1"/>
  <c r="AN35" i="47"/>
  <c r="AK35" i="47"/>
  <c r="AH35" i="47"/>
  <c r="AE35" i="47"/>
  <c r="AB35" i="47"/>
  <c r="Y35" i="47"/>
  <c r="V35" i="47"/>
  <c r="S35" i="47"/>
  <c r="P35" i="47"/>
  <c r="M35" i="47"/>
  <c r="J35" i="47"/>
  <c r="I35" i="47"/>
  <c r="I12" i="47" s="1"/>
  <c r="IX34" i="47"/>
  <c r="IW34" i="47"/>
  <c r="IY34" i="47" s="1"/>
  <c r="IN34" i="47"/>
  <c r="IL34" i="47"/>
  <c r="IJ34" i="47"/>
  <c r="IH34" i="47"/>
  <c r="IF34" i="47"/>
  <c r="ID34" i="47"/>
  <c r="HX34" i="47"/>
  <c r="HF34" i="47"/>
  <c r="HF12" i="47" s="1"/>
  <c r="HC34" i="47"/>
  <c r="HC12" i="47" s="1"/>
  <c r="GZ34" i="47"/>
  <c r="GW34" i="47"/>
  <c r="GT34" i="47"/>
  <c r="GQ34" i="47"/>
  <c r="GN34" i="47"/>
  <c r="GK34" i="47"/>
  <c r="GH34" i="47"/>
  <c r="GE34" i="47"/>
  <c r="GB34" i="47"/>
  <c r="FY34" i="47"/>
  <c r="FV34" i="47"/>
  <c r="FV12" i="47" s="1"/>
  <c r="FS34" i="47"/>
  <c r="FS12" i="47" s="1"/>
  <c r="FP34" i="47"/>
  <c r="FM34" i="47"/>
  <c r="FJ34" i="47"/>
  <c r="FG34" i="47"/>
  <c r="FD34" i="47"/>
  <c r="FA34" i="47"/>
  <c r="EX34" i="47"/>
  <c r="EU34" i="47"/>
  <c r="ER34" i="47"/>
  <c r="EO34" i="47"/>
  <c r="EL34" i="47"/>
  <c r="EL12" i="47" s="1"/>
  <c r="EI34" i="47"/>
  <c r="EI12" i="47" s="1"/>
  <c r="EF34" i="47"/>
  <c r="EC34" i="47"/>
  <c r="DZ34" i="47"/>
  <c r="DW34" i="47"/>
  <c r="DV34" i="47"/>
  <c r="DT34" i="47"/>
  <c r="DQ34" i="47"/>
  <c r="DN34" i="47"/>
  <c r="DK34" i="47"/>
  <c r="DH34" i="47"/>
  <c r="DE34" i="47"/>
  <c r="DB34" i="47"/>
  <c r="DB12" i="47" s="1"/>
  <c r="CY34" i="47"/>
  <c r="CV34" i="47"/>
  <c r="CS34" i="47"/>
  <c r="CP34" i="47"/>
  <c r="CM34" i="47"/>
  <c r="CJ34" i="47"/>
  <c r="CG34" i="47"/>
  <c r="CD34" i="47"/>
  <c r="CA34" i="47"/>
  <c r="BX34" i="47"/>
  <c r="BU34" i="47"/>
  <c r="BR34" i="47"/>
  <c r="BR12" i="47" s="1"/>
  <c r="BO34" i="47"/>
  <c r="BL34" i="47"/>
  <c r="BI34" i="47"/>
  <c r="BF34" i="47"/>
  <c r="BC34" i="47"/>
  <c r="AZ34" i="47"/>
  <c r="AW34" i="47"/>
  <c r="AT34" i="47"/>
  <c r="AQ34" i="47"/>
  <c r="AN34" i="47"/>
  <c r="AK34" i="47"/>
  <c r="AH34" i="47"/>
  <c r="AH12" i="47" s="1"/>
  <c r="AE34" i="47"/>
  <c r="AB34" i="47"/>
  <c r="Y34" i="47"/>
  <c r="V34" i="47"/>
  <c r="S34" i="47"/>
  <c r="P34" i="47"/>
  <c r="M34" i="47"/>
  <c r="J34" i="47"/>
  <c r="IX33" i="47"/>
  <c r="IW33" i="47"/>
  <c r="IY33" i="47" s="1"/>
  <c r="IN33" i="47"/>
  <c r="IL33" i="47"/>
  <c r="IJ33" i="47"/>
  <c r="IH33" i="47"/>
  <c r="IF33" i="47"/>
  <c r="ID33" i="47"/>
  <c r="HX33" i="47"/>
  <c r="HF33" i="47"/>
  <c r="HC33" i="47"/>
  <c r="GZ33" i="47"/>
  <c r="GW33" i="47"/>
  <c r="GT33" i="47"/>
  <c r="GQ33" i="47"/>
  <c r="GQ12" i="47" s="1"/>
  <c r="GN33" i="47"/>
  <c r="GK33" i="47"/>
  <c r="GH33" i="47"/>
  <c r="GE33" i="47"/>
  <c r="GB33" i="47"/>
  <c r="FY33" i="47"/>
  <c r="FV33" i="47"/>
  <c r="FS33" i="47"/>
  <c r="FP33" i="47"/>
  <c r="FM33" i="47"/>
  <c r="FJ33" i="47"/>
  <c r="FG33" i="47"/>
  <c r="FG12" i="47" s="1"/>
  <c r="FD33" i="47"/>
  <c r="FA33" i="47"/>
  <c r="EX33" i="47"/>
  <c r="EU33" i="47"/>
  <c r="ER33" i="47"/>
  <c r="EO33" i="47"/>
  <c r="EL33" i="47"/>
  <c r="IX32" i="47"/>
  <c r="IY32" i="47" s="1"/>
  <c r="IW32" i="47"/>
  <c r="IN32" i="47"/>
  <c r="IL32" i="47"/>
  <c r="IJ32" i="47"/>
  <c r="IH32" i="47"/>
  <c r="IF32" i="47"/>
  <c r="ID32" i="47"/>
  <c r="HF32" i="47"/>
  <c r="HC32" i="47"/>
  <c r="GZ32" i="47"/>
  <c r="GW32" i="47"/>
  <c r="GT32" i="47"/>
  <c r="GT12" i="47" s="1"/>
  <c r="GQ32" i="47"/>
  <c r="GN32" i="47"/>
  <c r="GK32" i="47"/>
  <c r="GK12" i="47" s="1"/>
  <c r="GH32" i="47"/>
  <c r="GE32" i="47"/>
  <c r="GB32" i="47"/>
  <c r="FY32" i="47"/>
  <c r="FV32" i="47"/>
  <c r="FS32" i="47"/>
  <c r="FP32" i="47"/>
  <c r="FM32" i="47"/>
  <c r="FJ32" i="47"/>
  <c r="FJ12" i="47" s="1"/>
  <c r="FG32" i="47"/>
  <c r="FD32" i="47"/>
  <c r="FA32" i="47"/>
  <c r="FA12" i="47" s="1"/>
  <c r="EX32" i="47"/>
  <c r="EU32" i="47"/>
  <c r="ER32" i="47"/>
  <c r="EO32" i="47"/>
  <c r="EL32" i="47"/>
  <c r="EI32" i="47"/>
  <c r="EF32" i="47"/>
  <c r="EC32" i="47"/>
  <c r="DZ32" i="47"/>
  <c r="DZ12" i="47" s="1"/>
  <c r="DW32" i="47"/>
  <c r="DT32" i="47"/>
  <c r="DQ32" i="47"/>
  <c r="DN32" i="47"/>
  <c r="DK32" i="47"/>
  <c r="DH32" i="47"/>
  <c r="DE32" i="47"/>
  <c r="DB32" i="47"/>
  <c r="CY32" i="47"/>
  <c r="CV32" i="47"/>
  <c r="CS32" i="47"/>
  <c r="CP32" i="47"/>
  <c r="CP12" i="47" s="1"/>
  <c r="CM32" i="47"/>
  <c r="CJ32" i="47"/>
  <c r="CG32" i="47"/>
  <c r="CG12" i="47" s="1"/>
  <c r="CD32" i="47"/>
  <c r="CA32" i="47"/>
  <c r="BX32" i="47"/>
  <c r="BU32" i="47"/>
  <c r="BR32" i="47"/>
  <c r="BO32" i="47"/>
  <c r="BL32" i="47"/>
  <c r="BI32" i="47"/>
  <c r="BF32" i="47"/>
  <c r="BF12" i="47" s="1"/>
  <c r="BC32" i="47"/>
  <c r="AZ32" i="47"/>
  <c r="AW32" i="47"/>
  <c r="AW12" i="47" s="1"/>
  <c r="AT32" i="47"/>
  <c r="AQ32" i="47"/>
  <c r="AN32" i="47"/>
  <c r="AK32" i="47"/>
  <c r="AK12" i="47" s="1"/>
  <c r="AH32" i="47"/>
  <c r="AE32" i="47"/>
  <c r="AB32" i="47"/>
  <c r="Y32" i="47"/>
  <c r="V32" i="47"/>
  <c r="V12" i="47" s="1"/>
  <c r="S32" i="47"/>
  <c r="P32" i="47"/>
  <c r="M32" i="47"/>
  <c r="M12" i="47" s="1"/>
  <c r="J32" i="47"/>
  <c r="IW31" i="47"/>
  <c r="IY31" i="47" s="1"/>
  <c r="IN31" i="47"/>
  <c r="IL31" i="47"/>
  <c r="IJ31" i="47"/>
  <c r="IH31" i="47"/>
  <c r="IF31" i="47"/>
  <c r="ID31" i="47"/>
  <c r="IX31" i="47" s="1"/>
  <c r="BL31" i="47"/>
  <c r="BK31" i="47"/>
  <c r="IW30" i="47"/>
  <c r="IY30" i="47" s="1"/>
  <c r="IN30" i="47"/>
  <c r="IL30" i="47"/>
  <c r="IJ30" i="47"/>
  <c r="IH30" i="47"/>
  <c r="IF30" i="47"/>
  <c r="ID30" i="47"/>
  <c r="IX30" i="47" s="1"/>
  <c r="HF30" i="47"/>
  <c r="HC30" i="47"/>
  <c r="GZ30" i="47"/>
  <c r="GW30" i="47"/>
  <c r="GT30" i="47"/>
  <c r="GQ30" i="47"/>
  <c r="GN30" i="47"/>
  <c r="GK30" i="47"/>
  <c r="GH30" i="47"/>
  <c r="GE30" i="47"/>
  <c r="GB30" i="47"/>
  <c r="FY30" i="47"/>
  <c r="FV30" i="47"/>
  <c r="FS30" i="47"/>
  <c r="FP30" i="47"/>
  <c r="FM30" i="47"/>
  <c r="FJ30" i="47"/>
  <c r="FG30" i="47"/>
  <c r="FD30" i="47"/>
  <c r="FA30" i="47"/>
  <c r="EX30" i="47"/>
  <c r="EU30" i="47"/>
  <c r="ER30" i="47"/>
  <c r="EO30" i="47"/>
  <c r="EL30" i="47"/>
  <c r="EI30" i="47"/>
  <c r="EF30" i="47"/>
  <c r="EC30" i="47"/>
  <c r="DZ30" i="47"/>
  <c r="DW30" i="47"/>
  <c r="DT30" i="47"/>
  <c r="DQ30" i="47"/>
  <c r="DN30" i="47"/>
  <c r="DK30" i="47"/>
  <c r="DH30" i="47"/>
  <c r="DE30" i="47"/>
  <c r="DB30" i="47"/>
  <c r="CY30" i="47"/>
  <c r="CV30" i="47"/>
  <c r="CS30" i="47"/>
  <c r="CP30" i="47"/>
  <c r="CM30" i="47"/>
  <c r="CJ30" i="47"/>
  <c r="CG30" i="47"/>
  <c r="CD30" i="47"/>
  <c r="CA30" i="47"/>
  <c r="BX30" i="47"/>
  <c r="BU30" i="47"/>
  <c r="BU12" i="47" s="1"/>
  <c r="BR30" i="47"/>
  <c r="BO30" i="47"/>
  <c r="BL30" i="47"/>
  <c r="BI30" i="47"/>
  <c r="BF30" i="47"/>
  <c r="BC30" i="47"/>
  <c r="BB30" i="47"/>
  <c r="IW29" i="47"/>
  <c r="IN29" i="47"/>
  <c r="IL29" i="47"/>
  <c r="IJ29" i="47"/>
  <c r="IH29" i="47"/>
  <c r="IF29" i="47"/>
  <c r="ID29" i="47"/>
  <c r="IX29" i="47" s="1"/>
  <c r="IY29" i="47" s="1"/>
  <c r="GZ29" i="47"/>
  <c r="FL29" i="47"/>
  <c r="Y29" i="47"/>
  <c r="X29" i="47"/>
  <c r="IW28" i="47"/>
  <c r="IY28" i="47" s="1"/>
  <c r="IN28" i="47"/>
  <c r="IL28" i="47"/>
  <c r="IJ28" i="47"/>
  <c r="IH28" i="47"/>
  <c r="IF28" i="47"/>
  <c r="ID28" i="47"/>
  <c r="IX28" i="47" s="1"/>
  <c r="BL28" i="47"/>
  <c r="BK28" i="47"/>
  <c r="IW27" i="47"/>
  <c r="IN27" i="47"/>
  <c r="IL27" i="47"/>
  <c r="IJ27" i="47"/>
  <c r="IH27" i="47"/>
  <c r="IF27" i="47"/>
  <c r="ID27" i="47"/>
  <c r="IX27" i="47" s="1"/>
  <c r="IY27" i="47" s="1"/>
  <c r="IW26" i="47"/>
  <c r="IY26" i="47" s="1"/>
  <c r="IN26" i="47"/>
  <c r="IL26" i="47"/>
  <c r="IJ26" i="47"/>
  <c r="IH26" i="47"/>
  <c r="IF26" i="47"/>
  <c r="ID26" i="47"/>
  <c r="IX26" i="47" s="1"/>
  <c r="HR26" i="47"/>
  <c r="HR12" i="47" s="1"/>
  <c r="J26" i="47"/>
  <c r="J12" i="47" s="1"/>
  <c r="I26" i="47"/>
  <c r="IW25" i="47"/>
  <c r="IY25" i="47" s="1"/>
  <c r="IN25" i="47"/>
  <c r="IL25" i="47"/>
  <c r="IJ25" i="47"/>
  <c r="IH25" i="47"/>
  <c r="IF25" i="47"/>
  <c r="ID25" i="47"/>
  <c r="IX25" i="47" s="1"/>
  <c r="DW25" i="47"/>
  <c r="DV25" i="47"/>
  <c r="IW24" i="47"/>
  <c r="IN24" i="47"/>
  <c r="IL24" i="47"/>
  <c r="IJ24" i="47"/>
  <c r="IH24" i="47"/>
  <c r="IF24" i="47"/>
  <c r="ID24" i="47"/>
  <c r="IX24" i="47" s="1"/>
  <c r="HF24" i="47"/>
  <c r="HC24" i="47"/>
  <c r="GZ24" i="47"/>
  <c r="GW24" i="47"/>
  <c r="GT24" i="47"/>
  <c r="GQ24" i="47"/>
  <c r="GN24" i="47"/>
  <c r="GK24" i="47"/>
  <c r="GH24" i="47"/>
  <c r="GE24" i="47"/>
  <c r="GB24" i="47"/>
  <c r="FY24" i="47"/>
  <c r="FV24" i="47"/>
  <c r="FS24" i="47"/>
  <c r="FP24" i="47"/>
  <c r="FM24" i="47"/>
  <c r="FJ24" i="47"/>
  <c r="FG24" i="47"/>
  <c r="FD24" i="47"/>
  <c r="FA24" i="47"/>
  <c r="EX24" i="47"/>
  <c r="EU24" i="47"/>
  <c r="ER24" i="47"/>
  <c r="EO24" i="47"/>
  <c r="EL24" i="47"/>
  <c r="EI24" i="47"/>
  <c r="EF24" i="47"/>
  <c r="EC24" i="47"/>
  <c r="DZ24" i="47"/>
  <c r="DW24" i="47"/>
  <c r="DT24" i="47"/>
  <c r="DQ24" i="47"/>
  <c r="DN24" i="47"/>
  <c r="DK24" i="47"/>
  <c r="DH24" i="47"/>
  <c r="DE24" i="47"/>
  <c r="DE12" i="47" s="1"/>
  <c r="DD24" i="47"/>
  <c r="IW23" i="47"/>
  <c r="IN23" i="47"/>
  <c r="IL23" i="47"/>
  <c r="IJ23" i="47"/>
  <c r="IH23" i="47"/>
  <c r="IF23" i="47"/>
  <c r="ID23" i="47"/>
  <c r="IX23" i="47" s="1"/>
  <c r="IY23" i="47" s="1"/>
  <c r="DW23" i="47"/>
  <c r="DV23" i="47"/>
  <c r="DQ23" i="47"/>
  <c r="DQ12" i="47" s="1"/>
  <c r="DP23" i="47"/>
  <c r="CX23" i="47"/>
  <c r="IW22" i="47"/>
  <c r="IN22" i="47"/>
  <c r="IL22" i="47"/>
  <c r="IJ22" i="47"/>
  <c r="IH22" i="47"/>
  <c r="IF22" i="47"/>
  <c r="ID22" i="47"/>
  <c r="IX22" i="47" s="1"/>
  <c r="HF22" i="47"/>
  <c r="HC22" i="47"/>
  <c r="GZ22" i="47"/>
  <c r="GW22" i="47"/>
  <c r="GT22" i="47"/>
  <c r="GQ22" i="47"/>
  <c r="GN22" i="47"/>
  <c r="GK22" i="47"/>
  <c r="GH22" i="47"/>
  <c r="GE22" i="47"/>
  <c r="GB22" i="47"/>
  <c r="FY22" i="47"/>
  <c r="FY12" i="47" s="1"/>
  <c r="FV22" i="47"/>
  <c r="FS22" i="47"/>
  <c r="FP22" i="47"/>
  <c r="FM22" i="47"/>
  <c r="FJ22" i="47"/>
  <c r="FG22" i="47"/>
  <c r="FD22" i="47"/>
  <c r="FA22" i="47"/>
  <c r="EX22" i="47"/>
  <c r="EU22" i="47"/>
  <c r="ER22" i="47"/>
  <c r="EO22" i="47"/>
  <c r="EO12" i="47" s="1"/>
  <c r="EL22" i="47"/>
  <c r="EI22" i="47"/>
  <c r="EF22" i="47"/>
  <c r="EC22" i="47"/>
  <c r="DZ22" i="47"/>
  <c r="DW22" i="47"/>
  <c r="DT22" i="47"/>
  <c r="DQ22" i="47"/>
  <c r="DP22" i="47"/>
  <c r="IX21" i="47"/>
  <c r="IW21" i="47"/>
  <c r="IY21" i="47" s="1"/>
  <c r="IN21" i="47"/>
  <c r="IL21" i="47"/>
  <c r="IJ21" i="47"/>
  <c r="IH21" i="47"/>
  <c r="IF21" i="47"/>
  <c r="ID21" i="47"/>
  <c r="HZ21" i="47"/>
  <c r="HX21" i="47"/>
  <c r="HF21" i="47"/>
  <c r="HC21" i="47"/>
  <c r="GZ21" i="47"/>
  <c r="GZ12" i="47" s="1"/>
  <c r="GW21" i="47"/>
  <c r="GW12" i="47" s="1"/>
  <c r="GT21" i="47"/>
  <c r="GQ21" i="47"/>
  <c r="GN21" i="47"/>
  <c r="GN12" i="47" s="1"/>
  <c r="GK21" i="47"/>
  <c r="GH21" i="47"/>
  <c r="GE21" i="47"/>
  <c r="GB21" i="47"/>
  <c r="GB12" i="47" s="1"/>
  <c r="FY21" i="47"/>
  <c r="FV21" i="47"/>
  <c r="FS21" i="47"/>
  <c r="FP21" i="47"/>
  <c r="FP12" i="47" s="1"/>
  <c r="FM21" i="47"/>
  <c r="FM12" i="47" s="1"/>
  <c r="FJ21" i="47"/>
  <c r="FG21" i="47"/>
  <c r="FD21" i="47"/>
  <c r="FD12" i="47" s="1"/>
  <c r="FA21" i="47"/>
  <c r="EX21" i="47"/>
  <c r="EU21" i="47"/>
  <c r="ER21" i="47"/>
  <c r="ER12" i="47" s="1"/>
  <c r="EO21" i="47"/>
  <c r="EL21" i="47"/>
  <c r="EI21" i="47"/>
  <c r="EF21" i="47"/>
  <c r="EF12" i="47" s="1"/>
  <c r="EC21" i="47"/>
  <c r="EC12" i="47" s="1"/>
  <c r="DZ21" i="47"/>
  <c r="DW21" i="47"/>
  <c r="DT21" i="47"/>
  <c r="DT12" i="47" s="1"/>
  <c r="DQ21" i="47"/>
  <c r="DN21" i="47"/>
  <c r="DK21" i="47"/>
  <c r="DH21" i="47"/>
  <c r="DH12" i="47" s="1"/>
  <c r="DE21" i="47"/>
  <c r="DB21" i="47"/>
  <c r="CY21" i="47"/>
  <c r="CV21" i="47"/>
  <c r="CV12" i="47" s="1"/>
  <c r="CS21" i="47"/>
  <c r="CS12" i="47" s="1"/>
  <c r="CP21" i="47"/>
  <c r="CM21" i="47"/>
  <c r="CJ21" i="47"/>
  <c r="CJ12" i="47" s="1"/>
  <c r="CG21" i="47"/>
  <c r="CD21" i="47"/>
  <c r="CA21" i="47"/>
  <c r="BX21" i="47"/>
  <c r="BX12" i="47" s="1"/>
  <c r="BU21" i="47"/>
  <c r="BR21" i="47"/>
  <c r="BO21" i="47"/>
  <c r="BL21" i="47"/>
  <c r="BL12" i="47" s="1"/>
  <c r="BI21" i="47"/>
  <c r="BI12" i="47" s="1"/>
  <c r="BF21" i="47"/>
  <c r="BC21" i="47"/>
  <c r="AZ21" i="47"/>
  <c r="AZ12" i="47" s="1"/>
  <c r="AW21" i="47"/>
  <c r="AT21" i="47"/>
  <c r="AQ21" i="47"/>
  <c r="AN21" i="47"/>
  <c r="AN12" i="47" s="1"/>
  <c r="AK21" i="47"/>
  <c r="AH21" i="47"/>
  <c r="AE21" i="47"/>
  <c r="AB21" i="47"/>
  <c r="AB12" i="47" s="1"/>
  <c r="Y21" i="47"/>
  <c r="Y12" i="47" s="1"/>
  <c r="V21" i="47"/>
  <c r="S21" i="47"/>
  <c r="P21" i="47"/>
  <c r="P12" i="47" s="1"/>
  <c r="M21" i="47"/>
  <c r="J21" i="47"/>
  <c r="G21" i="47"/>
  <c r="D21" i="47"/>
  <c r="IX20" i="47"/>
  <c r="IW20" i="47"/>
  <c r="IY20" i="47" s="1"/>
  <c r="IN20" i="47"/>
  <c r="IN12" i="47" s="1"/>
  <c r="IL20" i="47"/>
  <c r="IJ20" i="47"/>
  <c r="IH20" i="47"/>
  <c r="IF20" i="47"/>
  <c r="ID20" i="47"/>
  <c r="IW19" i="47"/>
  <c r="IY19" i="47" s="1"/>
  <c r="IN19" i="47"/>
  <c r="IL19" i="47"/>
  <c r="IJ19" i="47"/>
  <c r="IH19" i="47"/>
  <c r="IF19" i="47"/>
  <c r="ID19" i="47"/>
  <c r="IX19" i="47" s="1"/>
  <c r="GG19" i="47"/>
  <c r="GG12" i="47" s="1"/>
  <c r="BB19" i="47"/>
  <c r="IW18" i="47"/>
  <c r="IY18" i="47" s="1"/>
  <c r="IN18" i="47"/>
  <c r="IL18" i="47"/>
  <c r="IJ18" i="47"/>
  <c r="IH18" i="47"/>
  <c r="IF18" i="47"/>
  <c r="ID18" i="47"/>
  <c r="IX18" i="47" s="1"/>
  <c r="GG18" i="47"/>
  <c r="BB18" i="47"/>
  <c r="H18" i="47"/>
  <c r="H12" i="47" s="1"/>
  <c r="IX17" i="47"/>
  <c r="IY17" i="47" s="1"/>
  <c r="IW17" i="47"/>
  <c r="IY16" i="47"/>
  <c r="IX16" i="47"/>
  <c r="IW16" i="47"/>
  <c r="IN14" i="47"/>
  <c r="IL14" i="47"/>
  <c r="IJ14" i="47"/>
  <c r="IJ12" i="47" s="1"/>
  <c r="IH14" i="47"/>
  <c r="IH12" i="47" s="1"/>
  <c r="IF14" i="47"/>
  <c r="IF12" i="47" s="1"/>
  <c r="ID14" i="47"/>
  <c r="ID12" i="47" s="1"/>
  <c r="IB14" i="47"/>
  <c r="HZ14" i="47"/>
  <c r="HX14" i="47"/>
  <c r="HX12" i="47" s="1"/>
  <c r="HP14" i="47"/>
  <c r="HN14" i="47"/>
  <c r="HL14" i="47"/>
  <c r="HL12" i="47" s="1"/>
  <c r="HJ14" i="47"/>
  <c r="HJ12" i="47" s="1"/>
  <c r="HH14" i="47"/>
  <c r="HH12" i="47" s="1"/>
  <c r="HE14" i="47"/>
  <c r="HB14" i="47"/>
  <c r="GY14" i="47"/>
  <c r="GY12" i="47" s="1"/>
  <c r="GV14" i="47"/>
  <c r="GV12" i="47" s="1"/>
  <c r="GS14" i="47"/>
  <c r="GP14" i="47"/>
  <c r="GM14" i="47"/>
  <c r="GJ14" i="47"/>
  <c r="GJ12" i="47" s="1"/>
  <c r="GG14" i="47"/>
  <c r="GD14" i="47"/>
  <c r="GA14" i="47"/>
  <c r="GA12" i="47" s="1"/>
  <c r="FX14" i="47"/>
  <c r="FX12" i="47" s="1"/>
  <c r="FU14" i="47"/>
  <c r="FR14" i="47"/>
  <c r="FO14" i="47"/>
  <c r="FO12" i="47" s="1"/>
  <c r="FL14" i="47"/>
  <c r="FL12" i="47" s="1"/>
  <c r="FI14" i="47"/>
  <c r="FF14" i="47"/>
  <c r="FC14" i="47"/>
  <c r="EZ14" i="47"/>
  <c r="EZ12" i="47" s="1"/>
  <c r="EW14" i="47"/>
  <c r="ET14" i="47"/>
  <c r="EQ14" i="47"/>
  <c r="EQ12" i="47" s="1"/>
  <c r="EN14" i="47"/>
  <c r="EN12" i="47" s="1"/>
  <c r="EK14" i="47"/>
  <c r="EH14" i="47"/>
  <c r="EE14" i="47"/>
  <c r="EE12" i="47" s="1"/>
  <c r="EB14" i="47"/>
  <c r="EB12" i="47" s="1"/>
  <c r="DY14" i="47"/>
  <c r="DV14" i="47"/>
  <c r="DS14" i="47"/>
  <c r="DP14" i="47"/>
  <c r="DP12" i="47" s="1"/>
  <c r="DM14" i="47"/>
  <c r="DJ14" i="47"/>
  <c r="DG14" i="47"/>
  <c r="DG12" i="47" s="1"/>
  <c r="DD14" i="47"/>
  <c r="DD12" i="47" s="1"/>
  <c r="DA14" i="47"/>
  <c r="CX14" i="47"/>
  <c r="CU14" i="47"/>
  <c r="CU12" i="47" s="1"/>
  <c r="CR14" i="47"/>
  <c r="CR12" i="47" s="1"/>
  <c r="CO14" i="47"/>
  <c r="CL14" i="47"/>
  <c r="CI14" i="47"/>
  <c r="CF14" i="47"/>
  <c r="CC14" i="47"/>
  <c r="BZ14" i="47"/>
  <c r="BW14" i="47"/>
  <c r="BW12" i="47" s="1"/>
  <c r="BT14" i="47"/>
  <c r="BT12" i="47" s="1"/>
  <c r="BQ14" i="47"/>
  <c r="BN14" i="47"/>
  <c r="BK14" i="47"/>
  <c r="BK12" i="47" s="1"/>
  <c r="BH14" i="47"/>
  <c r="BH12" i="47" s="1"/>
  <c r="BE14" i="47"/>
  <c r="BB14" i="47"/>
  <c r="AY14" i="47"/>
  <c r="AV14" i="47"/>
  <c r="AS14" i="47"/>
  <c r="AP14" i="47"/>
  <c r="AM14" i="47"/>
  <c r="AM12" i="47" s="1"/>
  <c r="AJ14" i="47"/>
  <c r="AJ12" i="47" s="1"/>
  <c r="AG14" i="47"/>
  <c r="AD14" i="47"/>
  <c r="AA14" i="47"/>
  <c r="AA12" i="47" s="1"/>
  <c r="X14" i="47"/>
  <c r="X12" i="47" s="1"/>
  <c r="U14" i="47"/>
  <c r="R14" i="47"/>
  <c r="O14" i="47"/>
  <c r="L14" i="47"/>
  <c r="I14" i="47"/>
  <c r="D14" i="47"/>
  <c r="D12" i="47" s="1"/>
  <c r="IQ12" i="47"/>
  <c r="IP12" i="47"/>
  <c r="IO12" i="47"/>
  <c r="IM12" i="47"/>
  <c r="IL12" i="47"/>
  <c r="IK12" i="47"/>
  <c r="II12" i="47"/>
  <c r="IG12" i="47"/>
  <c r="IE12" i="47"/>
  <c r="IC12" i="47"/>
  <c r="IB12" i="47"/>
  <c r="IA12" i="47"/>
  <c r="HZ12" i="47"/>
  <c r="HW12" i="47"/>
  <c r="HV12" i="47"/>
  <c r="HU12" i="47"/>
  <c r="HT12" i="47"/>
  <c r="HS12" i="47"/>
  <c r="HQ12" i="47"/>
  <c r="HP12" i="47"/>
  <c r="HO12" i="47"/>
  <c r="HN12" i="47"/>
  <c r="HM12" i="47"/>
  <c r="HK12" i="47"/>
  <c r="HI12" i="47"/>
  <c r="HG12" i="47"/>
  <c r="HE12" i="47"/>
  <c r="HD12" i="47"/>
  <c r="HB12" i="47"/>
  <c r="HA12" i="47"/>
  <c r="GX12" i="47"/>
  <c r="GU12" i="47"/>
  <c r="GS12" i="47"/>
  <c r="GR12" i="47"/>
  <c r="GP12" i="47"/>
  <c r="GO12" i="47"/>
  <c r="GM12" i="47"/>
  <c r="GL12" i="47"/>
  <c r="GI12" i="47"/>
  <c r="GF12" i="47"/>
  <c r="GD12" i="47"/>
  <c r="GC12" i="47"/>
  <c r="FZ12" i="47"/>
  <c r="FW12" i="47"/>
  <c r="FU12" i="47"/>
  <c r="FT12" i="47"/>
  <c r="FR12" i="47"/>
  <c r="FQ12" i="47"/>
  <c r="FN12" i="47"/>
  <c r="FK12" i="47"/>
  <c r="FI12" i="47"/>
  <c r="FH12" i="47"/>
  <c r="FF12" i="47"/>
  <c r="FE12" i="47"/>
  <c r="FC12" i="47"/>
  <c r="FB12" i="47"/>
  <c r="EY12" i="47"/>
  <c r="EW12" i="47"/>
  <c r="EV12" i="47"/>
  <c r="ET12" i="47"/>
  <c r="ES12" i="47"/>
  <c r="EP12" i="47"/>
  <c r="EM12" i="47"/>
  <c r="EK12" i="47"/>
  <c r="EJ12" i="47"/>
  <c r="EH12" i="47"/>
  <c r="EG12" i="47"/>
  <c r="ED12" i="47"/>
  <c r="EA12" i="47"/>
  <c r="DY12" i="47"/>
  <c r="DX12" i="47"/>
  <c r="DW12" i="47"/>
  <c r="DV12" i="47"/>
  <c r="DU12" i="47"/>
  <c r="DS12" i="47"/>
  <c r="DR12" i="47"/>
  <c r="DO12" i="47"/>
  <c r="DM12" i="47"/>
  <c r="DL12" i="47"/>
  <c r="DJ12" i="47"/>
  <c r="DI12" i="47"/>
  <c r="DF12" i="47"/>
  <c r="DC12" i="47"/>
  <c r="DA12" i="47"/>
  <c r="CZ12" i="47"/>
  <c r="CY12" i="47"/>
  <c r="CX12" i="47"/>
  <c r="CW12" i="47"/>
  <c r="CT12" i="47"/>
  <c r="CQ12" i="47"/>
  <c r="CO12" i="47"/>
  <c r="CN12" i="47"/>
  <c r="CM12" i="47"/>
  <c r="CL12" i="47"/>
  <c r="CK12" i="47"/>
  <c r="CI12" i="47"/>
  <c r="CH12" i="47"/>
  <c r="CF12" i="47"/>
  <c r="CE12" i="47"/>
  <c r="CC12" i="47"/>
  <c r="CB12" i="47"/>
  <c r="BZ12" i="47"/>
  <c r="BY12" i="47"/>
  <c r="BV12" i="47"/>
  <c r="BS12" i="47"/>
  <c r="BQ12" i="47"/>
  <c r="BP12" i="47"/>
  <c r="BO12" i="47"/>
  <c r="BN12" i="47"/>
  <c r="BM12" i="47"/>
  <c r="BJ12" i="47"/>
  <c r="BG12" i="47"/>
  <c r="BE12" i="47"/>
  <c r="BD12" i="47"/>
  <c r="BC12" i="47"/>
  <c r="BB12" i="47"/>
  <c r="BA12" i="47"/>
  <c r="AY12" i="47"/>
  <c r="AX12" i="47"/>
  <c r="AV12" i="47"/>
  <c r="AU12" i="47"/>
  <c r="AS12" i="47"/>
  <c r="AR12" i="47"/>
  <c r="AP12" i="47"/>
  <c r="AO12" i="47"/>
  <c r="AL12" i="47"/>
  <c r="AI12" i="47"/>
  <c r="AG12" i="47"/>
  <c r="AF12" i="47"/>
  <c r="AE12" i="47"/>
  <c r="AD12" i="47"/>
  <c r="AC12" i="47"/>
  <c r="Z12" i="47"/>
  <c r="W12" i="47"/>
  <c r="U12" i="47"/>
  <c r="T12" i="47"/>
  <c r="S12" i="47"/>
  <c r="R12" i="47"/>
  <c r="Q12" i="47"/>
  <c r="O12" i="47"/>
  <c r="N12" i="47"/>
  <c r="L12" i="47"/>
  <c r="K12" i="47"/>
  <c r="G12" i="47"/>
  <c r="F12" i="47"/>
  <c r="E12" i="47"/>
  <c r="IY24" i="47" l="1"/>
  <c r="IY58" i="47"/>
  <c r="IY63" i="47"/>
  <c r="IY64" i="47"/>
  <c r="IY81" i="47"/>
  <c r="IY107" i="47"/>
  <c r="IY44" i="47"/>
  <c r="IY22" i="47"/>
  <c r="IY86" i="47"/>
  <c r="IY69" i="47"/>
  <c r="IY77" i="47"/>
  <c r="IY87" i="47"/>
  <c r="IY95" i="47"/>
  <c r="IY105" i="47"/>
  <c r="IY71" i="47"/>
  <c r="AX6" i="56" l="1"/>
  <c r="AX7" i="56"/>
  <c r="AX8" i="56"/>
  <c r="AX9" i="56"/>
  <c r="AX10" i="56"/>
  <c r="AX11" i="56"/>
  <c r="AX12" i="56"/>
  <c r="AX13" i="56"/>
  <c r="AX14" i="56"/>
  <c r="AX15" i="56"/>
  <c r="AX16" i="56"/>
  <c r="AX17" i="56"/>
  <c r="AX18" i="56"/>
  <c r="AX19" i="56"/>
  <c r="AX20" i="56"/>
  <c r="AX21" i="56"/>
  <c r="AX22" i="56"/>
  <c r="AX23" i="56"/>
  <c r="AX24" i="56"/>
  <c r="AX25" i="56"/>
  <c r="AX26" i="56"/>
  <c r="AX27" i="56"/>
  <c r="AX28" i="56"/>
  <c r="AX29" i="56"/>
  <c r="AX30" i="56"/>
  <c r="AX31" i="56"/>
  <c r="AX32" i="56"/>
  <c r="AX33" i="56"/>
  <c r="AX34" i="56"/>
  <c r="AX35" i="56"/>
  <c r="AX36" i="56"/>
  <c r="AX37" i="56"/>
  <c r="AX38" i="56"/>
  <c r="AX39" i="56"/>
  <c r="AX40" i="56"/>
  <c r="AX41" i="56"/>
  <c r="AX42" i="56"/>
  <c r="AX43" i="56"/>
  <c r="AX44" i="56"/>
  <c r="AX45" i="56"/>
  <c r="AX46" i="56"/>
  <c r="AX47" i="56"/>
  <c r="AX48" i="56"/>
  <c r="AX49" i="56"/>
  <c r="AX50" i="56"/>
  <c r="AX51" i="56"/>
  <c r="AX52" i="56"/>
  <c r="AX53" i="56"/>
  <c r="AX54" i="56"/>
  <c r="AX55" i="56"/>
  <c r="AX56" i="56"/>
  <c r="AX57" i="56"/>
  <c r="AX58" i="56"/>
  <c r="AX59" i="56"/>
  <c r="AX60" i="56"/>
  <c r="AX61" i="56"/>
  <c r="AX62" i="56"/>
  <c r="AX63" i="56"/>
  <c r="AX64" i="56"/>
  <c r="AX65" i="56"/>
  <c r="AX66" i="56"/>
  <c r="AX67" i="56"/>
  <c r="AX68" i="56"/>
  <c r="AX69" i="56"/>
  <c r="AX70" i="56"/>
  <c r="AX71" i="56"/>
  <c r="AX72" i="56"/>
  <c r="AX73" i="56"/>
  <c r="AX74" i="56"/>
  <c r="AX75" i="56"/>
  <c r="AX76" i="56"/>
  <c r="AX77" i="56"/>
  <c r="AX78" i="56"/>
  <c r="AX79" i="56"/>
  <c r="AX80" i="56"/>
  <c r="AX81" i="56"/>
  <c r="AX82" i="56"/>
  <c r="AX83" i="56"/>
  <c r="AX84" i="56"/>
  <c r="AX85" i="56"/>
  <c r="AX86" i="56"/>
  <c r="AX87" i="56"/>
  <c r="AX88" i="56"/>
  <c r="AX89" i="56"/>
  <c r="AX90" i="56"/>
  <c r="AX91" i="56"/>
  <c r="AX92" i="56"/>
  <c r="AX93" i="56"/>
  <c r="AX94" i="56"/>
  <c r="AX95" i="56"/>
  <c r="AX96" i="56"/>
  <c r="AX97" i="56"/>
  <c r="AX98" i="56"/>
  <c r="AX99" i="56"/>
  <c r="AX100" i="56"/>
  <c r="AX101" i="56"/>
  <c r="AX102" i="56"/>
  <c r="AX103" i="56"/>
  <c r="AX104" i="56"/>
  <c r="AX105" i="56"/>
  <c r="AX106" i="56"/>
  <c r="AX107" i="56"/>
  <c r="AX108" i="56"/>
  <c r="AX109" i="56"/>
  <c r="AX110" i="56"/>
  <c r="AX111" i="56"/>
  <c r="AX112" i="56"/>
  <c r="AX113" i="56"/>
  <c r="AX114" i="56"/>
  <c r="AX115" i="56"/>
  <c r="AX116" i="56"/>
  <c r="AX117" i="56"/>
  <c r="AX118" i="56"/>
  <c r="AX119" i="56"/>
  <c r="AX120" i="56"/>
  <c r="AX121" i="56"/>
  <c r="AX122" i="56"/>
  <c r="AX123" i="56"/>
  <c r="AX124" i="56"/>
  <c r="AX125" i="56"/>
  <c r="AX126" i="56"/>
  <c r="AX127" i="56"/>
  <c r="AX128" i="56"/>
  <c r="AX129" i="56"/>
  <c r="AX130" i="56"/>
  <c r="AX131" i="56"/>
  <c r="AX132" i="56"/>
  <c r="AX133" i="56"/>
  <c r="AX134" i="56"/>
  <c r="AX135" i="56"/>
  <c r="AX136" i="56"/>
  <c r="AX137" i="56"/>
  <c r="AX138" i="56"/>
  <c r="AX139" i="56"/>
  <c r="AX140" i="56"/>
  <c r="AX141" i="56"/>
  <c r="AX142" i="56"/>
  <c r="AX143" i="56"/>
  <c r="AX144" i="56"/>
  <c r="AX145" i="56"/>
  <c r="AX146" i="56"/>
  <c r="AX147" i="56"/>
  <c r="AX148" i="56"/>
  <c r="AX149" i="56"/>
  <c r="AX150" i="56"/>
  <c r="AX151" i="56"/>
  <c r="AX152" i="56"/>
  <c r="AX153" i="56"/>
  <c r="AX154" i="56"/>
  <c r="AX155" i="56"/>
  <c r="AX156" i="56"/>
  <c r="AX157" i="56"/>
  <c r="AX158" i="56"/>
  <c r="AX159" i="56"/>
  <c r="AX160" i="56"/>
  <c r="AX161" i="56"/>
  <c r="AX162" i="56"/>
  <c r="AX163" i="56"/>
  <c r="AX164" i="56"/>
  <c r="AX165" i="56"/>
  <c r="AX166" i="56"/>
  <c r="AX167" i="56"/>
  <c r="AX168" i="56"/>
  <c r="AX169" i="56"/>
  <c r="AX170" i="56"/>
  <c r="AX171" i="56"/>
  <c r="AX172" i="56"/>
  <c r="AX173" i="56"/>
  <c r="AX174" i="56"/>
  <c r="AX175" i="56"/>
  <c r="AX176" i="56"/>
  <c r="AX177" i="56"/>
  <c r="AX178" i="56"/>
  <c r="AX179" i="56"/>
  <c r="AX180" i="56"/>
  <c r="AX181" i="56"/>
  <c r="AX182" i="56"/>
  <c r="AX183" i="56"/>
  <c r="AX184" i="56"/>
  <c r="AX185" i="56"/>
  <c r="AX186" i="56"/>
  <c r="AX187" i="56"/>
  <c r="AX188" i="56"/>
  <c r="AX189" i="56"/>
  <c r="AX190" i="56"/>
  <c r="AX191" i="56"/>
  <c r="AX192" i="56"/>
  <c r="AX193" i="56"/>
  <c r="AX194" i="56"/>
  <c r="AX195" i="56"/>
  <c r="AX196" i="56"/>
  <c r="AX197" i="56"/>
  <c r="AX198" i="56"/>
  <c r="AX199" i="56"/>
  <c r="AX200" i="56"/>
  <c r="AX201" i="56"/>
  <c r="AX202" i="56"/>
  <c r="AX203" i="56"/>
  <c r="AX204" i="56"/>
  <c r="AX205" i="56"/>
  <c r="AX206" i="56"/>
  <c r="AX207" i="56"/>
  <c r="AX208" i="56"/>
  <c r="AX209" i="56"/>
  <c r="AX210" i="56"/>
  <c r="AX211" i="56"/>
  <c r="AX212" i="56"/>
  <c r="AX213" i="56"/>
  <c r="AX214" i="56"/>
  <c r="AX215" i="56"/>
  <c r="AX216" i="56"/>
  <c r="AX217" i="56"/>
  <c r="AX218" i="56"/>
  <c r="AX219" i="56"/>
  <c r="AX220" i="56"/>
  <c r="AX221" i="56"/>
  <c r="AX222" i="56"/>
  <c r="AX223" i="56"/>
  <c r="AX224" i="56"/>
  <c r="AX225" i="56"/>
  <c r="AX226" i="56"/>
  <c r="AX227" i="56"/>
  <c r="AX228" i="56"/>
  <c r="AX229" i="56"/>
  <c r="AX230" i="56"/>
  <c r="AX231" i="56"/>
  <c r="AX232" i="56"/>
  <c r="AX233" i="56"/>
  <c r="AX234" i="56"/>
  <c r="AX235" i="56"/>
  <c r="AX236" i="56"/>
  <c r="AX237" i="56"/>
  <c r="AX238" i="56"/>
  <c r="AX239" i="56"/>
  <c r="AX240" i="56"/>
  <c r="AX241" i="56"/>
  <c r="AX242" i="56"/>
  <c r="AX243" i="56"/>
  <c r="AX244" i="56"/>
  <c r="AX245" i="56"/>
  <c r="AX246" i="56"/>
  <c r="AX247" i="56"/>
  <c r="AX248" i="56"/>
  <c r="AX249" i="56"/>
  <c r="AX250" i="56"/>
  <c r="AX251" i="56"/>
  <c r="AX252" i="56"/>
  <c r="AX253" i="56"/>
  <c r="AX254" i="56"/>
  <c r="AX255" i="56"/>
  <c r="AX256" i="56"/>
  <c r="AX257" i="56"/>
  <c r="AX258" i="56"/>
  <c r="AX259" i="56"/>
  <c r="AX260" i="56"/>
  <c r="AX261" i="56"/>
  <c r="AX262" i="56"/>
  <c r="AX263" i="56"/>
  <c r="AX264" i="56"/>
  <c r="AX265" i="56"/>
  <c r="AX266" i="56"/>
  <c r="AX267" i="56"/>
  <c r="AX268" i="56"/>
  <c r="AX269" i="56"/>
  <c r="AX270" i="56"/>
  <c r="AX271" i="56"/>
  <c r="AX272" i="56"/>
  <c r="AX273" i="56"/>
  <c r="AX274" i="56"/>
  <c r="AX275" i="56"/>
  <c r="AX276" i="56"/>
  <c r="AX277" i="56"/>
  <c r="AX278" i="56"/>
  <c r="AX279" i="56"/>
  <c r="AX280" i="56"/>
  <c r="AX281" i="56"/>
  <c r="AX282" i="56"/>
  <c r="AX283" i="56"/>
  <c r="AX284" i="56"/>
  <c r="AX285" i="56"/>
  <c r="AX286" i="56"/>
  <c r="AX287" i="56"/>
  <c r="AX288" i="56"/>
  <c r="AX289" i="56"/>
  <c r="AX290" i="56"/>
  <c r="AX291" i="56"/>
  <c r="AX292" i="56"/>
  <c r="AX293" i="56"/>
  <c r="AX294" i="56"/>
  <c r="AX295" i="56"/>
  <c r="AX296" i="56"/>
  <c r="AX297" i="56"/>
  <c r="AX298" i="56"/>
  <c r="AX299" i="56"/>
  <c r="AX300" i="56"/>
  <c r="AX301" i="56"/>
  <c r="AX302" i="56"/>
  <c r="AX303" i="56"/>
  <c r="AX304" i="56"/>
  <c r="AX4" i="56"/>
  <c r="AX5" i="56"/>
  <c r="AX3" i="56"/>
  <c r="Z24" i="69" l="1"/>
  <c r="X24" i="69"/>
  <c r="J24" i="69"/>
  <c r="S16" i="64"/>
  <c r="Z23" i="59" l="1"/>
  <c r="Y23" i="59"/>
  <c r="Z22" i="59"/>
  <c r="Y22" i="59"/>
  <c r="Z21" i="59"/>
  <c r="Y21" i="59"/>
  <c r="Z20" i="59" l="1"/>
  <c r="Y20" i="59"/>
  <c r="Z18" i="59" l="1"/>
  <c r="Y18" i="59"/>
  <c r="Y17" i="59" l="1"/>
  <c r="Z17" i="59"/>
  <c r="W17" i="59"/>
  <c r="I17" i="59"/>
  <c r="AQ253" i="41"/>
  <c r="AQ254" i="41"/>
  <c r="AQ255" i="41"/>
  <c r="AQ256" i="41"/>
  <c r="AQ257" i="41"/>
  <c r="AQ258" i="41"/>
  <c r="AQ259" i="41"/>
  <c r="AQ260" i="41"/>
  <c r="AQ261" i="41"/>
  <c r="AQ262" i="41"/>
  <c r="AQ3" i="41"/>
  <c r="AQ4" i="41"/>
  <c r="AQ263" i="41"/>
  <c r="AQ264" i="41"/>
  <c r="AQ5" i="41"/>
  <c r="AQ265" i="41"/>
  <c r="AQ266" i="41"/>
  <c r="AQ267" i="41"/>
  <c r="AQ7" i="41"/>
  <c r="AQ8" i="41"/>
  <c r="AQ268" i="41"/>
  <c r="AQ269" i="41"/>
  <c r="AQ270" i="41"/>
  <c r="AQ271" i="41"/>
  <c r="AQ272" i="41"/>
  <c r="AQ273" i="41"/>
  <c r="AQ274" i="41"/>
  <c r="AQ275" i="41"/>
  <c r="AQ276" i="41"/>
  <c r="AQ277" i="41"/>
  <c r="AQ278" i="41"/>
  <c r="AQ279" i="41"/>
  <c r="AQ280" i="41"/>
  <c r="AQ9" i="41"/>
  <c r="AQ10" i="41"/>
  <c r="AQ11" i="41"/>
  <c r="AQ12" i="41"/>
  <c r="AQ13" i="41"/>
  <c r="AQ14" i="41"/>
  <c r="AQ15" i="41"/>
  <c r="AQ16" i="41"/>
  <c r="AQ17" i="41"/>
  <c r="AQ18" i="41"/>
  <c r="AQ19" i="41"/>
  <c r="AQ20" i="41"/>
  <c r="AQ21" i="41"/>
  <c r="AQ22" i="41"/>
  <c r="AQ23" i="41"/>
  <c r="AQ24" i="41"/>
  <c r="AQ25" i="41"/>
  <c r="AQ26" i="41"/>
  <c r="AQ27" i="41"/>
  <c r="AQ28" i="41"/>
  <c r="AQ29" i="41"/>
  <c r="AQ30" i="41"/>
  <c r="AQ31" i="41"/>
  <c r="AQ32" i="41"/>
  <c r="AQ33" i="41"/>
  <c r="AQ34" i="41"/>
  <c r="AQ281" i="41"/>
  <c r="AQ35" i="41"/>
  <c r="AQ36" i="41"/>
  <c r="AQ37" i="41"/>
  <c r="AQ38" i="41"/>
  <c r="AQ6" i="41"/>
  <c r="AQ39" i="41"/>
  <c r="AQ40" i="41"/>
  <c r="AQ41" i="41"/>
  <c r="AQ42" i="41"/>
  <c r="AQ43" i="41"/>
  <c r="AQ44" i="41"/>
  <c r="AQ45" i="41"/>
  <c r="AQ46" i="41"/>
  <c r="AQ47" i="41"/>
  <c r="AQ286" i="41"/>
  <c r="AQ48" i="41"/>
  <c r="AQ49" i="41"/>
  <c r="AQ50" i="41"/>
  <c r="AQ51" i="41"/>
  <c r="AQ52" i="41"/>
  <c r="AQ53" i="41"/>
  <c r="AQ54" i="41"/>
  <c r="AQ55" i="41"/>
  <c r="AQ56" i="41"/>
  <c r="AQ57" i="41"/>
  <c r="AQ58" i="41"/>
  <c r="AQ287" i="41"/>
  <c r="AQ59" i="41"/>
  <c r="AQ60" i="41"/>
  <c r="AQ61" i="41"/>
  <c r="AQ62" i="41"/>
  <c r="AQ63" i="41"/>
  <c r="AQ64" i="41"/>
  <c r="AQ65" i="41"/>
  <c r="AQ66" i="41"/>
  <c r="AQ67" i="41"/>
  <c r="AQ68" i="41"/>
  <c r="AQ69" i="41"/>
  <c r="AQ70" i="41"/>
  <c r="AQ71" i="41"/>
  <c r="AQ72" i="41"/>
  <c r="AQ73" i="41"/>
  <c r="AQ74" i="41"/>
  <c r="AQ288" i="41"/>
  <c r="AQ75" i="41"/>
  <c r="AQ76" i="41"/>
  <c r="AQ77" i="41"/>
  <c r="AQ78" i="41"/>
  <c r="AQ79" i="41"/>
  <c r="AQ80" i="41"/>
  <c r="AQ81" i="41"/>
  <c r="AQ82" i="41"/>
  <c r="AQ83" i="41"/>
  <c r="AQ84" i="41"/>
  <c r="AQ85" i="41"/>
  <c r="AQ86" i="41"/>
  <c r="AQ87" i="41"/>
  <c r="AQ88" i="41"/>
  <c r="AQ89" i="41"/>
  <c r="AQ90" i="41"/>
  <c r="AQ91" i="41"/>
  <c r="AQ92" i="41"/>
  <c r="AQ282" i="41"/>
  <c r="AQ93" i="41"/>
  <c r="AQ94" i="41"/>
  <c r="AQ95" i="41"/>
  <c r="AQ283" i="41"/>
  <c r="AQ96" i="41"/>
  <c r="AQ97" i="41"/>
  <c r="AQ98" i="41"/>
  <c r="AQ99" i="41"/>
  <c r="AQ100" i="41"/>
  <c r="AQ101" i="41"/>
  <c r="AQ102" i="41"/>
  <c r="AQ103" i="41"/>
  <c r="AQ104" i="41"/>
  <c r="AQ105" i="41"/>
  <c r="AQ106" i="41"/>
  <c r="AQ107" i="41"/>
  <c r="AQ108" i="41"/>
  <c r="AQ109" i="41"/>
  <c r="AQ110" i="41"/>
  <c r="AQ111" i="41"/>
  <c r="AQ112" i="41"/>
  <c r="AQ113" i="41"/>
  <c r="AQ114" i="41"/>
  <c r="AQ115" i="41"/>
  <c r="AQ116" i="41"/>
  <c r="AQ117" i="41"/>
  <c r="AQ118" i="41"/>
  <c r="AQ119" i="41"/>
  <c r="AQ120" i="41"/>
  <c r="AQ121" i="41"/>
  <c r="AQ122" i="41"/>
  <c r="AQ123" i="41"/>
  <c r="AQ124" i="41"/>
  <c r="AQ125" i="41"/>
  <c r="AQ126" i="41"/>
  <c r="AQ127" i="41"/>
  <c r="AQ128" i="41"/>
  <c r="AQ129" i="41"/>
  <c r="AQ130" i="41"/>
  <c r="AQ131" i="41"/>
  <c r="AQ132" i="41"/>
  <c r="AQ133" i="41"/>
  <c r="AQ134" i="41"/>
  <c r="AQ284" i="41"/>
  <c r="AQ135" i="41"/>
  <c r="AQ136" i="41"/>
  <c r="AQ137" i="41"/>
  <c r="AQ138" i="41"/>
  <c r="AQ139" i="41"/>
  <c r="AQ140" i="41"/>
  <c r="AQ141" i="41"/>
  <c r="AQ142" i="41"/>
  <c r="AQ143" i="41"/>
  <c r="AQ144" i="41"/>
  <c r="AQ145" i="41"/>
  <c r="AQ146" i="41"/>
  <c r="AQ147" i="41"/>
  <c r="AQ148" i="41"/>
  <c r="AQ149" i="41"/>
  <c r="AQ150" i="41"/>
  <c r="AQ151" i="41"/>
  <c r="AQ289" i="41"/>
  <c r="AQ152" i="41"/>
  <c r="AQ153" i="41"/>
  <c r="AQ154" i="41"/>
  <c r="AQ155" i="41"/>
  <c r="AQ156" i="41"/>
  <c r="AQ157" i="41"/>
  <c r="AQ158" i="41"/>
  <c r="AQ159" i="41"/>
  <c r="AQ160" i="41"/>
  <c r="AQ161" i="41"/>
  <c r="AQ162" i="41"/>
  <c r="AQ163" i="41"/>
  <c r="AQ164" i="41"/>
  <c r="AQ165" i="41"/>
  <c r="AQ166" i="41"/>
  <c r="AQ167" i="41"/>
  <c r="AQ168" i="41"/>
  <c r="AQ169" i="41"/>
  <c r="AQ170" i="41"/>
  <c r="AQ171" i="41"/>
  <c r="AQ172" i="41"/>
  <c r="AQ173" i="41"/>
  <c r="AQ174" i="41"/>
  <c r="AQ175" i="41"/>
  <c r="AQ176" i="41"/>
  <c r="AQ177" i="41"/>
  <c r="AQ178" i="41"/>
  <c r="AQ179" i="41"/>
  <c r="AQ180" i="41"/>
  <c r="AQ181" i="41"/>
  <c r="AQ182" i="41"/>
  <c r="AQ183" i="41"/>
  <c r="AQ184" i="41"/>
  <c r="AQ185" i="41"/>
  <c r="AQ186" i="41"/>
  <c r="AQ187" i="41"/>
  <c r="AQ188" i="41"/>
  <c r="AQ189" i="41"/>
  <c r="AQ190" i="41"/>
  <c r="AQ290" i="41"/>
  <c r="AQ191" i="41"/>
  <c r="AQ192" i="41"/>
  <c r="AQ193" i="41"/>
  <c r="AQ194" i="41"/>
  <c r="AQ195" i="41"/>
  <c r="AQ196" i="41"/>
  <c r="AQ285" i="41"/>
  <c r="AQ197" i="41"/>
  <c r="AQ198" i="41"/>
  <c r="AQ199" i="41"/>
  <c r="AQ200" i="41"/>
  <c r="AQ201" i="41"/>
  <c r="AQ202" i="41"/>
  <c r="AQ203" i="41"/>
  <c r="AQ204" i="41"/>
  <c r="AQ205" i="41"/>
  <c r="AQ206" i="41"/>
  <c r="AQ207" i="41"/>
  <c r="AQ208" i="41"/>
  <c r="AQ209" i="41"/>
  <c r="AQ210" i="41"/>
  <c r="AQ211" i="41"/>
  <c r="AQ212" i="41"/>
  <c r="AQ213" i="41"/>
  <c r="AQ214" i="41"/>
  <c r="AQ215" i="41"/>
  <c r="AQ216" i="41"/>
  <c r="AQ217" i="41"/>
  <c r="AQ218" i="41"/>
  <c r="AQ219" i="41"/>
  <c r="AQ220" i="41"/>
  <c r="AQ221" i="41"/>
  <c r="AQ222" i="41"/>
  <c r="AQ223" i="41"/>
  <c r="AQ224" i="41"/>
  <c r="AQ225" i="41"/>
  <c r="AQ226" i="41"/>
  <c r="AQ227" i="41"/>
  <c r="AQ228" i="41"/>
  <c r="AQ229" i="41"/>
  <c r="AQ230" i="41"/>
  <c r="AQ231" i="41"/>
  <c r="AQ291" i="41"/>
  <c r="AQ232" i="41"/>
  <c r="AQ233" i="41"/>
  <c r="AQ234" i="41"/>
  <c r="AQ235" i="41"/>
  <c r="AQ236" i="41"/>
  <c r="AQ237" i="41"/>
  <c r="AQ238" i="41"/>
  <c r="AQ239" i="41"/>
  <c r="AQ240" i="41"/>
  <c r="AQ241" i="41"/>
  <c r="AQ242" i="41"/>
  <c r="AQ243" i="41"/>
  <c r="AQ244" i="41"/>
  <c r="AQ245" i="41"/>
  <c r="AQ246" i="41"/>
  <c r="AQ247" i="41"/>
  <c r="AQ248" i="41"/>
  <c r="AQ249" i="41"/>
  <c r="AQ250" i="41"/>
  <c r="AQ251" i="41"/>
  <c r="AQ252" i="41"/>
  <c r="AP253" i="41" l="1"/>
  <c r="AP254" i="41"/>
  <c r="AP255" i="41"/>
  <c r="AP256" i="41"/>
  <c r="AP257" i="41"/>
  <c r="AP258" i="41"/>
  <c r="AP259" i="41"/>
  <c r="AP260" i="41"/>
  <c r="AP261" i="41"/>
  <c r="AP262" i="41"/>
  <c r="AP3" i="41"/>
  <c r="AP4" i="41"/>
  <c r="AP263" i="41"/>
  <c r="AP264" i="41"/>
  <c r="AP5" i="41"/>
  <c r="AP265" i="41"/>
  <c r="AP266" i="41"/>
  <c r="AP267" i="41"/>
  <c r="AP7" i="41"/>
  <c r="AP8" i="41"/>
  <c r="AP268" i="41"/>
  <c r="AP269" i="41"/>
  <c r="AP270" i="41"/>
  <c r="AP271" i="41"/>
  <c r="AP272" i="41"/>
  <c r="AP273" i="41"/>
  <c r="AP274" i="41"/>
  <c r="AP275" i="41"/>
  <c r="AP276" i="41"/>
  <c r="AP277" i="41"/>
  <c r="AP278" i="41"/>
  <c r="AP279" i="41"/>
  <c r="AP280" i="41"/>
  <c r="AP9" i="41"/>
  <c r="AP10" i="41"/>
  <c r="AP11" i="41"/>
  <c r="AP12" i="41"/>
  <c r="AP13" i="41"/>
  <c r="AP14" i="41"/>
  <c r="AP15" i="41"/>
  <c r="AP16" i="41"/>
  <c r="AP17" i="41"/>
  <c r="AP18" i="41"/>
  <c r="AP19" i="41"/>
  <c r="AP20" i="41"/>
  <c r="AP21" i="41"/>
  <c r="AP22" i="41"/>
  <c r="AP23" i="41"/>
  <c r="AP24" i="41"/>
  <c r="AP25" i="41"/>
  <c r="AP26" i="41"/>
  <c r="AP27" i="41"/>
  <c r="AP28" i="41"/>
  <c r="AP29" i="41"/>
  <c r="AP30" i="41"/>
  <c r="AP31" i="41"/>
  <c r="AP32" i="41"/>
  <c r="AP33" i="41"/>
  <c r="AP34" i="41"/>
  <c r="AP281" i="41"/>
  <c r="AP35" i="41"/>
  <c r="AP36" i="41"/>
  <c r="AP37" i="41"/>
  <c r="AP38" i="41"/>
  <c r="AP6" i="41"/>
  <c r="AP39" i="41"/>
  <c r="AP40" i="41"/>
  <c r="AP41" i="41"/>
  <c r="AP42" i="41"/>
  <c r="AP43" i="41"/>
  <c r="AP44" i="41"/>
  <c r="AP45" i="41"/>
  <c r="AP46" i="41"/>
  <c r="AP47" i="41"/>
  <c r="AP286" i="41"/>
  <c r="AP48" i="41"/>
  <c r="AP49" i="41"/>
  <c r="AP50" i="41"/>
  <c r="AP51" i="41"/>
  <c r="AP52" i="41"/>
  <c r="AP53" i="41"/>
  <c r="AP54" i="41"/>
  <c r="AP55" i="41"/>
  <c r="AP56" i="41"/>
  <c r="AP57" i="41"/>
  <c r="AP58" i="41"/>
  <c r="AP287" i="41"/>
  <c r="AP59" i="41"/>
  <c r="AP60" i="41"/>
  <c r="AP61" i="41"/>
  <c r="AP62" i="41"/>
  <c r="AP63" i="41"/>
  <c r="AP64" i="41"/>
  <c r="AP65" i="41"/>
  <c r="AP66" i="41"/>
  <c r="AP67" i="41"/>
  <c r="AP68" i="41"/>
  <c r="AP69" i="41"/>
  <c r="AP70" i="41"/>
  <c r="AP71" i="41"/>
  <c r="AP72" i="41"/>
  <c r="AP73" i="41"/>
  <c r="AP74" i="41"/>
  <c r="AP288" i="41"/>
  <c r="AP75" i="41"/>
  <c r="AP76" i="41"/>
  <c r="AP77" i="41"/>
  <c r="AP78" i="41"/>
  <c r="AP79" i="41"/>
  <c r="AP80" i="41"/>
  <c r="AP81" i="41"/>
  <c r="AP82" i="41"/>
  <c r="AP83" i="41"/>
  <c r="AP84" i="41"/>
  <c r="AP85" i="41"/>
  <c r="AP86" i="41"/>
  <c r="AP87" i="41"/>
  <c r="AP88" i="41"/>
  <c r="AP89" i="41"/>
  <c r="AP90" i="41"/>
  <c r="AP91" i="41"/>
  <c r="AP92" i="41"/>
  <c r="AP282" i="41"/>
  <c r="AP93" i="41"/>
  <c r="AP94" i="41"/>
  <c r="AP95" i="41"/>
  <c r="AP283" i="41"/>
  <c r="AP96" i="41"/>
  <c r="AP97" i="41"/>
  <c r="AP98" i="41"/>
  <c r="AP99" i="41"/>
  <c r="AP100" i="41"/>
  <c r="AP101" i="41"/>
  <c r="AP102" i="41"/>
  <c r="AP103" i="41"/>
  <c r="AP104" i="41"/>
  <c r="AP105" i="41"/>
  <c r="AP106" i="41"/>
  <c r="AP107" i="41"/>
  <c r="AP108" i="41"/>
  <c r="AP109" i="41"/>
  <c r="AP110" i="41"/>
  <c r="AP111" i="41"/>
  <c r="AP112" i="41"/>
  <c r="AP113" i="41"/>
  <c r="AP114" i="41"/>
  <c r="AP115" i="41"/>
  <c r="AP116" i="41"/>
  <c r="AP117" i="41"/>
  <c r="AP118" i="41"/>
  <c r="AP119" i="41"/>
  <c r="AP120" i="41"/>
  <c r="AP121" i="41"/>
  <c r="AP122" i="41"/>
  <c r="AP123" i="41"/>
  <c r="AP124" i="41"/>
  <c r="AP125" i="41"/>
  <c r="AP126" i="41"/>
  <c r="AP127" i="41"/>
  <c r="AP128" i="41"/>
  <c r="AP129" i="41"/>
  <c r="AP130" i="41"/>
  <c r="AP131" i="41"/>
  <c r="AP132" i="41"/>
  <c r="AP133" i="41"/>
  <c r="AP134" i="41"/>
  <c r="AP284" i="41"/>
  <c r="AP135" i="41"/>
  <c r="AP136" i="41"/>
  <c r="AP137" i="41"/>
  <c r="AP138" i="41"/>
  <c r="AP139" i="41"/>
  <c r="AP140" i="41"/>
  <c r="AP141" i="41"/>
  <c r="AP142" i="41"/>
  <c r="AP143" i="41"/>
  <c r="AP144" i="41"/>
  <c r="AP145" i="41"/>
  <c r="AP146" i="41"/>
  <c r="AP147" i="41"/>
  <c r="AP148" i="41"/>
  <c r="AP149" i="41"/>
  <c r="AP150" i="41"/>
  <c r="AP151" i="41"/>
  <c r="AP289" i="41"/>
  <c r="AP152" i="41"/>
  <c r="AP153" i="41"/>
  <c r="AP154" i="41"/>
  <c r="AP155" i="41"/>
  <c r="AP156" i="41"/>
  <c r="AP157" i="41"/>
  <c r="AP158" i="41"/>
  <c r="AP159" i="41"/>
  <c r="AP160" i="41"/>
  <c r="AP161" i="41"/>
  <c r="AP162" i="41"/>
  <c r="AP163" i="41"/>
  <c r="AP164" i="41"/>
  <c r="AP165" i="41"/>
  <c r="AP166" i="41"/>
  <c r="AP167" i="41"/>
  <c r="AP168" i="41"/>
  <c r="AP169" i="41"/>
  <c r="AP170" i="41"/>
  <c r="AP171" i="41"/>
  <c r="AP172" i="41"/>
  <c r="AP173" i="41"/>
  <c r="AP174" i="41"/>
  <c r="AP175" i="41"/>
  <c r="AP176" i="41"/>
  <c r="AP177" i="41"/>
  <c r="AP178" i="41"/>
  <c r="AP179" i="41"/>
  <c r="AP180" i="41"/>
  <c r="AP181" i="41"/>
  <c r="AP182" i="41"/>
  <c r="AP183" i="41"/>
  <c r="AP184" i="41"/>
  <c r="AP185" i="41"/>
  <c r="AP186" i="41"/>
  <c r="AP187" i="41"/>
  <c r="AP188" i="41"/>
  <c r="AP189" i="41"/>
  <c r="AP190" i="41"/>
  <c r="AP290" i="41"/>
  <c r="AP191" i="41"/>
  <c r="AP192" i="41"/>
  <c r="AP193" i="41"/>
  <c r="AP194" i="41"/>
  <c r="AP195" i="41"/>
  <c r="AP196" i="41"/>
  <c r="AP285" i="41"/>
  <c r="AP197" i="41"/>
  <c r="AP198" i="41"/>
  <c r="AP199" i="41"/>
  <c r="AP200" i="41"/>
  <c r="AP201" i="41"/>
  <c r="AP202" i="41"/>
  <c r="AP203" i="41"/>
  <c r="AP204" i="41"/>
  <c r="AP205" i="41"/>
  <c r="AP206" i="41"/>
  <c r="AP207" i="41"/>
  <c r="AP208" i="41"/>
  <c r="AP209" i="41"/>
  <c r="AP210" i="41"/>
  <c r="AP211" i="41"/>
  <c r="AP212" i="41"/>
  <c r="AP213" i="41"/>
  <c r="AP214" i="41"/>
  <c r="AP215" i="41"/>
  <c r="AP216" i="41"/>
  <c r="AP217" i="41"/>
  <c r="AP218" i="41"/>
  <c r="AP219" i="41"/>
  <c r="AP220" i="41"/>
  <c r="AP221" i="41"/>
  <c r="AP222" i="41"/>
  <c r="AP223" i="41"/>
  <c r="AP224" i="41"/>
  <c r="AP225" i="41"/>
  <c r="AP226" i="41"/>
  <c r="AP227" i="41"/>
  <c r="AP228" i="41"/>
  <c r="AP229" i="41"/>
  <c r="AP230" i="41"/>
  <c r="AP231" i="41"/>
  <c r="AP291" i="41"/>
  <c r="AP232" i="41"/>
  <c r="AP233" i="41"/>
  <c r="AP234" i="41"/>
  <c r="AP235" i="41"/>
  <c r="AP236" i="41"/>
  <c r="AP237" i="41"/>
  <c r="AP238" i="41"/>
  <c r="AP239" i="41"/>
  <c r="AP240" i="41"/>
  <c r="AP241" i="41"/>
  <c r="AP242" i="41"/>
  <c r="AP243" i="41"/>
  <c r="AP244" i="41"/>
  <c r="AP245" i="41"/>
  <c r="AP246" i="41"/>
  <c r="AP247" i="41"/>
  <c r="AP248" i="41"/>
  <c r="AP249" i="41"/>
  <c r="AP250" i="41"/>
  <c r="AP251" i="41"/>
  <c r="AP252" i="41"/>
  <c r="AN6" i="41"/>
  <c r="AN256" i="41"/>
  <c r="AO253" i="41" l="1"/>
  <c r="AO254" i="41"/>
  <c r="AO255" i="41"/>
  <c r="AO256" i="41"/>
  <c r="AO257" i="41"/>
  <c r="AO258" i="41"/>
  <c r="AO259" i="41"/>
  <c r="AO260" i="41"/>
  <c r="AO261" i="41"/>
  <c r="AO262" i="41"/>
  <c r="AO3" i="41"/>
  <c r="AO4" i="41"/>
  <c r="AO263" i="41"/>
  <c r="AO264" i="41"/>
  <c r="AO5" i="41"/>
  <c r="AO265" i="41"/>
  <c r="AO266" i="41"/>
  <c r="AO267" i="41"/>
  <c r="AO7" i="41"/>
  <c r="AO8" i="41"/>
  <c r="AO268" i="41"/>
  <c r="AO269" i="41"/>
  <c r="AO270" i="41"/>
  <c r="AO271" i="41"/>
  <c r="AO272" i="41"/>
  <c r="AO273" i="41"/>
  <c r="AO274" i="41"/>
  <c r="AO275" i="41"/>
  <c r="AO276" i="41"/>
  <c r="AO277" i="41"/>
  <c r="AO278" i="41"/>
  <c r="AO279" i="41"/>
  <c r="AO280" i="41"/>
  <c r="AO9" i="41"/>
  <c r="AO10" i="41"/>
  <c r="AO11" i="41"/>
  <c r="AO12" i="41"/>
  <c r="AO13" i="41"/>
  <c r="AO14" i="41"/>
  <c r="AO15" i="41"/>
  <c r="AO16" i="41"/>
  <c r="AO17" i="41"/>
  <c r="AO18" i="41"/>
  <c r="AO19" i="41"/>
  <c r="AO20" i="41"/>
  <c r="AO21" i="41"/>
  <c r="AO22" i="41"/>
  <c r="AO23" i="41"/>
  <c r="AO24" i="41"/>
  <c r="AO25" i="41"/>
  <c r="AO26" i="41"/>
  <c r="AO27" i="41"/>
  <c r="AO28" i="41"/>
  <c r="AO29" i="41"/>
  <c r="AO30" i="41"/>
  <c r="AO31" i="41"/>
  <c r="AO32" i="41"/>
  <c r="AO33" i="41"/>
  <c r="AO34" i="41"/>
  <c r="AO281" i="41"/>
  <c r="AO35" i="41"/>
  <c r="AO36" i="41"/>
  <c r="AO37" i="41"/>
  <c r="AO38" i="41"/>
  <c r="AO6" i="41"/>
  <c r="AO39" i="41"/>
  <c r="AO40" i="41"/>
  <c r="AO41" i="41"/>
  <c r="AO42" i="41"/>
  <c r="AO43" i="41"/>
  <c r="AO44" i="41"/>
  <c r="AO45" i="41"/>
  <c r="AO46" i="41"/>
  <c r="AO47" i="41"/>
  <c r="AO286" i="41"/>
  <c r="AO48" i="41"/>
  <c r="AO49" i="41"/>
  <c r="AO50" i="41"/>
  <c r="AO51" i="41"/>
  <c r="AO52" i="41"/>
  <c r="AO53" i="41"/>
  <c r="AO54" i="41"/>
  <c r="AO55" i="41"/>
  <c r="AO56" i="41"/>
  <c r="AO57" i="41"/>
  <c r="AO58" i="41"/>
  <c r="AO287" i="41"/>
  <c r="AO59" i="41"/>
  <c r="AO60" i="41"/>
  <c r="AO61" i="41"/>
  <c r="AO62" i="41"/>
  <c r="AO63" i="41"/>
  <c r="AO64" i="41"/>
  <c r="AO65" i="41"/>
  <c r="AO66" i="41"/>
  <c r="AO67" i="41"/>
  <c r="AO68" i="41"/>
  <c r="AO69" i="41"/>
  <c r="AO70" i="41"/>
  <c r="AO71" i="41"/>
  <c r="AO72" i="41"/>
  <c r="AO73" i="41"/>
  <c r="AO74" i="41"/>
  <c r="AO288" i="41"/>
  <c r="AO75" i="41"/>
  <c r="AO76" i="41"/>
  <c r="AO77" i="41"/>
  <c r="AO78" i="41"/>
  <c r="AO79" i="41"/>
  <c r="AO80" i="41"/>
  <c r="AO81" i="41"/>
  <c r="AO82" i="41"/>
  <c r="AO83" i="41"/>
  <c r="AO84" i="41"/>
  <c r="AO85" i="41"/>
  <c r="AO86" i="41"/>
  <c r="AO87" i="41"/>
  <c r="AO88" i="41"/>
  <c r="AO89" i="41"/>
  <c r="AO90" i="41"/>
  <c r="AO91" i="41"/>
  <c r="AO92" i="41"/>
  <c r="AO282" i="41"/>
  <c r="AO93" i="41"/>
  <c r="AO94" i="41"/>
  <c r="AO95" i="41"/>
  <c r="AO283" i="41"/>
  <c r="AO96" i="41"/>
  <c r="AO97" i="41"/>
  <c r="AO98" i="41"/>
  <c r="AO99" i="41"/>
  <c r="AO100" i="41"/>
  <c r="AO101" i="41"/>
  <c r="AO102" i="41"/>
  <c r="AO103" i="41"/>
  <c r="AO104" i="41"/>
  <c r="AO105" i="41"/>
  <c r="AO106" i="41"/>
  <c r="AO107" i="41"/>
  <c r="AO108" i="41"/>
  <c r="AO109" i="41"/>
  <c r="AO110" i="41"/>
  <c r="AO111" i="41"/>
  <c r="AO112" i="41"/>
  <c r="AO113" i="41"/>
  <c r="AO114" i="41"/>
  <c r="AO115" i="41"/>
  <c r="AO116" i="41"/>
  <c r="AO117" i="41"/>
  <c r="AO118" i="41"/>
  <c r="AO119" i="41"/>
  <c r="AO120" i="41"/>
  <c r="AO121" i="41"/>
  <c r="AO122" i="41"/>
  <c r="AO123" i="41"/>
  <c r="AO124" i="41"/>
  <c r="AO125" i="41"/>
  <c r="AO126" i="41"/>
  <c r="AO127" i="41"/>
  <c r="AO128" i="41"/>
  <c r="AO129" i="41"/>
  <c r="AO130" i="41"/>
  <c r="AO131" i="41"/>
  <c r="AO132" i="41"/>
  <c r="AO133" i="41"/>
  <c r="AO134" i="41"/>
  <c r="AO284" i="41"/>
  <c r="AO135" i="41"/>
  <c r="AO136" i="41"/>
  <c r="AO137" i="41"/>
  <c r="AO138" i="41"/>
  <c r="AO139" i="41"/>
  <c r="AO140" i="41"/>
  <c r="AO141" i="41"/>
  <c r="AO142" i="41"/>
  <c r="AO143" i="41"/>
  <c r="AO144" i="41"/>
  <c r="AO145" i="41"/>
  <c r="AO146" i="41"/>
  <c r="AO147" i="41"/>
  <c r="AO148" i="41"/>
  <c r="AO149" i="41"/>
  <c r="AO150" i="41"/>
  <c r="AO151" i="41"/>
  <c r="AO289" i="41"/>
  <c r="AO152" i="41"/>
  <c r="AO153" i="41"/>
  <c r="AO154" i="41"/>
  <c r="AO155" i="41"/>
  <c r="AO156" i="41"/>
  <c r="AO157" i="41"/>
  <c r="AO158" i="41"/>
  <c r="AO159" i="41"/>
  <c r="AO160" i="41"/>
  <c r="AO161" i="41"/>
  <c r="AO162" i="41"/>
  <c r="AO163" i="41"/>
  <c r="AO164" i="41"/>
  <c r="AO165" i="41"/>
  <c r="AO166" i="41"/>
  <c r="AO167" i="41"/>
  <c r="AO168" i="41"/>
  <c r="AO169" i="41"/>
  <c r="AO170" i="41"/>
  <c r="AO171" i="41"/>
  <c r="AO172" i="41"/>
  <c r="AO173" i="41"/>
  <c r="AO174" i="41"/>
  <c r="AO175" i="41"/>
  <c r="AO176" i="41"/>
  <c r="AO177" i="41"/>
  <c r="AO178" i="41"/>
  <c r="AO179" i="41"/>
  <c r="AO180" i="41"/>
  <c r="AO181" i="41"/>
  <c r="AO182" i="41"/>
  <c r="AO183" i="41"/>
  <c r="AO184" i="41"/>
  <c r="AO185" i="41"/>
  <c r="AO186" i="41"/>
  <c r="AO187" i="41"/>
  <c r="AO188" i="41"/>
  <c r="AO189" i="41"/>
  <c r="AO190" i="41"/>
  <c r="AO290" i="41"/>
  <c r="AO191" i="41"/>
  <c r="AO192" i="41"/>
  <c r="AO193" i="41"/>
  <c r="AO194" i="41"/>
  <c r="AO195" i="41"/>
  <c r="AO196" i="41"/>
  <c r="AO285" i="41"/>
  <c r="AO197" i="41"/>
  <c r="AO198" i="41"/>
  <c r="AO199" i="41"/>
  <c r="AO200" i="41"/>
  <c r="AO201" i="41"/>
  <c r="AO202" i="41"/>
  <c r="AO203" i="41"/>
  <c r="AO204" i="41"/>
  <c r="AO205" i="41"/>
  <c r="AO206" i="41"/>
  <c r="AO207" i="41"/>
  <c r="AO208" i="41"/>
  <c r="AO209" i="41"/>
  <c r="AO210" i="41"/>
  <c r="AO211" i="41"/>
  <c r="AO212" i="41"/>
  <c r="AO213" i="41"/>
  <c r="AO214" i="41"/>
  <c r="AO215" i="41"/>
  <c r="AO216" i="41"/>
  <c r="AO217" i="41"/>
  <c r="AO218" i="41"/>
  <c r="AO219" i="41"/>
  <c r="AO220" i="41"/>
  <c r="AO221" i="41"/>
  <c r="AO222" i="41"/>
  <c r="AO223" i="41"/>
  <c r="AO224" i="41"/>
  <c r="AO225" i="41"/>
  <c r="AO226" i="41"/>
  <c r="AO227" i="41"/>
  <c r="AO228" i="41"/>
  <c r="AO229" i="41"/>
  <c r="AO230" i="41"/>
  <c r="AO231" i="41"/>
  <c r="AO291" i="41"/>
  <c r="AO232" i="41"/>
  <c r="AO233" i="41"/>
  <c r="AO234" i="41"/>
  <c r="AO235" i="41"/>
  <c r="AO236" i="41"/>
  <c r="AO237" i="41"/>
  <c r="AO238" i="41"/>
  <c r="AO239" i="41"/>
  <c r="AO240" i="41"/>
  <c r="AO241" i="41"/>
  <c r="AO242" i="41"/>
  <c r="AO243" i="41"/>
  <c r="AO244" i="41"/>
  <c r="AO245" i="41"/>
  <c r="AO246" i="41"/>
  <c r="AO247" i="41"/>
  <c r="AO248" i="41"/>
  <c r="AO249" i="41"/>
  <c r="AO250" i="41"/>
  <c r="AO251" i="41"/>
  <c r="AO252" i="41"/>
  <c r="AY253" i="41"/>
  <c r="Z22" i="69"/>
  <c r="X22" i="69"/>
  <c r="Z21" i="69"/>
  <c r="X21" i="69"/>
  <c r="Z20" i="69"/>
  <c r="X20" i="69"/>
  <c r="Z19" i="69"/>
  <c r="X19" i="69"/>
  <c r="Z18" i="69"/>
  <c r="X18" i="69"/>
  <c r="Z17" i="69"/>
  <c r="X17" i="69"/>
  <c r="Z16" i="69"/>
  <c r="X16" i="69"/>
  <c r="Z15" i="69"/>
  <c r="X15" i="69"/>
  <c r="Z14" i="69"/>
  <c r="X14" i="69"/>
  <c r="Z13" i="69"/>
  <c r="X13" i="69"/>
  <c r="Z12" i="69"/>
  <c r="X12" i="69"/>
  <c r="Z11" i="69"/>
  <c r="X11" i="69"/>
  <c r="Z10" i="69"/>
  <c r="X10" i="69"/>
  <c r="Z9" i="69"/>
  <c r="X9" i="69"/>
  <c r="Z8" i="69"/>
  <c r="X8" i="69"/>
  <c r="Z7" i="69"/>
  <c r="X7" i="69"/>
  <c r="Z6" i="69"/>
  <c r="X6" i="69"/>
  <c r="Z5" i="69"/>
  <c r="X5" i="69"/>
  <c r="Z4" i="69"/>
  <c r="X4" i="69"/>
  <c r="Z3" i="69"/>
  <c r="X3" i="69"/>
  <c r="AL9" i="41" l="1"/>
  <c r="AN9" i="41" s="1"/>
  <c r="AR9" i="41"/>
  <c r="AS9" i="41" s="1"/>
  <c r="AT9" i="41"/>
  <c r="AU9" i="41"/>
  <c r="AV9" i="41"/>
  <c r="J203" i="41"/>
  <c r="J32" i="41" l="1"/>
  <c r="X32" i="41"/>
  <c r="AL274" i="41" l="1"/>
  <c r="AN274" i="41" s="1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5" i="64"/>
  <c r="AR6" i="41"/>
  <c r="AX203" i="41" l="1"/>
  <c r="AY276" i="41"/>
  <c r="AY231" i="41"/>
  <c r="AY60" i="41"/>
  <c r="AY58" i="41"/>
  <c r="AY153" i="41"/>
  <c r="AY154" i="41"/>
  <c r="AY291" i="41"/>
  <c r="AY62" i="41"/>
  <c r="AY191" i="41"/>
  <c r="AY290" i="41"/>
  <c r="AY80" i="41"/>
  <c r="AY176" i="41"/>
  <c r="AY233" i="41"/>
  <c r="AY237" i="41"/>
  <c r="AY7" i="41"/>
  <c r="AY8" i="41"/>
  <c r="AY264" i="41"/>
  <c r="AY33" i="41"/>
  <c r="AY34" i="41"/>
  <c r="AY265" i="41"/>
  <c r="AY39" i="41"/>
  <c r="AY61" i="41"/>
  <c r="AY6" i="41"/>
  <c r="AY278" i="41"/>
  <c r="AY199" i="41"/>
  <c r="AY187" i="41"/>
  <c r="AY111" i="41"/>
  <c r="AY274" i="41"/>
  <c r="AY251" i="41"/>
  <c r="AY175" i="41"/>
  <c r="AY162" i="41"/>
  <c r="AY67" i="41"/>
  <c r="AY160" i="41"/>
  <c r="AY76" i="41"/>
  <c r="AY127" i="41"/>
  <c r="AY194" i="41"/>
  <c r="AY198" i="41"/>
  <c r="AY51" i="41"/>
  <c r="AY50" i="41"/>
  <c r="AY47" i="41"/>
  <c r="AY240" i="41"/>
  <c r="AY232" i="41"/>
  <c r="AY78" i="41"/>
  <c r="AY143" i="41"/>
  <c r="AY277" i="41"/>
  <c r="AY288" i="41"/>
  <c r="AY229" i="41"/>
  <c r="AY269" i="41"/>
  <c r="AY16" i="41"/>
  <c r="AY164" i="41"/>
  <c r="AY75" i="41"/>
  <c r="AY248" i="41"/>
  <c r="AY196" i="41"/>
  <c r="AY216" i="41"/>
  <c r="AY56" i="41"/>
  <c r="AY122" i="41"/>
  <c r="AY289" i="41"/>
  <c r="AY142" i="41"/>
  <c r="AY210" i="41"/>
  <c r="AY48" i="41"/>
  <c r="AY234" i="41"/>
  <c r="AY59" i="41"/>
  <c r="AY100" i="41"/>
  <c r="AY141" i="41"/>
  <c r="AY192" i="41"/>
  <c r="AY272" i="41"/>
  <c r="AY105" i="41"/>
  <c r="AY256" i="41"/>
  <c r="AY98" i="41"/>
  <c r="AY11" i="41"/>
  <c r="AY266" i="41"/>
  <c r="AY38" i="41"/>
  <c r="AY103" i="41"/>
  <c r="AY147" i="41"/>
  <c r="AY138" i="41"/>
  <c r="AY163" i="41"/>
  <c r="AY65" i="41"/>
  <c r="AY137" i="41"/>
  <c r="AY124" i="41"/>
  <c r="AY279" i="41"/>
  <c r="AY70" i="41"/>
  <c r="AY85" i="41"/>
  <c r="AY27" i="41"/>
  <c r="AY17" i="41"/>
  <c r="AY208" i="41"/>
  <c r="AY132" i="41"/>
  <c r="AY73" i="41"/>
  <c r="AY243" i="41"/>
  <c r="AY94" i="41"/>
  <c r="AY41" i="41"/>
  <c r="AY242" i="41"/>
  <c r="AY284" i="41"/>
  <c r="AY69" i="41"/>
  <c r="AY157" i="41"/>
  <c r="AY268" i="41"/>
  <c r="AY273" i="41"/>
  <c r="AY5" i="41"/>
  <c r="AY271" i="41"/>
  <c r="AY169" i="41"/>
  <c r="AY250" i="41"/>
  <c r="AY285" i="41"/>
  <c r="AY252" i="41"/>
  <c r="AY29" i="41"/>
  <c r="AY32" i="41"/>
  <c r="AY21" i="41"/>
  <c r="AY18" i="41"/>
  <c r="AY31" i="41"/>
  <c r="AY40" i="41"/>
  <c r="AY281" i="41"/>
  <c r="AY190" i="41"/>
  <c r="AY130" i="41"/>
  <c r="AY150" i="41"/>
  <c r="AY9" i="41"/>
  <c r="AY247" i="41"/>
  <c r="AY177" i="41"/>
  <c r="AY180" i="41"/>
  <c r="AY120" i="41"/>
  <c r="AY224" i="41"/>
  <c r="AY114" i="41"/>
  <c r="AY156" i="41"/>
  <c r="AY88" i="41"/>
  <c r="AY166" i="41"/>
  <c r="AY110" i="41"/>
  <c r="AY149" i="41"/>
  <c r="AY239" i="41"/>
  <c r="AY20" i="41"/>
  <c r="AY123" i="41"/>
  <c r="AY235" i="41"/>
  <c r="AY178" i="41"/>
  <c r="AY183" i="41"/>
  <c r="AY129" i="41"/>
  <c r="AY36" i="41"/>
  <c r="AY25" i="41"/>
  <c r="AY22" i="41"/>
  <c r="AY238" i="41"/>
  <c r="AY15" i="41"/>
  <c r="AY275" i="41"/>
  <c r="AY108" i="41"/>
  <c r="AY96" i="41"/>
  <c r="AY217" i="41"/>
  <c r="AY159" i="41"/>
  <c r="AY104" i="41"/>
  <c r="AY222" i="41"/>
  <c r="AY201" i="41"/>
  <c r="AY134" i="41"/>
  <c r="AY133" i="41"/>
  <c r="AY97" i="41"/>
  <c r="AY184" i="41"/>
  <c r="AY230" i="41"/>
  <c r="AY87" i="41"/>
  <c r="AY52" i="41"/>
  <c r="AY82" i="41"/>
  <c r="AY136" i="41"/>
  <c r="AY211" i="41"/>
  <c r="AY139" i="41"/>
  <c r="AY197" i="41"/>
  <c r="AY79" i="41"/>
  <c r="AY145" i="41"/>
  <c r="AY241" i="41"/>
  <c r="AY173" i="41"/>
  <c r="AY107" i="41"/>
  <c r="AY262" i="41"/>
  <c r="AY188" i="41"/>
  <c r="AY57" i="41"/>
  <c r="AY280" i="41"/>
  <c r="AY258" i="41"/>
  <c r="AY140" i="41"/>
  <c r="AY228" i="41"/>
  <c r="AY225" i="41"/>
  <c r="AY261" i="41"/>
  <c r="AY165" i="41"/>
  <c r="AY219" i="41"/>
  <c r="AY4" i="41"/>
  <c r="AY3" i="41"/>
  <c r="AY119" i="41"/>
  <c r="AY213" i="41"/>
  <c r="AY209" i="41"/>
  <c r="AY116" i="41"/>
  <c r="AY287" i="41"/>
  <c r="AY95" i="41"/>
  <c r="AY102" i="41"/>
  <c r="AY205" i="41"/>
  <c r="AY113" i="41"/>
  <c r="AY186" i="41"/>
  <c r="AY193" i="41"/>
  <c r="AY86" i="41"/>
  <c r="AY64" i="41"/>
  <c r="AY13" i="41"/>
  <c r="AY74" i="41"/>
  <c r="AY66" i="41"/>
  <c r="AY182" i="41"/>
  <c r="AY28" i="41"/>
  <c r="AY35" i="41"/>
  <c r="AY72" i="41"/>
  <c r="AY270" i="41"/>
  <c r="AY112" i="41"/>
  <c r="AY286" i="41"/>
  <c r="AY126" i="41"/>
  <c r="AY202" i="41"/>
  <c r="AY125" i="41"/>
  <c r="AY121" i="41"/>
  <c r="AY195" i="41"/>
  <c r="AY99" i="41"/>
  <c r="AY117" i="41"/>
  <c r="AY189" i="41"/>
  <c r="AY55" i="41"/>
  <c r="AY118" i="41"/>
  <c r="AY109" i="41"/>
  <c r="AY81" i="41"/>
  <c r="AY249" i="41"/>
  <c r="AY246" i="41"/>
  <c r="AY151" i="41"/>
  <c r="AY172" i="41"/>
  <c r="AY68" i="41"/>
  <c r="AY12" i="41"/>
  <c r="AY84" i="41"/>
  <c r="AY131" i="41"/>
  <c r="AY218" i="41"/>
  <c r="AY19" i="41"/>
  <c r="AY204" i="41"/>
  <c r="AY26" i="41"/>
  <c r="AY174" i="41"/>
  <c r="AY283" i="41"/>
  <c r="AY43" i="41"/>
  <c r="AY71" i="41"/>
  <c r="AY128" i="41"/>
  <c r="AY90" i="41"/>
  <c r="AY115" i="41"/>
  <c r="AY167" i="41"/>
  <c r="AY282" i="41"/>
  <c r="AY63" i="41"/>
  <c r="AY106" i="41"/>
  <c r="AY227" i="41"/>
  <c r="AY53" i="41"/>
  <c r="AY185" i="41"/>
  <c r="AY93" i="41"/>
  <c r="AY223" i="41"/>
  <c r="AY263" i="41"/>
  <c r="AY267" i="41"/>
  <c r="AY91" i="41"/>
  <c r="AY92" i="41"/>
  <c r="AY260" i="41"/>
  <c r="AY42" i="41"/>
  <c r="AY89" i="41"/>
  <c r="AY254" i="41"/>
  <c r="AY23" i="41"/>
  <c r="AY24" i="41"/>
  <c r="AY203" i="41"/>
  <c r="AY45" i="41"/>
  <c r="AY214" i="41"/>
  <c r="AY207" i="41"/>
  <c r="AY212" i="41"/>
  <c r="AY101" i="41"/>
  <c r="AY220" i="41"/>
  <c r="AY135" i="41"/>
  <c r="AY168" i="41"/>
  <c r="AY10" i="41"/>
  <c r="AY257" i="41"/>
  <c r="AY158" i="41"/>
  <c r="AY77" i="41"/>
  <c r="AY221" i="41"/>
  <c r="AY215" i="41"/>
  <c r="AY49" i="41"/>
  <c r="AY83" i="41"/>
  <c r="AY37" i="41"/>
  <c r="AY144" i="41"/>
  <c r="AY245" i="41"/>
  <c r="AY46" i="41"/>
  <c r="AY236" i="41"/>
  <c r="AY226" i="41"/>
  <c r="AY179" i="41"/>
  <c r="AY200" i="41"/>
  <c r="AY244" i="41"/>
  <c r="AY170" i="41"/>
  <c r="AY44" i="41"/>
  <c r="AY148" i="41"/>
  <c r="AY255" i="41"/>
  <c r="AY30" i="41"/>
  <c r="AY259" i="41"/>
  <c r="AY14" i="41"/>
  <c r="AY155" i="41"/>
  <c r="AY54" i="41"/>
  <c r="AY146" i="41"/>
  <c r="AY171" i="41"/>
  <c r="AY181" i="41"/>
  <c r="AY161" i="41"/>
  <c r="AY152" i="41"/>
  <c r="AY206" i="41"/>
  <c r="AR276" i="41" l="1"/>
  <c r="AS276" i="41" s="1"/>
  <c r="AR140" i="41" l="1"/>
  <c r="AR278" i="41" l="1"/>
  <c r="AS278" i="41" s="1"/>
  <c r="AR122" i="41"/>
  <c r="AS122" i="41" s="1"/>
  <c r="AR289" i="41"/>
  <c r="AS289" i="41" s="1"/>
  <c r="AR142" i="41"/>
  <c r="AS142" i="41" s="1"/>
  <c r="AR210" i="41"/>
  <c r="AS210" i="41" s="1"/>
  <c r="AR48" i="41"/>
  <c r="AS48" i="41" s="1"/>
  <c r="AR234" i="41"/>
  <c r="AS234" i="41" s="1"/>
  <c r="AR59" i="41"/>
  <c r="AS59" i="41" s="1"/>
  <c r="AR100" i="41"/>
  <c r="AS100" i="41" s="1"/>
  <c r="AR141" i="41"/>
  <c r="AS141" i="41" s="1"/>
  <c r="AR192" i="41"/>
  <c r="AS192" i="41" s="1"/>
  <c r="AR272" i="41"/>
  <c r="AS272" i="41" s="1"/>
  <c r="AR105" i="41"/>
  <c r="AS105" i="41" s="1"/>
  <c r="AR256" i="41"/>
  <c r="Y14" i="59"/>
  <c r="Z14" i="59"/>
  <c r="Y15" i="59"/>
  <c r="Z15" i="59"/>
  <c r="Y16" i="59"/>
  <c r="Z16" i="59"/>
  <c r="Y19" i="59"/>
  <c r="Z19" i="59"/>
  <c r="Y24" i="59"/>
  <c r="Z24" i="59"/>
  <c r="Y25" i="59"/>
  <c r="Z25" i="59"/>
  <c r="Y26" i="59"/>
  <c r="Z26" i="59"/>
  <c r="Y27" i="59"/>
  <c r="Z27" i="59"/>
  <c r="Y28" i="59"/>
  <c r="Z28" i="59"/>
  <c r="Y29" i="59"/>
  <c r="Z29" i="59"/>
  <c r="Y30" i="59"/>
  <c r="Z30" i="59"/>
  <c r="Y31" i="59"/>
  <c r="Z31" i="59"/>
  <c r="Y32" i="59"/>
  <c r="Z32" i="59"/>
  <c r="Y33" i="59"/>
  <c r="Z33" i="59"/>
  <c r="AS256" i="41" l="1"/>
  <c r="J208" i="41"/>
  <c r="Y3" i="59" l="1"/>
  <c r="Y4" i="59"/>
  <c r="Y5" i="59"/>
  <c r="Y6" i="59"/>
  <c r="Y7" i="59"/>
  <c r="Y8" i="59"/>
  <c r="Y9" i="59"/>
  <c r="Y10" i="59"/>
  <c r="Y11" i="59"/>
  <c r="Y12" i="59"/>
  <c r="Y13" i="59"/>
  <c r="Y2" i="59"/>
  <c r="Z3" i="59" l="1"/>
  <c r="Z13" i="59"/>
  <c r="Z12" i="59"/>
  <c r="Z11" i="59"/>
  <c r="Z10" i="59"/>
  <c r="Z9" i="59"/>
  <c r="Z8" i="59"/>
  <c r="Z7" i="59"/>
  <c r="Z6" i="59"/>
  <c r="Z5" i="59"/>
  <c r="Z4" i="59"/>
  <c r="Z2" i="59"/>
  <c r="AR10" i="41"/>
  <c r="AS10" i="41" s="1"/>
  <c r="AR98" i="41" l="1"/>
  <c r="AS98" i="41" s="1"/>
  <c r="AR206" i="41" l="1"/>
  <c r="AR152" i="41"/>
  <c r="AS152" i="41" s="1"/>
  <c r="AR161" i="41"/>
  <c r="AS161" i="41" s="1"/>
  <c r="AR181" i="41"/>
  <c r="AS181" i="41" s="1"/>
  <c r="AR171" i="41"/>
  <c r="AS171" i="41" s="1"/>
  <c r="AR146" i="41"/>
  <c r="AS146" i="41" s="1"/>
  <c r="AR54" i="41"/>
  <c r="AS54" i="41" s="1"/>
  <c r="AR155" i="41"/>
  <c r="AS155" i="41" s="1"/>
  <c r="AR14" i="41"/>
  <c r="AS14" i="41" s="1"/>
  <c r="AR259" i="41"/>
  <c r="AR30" i="41"/>
  <c r="AS30" i="41" s="1"/>
  <c r="AR255" i="41"/>
  <c r="AR148" i="41"/>
  <c r="AR44" i="41"/>
  <c r="AS44" i="41" s="1"/>
  <c r="AR170" i="41"/>
  <c r="AS170" i="41" s="1"/>
  <c r="AR244" i="41"/>
  <c r="AS244" i="41" s="1"/>
  <c r="AR200" i="41"/>
  <c r="AS200" i="41" s="1"/>
  <c r="AR179" i="41"/>
  <c r="AS179" i="41" s="1"/>
  <c r="AR226" i="41"/>
  <c r="AS226" i="41" s="1"/>
  <c r="AR236" i="41"/>
  <c r="AS236" i="41" s="1"/>
  <c r="AR46" i="41"/>
  <c r="AS46" i="41" s="1"/>
  <c r="AR245" i="41"/>
  <c r="AR144" i="41"/>
  <c r="AR37" i="41"/>
  <c r="AS37" i="41" s="1"/>
  <c r="AR83" i="41"/>
  <c r="AS83" i="41" s="1"/>
  <c r="AR49" i="41"/>
  <c r="AS49" i="41" s="1"/>
  <c r="AR215" i="41"/>
  <c r="AS215" i="41" s="1"/>
  <c r="AR221" i="41"/>
  <c r="AS221" i="41" s="1"/>
  <c r="AR77" i="41"/>
  <c r="AS77" i="41" s="1"/>
  <c r="AR158" i="41"/>
  <c r="AS158" i="41" s="1"/>
  <c r="AR257" i="41"/>
  <c r="AR168" i="41"/>
  <c r="AS168" i="41" s="1"/>
  <c r="AR135" i="41"/>
  <c r="AR220" i="41"/>
  <c r="AR101" i="41"/>
  <c r="AS101" i="41" s="1"/>
  <c r="AR212" i="41"/>
  <c r="AS212" i="41" s="1"/>
  <c r="AR207" i="41"/>
  <c r="AS207" i="41" s="1"/>
  <c r="AR214" i="41"/>
  <c r="AS214" i="41" s="1"/>
  <c r="AR45" i="41"/>
  <c r="AS45" i="41" s="1"/>
  <c r="AR203" i="41"/>
  <c r="AS203" i="41" s="1"/>
  <c r="AR24" i="41"/>
  <c r="AS24" i="41" s="1"/>
  <c r="AR23" i="41"/>
  <c r="AS23" i="41" s="1"/>
  <c r="AR254" i="41"/>
  <c r="AR231" i="41"/>
  <c r="AR60" i="41"/>
  <c r="AS60" i="41" s="1"/>
  <c r="AR58" i="41"/>
  <c r="AS58" i="41" s="1"/>
  <c r="AR153" i="41"/>
  <c r="AS153" i="41" s="1"/>
  <c r="AR154" i="41"/>
  <c r="AS154" i="41" s="1"/>
  <c r="AR291" i="41"/>
  <c r="AS291" i="41" s="1"/>
  <c r="AR62" i="41"/>
  <c r="AS62" i="41" s="1"/>
  <c r="AR191" i="41"/>
  <c r="AS191" i="41" s="1"/>
  <c r="AR290" i="41"/>
  <c r="AS290" i="41" s="1"/>
  <c r="AR80" i="41"/>
  <c r="AR176" i="41"/>
  <c r="AR233" i="41"/>
  <c r="AR237" i="41"/>
  <c r="AR229" i="41"/>
  <c r="AS229" i="41" s="1"/>
  <c r="AR7" i="41"/>
  <c r="AR8" i="41"/>
  <c r="AR89" i="41"/>
  <c r="AS89" i="41" s="1"/>
  <c r="AR264" i="41"/>
  <c r="AR33" i="41"/>
  <c r="AS33" i="41" s="1"/>
  <c r="AR34" i="41"/>
  <c r="AS34" i="41" s="1"/>
  <c r="AR265" i="41"/>
  <c r="AR39" i="41"/>
  <c r="AS39" i="41" s="1"/>
  <c r="AR61" i="41"/>
  <c r="AR42" i="41"/>
  <c r="AR260" i="41"/>
  <c r="AR92" i="41"/>
  <c r="AS92" i="41" s="1"/>
  <c r="AR91" i="41"/>
  <c r="AS91" i="41" s="1"/>
  <c r="AR267" i="41"/>
  <c r="AR263" i="41"/>
  <c r="AR223" i="41"/>
  <c r="AR93" i="41"/>
  <c r="AR185" i="41"/>
  <c r="AR53" i="41"/>
  <c r="AR227" i="41"/>
  <c r="AR106" i="41"/>
  <c r="AS106" i="41" s="1"/>
  <c r="AR63" i="41"/>
  <c r="AS63" i="41" s="1"/>
  <c r="AR282" i="41"/>
  <c r="AS282" i="41" s="1"/>
  <c r="AR167" i="41"/>
  <c r="AS167" i="41" s="1"/>
  <c r="AR115" i="41"/>
  <c r="AS115" i="41" s="1"/>
  <c r="AS6" i="41"/>
  <c r="AR90" i="41"/>
  <c r="AS90" i="41" s="1"/>
  <c r="AR128" i="41"/>
  <c r="AR71" i="41"/>
  <c r="AR43" i="41"/>
  <c r="AR283" i="41"/>
  <c r="AR174" i="41"/>
  <c r="AR253" i="41"/>
  <c r="AR26" i="41"/>
  <c r="AS26" i="41" s="1"/>
  <c r="AR204" i="41"/>
  <c r="AS204" i="41" s="1"/>
  <c r="AR19" i="41"/>
  <c r="AS19" i="41" s="1"/>
  <c r="AR218" i="41"/>
  <c r="AS218" i="41" s="1"/>
  <c r="AR131" i="41"/>
  <c r="AS131" i="41" s="1"/>
  <c r="AR84" i="41"/>
  <c r="AS84" i="41" s="1"/>
  <c r="AR12" i="41"/>
  <c r="AR68" i="41"/>
  <c r="AR172" i="41"/>
  <c r="AR151" i="41"/>
  <c r="AR246" i="41"/>
  <c r="AS246" i="41" s="1"/>
  <c r="AR249" i="41"/>
  <c r="AS249" i="41" s="1"/>
  <c r="AR81" i="41"/>
  <c r="AS81" i="41" s="1"/>
  <c r="AR109" i="41"/>
  <c r="AS109" i="41" s="1"/>
  <c r="AR118" i="41"/>
  <c r="AS118" i="41" s="1"/>
  <c r="AR55" i="41"/>
  <c r="AS55" i="41" s="1"/>
  <c r="AR189" i="41"/>
  <c r="AS189" i="41" s="1"/>
  <c r="AR117" i="41"/>
  <c r="AR99" i="41"/>
  <c r="AR195" i="41"/>
  <c r="AR121" i="41"/>
  <c r="AR125" i="41"/>
  <c r="AR202" i="41"/>
  <c r="AS202" i="41" s="1"/>
  <c r="AR126" i="41"/>
  <c r="AS126" i="41" s="1"/>
  <c r="AR286" i="41"/>
  <c r="AS286" i="41" s="1"/>
  <c r="AR112" i="41"/>
  <c r="AS112" i="41" s="1"/>
  <c r="AR270" i="41"/>
  <c r="AS270" i="41" s="1"/>
  <c r="AR72" i="41"/>
  <c r="AS72" i="41" s="1"/>
  <c r="AR35" i="41"/>
  <c r="AS35" i="41" s="1"/>
  <c r="AR28" i="41"/>
  <c r="AS28" i="41" s="1"/>
  <c r="AR182" i="41"/>
  <c r="AR248" i="41"/>
  <c r="AR66" i="41"/>
  <c r="AR74" i="41"/>
  <c r="AR13" i="41"/>
  <c r="AS13" i="41" s="1"/>
  <c r="AR64" i="41"/>
  <c r="AS64" i="41" s="1"/>
  <c r="AR86" i="41"/>
  <c r="AS86" i="41" s="1"/>
  <c r="AR193" i="41"/>
  <c r="AS193" i="41" s="1"/>
  <c r="AR186" i="41"/>
  <c r="AS186" i="41" s="1"/>
  <c r="AR113" i="41"/>
  <c r="AS113" i="41" s="1"/>
  <c r="AR205" i="41"/>
  <c r="AS205" i="41" s="1"/>
  <c r="AR102" i="41"/>
  <c r="AR95" i="41"/>
  <c r="AR287" i="41"/>
  <c r="AR116" i="41"/>
  <c r="AR209" i="41"/>
  <c r="AR213" i="41"/>
  <c r="AS213" i="41" s="1"/>
  <c r="AR119" i="41"/>
  <c r="AS119" i="41" s="1"/>
  <c r="AR3" i="41"/>
  <c r="AR4" i="41"/>
  <c r="AR219" i="41"/>
  <c r="AS219" i="41" s="1"/>
  <c r="AR165" i="41"/>
  <c r="AR261" i="41"/>
  <c r="AR225" i="41"/>
  <c r="AR228" i="41"/>
  <c r="AR258" i="41"/>
  <c r="AR280" i="41"/>
  <c r="AS280" i="41" s="1"/>
  <c r="AR75" i="41"/>
  <c r="AS75" i="41" s="1"/>
  <c r="AR57" i="41"/>
  <c r="AS57" i="41" s="1"/>
  <c r="AR188" i="41"/>
  <c r="AS188" i="41" s="1"/>
  <c r="AR262" i="41"/>
  <c r="AR107" i="41"/>
  <c r="AS107" i="41" s="1"/>
  <c r="AR173" i="41"/>
  <c r="AS173" i="41" s="1"/>
  <c r="AR241" i="41"/>
  <c r="AR145" i="41"/>
  <c r="AR79" i="41"/>
  <c r="AR56" i="41"/>
  <c r="AR197" i="41"/>
  <c r="AR139" i="41"/>
  <c r="AS139" i="41" s="1"/>
  <c r="AR211" i="41"/>
  <c r="AS211" i="41" s="1"/>
  <c r="AR136" i="41"/>
  <c r="AS136" i="41" s="1"/>
  <c r="AR82" i="41"/>
  <c r="AS82" i="41" s="1"/>
  <c r="AR52" i="41"/>
  <c r="AS52" i="41" s="1"/>
  <c r="AR87" i="41"/>
  <c r="AR230" i="41"/>
  <c r="AS230" i="41" s="1"/>
  <c r="AR184" i="41"/>
  <c r="AR97" i="41"/>
  <c r="AR133" i="41"/>
  <c r="AR134" i="41"/>
  <c r="AR201" i="41"/>
  <c r="AR222" i="41"/>
  <c r="AS222" i="41" s="1"/>
  <c r="AR104" i="41"/>
  <c r="AS104" i="41" s="1"/>
  <c r="AR159" i="41"/>
  <c r="AS159" i="41" s="1"/>
  <c r="AR217" i="41"/>
  <c r="AS217" i="41" s="1"/>
  <c r="AR96" i="41"/>
  <c r="AS96" i="41" s="1"/>
  <c r="AR108" i="41"/>
  <c r="AR275" i="41"/>
  <c r="AS275" i="41" s="1"/>
  <c r="AR15" i="41"/>
  <c r="AR164" i="41"/>
  <c r="AR238" i="41"/>
  <c r="AR22" i="41"/>
  <c r="AS22" i="41" s="1"/>
  <c r="AR25" i="41"/>
  <c r="AS25" i="41" s="1"/>
  <c r="AR36" i="41"/>
  <c r="AS36" i="41" s="1"/>
  <c r="AR129" i="41"/>
  <c r="AS129" i="41" s="1"/>
  <c r="AR183" i="41"/>
  <c r="AS183" i="41" s="1"/>
  <c r="AR178" i="41"/>
  <c r="AS178" i="41" s="1"/>
  <c r="AR235" i="41"/>
  <c r="AS235" i="41" s="1"/>
  <c r="AR123" i="41"/>
  <c r="AR20" i="41"/>
  <c r="AS20" i="41" s="1"/>
  <c r="AR239" i="41"/>
  <c r="AR149" i="41"/>
  <c r="AR110" i="41"/>
  <c r="AR166" i="41"/>
  <c r="AR88" i="41"/>
  <c r="AR156" i="41"/>
  <c r="AS156" i="41" s="1"/>
  <c r="AR114" i="41"/>
  <c r="AS114" i="41" s="1"/>
  <c r="AR224" i="41"/>
  <c r="AS224" i="41" s="1"/>
  <c r="AR120" i="41"/>
  <c r="AS120" i="41" s="1"/>
  <c r="AR180" i="41"/>
  <c r="AS180" i="41" s="1"/>
  <c r="AR177" i="41"/>
  <c r="AR247" i="41"/>
  <c r="AS247" i="41" s="1"/>
  <c r="AR150" i="41"/>
  <c r="AR216" i="41"/>
  <c r="AR16" i="41"/>
  <c r="AR130" i="41"/>
  <c r="AR190" i="41"/>
  <c r="AS190" i="41" s="1"/>
  <c r="AR281" i="41"/>
  <c r="AS281" i="41" s="1"/>
  <c r="AR40" i="41"/>
  <c r="AS40" i="41" s="1"/>
  <c r="AR31" i="41"/>
  <c r="AS31" i="41" s="1"/>
  <c r="AR18" i="41"/>
  <c r="AS18" i="41" s="1"/>
  <c r="AR21" i="41"/>
  <c r="AS21" i="41" s="1"/>
  <c r="AR32" i="41"/>
  <c r="AS32" i="41" s="1"/>
  <c r="AR29" i="41"/>
  <c r="AS29" i="41" s="1"/>
  <c r="AR252" i="41"/>
  <c r="AR285" i="41"/>
  <c r="AR250" i="41"/>
  <c r="AR169" i="41"/>
  <c r="AR269" i="41"/>
  <c r="AS269" i="41" s="1"/>
  <c r="AR271" i="41"/>
  <c r="AR5" i="41"/>
  <c r="AR273" i="41"/>
  <c r="AS273" i="41" s="1"/>
  <c r="AR268" i="41"/>
  <c r="AS268" i="41" s="1"/>
  <c r="AR157" i="41"/>
  <c r="AR69" i="41"/>
  <c r="AS69" i="41" s="1"/>
  <c r="AR284" i="41"/>
  <c r="AR242" i="41"/>
  <c r="AR41" i="41"/>
  <c r="AR94" i="41"/>
  <c r="AR243" i="41"/>
  <c r="AR73" i="41"/>
  <c r="AS73" i="41" s="1"/>
  <c r="AR196" i="41"/>
  <c r="AS196" i="41" s="1"/>
  <c r="AR132" i="41"/>
  <c r="AS132" i="41" s="1"/>
  <c r="AR208" i="41"/>
  <c r="AS208" i="41" s="1"/>
  <c r="AR17" i="41"/>
  <c r="AS17" i="41" s="1"/>
  <c r="AR27" i="41"/>
  <c r="AS27" i="41" s="1"/>
  <c r="AR288" i="41"/>
  <c r="AS288" i="41" s="1"/>
  <c r="AR277" i="41"/>
  <c r="AR143" i="41"/>
  <c r="AR78" i="41"/>
  <c r="AR232" i="41"/>
  <c r="AR240" i="41"/>
  <c r="AR47" i="41"/>
  <c r="AS47" i="41" s="1"/>
  <c r="AR50" i="41"/>
  <c r="AS50" i="41" s="1"/>
  <c r="AR51" i="41"/>
  <c r="AS51" i="41" s="1"/>
  <c r="AR198" i="41"/>
  <c r="AS198" i="41" s="1"/>
  <c r="AR194" i="41"/>
  <c r="AS194" i="41" s="1"/>
  <c r="AR127" i="41"/>
  <c r="AR76" i="41"/>
  <c r="AS76" i="41" s="1"/>
  <c r="AR160" i="41"/>
  <c r="AS160" i="41" s="1"/>
  <c r="AR67" i="41"/>
  <c r="AR162" i="41"/>
  <c r="AR175" i="41"/>
  <c r="AR251" i="41"/>
  <c r="AR274" i="41"/>
  <c r="AS274" i="41" s="1"/>
  <c r="AR85" i="41"/>
  <c r="AS85" i="41" s="1"/>
  <c r="AR111" i="41"/>
  <c r="AS111" i="41" s="1"/>
  <c r="AR70" i="41"/>
  <c r="AS70" i="41" s="1"/>
  <c r="AR279" i="41"/>
  <c r="AR124" i="41"/>
  <c r="AR137" i="41"/>
  <c r="AS137" i="41" s="1"/>
  <c r="AR65" i="41"/>
  <c r="AR163" i="41"/>
  <c r="AR138" i="41"/>
  <c r="AR147" i="41"/>
  <c r="AR103" i="41"/>
  <c r="AR38" i="41"/>
  <c r="AS38" i="41" s="1"/>
  <c r="AR266" i="41"/>
  <c r="AR11" i="41"/>
  <c r="AS11" i="41" s="1"/>
  <c r="AR187" i="41"/>
  <c r="AS187" i="41" s="1"/>
  <c r="AR199" i="41"/>
  <c r="AS199" i="41" s="1"/>
  <c r="AL206" i="41"/>
  <c r="AN206" i="41" s="1"/>
  <c r="AL152" i="41"/>
  <c r="AN152" i="41" s="1"/>
  <c r="AL161" i="41"/>
  <c r="AN161" i="41" s="1"/>
  <c r="AL181" i="41"/>
  <c r="AN181" i="41" s="1"/>
  <c r="AL171" i="41"/>
  <c r="AN171" i="41" s="1"/>
  <c r="AL146" i="41"/>
  <c r="AN146" i="41" s="1"/>
  <c r="AL54" i="41"/>
  <c r="AN54" i="41" s="1"/>
  <c r="AL155" i="41"/>
  <c r="AN155" i="41" s="1"/>
  <c r="AL259" i="41"/>
  <c r="AN259" i="41" s="1"/>
  <c r="AL30" i="41"/>
  <c r="AN30" i="41" s="1"/>
  <c r="AL148" i="41"/>
  <c r="AN148" i="41" s="1"/>
  <c r="AL44" i="41"/>
  <c r="AN44" i="41" s="1"/>
  <c r="AL170" i="41"/>
  <c r="AN170" i="41" s="1"/>
  <c r="AL200" i="41"/>
  <c r="AN200" i="41" s="1"/>
  <c r="AL179" i="41"/>
  <c r="AN179" i="41" s="1"/>
  <c r="AL226" i="41"/>
  <c r="AN226" i="41" s="1"/>
  <c r="AL236" i="41"/>
  <c r="AN236" i="41" s="1"/>
  <c r="AL46" i="41"/>
  <c r="AN46" i="41" s="1"/>
  <c r="AL245" i="41"/>
  <c r="AN245" i="41" s="1"/>
  <c r="AL37" i="41"/>
  <c r="AN37" i="41" s="1"/>
  <c r="AL83" i="41"/>
  <c r="AN83" i="41" s="1"/>
  <c r="AL49" i="41"/>
  <c r="AN49" i="41" s="1"/>
  <c r="AL215" i="41"/>
  <c r="AN215" i="41" s="1"/>
  <c r="AL221" i="41"/>
  <c r="AN221" i="41" s="1"/>
  <c r="AL77" i="41"/>
  <c r="AN77" i="41" s="1"/>
  <c r="AL158" i="41"/>
  <c r="AN158" i="41" s="1"/>
  <c r="AL257" i="41"/>
  <c r="AN257" i="41" s="1"/>
  <c r="AL10" i="41"/>
  <c r="AN10" i="41" s="1"/>
  <c r="AL168" i="41"/>
  <c r="AN168" i="41" s="1"/>
  <c r="AL105" i="41"/>
  <c r="AN105" i="41" s="1"/>
  <c r="AL135" i="41"/>
  <c r="AN135" i="41" s="1"/>
  <c r="AL220" i="41"/>
  <c r="AN220" i="41" s="1"/>
  <c r="AL101" i="41"/>
  <c r="AN101" i="41" s="1"/>
  <c r="AL212" i="41"/>
  <c r="AN212" i="41" s="1"/>
  <c r="AL207" i="41"/>
  <c r="AN207" i="41" s="1"/>
  <c r="AL214" i="41"/>
  <c r="AN214" i="41" s="1"/>
  <c r="AL45" i="41"/>
  <c r="AN45" i="41" s="1"/>
  <c r="AL203" i="41"/>
  <c r="AN203" i="41" s="1"/>
  <c r="AL24" i="41"/>
  <c r="AN24" i="41" s="1"/>
  <c r="AL23" i="41"/>
  <c r="AN23" i="41" s="1"/>
  <c r="AL254" i="41"/>
  <c r="AN254" i="41" s="1"/>
  <c r="AL210" i="41"/>
  <c r="AN210" i="41" s="1"/>
  <c r="AL276" i="41"/>
  <c r="AN276" i="41" s="1"/>
  <c r="AL231" i="41"/>
  <c r="AN231" i="41" s="1"/>
  <c r="AL60" i="41"/>
  <c r="AN60" i="41" s="1"/>
  <c r="AL58" i="41"/>
  <c r="AN58" i="41" s="1"/>
  <c r="AL153" i="41"/>
  <c r="AN153" i="41" s="1"/>
  <c r="AL154" i="41"/>
  <c r="AN154" i="41" s="1"/>
  <c r="AL291" i="41"/>
  <c r="AN291" i="41" s="1"/>
  <c r="AL62" i="41"/>
  <c r="AN62" i="41" s="1"/>
  <c r="AL191" i="41"/>
  <c r="AN191" i="41" s="1"/>
  <c r="AL290" i="41"/>
  <c r="AN290" i="41" s="1"/>
  <c r="AL80" i="41"/>
  <c r="AN80" i="41" s="1"/>
  <c r="AL176" i="41"/>
  <c r="AN176" i="41" s="1"/>
  <c r="AL233" i="41"/>
  <c r="AN233" i="41" s="1"/>
  <c r="AL237" i="41"/>
  <c r="AN237" i="41" s="1"/>
  <c r="AL229" i="41"/>
  <c r="AN229" i="41" s="1"/>
  <c r="AL7" i="41"/>
  <c r="AN7" i="41" s="1"/>
  <c r="AL8" i="41"/>
  <c r="AN8" i="41" s="1"/>
  <c r="AL89" i="41"/>
  <c r="AN89" i="41" s="1"/>
  <c r="AL264" i="41"/>
  <c r="AN264" i="41" s="1"/>
  <c r="AL33" i="41"/>
  <c r="AN33" i="41" s="1"/>
  <c r="AL34" i="41"/>
  <c r="AN34" i="41" s="1"/>
  <c r="AL265" i="41"/>
  <c r="AN265" i="41" s="1"/>
  <c r="AL39" i="41"/>
  <c r="AN39" i="41" s="1"/>
  <c r="AL61" i="41"/>
  <c r="AN61" i="41" s="1"/>
  <c r="AL42" i="41"/>
  <c r="AN42" i="41" s="1"/>
  <c r="AL260" i="41"/>
  <c r="AN260" i="41" s="1"/>
  <c r="AL92" i="41"/>
  <c r="AN92" i="41" s="1"/>
  <c r="AL91" i="41"/>
  <c r="AN91" i="41" s="1"/>
  <c r="AL272" i="41"/>
  <c r="AN272" i="41" s="1"/>
  <c r="AL192" i="41"/>
  <c r="AN192" i="41" s="1"/>
  <c r="AL267" i="41"/>
  <c r="AN267" i="41" s="1"/>
  <c r="AL263" i="41"/>
  <c r="AN263" i="41" s="1"/>
  <c r="AL93" i="41"/>
  <c r="AN93" i="41" s="1"/>
  <c r="AL63" i="41"/>
  <c r="AN63" i="41" s="1"/>
  <c r="AN282" i="41"/>
  <c r="AL115" i="41"/>
  <c r="AN115" i="41" s="1"/>
  <c r="AL90" i="41"/>
  <c r="AN90" i="41" s="1"/>
  <c r="AL128" i="41"/>
  <c r="AN128" i="41" s="1"/>
  <c r="AL26" i="41"/>
  <c r="AN26" i="41" s="1"/>
  <c r="AL204" i="41"/>
  <c r="AN204" i="41" s="1"/>
  <c r="AL218" i="41"/>
  <c r="AN218" i="41" s="1"/>
  <c r="AL131" i="41"/>
  <c r="AN131" i="41" s="1"/>
  <c r="AL84" i="41"/>
  <c r="AN84" i="41" s="1"/>
  <c r="AL172" i="41"/>
  <c r="AN172" i="41" s="1"/>
  <c r="AL151" i="41"/>
  <c r="AN151" i="41" s="1"/>
  <c r="AL48" i="41"/>
  <c r="AN48" i="41" s="1"/>
  <c r="AL246" i="41"/>
  <c r="AN246" i="41" s="1"/>
  <c r="AL249" i="41"/>
  <c r="AN249" i="41" s="1"/>
  <c r="AL81" i="41"/>
  <c r="AN81" i="41" s="1"/>
  <c r="AL195" i="41"/>
  <c r="AN195" i="41" s="1"/>
  <c r="AL121" i="41"/>
  <c r="AN121" i="41" s="1"/>
  <c r="AL125" i="41"/>
  <c r="AN125" i="41" s="1"/>
  <c r="AL202" i="41"/>
  <c r="AN202" i="41" s="1"/>
  <c r="AL126" i="41"/>
  <c r="AN126" i="41" s="1"/>
  <c r="AL286" i="41"/>
  <c r="AN286" i="41" s="1"/>
  <c r="AL112" i="41"/>
  <c r="AN112" i="41" s="1"/>
  <c r="AL270" i="41"/>
  <c r="AN270" i="41" s="1"/>
  <c r="AL35" i="41"/>
  <c r="AN35" i="41" s="1"/>
  <c r="AL28" i="41"/>
  <c r="AN28" i="41" s="1"/>
  <c r="AL182" i="41"/>
  <c r="AN182" i="41" s="1"/>
  <c r="AL248" i="41"/>
  <c r="AN248" i="41" s="1"/>
  <c r="AL66" i="41"/>
  <c r="AN66" i="41" s="1"/>
  <c r="AL74" i="41"/>
  <c r="AN74" i="41" s="1"/>
  <c r="AL193" i="41"/>
  <c r="AN193" i="41" s="1"/>
  <c r="AL186" i="41"/>
  <c r="AN186" i="41" s="1"/>
  <c r="AL113" i="41"/>
  <c r="AN113" i="41" s="1"/>
  <c r="AL205" i="41"/>
  <c r="AN205" i="41" s="1"/>
  <c r="AL102" i="41"/>
  <c r="AN102" i="41" s="1"/>
  <c r="AL95" i="41"/>
  <c r="AN95" i="41" s="1"/>
  <c r="AL287" i="41"/>
  <c r="AN287" i="41" s="1"/>
  <c r="AL116" i="41"/>
  <c r="AN116" i="41" s="1"/>
  <c r="AL209" i="41"/>
  <c r="AN209" i="41" s="1"/>
  <c r="AL213" i="41"/>
  <c r="AN213" i="41" s="1"/>
  <c r="AL119" i="41"/>
  <c r="AN119" i="41" s="1"/>
  <c r="AL3" i="41"/>
  <c r="AN3" i="41" s="1"/>
  <c r="AL4" i="41"/>
  <c r="AN4" i="41" s="1"/>
  <c r="AL165" i="41"/>
  <c r="AN165" i="41" s="1"/>
  <c r="AL141" i="41"/>
  <c r="AN141" i="41" s="1"/>
  <c r="AL225" i="41"/>
  <c r="AN225" i="41" s="1"/>
  <c r="AL228" i="41"/>
  <c r="AN228" i="41" s="1"/>
  <c r="AL140" i="41"/>
  <c r="AN140" i="41" s="1"/>
  <c r="AL75" i="41"/>
  <c r="AN75" i="41" s="1"/>
  <c r="AL57" i="41"/>
  <c r="AN57" i="41" s="1"/>
  <c r="AL188" i="41"/>
  <c r="AN188" i="41" s="1"/>
  <c r="AL262" i="41"/>
  <c r="AN262" i="41" s="1"/>
  <c r="AL107" i="41"/>
  <c r="AN107" i="41" s="1"/>
  <c r="AL79" i="41"/>
  <c r="AN79" i="41" s="1"/>
  <c r="AL56" i="41"/>
  <c r="AN56" i="41" s="1"/>
  <c r="AL197" i="41"/>
  <c r="AN197" i="41" s="1"/>
  <c r="AL139" i="41"/>
  <c r="AN139" i="41" s="1"/>
  <c r="AL52" i="41"/>
  <c r="AN52" i="41" s="1"/>
  <c r="AL87" i="41"/>
  <c r="AN87" i="41" s="1"/>
  <c r="AL184" i="41"/>
  <c r="AN184" i="41" s="1"/>
  <c r="AL97" i="41"/>
  <c r="AN97" i="41" s="1"/>
  <c r="AL133" i="41"/>
  <c r="AN133" i="41" s="1"/>
  <c r="AL134" i="41"/>
  <c r="AN134" i="41" s="1"/>
  <c r="AL201" i="41"/>
  <c r="AN201" i="41" s="1"/>
  <c r="AL104" i="41"/>
  <c r="AN104" i="41" s="1"/>
  <c r="AL159" i="41"/>
  <c r="AN159" i="41" s="1"/>
  <c r="AL96" i="41"/>
  <c r="AN96" i="41" s="1"/>
  <c r="AL108" i="41"/>
  <c r="AN108" i="41" s="1"/>
  <c r="AL275" i="41"/>
  <c r="AN275" i="41" s="1"/>
  <c r="AL164" i="41"/>
  <c r="AN164" i="41" s="1"/>
  <c r="AL22" i="41"/>
  <c r="AN22" i="41" s="1"/>
  <c r="AL25" i="41"/>
  <c r="AN25" i="41" s="1"/>
  <c r="AL36" i="41"/>
  <c r="AN36" i="41" s="1"/>
  <c r="AL183" i="41"/>
  <c r="AN183" i="41" s="1"/>
  <c r="AL178" i="41"/>
  <c r="AN178" i="41" s="1"/>
  <c r="AL20" i="41"/>
  <c r="AN20" i="41" s="1"/>
  <c r="AL239" i="41"/>
  <c r="AN239" i="41" s="1"/>
  <c r="AL149" i="41"/>
  <c r="AN149" i="41" s="1"/>
  <c r="AL166" i="41"/>
  <c r="AN166" i="41" s="1"/>
  <c r="AL88" i="41"/>
  <c r="AN88" i="41" s="1"/>
  <c r="AL156" i="41"/>
  <c r="AN156" i="41" s="1"/>
  <c r="AL180" i="41"/>
  <c r="AN180" i="41" s="1"/>
  <c r="AL247" i="41"/>
  <c r="AN247" i="41" s="1"/>
  <c r="AL100" i="41"/>
  <c r="AN100" i="41" s="1"/>
  <c r="AL59" i="41"/>
  <c r="AN59" i="41" s="1"/>
  <c r="AL234" i="41"/>
  <c r="AN234" i="41" s="1"/>
  <c r="AL150" i="41"/>
  <c r="AN150" i="41" s="1"/>
  <c r="AL216" i="41"/>
  <c r="AN216" i="41" s="1"/>
  <c r="AL31" i="41"/>
  <c r="AN31" i="41" s="1"/>
  <c r="AL18" i="41"/>
  <c r="AN18" i="41" s="1"/>
  <c r="AL29" i="41"/>
  <c r="AN29" i="41" s="1"/>
  <c r="AL142" i="41"/>
  <c r="AN142" i="41" s="1"/>
  <c r="AL252" i="41"/>
  <c r="AN252" i="41" s="1"/>
  <c r="AL285" i="41"/>
  <c r="AN285" i="41" s="1"/>
  <c r="AL250" i="41"/>
  <c r="AN250" i="41" s="1"/>
  <c r="AL169" i="41"/>
  <c r="AN169" i="41" s="1"/>
  <c r="AL271" i="41"/>
  <c r="AL157" i="41"/>
  <c r="AN157" i="41" s="1"/>
  <c r="AL69" i="41"/>
  <c r="AN69" i="41" s="1"/>
  <c r="AL284" i="41"/>
  <c r="AN284" i="41" s="1"/>
  <c r="AL242" i="41"/>
  <c r="AN242" i="41" s="1"/>
  <c r="AL41" i="41"/>
  <c r="AN41" i="41" s="1"/>
  <c r="AL94" i="41"/>
  <c r="AN94" i="41" s="1"/>
  <c r="AL243" i="41"/>
  <c r="AN243" i="41" s="1"/>
  <c r="AL73" i="41"/>
  <c r="AN73" i="41" s="1"/>
  <c r="AL196" i="41"/>
  <c r="AN196" i="41" s="1"/>
  <c r="AL132" i="41"/>
  <c r="AN132" i="41" s="1"/>
  <c r="AL208" i="41"/>
  <c r="AN208" i="41" s="1"/>
  <c r="AL17" i="41"/>
  <c r="AN17" i="41" s="1"/>
  <c r="AL27" i="41"/>
  <c r="AN27" i="41" s="1"/>
  <c r="AL288" i="41"/>
  <c r="AN288" i="41" s="1"/>
  <c r="AL277" i="41"/>
  <c r="AN277" i="41" s="1"/>
  <c r="AL143" i="41"/>
  <c r="AN143" i="41" s="1"/>
  <c r="AL278" i="41"/>
  <c r="AN278" i="41" s="1"/>
  <c r="AL78" i="41"/>
  <c r="AN78" i="41" s="1"/>
  <c r="AL232" i="41"/>
  <c r="AN232" i="41" s="1"/>
  <c r="AL240" i="41"/>
  <c r="AN240" i="41" s="1"/>
  <c r="AL47" i="41"/>
  <c r="AN47" i="41" s="1"/>
  <c r="AL50" i="41"/>
  <c r="AN50" i="41" s="1"/>
  <c r="AL51" i="41"/>
  <c r="AN51" i="41" s="1"/>
  <c r="AL198" i="41"/>
  <c r="AN198" i="41" s="1"/>
  <c r="AL194" i="41"/>
  <c r="AN194" i="41" s="1"/>
  <c r="AL127" i="41"/>
  <c r="AN127" i="41" s="1"/>
  <c r="AL76" i="41"/>
  <c r="AN76" i="41" s="1"/>
  <c r="AL160" i="41"/>
  <c r="AN160" i="41" s="1"/>
  <c r="AL67" i="41"/>
  <c r="AN67" i="41" s="1"/>
  <c r="AL162" i="41"/>
  <c r="AN162" i="41" s="1"/>
  <c r="AL175" i="41"/>
  <c r="AN175" i="41" s="1"/>
  <c r="AL251" i="41"/>
  <c r="AN251" i="41" s="1"/>
  <c r="AL85" i="41"/>
  <c r="AN85" i="41" s="1"/>
  <c r="AL289" i="41"/>
  <c r="AN289" i="41" s="1"/>
  <c r="AL111" i="41"/>
  <c r="AN111" i="41" s="1"/>
  <c r="AL70" i="41"/>
  <c r="AN70" i="41" s="1"/>
  <c r="AL279" i="41"/>
  <c r="AN279" i="41" s="1"/>
  <c r="AL124" i="41"/>
  <c r="AN124" i="41" s="1"/>
  <c r="AL137" i="41"/>
  <c r="AN137" i="41" s="1"/>
  <c r="AL163" i="41"/>
  <c r="AN163" i="41" s="1"/>
  <c r="AL122" i="41"/>
  <c r="AN122" i="41" s="1"/>
  <c r="AL138" i="41"/>
  <c r="AN138" i="41" s="1"/>
  <c r="AL147" i="41"/>
  <c r="AN147" i="41" s="1"/>
  <c r="AL103" i="41"/>
  <c r="AN103" i="41" s="1"/>
  <c r="AL38" i="41"/>
  <c r="AN38" i="41" s="1"/>
  <c r="AL187" i="41"/>
  <c r="AN187" i="41" s="1"/>
  <c r="AL199" i="41"/>
  <c r="AN199" i="41" s="1"/>
  <c r="AL98" i="41"/>
  <c r="AN98" i="41" s="1"/>
  <c r="AS271" i="41" l="1"/>
  <c r="AN271" i="41"/>
  <c r="AS4" i="41"/>
  <c r="AS7" i="41"/>
  <c r="AS255" i="41"/>
  <c r="AS262" i="41"/>
  <c r="AS3" i="41"/>
  <c r="AS260" i="41"/>
  <c r="AS259" i="41"/>
  <c r="AS253" i="41"/>
  <c r="AS5" i="41"/>
  <c r="AS254" i="41"/>
  <c r="AS266" i="41"/>
  <c r="AS257" i="41"/>
  <c r="AS258" i="41"/>
  <c r="AS265" i="41"/>
  <c r="AS261" i="41"/>
  <c r="AS263" i="41"/>
  <c r="AS264" i="41"/>
  <c r="AS267" i="41"/>
  <c r="AS8" i="41"/>
  <c r="AS165" i="41"/>
  <c r="AS157" i="41"/>
  <c r="AS279" i="41"/>
  <c r="AS148" i="41"/>
  <c r="AS206" i="41"/>
  <c r="AS124" i="41"/>
  <c r="AS177" i="41"/>
  <c r="AS127" i="41"/>
  <c r="AS108" i="41"/>
  <c r="AS42" i="41"/>
  <c r="AS237" i="41"/>
  <c r="AS231" i="41"/>
  <c r="AS220" i="41"/>
  <c r="AS144" i="41"/>
  <c r="AS123" i="41"/>
  <c r="AS87" i="41"/>
  <c r="AS61" i="41"/>
  <c r="AS233" i="41"/>
  <c r="AS135" i="41"/>
  <c r="AS245" i="41"/>
  <c r="AS176" i="41"/>
  <c r="AS209" i="41"/>
  <c r="AS74" i="41"/>
  <c r="AS125" i="41"/>
  <c r="AS174" i="41"/>
  <c r="AS227" i="41"/>
  <c r="AS103" i="41"/>
  <c r="AS251" i="41"/>
  <c r="AS240" i="41"/>
  <c r="AS243" i="41"/>
  <c r="AS169" i="41"/>
  <c r="AS130" i="41"/>
  <c r="AS88" i="41"/>
  <c r="AS201" i="41"/>
  <c r="AS197" i="41"/>
  <c r="AS116" i="41"/>
  <c r="AS66" i="41"/>
  <c r="AS121" i="41"/>
  <c r="AS151" i="41"/>
  <c r="AS283" i="41"/>
  <c r="AS53" i="41"/>
  <c r="AS80" i="41"/>
  <c r="AS147" i="41"/>
  <c r="AS175" i="41"/>
  <c r="AS232" i="41"/>
  <c r="AS94" i="41"/>
  <c r="AS250" i="41"/>
  <c r="AS16" i="41"/>
  <c r="AS166" i="41"/>
  <c r="AS134" i="41"/>
  <c r="AS56" i="41"/>
  <c r="AS140" i="41"/>
  <c r="AS287" i="41"/>
  <c r="AS248" i="41"/>
  <c r="AS195" i="41"/>
  <c r="AS172" i="41"/>
  <c r="AS43" i="41"/>
  <c r="AS185" i="41"/>
  <c r="AS138" i="41"/>
  <c r="AS162" i="41"/>
  <c r="AS78" i="41"/>
  <c r="AS41" i="41"/>
  <c r="AS285" i="41"/>
  <c r="AS216" i="41"/>
  <c r="AS110" i="41"/>
  <c r="AS238" i="41"/>
  <c r="AS133" i="41"/>
  <c r="AS79" i="41"/>
  <c r="AS228" i="41"/>
  <c r="AS95" i="41"/>
  <c r="AS182" i="41"/>
  <c r="AS99" i="41"/>
  <c r="AS68" i="41"/>
  <c r="AS71" i="41"/>
  <c r="AS93" i="41"/>
  <c r="AS163" i="41"/>
  <c r="AS67" i="41"/>
  <c r="AS143" i="41"/>
  <c r="AS242" i="41"/>
  <c r="AS252" i="41"/>
  <c r="AS150" i="41"/>
  <c r="AS149" i="41"/>
  <c r="AS164" i="41"/>
  <c r="AS97" i="41"/>
  <c r="AS145" i="41"/>
  <c r="AS225" i="41"/>
  <c r="AS102" i="41"/>
  <c r="AS117" i="41"/>
  <c r="AS12" i="41"/>
  <c r="AS128" i="41"/>
  <c r="AS223" i="41"/>
  <c r="AS65" i="41"/>
  <c r="AS277" i="41"/>
  <c r="AS284" i="41"/>
  <c r="AS239" i="41"/>
  <c r="AS15" i="41"/>
  <c r="AS184" i="41"/>
  <c r="AS241" i="41"/>
  <c r="Q6" i="64"/>
  <c r="Q7" i="64"/>
  <c r="Q8" i="64"/>
  <c r="Q9" i="64"/>
  <c r="Q10" i="64"/>
  <c r="Q11" i="64"/>
  <c r="Q12" i="64"/>
  <c r="Q13" i="64"/>
  <c r="Q14" i="64"/>
  <c r="Q15" i="64"/>
  <c r="Q16" i="64"/>
  <c r="Q17" i="64"/>
  <c r="Q18" i="64"/>
  <c r="Q19" i="64"/>
  <c r="Q20" i="64"/>
  <c r="Q21" i="64"/>
  <c r="Q22" i="64"/>
  <c r="Q23" i="64"/>
  <c r="Q24" i="64"/>
  <c r="Q25" i="64"/>
  <c r="Q26" i="64"/>
  <c r="Q27" i="64"/>
  <c r="Q28" i="64"/>
  <c r="Q29" i="64"/>
  <c r="Q30" i="64"/>
  <c r="Q31" i="64"/>
  <c r="Q32" i="64"/>
  <c r="Q33" i="64"/>
  <c r="Q34" i="64"/>
  <c r="Q35" i="64"/>
  <c r="Q36" i="64"/>
  <c r="Q5" i="64"/>
  <c r="AL16" i="41" l="1"/>
  <c r="AN16" i="41" s="1"/>
  <c r="AN281" i="41" l="1"/>
  <c r="AL110" i="41"/>
  <c r="AN110" i="41" s="1"/>
  <c r="AL244" i="41"/>
  <c r="AN244" i="41" s="1"/>
  <c r="AL15" i="41"/>
  <c r="AN15" i="41" s="1"/>
  <c r="AL185" i="41"/>
  <c r="AN185" i="41" s="1"/>
  <c r="AL19" i="41"/>
  <c r="AN19" i="41" s="1"/>
  <c r="AL12" i="41"/>
  <c r="AN12" i="41" s="1"/>
  <c r="AL72" i="41"/>
  <c r="AN72" i="41" s="1"/>
  <c r="AL11" i="41"/>
  <c r="AN11" i="41" s="1"/>
  <c r="AL13" i="41"/>
  <c r="AN13" i="41" s="1"/>
  <c r="AL14" i="41"/>
  <c r="AN14" i="41" s="1"/>
  <c r="AL238" i="41"/>
  <c r="AN238" i="41" s="1"/>
  <c r="AL136" i="41"/>
  <c r="AN136" i="41" s="1"/>
  <c r="AL174" i="41"/>
  <c r="AN174" i="41" s="1"/>
  <c r="AL219" i="41"/>
  <c r="AN219" i="41" s="1"/>
  <c r="AL167" i="41" l="1"/>
  <c r="AN167" i="41" s="1"/>
  <c r="AL269" i="41"/>
  <c r="AN269" i="41" s="1"/>
  <c r="AL86" i="41"/>
  <c r="AN86" i="41" s="1"/>
  <c r="AL64" i="41"/>
  <c r="AN64" i="41" s="1"/>
  <c r="AL40" i="41"/>
  <c r="AN40" i="41" s="1"/>
  <c r="AL173" i="41"/>
  <c r="AN173" i="41" s="1"/>
  <c r="AL224" i="41"/>
  <c r="AN224" i="41" s="1"/>
  <c r="AL114" i="41"/>
  <c r="AN114" i="41" s="1"/>
  <c r="AL223" i="41"/>
  <c r="AN223" i="41" s="1"/>
  <c r="AL43" i="41"/>
  <c r="AN43" i="41" s="1"/>
  <c r="AL190" i="41"/>
  <c r="AN190" i="41" s="1"/>
  <c r="AL118" i="41"/>
  <c r="AN118" i="41" s="1"/>
  <c r="AL235" i="41"/>
  <c r="AN235" i="41" s="1"/>
  <c r="AL106" i="41"/>
  <c r="AN106" i="41" s="1"/>
  <c r="AL145" i="41"/>
  <c r="AN145" i="41" s="1"/>
  <c r="AL130" i="41"/>
  <c r="AN130" i="41" s="1"/>
  <c r="AL117" i="41"/>
  <c r="AN117" i="41" s="1"/>
  <c r="AL120" i="41"/>
  <c r="AN120" i="41" s="1"/>
  <c r="AL68" i="41"/>
  <c r="AN68" i="41" s="1"/>
  <c r="AL268" i="41"/>
  <c r="AN268" i="41" s="1"/>
  <c r="AL177" i="41"/>
  <c r="AN177" i="41" s="1"/>
  <c r="AL55" i="41"/>
  <c r="AN55" i="41" s="1"/>
  <c r="AL273" i="41"/>
  <c r="AN273" i="41" s="1"/>
  <c r="AL241" i="41"/>
  <c r="AN241" i="41" s="1"/>
  <c r="AL253" i="41"/>
  <c r="AN253" i="41" s="1"/>
  <c r="AL189" i="41"/>
  <c r="AN189" i="41" s="1"/>
  <c r="AL32" i="41"/>
  <c r="AN32" i="41" s="1"/>
  <c r="AL71" i="41"/>
  <c r="AN71" i="41" s="1"/>
  <c r="AL123" i="41"/>
  <c r="AN123" i="41" s="1"/>
  <c r="AL227" i="41"/>
  <c r="AN227" i="41" s="1"/>
  <c r="AL144" i="41"/>
  <c r="AN144" i="41" s="1"/>
  <c r="AL280" i="41"/>
  <c r="AN280" i="41" s="1"/>
  <c r="AL82" i="41"/>
  <c r="AN82" i="41" s="1"/>
  <c r="AL5" i="41"/>
  <c r="AN5" i="41" s="1"/>
  <c r="AL255" i="41"/>
  <c r="AN255" i="41" s="1"/>
  <c r="AL258" i="41"/>
  <c r="AN258" i="41" s="1"/>
  <c r="AL65" i="41"/>
  <c r="AN65" i="41" s="1"/>
  <c r="AL99" i="41"/>
  <c r="AN99" i="41" s="1"/>
  <c r="AL230" i="41"/>
  <c r="AN230" i="41" s="1"/>
  <c r="AL21" i="41"/>
  <c r="AN21" i="41" s="1"/>
  <c r="AN283" i="41"/>
  <c r="AL109" i="41"/>
  <c r="AN109" i="41" s="1"/>
  <c r="AL266" i="41"/>
  <c r="AN266" i="41" s="1"/>
  <c r="AL222" i="41"/>
  <c r="AN222" i="41" s="1"/>
  <c r="AL261" i="41"/>
  <c r="AN261" i="41" s="1"/>
  <c r="AL211" i="41"/>
  <c r="AN211" i="41" s="1"/>
  <c r="AL217" i="41"/>
  <c r="AN217" i="41" s="1"/>
  <c r="AL53" i="41"/>
  <c r="AN53" i="41" s="1"/>
  <c r="AL129" i="41"/>
  <c r="AN129" i="41" s="1"/>
  <c r="C20" i="62" l="1"/>
  <c r="C19" i="62"/>
  <c r="C18" i="62"/>
  <c r="C17" i="62"/>
  <c r="C16" i="62"/>
  <c r="C15" i="62"/>
  <c r="C14" i="62"/>
  <c r="C13" i="62"/>
  <c r="C12" i="62"/>
  <c r="C11" i="62"/>
  <c r="C10" i="62"/>
  <c r="C9" i="62"/>
  <c r="J98" i="41" l="1"/>
  <c r="J180" i="41"/>
  <c r="J120" i="41"/>
  <c r="J224" i="41"/>
  <c r="J114" i="41"/>
  <c r="J156" i="41"/>
  <c r="J88" i="41"/>
  <c r="J166" i="41"/>
  <c r="J110" i="41"/>
  <c r="J149" i="41"/>
  <c r="J239" i="41"/>
  <c r="J123" i="41"/>
  <c r="J235" i="41"/>
  <c r="J178" i="41"/>
  <c r="J129" i="41"/>
  <c r="J36" i="41"/>
  <c r="J25" i="41"/>
  <c r="J22" i="41"/>
  <c r="J238" i="41"/>
  <c r="J164" i="41"/>
  <c r="J108" i="41"/>
  <c r="J96" i="41"/>
  <c r="J217" i="41"/>
  <c r="J159" i="41"/>
  <c r="J104" i="41"/>
  <c r="J222" i="41"/>
  <c r="J201" i="41"/>
  <c r="J134" i="41"/>
  <c r="J133" i="41"/>
  <c r="J97" i="41"/>
  <c r="J184" i="41"/>
  <c r="J230" i="41"/>
  <c r="J87" i="41"/>
  <c r="J82" i="41"/>
  <c r="J136" i="41"/>
  <c r="J211" i="41"/>
  <c r="J139" i="41"/>
  <c r="J197" i="41"/>
  <c r="J79" i="41"/>
  <c r="J145" i="41"/>
  <c r="J241" i="41"/>
  <c r="J173" i="41"/>
  <c r="J107" i="41"/>
  <c r="J262" i="41"/>
  <c r="J75" i="41"/>
  <c r="J280" i="41"/>
  <c r="J140" i="41"/>
  <c r="J228" i="41"/>
  <c r="J225" i="41"/>
  <c r="J261" i="41"/>
  <c r="J165" i="41"/>
  <c r="J219" i="41"/>
  <c r="J4" i="41"/>
  <c r="J3" i="41"/>
  <c r="J119" i="41"/>
  <c r="J213" i="41"/>
  <c r="J209" i="41"/>
  <c r="J116" i="41"/>
  <c r="J95" i="41"/>
  <c r="J102" i="41"/>
  <c r="J205" i="41"/>
  <c r="J113" i="41"/>
  <c r="J193" i="41"/>
  <c r="J86" i="41"/>
  <c r="J64" i="41"/>
  <c r="J74" i="41"/>
  <c r="J66" i="41"/>
  <c r="J28" i="41"/>
  <c r="J35" i="41"/>
  <c r="J72" i="41"/>
  <c r="J270" i="41"/>
  <c r="J112" i="41"/>
  <c r="J126" i="41"/>
  <c r="J202" i="41"/>
  <c r="J125" i="41"/>
  <c r="J121" i="41"/>
  <c r="J195" i="41"/>
  <c r="J99" i="41"/>
  <c r="J117" i="41"/>
  <c r="J189" i="41"/>
  <c r="J55" i="41"/>
  <c r="J118" i="41"/>
  <c r="J109" i="41"/>
  <c r="J81" i="41"/>
  <c r="J249" i="41"/>
  <c r="J246" i="41"/>
  <c r="J151" i="41"/>
  <c r="J172" i="41"/>
  <c r="J68" i="41"/>
  <c r="J131" i="41"/>
  <c r="J218" i="41"/>
  <c r="J19" i="41"/>
  <c r="J204" i="41"/>
  <c r="J26" i="41"/>
  <c r="J253" i="41"/>
  <c r="J174" i="41"/>
  <c r="J283" i="41"/>
  <c r="J43" i="41"/>
  <c r="J71" i="41"/>
  <c r="J128" i="41"/>
  <c r="J90" i="41"/>
  <c r="J6" i="41"/>
  <c r="J115" i="41"/>
  <c r="J167" i="41"/>
  <c r="J282" i="41"/>
  <c r="J63" i="41"/>
  <c r="J106" i="41"/>
  <c r="J227" i="41"/>
  <c r="J53" i="41"/>
  <c r="J185" i="41"/>
  <c r="J93" i="41"/>
  <c r="J223" i="41"/>
  <c r="J267" i="41"/>
  <c r="J192" i="41"/>
  <c r="J272" i="41"/>
  <c r="J91" i="41"/>
  <c r="J92" i="41"/>
  <c r="J39" i="41"/>
  <c r="J34" i="41"/>
  <c r="J33" i="41"/>
  <c r="J8" i="41"/>
  <c r="J7" i="41"/>
  <c r="J229" i="41"/>
  <c r="J237" i="41"/>
  <c r="J233" i="41"/>
  <c r="J176" i="41"/>
  <c r="J80" i="41"/>
  <c r="J62" i="41"/>
  <c r="J58" i="41"/>
  <c r="J231" i="41"/>
  <c r="J210" i="41"/>
  <c r="J254" i="41"/>
  <c r="J23" i="41"/>
  <c r="J24" i="41"/>
  <c r="J45" i="41"/>
  <c r="J214" i="41"/>
  <c r="J207" i="41"/>
  <c r="J212" i="41"/>
  <c r="J101" i="41"/>
  <c r="J220" i="41"/>
  <c r="J135" i="41"/>
  <c r="J168" i="41"/>
  <c r="J257" i="41"/>
  <c r="J158" i="41"/>
  <c r="J221" i="41"/>
  <c r="J215" i="41"/>
  <c r="J49" i="41"/>
  <c r="J83" i="41"/>
  <c r="J37" i="41"/>
  <c r="J144" i="41"/>
  <c r="J46" i="41"/>
  <c r="J226" i="41"/>
  <c r="J244" i="41"/>
  <c r="J44" i="41"/>
  <c r="J255" i="41"/>
  <c r="J30" i="41"/>
  <c r="J259" i="41"/>
  <c r="J14" i="41"/>
  <c r="J155" i="41"/>
  <c r="J54" i="41"/>
  <c r="J146" i="41"/>
  <c r="J171" i="41"/>
  <c r="J181" i="41"/>
  <c r="J161" i="41"/>
  <c r="J206" i="41"/>
  <c r="J247" i="41"/>
  <c r="J177" i="41"/>
  <c r="J199" i="41"/>
  <c r="J187" i="41"/>
  <c r="J11" i="41"/>
  <c r="J38" i="41"/>
  <c r="J103" i="41"/>
  <c r="J147" i="41"/>
  <c r="J138" i="41"/>
  <c r="J122" i="41"/>
  <c r="J163" i="41"/>
  <c r="J65" i="41"/>
  <c r="J137" i="41"/>
  <c r="J124" i="41"/>
  <c r="J70" i="41"/>
  <c r="J111" i="41"/>
  <c r="J85" i="41"/>
  <c r="J274" i="41"/>
  <c r="J251" i="41"/>
  <c r="J175" i="41"/>
  <c r="J162" i="41"/>
  <c r="J67" i="41"/>
  <c r="J160" i="41"/>
  <c r="J76" i="41"/>
  <c r="J127" i="41"/>
  <c r="J194" i="41"/>
  <c r="J198" i="41"/>
  <c r="J51" i="41"/>
  <c r="J50" i="41"/>
  <c r="J47" i="41"/>
  <c r="J240" i="41"/>
  <c r="J232" i="41"/>
  <c r="J78" i="41"/>
  <c r="J278" i="41"/>
  <c r="J143" i="41"/>
  <c r="J277" i="41"/>
  <c r="J27" i="41"/>
  <c r="J17" i="41"/>
  <c r="J132" i="41"/>
  <c r="J73" i="41"/>
  <c r="J94" i="41"/>
  <c r="J41" i="41"/>
  <c r="J242" i="41"/>
  <c r="J284" i="41"/>
  <c r="J69" i="41"/>
  <c r="J157" i="41"/>
  <c r="J268" i="41"/>
  <c r="J273" i="41"/>
  <c r="J5" i="41"/>
  <c r="J271" i="41"/>
  <c r="J269" i="41"/>
  <c r="J169" i="41"/>
  <c r="J250" i="41"/>
  <c r="J252" i="41"/>
  <c r="J29" i="41"/>
  <c r="J21" i="41"/>
  <c r="J18" i="41"/>
  <c r="J31" i="41"/>
  <c r="J40" i="41"/>
  <c r="J281" i="41"/>
  <c r="J190" i="41"/>
  <c r="J130" i="41"/>
  <c r="J216" i="41"/>
  <c r="J150" i="41"/>
  <c r="AT288" i="41" l="1"/>
  <c r="AU288" i="41"/>
  <c r="AV288" i="41"/>
  <c r="AX288" i="41"/>
  <c r="X27" i="41" l="1"/>
  <c r="X17" i="41"/>
  <c r="AT179" i="41" l="1"/>
  <c r="AU179" i="41"/>
  <c r="AV179" i="41"/>
  <c r="X277" i="41" l="1"/>
  <c r="X122" i="41"/>
  <c r="X250" i="41"/>
  <c r="X140" i="41"/>
  <c r="X88" i="41"/>
  <c r="X181" i="41"/>
  <c r="X218" i="41"/>
  <c r="X165" i="41"/>
  <c r="X38" i="41"/>
  <c r="X90" i="41"/>
  <c r="X171" i="41"/>
  <c r="X6" i="41"/>
  <c r="X98" i="41"/>
  <c r="X281" i="41"/>
  <c r="X282" i="41"/>
  <c r="X166" i="41"/>
  <c r="X271" i="41"/>
  <c r="X180" i="41"/>
  <c r="X235" i="41"/>
  <c r="X5" i="41"/>
  <c r="X273" i="41"/>
  <c r="X150" i="41"/>
  <c r="X114" i="41"/>
  <c r="X224" i="41"/>
  <c r="X71" i="41"/>
  <c r="X240" i="41"/>
  <c r="X47" i="41"/>
  <c r="X123" i="41"/>
  <c r="X43" i="41"/>
  <c r="X173" i="41"/>
  <c r="X241" i="41"/>
  <c r="X145" i="41"/>
  <c r="X109" i="41"/>
  <c r="X96" i="41"/>
  <c r="X220" i="41"/>
  <c r="X130" i="41"/>
  <c r="X50" i="41"/>
  <c r="X51" i="41"/>
  <c r="X103" i="41"/>
  <c r="X106" i="41"/>
  <c r="X198" i="41"/>
  <c r="X216" i="41"/>
  <c r="X199" i="41"/>
  <c r="X158" i="41"/>
  <c r="X164" i="41"/>
  <c r="X78" i="41"/>
  <c r="X204" i="41"/>
  <c r="X206" i="41"/>
  <c r="X233" i="41"/>
  <c r="X215" i="41"/>
  <c r="X75" i="41"/>
  <c r="X194" i="41"/>
  <c r="X108" i="41"/>
  <c r="X269" i="41"/>
  <c r="X175" i="41"/>
  <c r="X268" i="41"/>
  <c r="X177" i="41"/>
  <c r="X214" i="41"/>
  <c r="X237" i="41"/>
  <c r="X65" i="41"/>
  <c r="X221" i="41"/>
  <c r="X124" i="41"/>
  <c r="X232" i="41"/>
  <c r="X127" i="41"/>
  <c r="X270" i="41"/>
  <c r="X79" i="41"/>
  <c r="X178" i="41"/>
  <c r="X187" i="41"/>
  <c r="X144" i="41"/>
  <c r="X101" i="41"/>
  <c r="X118" i="41"/>
  <c r="X119" i="41"/>
  <c r="X223" i="41"/>
  <c r="X55" i="41"/>
  <c r="X76" i="41"/>
  <c r="X41" i="41"/>
  <c r="X184" i="41"/>
  <c r="X64" i="41"/>
  <c r="X120" i="41"/>
  <c r="X189" i="41"/>
  <c r="X117" i="41"/>
  <c r="X227" i="41"/>
  <c r="X99" i="41"/>
  <c r="X58" i="41"/>
  <c r="X62" i="41"/>
  <c r="X45" i="41"/>
  <c r="X139" i="41"/>
  <c r="X238" i="41"/>
  <c r="X247" i="41"/>
  <c r="X242" i="41"/>
  <c r="X116" i="41"/>
  <c r="X80" i="41"/>
  <c r="X135" i="41"/>
  <c r="X160" i="41"/>
  <c r="X278" i="41"/>
  <c r="X67" i="41"/>
  <c r="X162" i="41"/>
  <c r="X229" i="41"/>
  <c r="X63" i="41"/>
  <c r="X86" i="41"/>
  <c r="X274" i="41"/>
  <c r="X97" i="41"/>
  <c r="X70" i="41"/>
  <c r="X228" i="41"/>
  <c r="X259" i="41"/>
  <c r="X22" i="41"/>
  <c r="X25" i="41"/>
  <c r="X35" i="41"/>
  <c r="X253" i="41"/>
  <c r="X39" i="41"/>
  <c r="X280" i="41"/>
  <c r="X53" i="41"/>
  <c r="X209" i="41"/>
  <c r="X163" i="41"/>
  <c r="X73" i="41"/>
  <c r="X33" i="41"/>
  <c r="X34" i="41"/>
  <c r="X21" i="41"/>
  <c r="X143" i="41"/>
  <c r="X133" i="41"/>
  <c r="X134" i="41"/>
  <c r="X190" i="41"/>
  <c r="X257" i="41"/>
  <c r="X201" i="41"/>
  <c r="X157" i="41"/>
  <c r="X193" i="41"/>
  <c r="X68" i="41"/>
  <c r="X26" i="41"/>
  <c r="X24" i="41"/>
  <c r="X23" i="41"/>
  <c r="X132" i="41"/>
  <c r="X113" i="41"/>
  <c r="X254" i="41"/>
  <c r="X40" i="41"/>
  <c r="X121" i="41"/>
  <c r="X94" i="41"/>
  <c r="X211" i="41"/>
  <c r="X30" i="41"/>
  <c r="X147" i="41"/>
  <c r="X125" i="41"/>
  <c r="X205" i="41"/>
  <c r="X155" i="41"/>
  <c r="X267" i="41"/>
  <c r="X137" i="41"/>
  <c r="X231" i="41"/>
  <c r="X251" i="41"/>
  <c r="X131" i="41"/>
  <c r="X244" i="41"/>
  <c r="X239" i="41"/>
  <c r="X69" i="41"/>
  <c r="X222" i="41"/>
  <c r="X262" i="41"/>
  <c r="X226" i="41"/>
  <c r="X136" i="41"/>
  <c r="X212" i="41"/>
  <c r="X172" i="41"/>
  <c r="X46" i="41"/>
  <c r="X102" i="41"/>
  <c r="X176" i="41"/>
  <c r="X149" i="41"/>
  <c r="X110" i="41"/>
  <c r="X283" i="41"/>
  <c r="X104" i="41"/>
  <c r="X37" i="41"/>
  <c r="X156" i="41"/>
  <c r="X95" i="41"/>
  <c r="X213" i="41"/>
  <c r="X272" i="41"/>
  <c r="X31" i="41"/>
  <c r="X146" i="41"/>
  <c r="X93" i="41"/>
  <c r="X255" i="41"/>
  <c r="X115" i="41"/>
  <c r="X92" i="41"/>
  <c r="X195" i="41"/>
  <c r="X202" i="41"/>
  <c r="X192" i="41"/>
  <c r="X151" i="41"/>
  <c r="X18" i="41"/>
  <c r="X82" i="41"/>
  <c r="X168" i="41"/>
  <c r="X252" i="41"/>
  <c r="X29" i="41"/>
  <c r="X128" i="41"/>
  <c r="X107" i="41"/>
  <c r="X230" i="41"/>
  <c r="X219" i="41"/>
  <c r="X138" i="41"/>
  <c r="X126" i="41"/>
  <c r="X261" i="41"/>
  <c r="X91" i="41"/>
  <c r="X284" i="41"/>
  <c r="X44" i="41"/>
  <c r="X159" i="41"/>
  <c r="X225" i="41"/>
  <c r="X85" i="41"/>
  <c r="X49" i="41"/>
  <c r="X197" i="41"/>
  <c r="X217" i="41"/>
  <c r="X87" i="41"/>
  <c r="X83" i="41"/>
  <c r="X207" i="41"/>
  <c r="X246" i="41"/>
  <c r="X249" i="41"/>
  <c r="X210" i="41"/>
  <c r="X36" i="41"/>
  <c r="X28" i="41"/>
  <c r="X54" i="41"/>
  <c r="X161" i="41"/>
  <c r="X167" i="41"/>
  <c r="X81" i="41"/>
  <c r="X169" i="41"/>
  <c r="X203" i="41"/>
  <c r="X112" i="41"/>
  <c r="AV31" i="41" l="1"/>
  <c r="AV272" i="41"/>
  <c r="AV213" i="41"/>
  <c r="AV95" i="41"/>
  <c r="AV156" i="41"/>
  <c r="AX179" i="41" l="1"/>
  <c r="AX77" i="41"/>
  <c r="AX16" i="41"/>
  <c r="AX289" i="41"/>
  <c r="AX112" i="41"/>
  <c r="AX260" i="41"/>
  <c r="AX200" i="41"/>
  <c r="AX169" i="41"/>
  <c r="AX170" i="41"/>
  <c r="AX81" i="41"/>
  <c r="AX167" i="41"/>
  <c r="AX161" i="41"/>
  <c r="AX54" i="41"/>
  <c r="AX28" i="41"/>
  <c r="AX148" i="41"/>
  <c r="AX60" i="41"/>
  <c r="AX152" i="41"/>
  <c r="AX84" i="41"/>
  <c r="AX248" i="41"/>
  <c r="AX36" i="41"/>
  <c r="AX265" i="41"/>
  <c r="AX264" i="41"/>
  <c r="AX286" i="41"/>
  <c r="AX210" i="41"/>
  <c r="AX249" i="41"/>
  <c r="AX246" i="41"/>
  <c r="AX207" i="41"/>
  <c r="AX243" i="41"/>
  <c r="AX83" i="41"/>
  <c r="AX87" i="41"/>
  <c r="AX61" i="41"/>
  <c r="AX48" i="41"/>
  <c r="AX217" i="41"/>
  <c r="AX197" i="41"/>
  <c r="AX49" i="41"/>
  <c r="AX85" i="41"/>
  <c r="AX186" i="41"/>
  <c r="AX52" i="41"/>
  <c r="AX225" i="41"/>
  <c r="AX100" i="41"/>
  <c r="AX234" i="41"/>
  <c r="AX105" i="41"/>
  <c r="AX59" i="41"/>
  <c r="AX154" i="41"/>
  <c r="AX153" i="41"/>
  <c r="AX159" i="41"/>
  <c r="AX44" i="41"/>
  <c r="AX20" i="41"/>
  <c r="AX196" i="41"/>
  <c r="AX57" i="41"/>
  <c r="AX284" i="41"/>
  <c r="AX91" i="41"/>
  <c r="AX245" i="41"/>
  <c r="AX261" i="41"/>
  <c r="AX126" i="41"/>
  <c r="AX12" i="41"/>
  <c r="AX138" i="41"/>
  <c r="AX219" i="41"/>
  <c r="AX230" i="41"/>
  <c r="AX107" i="41"/>
  <c r="AX128" i="41"/>
  <c r="AX111" i="41"/>
  <c r="AX29" i="41"/>
  <c r="AX252" i="41"/>
  <c r="AX168" i="41"/>
  <c r="AX82" i="41"/>
  <c r="AX18" i="41"/>
  <c r="AX151" i="41"/>
  <c r="AX192" i="41"/>
  <c r="AX202" i="41"/>
  <c r="AX56" i="41"/>
  <c r="AX195" i="41"/>
  <c r="AX92" i="41"/>
  <c r="AX287" i="41"/>
  <c r="AX115" i="41"/>
  <c r="AX255" i="41"/>
  <c r="AX174" i="41"/>
  <c r="AX93" i="41"/>
  <c r="AX146" i="41"/>
  <c r="AX31" i="41"/>
  <c r="AX272" i="41"/>
  <c r="AX213" i="41"/>
  <c r="AX95" i="41"/>
  <c r="AX156" i="41"/>
  <c r="AX37" i="41"/>
  <c r="AX104" i="41"/>
  <c r="AX283" i="41"/>
  <c r="AX10" i="41"/>
  <c r="AX258" i="41"/>
  <c r="AX275" i="41"/>
  <c r="AX110" i="41"/>
  <c r="AX236" i="41"/>
  <c r="AX149" i="41"/>
  <c r="AX291" i="41"/>
  <c r="AX176" i="41"/>
  <c r="AX102" i="41"/>
  <c r="AX46" i="41"/>
  <c r="AX172" i="41"/>
  <c r="AX212" i="41"/>
  <c r="AX136" i="41"/>
  <c r="AX226" i="41"/>
  <c r="AX262" i="41"/>
  <c r="AX222" i="41"/>
  <c r="AX69" i="41"/>
  <c r="AX239" i="41"/>
  <c r="AX244" i="41"/>
  <c r="AX14" i="41"/>
  <c r="AX131" i="41"/>
  <c r="AX251" i="41"/>
  <c r="AX11" i="41"/>
  <c r="AX231" i="41"/>
  <c r="AX276" i="41"/>
  <c r="AX137" i="41"/>
  <c r="AX267" i="41"/>
  <c r="AX155" i="41"/>
  <c r="AX205" i="41"/>
  <c r="AX125" i="41"/>
  <c r="AX147" i="41"/>
  <c r="AX30" i="41"/>
  <c r="AX211" i="41"/>
  <c r="AX94" i="41"/>
  <c r="AX8" i="41"/>
  <c r="AX7" i="41"/>
  <c r="AX121" i="41"/>
  <c r="AX40" i="41"/>
  <c r="AX285" i="41"/>
  <c r="AX254" i="41"/>
  <c r="AX129" i="41"/>
  <c r="AX113" i="41"/>
  <c r="AX132" i="41"/>
  <c r="AX23" i="41"/>
  <c r="AX24" i="41"/>
  <c r="AX26" i="41"/>
  <c r="AX68" i="41"/>
  <c r="AX193" i="41"/>
  <c r="AX157" i="41"/>
  <c r="AX201" i="41"/>
  <c r="AX257" i="41"/>
  <c r="AX190" i="41"/>
  <c r="AX134" i="41"/>
  <c r="AX133" i="41"/>
  <c r="AX32" i="41"/>
  <c r="AX143" i="41"/>
  <c r="AX21" i="41"/>
  <c r="AX34" i="41"/>
  <c r="AX33" i="41"/>
  <c r="AX73" i="41"/>
  <c r="AX19" i="41"/>
  <c r="AX163" i="41"/>
  <c r="AX209" i="41"/>
  <c r="AX53" i="41"/>
  <c r="AX280" i="41"/>
  <c r="AX9" i="41"/>
  <c r="AX39" i="41"/>
  <c r="AX188" i="41"/>
  <c r="AX266" i="41"/>
  <c r="AX27" i="41"/>
  <c r="AX17" i="41"/>
  <c r="AX253" i="41"/>
  <c r="AX35" i="41"/>
  <c r="AX25" i="41"/>
  <c r="AX22" i="41"/>
  <c r="AX259" i="41"/>
  <c r="AX228" i="41"/>
  <c r="AX70" i="41"/>
  <c r="AX97" i="41"/>
  <c r="AX274" i="41"/>
  <c r="AX185" i="41"/>
  <c r="AX86" i="41"/>
  <c r="AX63" i="41"/>
  <c r="AX229" i="41"/>
  <c r="AX162" i="41"/>
  <c r="AX67" i="41"/>
  <c r="AX278" i="41"/>
  <c r="AX160" i="41"/>
  <c r="AX135" i="41"/>
  <c r="AX80" i="41"/>
  <c r="AX4" i="41"/>
  <c r="AX3" i="41"/>
  <c r="AX116" i="41"/>
  <c r="AX242" i="41"/>
  <c r="AX191" i="41"/>
  <c r="AX72" i="41"/>
  <c r="AX247" i="41"/>
  <c r="AX238" i="41"/>
  <c r="AX139" i="41"/>
  <c r="AX45" i="41"/>
  <c r="AX62" i="41"/>
  <c r="AX58" i="41"/>
  <c r="AX99" i="41"/>
  <c r="AX227" i="41"/>
  <c r="AX117" i="41"/>
  <c r="AX189" i="41"/>
  <c r="AX120" i="41"/>
  <c r="AX64" i="41"/>
  <c r="AX184" i="41"/>
  <c r="AX41" i="41"/>
  <c r="AX76" i="41"/>
  <c r="AX55" i="41"/>
  <c r="AX223" i="41"/>
  <c r="AX119" i="41"/>
  <c r="AX118" i="41"/>
  <c r="AX101" i="41"/>
  <c r="AX144" i="41"/>
  <c r="AX187" i="41"/>
  <c r="AX178" i="41"/>
  <c r="AX79" i="41"/>
  <c r="AX270" i="41"/>
  <c r="AX127" i="41"/>
  <c r="AX232" i="41"/>
  <c r="AX124" i="41"/>
  <c r="AX221" i="41"/>
  <c r="AX65" i="41"/>
  <c r="AX237" i="41"/>
  <c r="AX214" i="41"/>
  <c r="AX177" i="41"/>
  <c r="AX268" i="41"/>
  <c r="AX175" i="41"/>
  <c r="AX269" i="41"/>
  <c r="AX108" i="41"/>
  <c r="AX194" i="41"/>
  <c r="AX75" i="41"/>
  <c r="AX215" i="41"/>
  <c r="AX233" i="41"/>
  <c r="AX206" i="41"/>
  <c r="AX204" i="41"/>
  <c r="AX78" i="41"/>
  <c r="AX164" i="41"/>
  <c r="AX158" i="41"/>
  <c r="AX199" i="41"/>
  <c r="AX216" i="41"/>
  <c r="AX198" i="41"/>
  <c r="AX106" i="41"/>
  <c r="AX103" i="41"/>
  <c r="AX51" i="41"/>
  <c r="AX50" i="41"/>
  <c r="AX130" i="41"/>
  <c r="AX220" i="41"/>
  <c r="AX96" i="41"/>
  <c r="AX109" i="41"/>
  <c r="AX13" i="41"/>
  <c r="AX145" i="41"/>
  <c r="AX241" i="41"/>
  <c r="AX173" i="41"/>
  <c r="AX43" i="41"/>
  <c r="AX123" i="41"/>
  <c r="AX47" i="41"/>
  <c r="AX240" i="41"/>
  <c r="AX279" i="41"/>
  <c r="AX71" i="41"/>
  <c r="AX224" i="41"/>
  <c r="AX114" i="41"/>
  <c r="AX150" i="41"/>
  <c r="AX74" i="41"/>
  <c r="AX66" i="41"/>
  <c r="AX273" i="41"/>
  <c r="AX5" i="41"/>
  <c r="AX235" i="41"/>
  <c r="AX15" i="41"/>
  <c r="AX42" i="41"/>
  <c r="AX290" i="41"/>
  <c r="AX263" i="41"/>
  <c r="AX180" i="41"/>
  <c r="AX208" i="41"/>
  <c r="AX271" i="41"/>
  <c r="AX166" i="41"/>
  <c r="AX282" i="41"/>
  <c r="AX281" i="41"/>
  <c r="AX98" i="41"/>
  <c r="AX6" i="41"/>
  <c r="AX141" i="41"/>
  <c r="AX171" i="41"/>
  <c r="AX256" i="41"/>
  <c r="AX90" i="41"/>
  <c r="AX38" i="41"/>
  <c r="AX89" i="41"/>
  <c r="AX165" i="41"/>
  <c r="AX218" i="41"/>
  <c r="AX183" i="41"/>
  <c r="AX182" i="41"/>
  <c r="AX181" i="41"/>
  <c r="AX88" i="41"/>
  <c r="AX142" i="41"/>
  <c r="AX140" i="41"/>
  <c r="AX250" i="41"/>
  <c r="AX122" i="41"/>
  <c r="AX277" i="41"/>
  <c r="AT277" i="41" l="1"/>
  <c r="AV290" i="41"/>
  <c r="AV263" i="41"/>
  <c r="AV180" i="41"/>
  <c r="AV208" i="41"/>
  <c r="AV271" i="41"/>
  <c r="AV166" i="41"/>
  <c r="AV282" i="41"/>
  <c r="AV281" i="41"/>
  <c r="AV98" i="41"/>
  <c r="AV6" i="41"/>
  <c r="AV141" i="41"/>
  <c r="AV171" i="41"/>
  <c r="AV256" i="41"/>
  <c r="AV90" i="41"/>
  <c r="AV38" i="41"/>
  <c r="AV89" i="41"/>
  <c r="AV165" i="41"/>
  <c r="AV218" i="41"/>
  <c r="AV183" i="41"/>
  <c r="AV182" i="41"/>
  <c r="AV181" i="41"/>
  <c r="AV88" i="41"/>
  <c r="AV142" i="41"/>
  <c r="AV140" i="41"/>
  <c r="AV250" i="41"/>
  <c r="AV122" i="41"/>
  <c r="AV277" i="41"/>
  <c r="AV129" i="41"/>
  <c r="AV74" i="41"/>
  <c r="AV261" i="41"/>
  <c r="AV29" i="41"/>
  <c r="AV26" i="41"/>
  <c r="AV238" i="41"/>
  <c r="AV219" i="41"/>
  <c r="AV85" i="41"/>
  <c r="AV73" i="41"/>
  <c r="AV66" i="41"/>
  <c r="AV251" i="41"/>
  <c r="AV249" i="41"/>
  <c r="AV241" i="41"/>
  <c r="AV230" i="41"/>
  <c r="AV227" i="41"/>
  <c r="AV222" i="41"/>
  <c r="AV217" i="41"/>
  <c r="AV211" i="41"/>
  <c r="AV202" i="41"/>
  <c r="AV274" i="41"/>
  <c r="AV273" i="41"/>
  <c r="AV195" i="41"/>
  <c r="AV270" i="41"/>
  <c r="AV175" i="41"/>
  <c r="AV174" i="41"/>
  <c r="AV173" i="41"/>
  <c r="AV172" i="41"/>
  <c r="AV170" i="41"/>
  <c r="AV167" i="41"/>
  <c r="AV269" i="41"/>
  <c r="AV152" i="41"/>
  <c r="AV289" i="41"/>
  <c r="AV151" i="41"/>
  <c r="AV145" i="41"/>
  <c r="AV144" i="41"/>
  <c r="AV12" i="41"/>
  <c r="AV136" i="41"/>
  <c r="AV132" i="41"/>
  <c r="AV130" i="41"/>
  <c r="AV125" i="41"/>
  <c r="AV121" i="41"/>
  <c r="AV11" i="41"/>
  <c r="AV118" i="41"/>
  <c r="AV117" i="41"/>
  <c r="AV116" i="41"/>
  <c r="AV115" i="41"/>
  <c r="AV112" i="41"/>
  <c r="AV109" i="41"/>
  <c r="AV100" i="41"/>
  <c r="AV86" i="41"/>
  <c r="AV84" i="41"/>
  <c r="AV5" i="41"/>
  <c r="AV82" i="41"/>
  <c r="AV81" i="41"/>
  <c r="AV71" i="41"/>
  <c r="AV68" i="41"/>
  <c r="AV65" i="41"/>
  <c r="AV56" i="41"/>
  <c r="AV55" i="41"/>
  <c r="AV48" i="41"/>
  <c r="AV286" i="41"/>
  <c r="AV44" i="41"/>
  <c r="AV43" i="41"/>
  <c r="AV260" i="41"/>
  <c r="AV40" i="41"/>
  <c r="AV39" i="41"/>
  <c r="AV36" i="41"/>
  <c r="AV280" i="41"/>
  <c r="AV258" i="41"/>
  <c r="AV32" i="41"/>
  <c r="AV257" i="41"/>
  <c r="AV30" i="41"/>
  <c r="AV255" i="41"/>
  <c r="AV21" i="41"/>
  <c r="AV19" i="41"/>
  <c r="AV18" i="41"/>
  <c r="AV254" i="41"/>
  <c r="AV253" i="41"/>
  <c r="AV201" i="41"/>
  <c r="AV190" i="41"/>
  <c r="AV134" i="41"/>
  <c r="AV133" i="41"/>
  <c r="AV131" i="41"/>
  <c r="AV72" i="41"/>
  <c r="AV207" i="41"/>
  <c r="AV279" i="41"/>
  <c r="AV247" i="41"/>
  <c r="AV246" i="41"/>
  <c r="AV240" i="41"/>
  <c r="AV239" i="41"/>
  <c r="AV236" i="41"/>
  <c r="AV235" i="41"/>
  <c r="AV234" i="41"/>
  <c r="AV276" i="41"/>
  <c r="AV231" i="41"/>
  <c r="AV229" i="41"/>
  <c r="AV224" i="41"/>
  <c r="AV223" i="41"/>
  <c r="AV221" i="41"/>
  <c r="AV220" i="41"/>
  <c r="AV216" i="41"/>
  <c r="AV215" i="41"/>
  <c r="AV275" i="41"/>
  <c r="AV210" i="41"/>
  <c r="AV209" i="41"/>
  <c r="AV197" i="41"/>
  <c r="AV196" i="41"/>
  <c r="AV189" i="41"/>
  <c r="AV188" i="41"/>
  <c r="AV186" i="41"/>
  <c r="AV14" i="41"/>
  <c r="AV164" i="41"/>
  <c r="AV159" i="41"/>
  <c r="AV158" i="41"/>
  <c r="AV154" i="41"/>
  <c r="AV153" i="41"/>
  <c r="AV150" i="41"/>
  <c r="AV13" i="41"/>
  <c r="AV148" i="41"/>
  <c r="AV146" i="41"/>
  <c r="AV137" i="41"/>
  <c r="AV128" i="41"/>
  <c r="AV124" i="41"/>
  <c r="AV123" i="41"/>
  <c r="AV120" i="41"/>
  <c r="AV119" i="41"/>
  <c r="AV114" i="41"/>
  <c r="AV113" i="41"/>
  <c r="AV108" i="41"/>
  <c r="AV106" i="41"/>
  <c r="AV105" i="41"/>
  <c r="AV104" i="41"/>
  <c r="AV99" i="41"/>
  <c r="AV96" i="41"/>
  <c r="AV283" i="41"/>
  <c r="AV8" i="41"/>
  <c r="AV7" i="41"/>
  <c r="AV87" i="41"/>
  <c r="AV83" i="41"/>
  <c r="AV77" i="41"/>
  <c r="AV70" i="41"/>
  <c r="AV69" i="41"/>
  <c r="AV64" i="41"/>
  <c r="AV63" i="41"/>
  <c r="AV262" i="41"/>
  <c r="AV59" i="41"/>
  <c r="AV287" i="41"/>
  <c r="AV53" i="41"/>
  <c r="AV49" i="41"/>
  <c r="AV45" i="41"/>
  <c r="AV35" i="41"/>
  <c r="AV28" i="41"/>
  <c r="AV25" i="41"/>
  <c r="AV22" i="41"/>
  <c r="AV20" i="41"/>
  <c r="AV244" i="41"/>
  <c r="AV285" i="41"/>
  <c r="AV107" i="41"/>
  <c r="AV94" i="41"/>
  <c r="AV242" i="41"/>
  <c r="AV278" i="41"/>
  <c r="AV237" i="41"/>
  <c r="AV233" i="41"/>
  <c r="AV291" i="41"/>
  <c r="AV212" i="41"/>
  <c r="AV206" i="41"/>
  <c r="AV205" i="41"/>
  <c r="AV16" i="41"/>
  <c r="AV204" i="41"/>
  <c r="AV203" i="41"/>
  <c r="AV200" i="41"/>
  <c r="AV199" i="41"/>
  <c r="AV198" i="41"/>
  <c r="AV194" i="41"/>
  <c r="AV15" i="41"/>
  <c r="AV178" i="41"/>
  <c r="AV176" i="41"/>
  <c r="AV162" i="41"/>
  <c r="AV161" i="41"/>
  <c r="AV160" i="41"/>
  <c r="AV149" i="41"/>
  <c r="AV147" i="41"/>
  <c r="AV143" i="41"/>
  <c r="AV138" i="41"/>
  <c r="AV135" i="41"/>
  <c r="AV111" i="41"/>
  <c r="AV10" i="41"/>
  <c r="AV110" i="41"/>
  <c r="AV103" i="41"/>
  <c r="AV265" i="41"/>
  <c r="AV264" i="41"/>
  <c r="AV80" i="41"/>
  <c r="AV78" i="41"/>
  <c r="AV76" i="41"/>
  <c r="AV67" i="41"/>
  <c r="AV62" i="41"/>
  <c r="AV61" i="41"/>
  <c r="AV60" i="41"/>
  <c r="AV58" i="41"/>
  <c r="AV57" i="41"/>
  <c r="AV54" i="41"/>
  <c r="AV52" i="41"/>
  <c r="AV41" i="41"/>
  <c r="AV37" i="41"/>
  <c r="AV34" i="41"/>
  <c r="AV259" i="41"/>
  <c r="AV33" i="41"/>
  <c r="AV24" i="41"/>
  <c r="AV23" i="41"/>
  <c r="AV184" i="41"/>
  <c r="AV102" i="41"/>
  <c r="AV101" i="41"/>
  <c r="AV51" i="41"/>
  <c r="AV50" i="41"/>
  <c r="AV47" i="41"/>
  <c r="AV155" i="41"/>
  <c r="AV252" i="41"/>
  <c r="AV193" i="41"/>
  <c r="AV185" i="41"/>
  <c r="AV157" i="41"/>
  <c r="AV4" i="41"/>
  <c r="AV3" i="41"/>
  <c r="AV27" i="41"/>
  <c r="AV17" i="41"/>
  <c r="AV245" i="41"/>
  <c r="AV243" i="41"/>
  <c r="AV232" i="41"/>
  <c r="AV228" i="41"/>
  <c r="AV214" i="41"/>
  <c r="AV187" i="41"/>
  <c r="AV177" i="41"/>
  <c r="AV168" i="41"/>
  <c r="AV163" i="41"/>
  <c r="AV139" i="41"/>
  <c r="AV284" i="41"/>
  <c r="AV268" i="41"/>
  <c r="AV127" i="41"/>
  <c r="AV126" i="41"/>
  <c r="AV97" i="41"/>
  <c r="AV93" i="41"/>
  <c r="AV267" i="41"/>
  <c r="AV266" i="41"/>
  <c r="AV79" i="41"/>
  <c r="AV75" i="41"/>
  <c r="AV46" i="41"/>
  <c r="AV42" i="41"/>
  <c r="AV226" i="41"/>
  <c r="AV92" i="41"/>
  <c r="AV91" i="41"/>
  <c r="AV225" i="41"/>
  <c r="AV169" i="41"/>
  <c r="AV248" i="41"/>
  <c r="AV192" i="41"/>
  <c r="AV191" i="41"/>
  <c r="AU277" i="41"/>
  <c r="AT140" i="41"/>
  <c r="AT250" i="41"/>
  <c r="AT122" i="41"/>
  <c r="AU140" i="41"/>
  <c r="AU250" i="41"/>
  <c r="AU122" i="41"/>
  <c r="AT6" i="41"/>
  <c r="AT141" i="41"/>
  <c r="AT171" i="41"/>
  <c r="AT256" i="41"/>
  <c r="AT90" i="41"/>
  <c r="AT38" i="41"/>
  <c r="AT89" i="41"/>
  <c r="AT165" i="41"/>
  <c r="AT218" i="41"/>
  <c r="AT183" i="41"/>
  <c r="AT182" i="41"/>
  <c r="AT181" i="41"/>
  <c r="AT88" i="41"/>
  <c r="AT142" i="41"/>
  <c r="AU6" i="41"/>
  <c r="AU141" i="41"/>
  <c r="AU171" i="41"/>
  <c r="AU256" i="41"/>
  <c r="AU90" i="41"/>
  <c r="AU38" i="41"/>
  <c r="AU89" i="41"/>
  <c r="AU165" i="41"/>
  <c r="AU218" i="41"/>
  <c r="AU183" i="41"/>
  <c r="AU182" i="41"/>
  <c r="AU181" i="41"/>
  <c r="AU88" i="41"/>
  <c r="AU142" i="41"/>
  <c r="AT98" i="41"/>
  <c r="AU98" i="41"/>
  <c r="AT281" i="41"/>
  <c r="AU281" i="41"/>
  <c r="AT166" i="41"/>
  <c r="AT282" i="41"/>
  <c r="AU166" i="41"/>
  <c r="AU282" i="41"/>
  <c r="AT271" i="41"/>
  <c r="AU271" i="41"/>
  <c r="AT208" i="41"/>
  <c r="AU208" i="41"/>
  <c r="AT180" i="41"/>
  <c r="AU180" i="41"/>
  <c r="L4" i="56"/>
  <c r="L5" i="56"/>
  <c r="L6" i="56"/>
  <c r="L7" i="56"/>
  <c r="L8" i="56"/>
  <c r="L9" i="56"/>
  <c r="L10" i="56"/>
  <c r="L11" i="56"/>
  <c r="L12" i="56"/>
  <c r="L13" i="56"/>
  <c r="L14" i="56"/>
  <c r="L15" i="56"/>
  <c r="L16" i="56"/>
  <c r="L17" i="56"/>
  <c r="L18" i="56"/>
  <c r="L19" i="56"/>
  <c r="L20" i="56"/>
  <c r="L21" i="56"/>
  <c r="L22" i="56"/>
  <c r="L23" i="56"/>
  <c r="L24" i="56"/>
  <c r="L25" i="56"/>
  <c r="L26" i="56"/>
  <c r="L27" i="56"/>
  <c r="L28" i="56"/>
  <c r="L29" i="56"/>
  <c r="L30" i="56"/>
  <c r="L31" i="56"/>
  <c r="L32" i="56"/>
  <c r="L33" i="56"/>
  <c r="L34" i="56"/>
  <c r="L35" i="56"/>
  <c r="L36" i="56"/>
  <c r="L37" i="56"/>
  <c r="L38" i="56"/>
  <c r="L39" i="56"/>
  <c r="L40" i="56"/>
  <c r="L41" i="56"/>
  <c r="L42" i="56"/>
  <c r="L43" i="56"/>
  <c r="L44" i="56"/>
  <c r="L45" i="56"/>
  <c r="L46" i="56"/>
  <c r="L47" i="56"/>
  <c r="L48" i="56"/>
  <c r="L49" i="56"/>
  <c r="L50" i="56"/>
  <c r="L51" i="56"/>
  <c r="L52" i="56"/>
  <c r="L53" i="56"/>
  <c r="L54" i="56"/>
  <c r="L55" i="56"/>
  <c r="L56" i="56"/>
  <c r="L57" i="56"/>
  <c r="L58" i="56"/>
  <c r="L59" i="56"/>
  <c r="L60" i="56"/>
  <c r="L61" i="56"/>
  <c r="L62" i="56"/>
  <c r="L63" i="56"/>
  <c r="L64" i="56"/>
  <c r="L65" i="56"/>
  <c r="L66" i="56"/>
  <c r="L67" i="56"/>
  <c r="L68" i="56"/>
  <c r="L69" i="56"/>
  <c r="L70" i="56"/>
  <c r="L71" i="56"/>
  <c r="L72" i="56"/>
  <c r="L73" i="56"/>
  <c r="L74" i="56"/>
  <c r="L75" i="56"/>
  <c r="L76" i="56"/>
  <c r="L77" i="56"/>
  <c r="L78" i="56"/>
  <c r="L79" i="56"/>
  <c r="L80" i="56"/>
  <c r="L81" i="56"/>
  <c r="L82" i="56"/>
  <c r="L83" i="56"/>
  <c r="L84" i="56"/>
  <c r="L85" i="56"/>
  <c r="L86" i="56"/>
  <c r="L87" i="56"/>
  <c r="L88" i="56"/>
  <c r="L89" i="56"/>
  <c r="L90" i="56"/>
  <c r="L91" i="56"/>
  <c r="L92" i="56"/>
  <c r="L93" i="56"/>
  <c r="L94" i="56"/>
  <c r="L95" i="56"/>
  <c r="L96" i="56"/>
  <c r="L97" i="56"/>
  <c r="L98" i="56"/>
  <c r="L99" i="56"/>
  <c r="L100" i="56"/>
  <c r="L101" i="56"/>
  <c r="L102" i="56"/>
  <c r="L103" i="56"/>
  <c r="L104" i="56"/>
  <c r="L105" i="56"/>
  <c r="L106" i="56"/>
  <c r="L107" i="56"/>
  <c r="L108" i="56"/>
  <c r="L109" i="56"/>
  <c r="L110" i="56"/>
  <c r="L111" i="56"/>
  <c r="L112" i="56"/>
  <c r="L113" i="56"/>
  <c r="L114" i="56"/>
  <c r="L115" i="56"/>
  <c r="L116" i="56"/>
  <c r="L117" i="56"/>
  <c r="L118" i="56"/>
  <c r="L119" i="56"/>
  <c r="L120" i="56"/>
  <c r="L121" i="56"/>
  <c r="L122" i="56"/>
  <c r="L123" i="56"/>
  <c r="L124" i="56"/>
  <c r="L125" i="56"/>
  <c r="L126" i="56"/>
  <c r="L127" i="56"/>
  <c r="L128" i="56"/>
  <c r="L129" i="56"/>
  <c r="L130" i="56"/>
  <c r="L131" i="56"/>
  <c r="L132" i="56"/>
  <c r="L133" i="56"/>
  <c r="L134" i="56"/>
  <c r="L135" i="56"/>
  <c r="L136" i="56"/>
  <c r="L137" i="56"/>
  <c r="L138" i="56"/>
  <c r="L139" i="56"/>
  <c r="L140" i="56"/>
  <c r="L141" i="56"/>
  <c r="L142" i="56"/>
  <c r="L143" i="56"/>
  <c r="L144" i="56"/>
  <c r="L145" i="56"/>
  <c r="L146" i="56"/>
  <c r="L147" i="56"/>
  <c r="L148" i="56"/>
  <c r="L149" i="56"/>
  <c r="L150" i="56"/>
  <c r="L151" i="56"/>
  <c r="L152" i="56"/>
  <c r="L153" i="56"/>
  <c r="L154" i="56"/>
  <c r="L155" i="56"/>
  <c r="L156" i="56"/>
  <c r="L157" i="56"/>
  <c r="L158" i="56"/>
  <c r="L159" i="56"/>
  <c r="L160" i="56"/>
  <c r="L161" i="56"/>
  <c r="L162" i="56"/>
  <c r="L163" i="56"/>
  <c r="L164" i="56"/>
  <c r="L165" i="56"/>
  <c r="L166" i="56"/>
  <c r="L167" i="56"/>
  <c r="L168" i="56"/>
  <c r="L169" i="56"/>
  <c r="L170" i="56"/>
  <c r="L171" i="56"/>
  <c r="L172" i="56"/>
  <c r="L173" i="56"/>
  <c r="L174" i="56"/>
  <c r="L175" i="56"/>
  <c r="L176" i="56"/>
  <c r="L177" i="56"/>
  <c r="L178" i="56"/>
  <c r="L179" i="56"/>
  <c r="L180" i="56"/>
  <c r="L181" i="56"/>
  <c r="L182" i="56"/>
  <c r="L183" i="56"/>
  <c r="L184" i="56"/>
  <c r="L185" i="56"/>
  <c r="L186" i="56"/>
  <c r="L187" i="56"/>
  <c r="L188" i="56"/>
  <c r="L189" i="56"/>
  <c r="L190" i="56"/>
  <c r="L191" i="56"/>
  <c r="L192" i="56"/>
  <c r="L193" i="56"/>
  <c r="L194" i="56"/>
  <c r="L195" i="56"/>
  <c r="L196" i="56"/>
  <c r="L197" i="56"/>
  <c r="L198" i="56"/>
  <c r="L199" i="56"/>
  <c r="L200" i="56"/>
  <c r="L201" i="56"/>
  <c r="L202" i="56"/>
  <c r="L203" i="56"/>
  <c r="L204" i="56"/>
  <c r="L205" i="56"/>
  <c r="L206" i="56"/>
  <c r="L207" i="56"/>
  <c r="L208" i="56"/>
  <c r="L209" i="56"/>
  <c r="L210" i="56"/>
  <c r="L211" i="56"/>
  <c r="L212" i="56"/>
  <c r="L213" i="56"/>
  <c r="L214" i="56"/>
  <c r="L215" i="56"/>
  <c r="L216" i="56"/>
  <c r="L217" i="56"/>
  <c r="L218" i="56"/>
  <c r="L219" i="56"/>
  <c r="L220" i="56"/>
  <c r="L221" i="56"/>
  <c r="L222" i="56"/>
  <c r="L223" i="56"/>
  <c r="L224" i="56"/>
  <c r="L225" i="56"/>
  <c r="L226" i="56"/>
  <c r="L227" i="56"/>
  <c r="L228" i="56"/>
  <c r="L229" i="56"/>
  <c r="L230" i="56"/>
  <c r="L231" i="56"/>
  <c r="L232" i="56"/>
  <c r="L233" i="56"/>
  <c r="L234" i="56"/>
  <c r="L235" i="56"/>
  <c r="L236" i="56"/>
  <c r="L237" i="56"/>
  <c r="L238" i="56"/>
  <c r="L239" i="56"/>
  <c r="L240" i="56"/>
  <c r="L241" i="56"/>
  <c r="L242" i="56"/>
  <c r="L243" i="56"/>
  <c r="L244" i="56"/>
  <c r="L245" i="56"/>
  <c r="L246" i="56"/>
  <c r="L247" i="56"/>
  <c r="L248" i="56"/>
  <c r="L249" i="56"/>
  <c r="L250" i="56"/>
  <c r="L251" i="56"/>
  <c r="L252" i="56"/>
  <c r="L253" i="56"/>
  <c r="L254" i="56"/>
  <c r="L255" i="56"/>
  <c r="L256" i="56"/>
  <c r="L257" i="56"/>
  <c r="L258" i="56"/>
  <c r="L259" i="56"/>
  <c r="L260" i="56"/>
  <c r="L261" i="56"/>
  <c r="L262" i="56"/>
  <c r="L263" i="56"/>
  <c r="L264" i="56"/>
  <c r="L265" i="56"/>
  <c r="L266" i="56"/>
  <c r="L267" i="56"/>
  <c r="L268" i="56"/>
  <c r="L269" i="56"/>
  <c r="L270" i="56"/>
  <c r="L271" i="56"/>
  <c r="L272" i="56"/>
  <c r="L273" i="56"/>
  <c r="L274" i="56"/>
  <c r="L275" i="56"/>
  <c r="L276" i="56"/>
  <c r="L277" i="56"/>
  <c r="L278" i="56"/>
  <c r="L279" i="56"/>
  <c r="L280" i="56"/>
  <c r="L281" i="56"/>
  <c r="L282" i="56"/>
  <c r="L283" i="56"/>
  <c r="L284" i="56"/>
  <c r="L285" i="56"/>
  <c r="L286" i="56"/>
  <c r="L287" i="56"/>
  <c r="L288" i="56"/>
  <c r="L289" i="56"/>
  <c r="L290" i="56"/>
  <c r="L291" i="56"/>
  <c r="L292" i="56"/>
  <c r="L293" i="56"/>
  <c r="L294" i="56"/>
  <c r="L295" i="56"/>
  <c r="L296" i="56"/>
  <c r="L297" i="56"/>
  <c r="L298" i="56"/>
  <c r="L299" i="56"/>
  <c r="L300" i="56"/>
  <c r="L301" i="56"/>
  <c r="L302" i="56"/>
  <c r="L303" i="56"/>
  <c r="L304" i="56"/>
  <c r="L3" i="56"/>
  <c r="AU31" i="41"/>
  <c r="AU213" i="41"/>
  <c r="AU129" i="41"/>
  <c r="AU74" i="41"/>
  <c r="AU261" i="41"/>
  <c r="AU29" i="41"/>
  <c r="AU26" i="41"/>
  <c r="AU238" i="41"/>
  <c r="AU219" i="41"/>
  <c r="AU85" i="41"/>
  <c r="AU73" i="41"/>
  <c r="AU66" i="41"/>
  <c r="AU251" i="41"/>
  <c r="AU249" i="41"/>
  <c r="AU241" i="41"/>
  <c r="AU230" i="41"/>
  <c r="AU227" i="41"/>
  <c r="AU222" i="41"/>
  <c r="AU217" i="41"/>
  <c r="AU211" i="41"/>
  <c r="AU202" i="41"/>
  <c r="AU274" i="41"/>
  <c r="AU273" i="41"/>
  <c r="AU195" i="41"/>
  <c r="AU270" i="41"/>
  <c r="AU175" i="41"/>
  <c r="AU174" i="41"/>
  <c r="AU173" i="41"/>
  <c r="AU172" i="41"/>
  <c r="AU170" i="41"/>
  <c r="AU167" i="41"/>
  <c r="AU156" i="41"/>
  <c r="AU269" i="41"/>
  <c r="AU152" i="41"/>
  <c r="AU289" i="41"/>
  <c r="AU151" i="41"/>
  <c r="AU145" i="41"/>
  <c r="AU144" i="41"/>
  <c r="AU12" i="41"/>
  <c r="AU136" i="41"/>
  <c r="AU132" i="41"/>
  <c r="AU130" i="41"/>
  <c r="AU125" i="41"/>
  <c r="AU121" i="41"/>
  <c r="AU11" i="41"/>
  <c r="AU118" i="41"/>
  <c r="AU117" i="41"/>
  <c r="AU116" i="41"/>
  <c r="AU115" i="41"/>
  <c r="AU112" i="41"/>
  <c r="AU109" i="41"/>
  <c r="AU100" i="41"/>
  <c r="AU95" i="41"/>
  <c r="AU86" i="41"/>
  <c r="AU84" i="41"/>
  <c r="AU5" i="41"/>
  <c r="AU82" i="41"/>
  <c r="AU81" i="41"/>
  <c r="AU71" i="41"/>
  <c r="AU68" i="41"/>
  <c r="AU65" i="41"/>
  <c r="AU56" i="41"/>
  <c r="AU55" i="41"/>
  <c r="AU48" i="41"/>
  <c r="AU286" i="41"/>
  <c r="AU44" i="41"/>
  <c r="AU43" i="41"/>
  <c r="AU260" i="41"/>
  <c r="AU40" i="41"/>
  <c r="AU39" i="41"/>
  <c r="AU36" i="41"/>
  <c r="AU280" i="41"/>
  <c r="AU258" i="41"/>
  <c r="AU32" i="41"/>
  <c r="AU257" i="41"/>
  <c r="AU30" i="41"/>
  <c r="AU255" i="41"/>
  <c r="AU21" i="41"/>
  <c r="AU19" i="41"/>
  <c r="AU18" i="41"/>
  <c r="AU254" i="41"/>
  <c r="AU253" i="41"/>
  <c r="AU201" i="41"/>
  <c r="AU190" i="41"/>
  <c r="AU134" i="41"/>
  <c r="AU133" i="41"/>
  <c r="AU131" i="41"/>
  <c r="AU72" i="41"/>
  <c r="AU207" i="41"/>
  <c r="AU279" i="41"/>
  <c r="AU247" i="41"/>
  <c r="AU246" i="41"/>
  <c r="AU240" i="41"/>
  <c r="AU239" i="41"/>
  <c r="AU236" i="41"/>
  <c r="AU235" i="41"/>
  <c r="AU234" i="41"/>
  <c r="AU276" i="41"/>
  <c r="AU231" i="41"/>
  <c r="AU229" i="41"/>
  <c r="AU224" i="41"/>
  <c r="AU223" i="41"/>
  <c r="AU221" i="41"/>
  <c r="AU220" i="41"/>
  <c r="AU216" i="41"/>
  <c r="AU215" i="41"/>
  <c r="AU275" i="41"/>
  <c r="AU210" i="41"/>
  <c r="AU209" i="41"/>
  <c r="AU197" i="41"/>
  <c r="AU196" i="41"/>
  <c r="AU189" i="41"/>
  <c r="AU188" i="41"/>
  <c r="AU186" i="41"/>
  <c r="AU14" i="41"/>
  <c r="AU164" i="41"/>
  <c r="AU159" i="41"/>
  <c r="AU158" i="41"/>
  <c r="AU154" i="41"/>
  <c r="AU153" i="41"/>
  <c r="AU150" i="41"/>
  <c r="AU13" i="41"/>
  <c r="AU148" i="41"/>
  <c r="AU146" i="41"/>
  <c r="AU137" i="41"/>
  <c r="AU128" i="41"/>
  <c r="AU124" i="41"/>
  <c r="AU123" i="41"/>
  <c r="AU120" i="41"/>
  <c r="AU119" i="41"/>
  <c r="AU114" i="41"/>
  <c r="AU113" i="41"/>
  <c r="AU108" i="41"/>
  <c r="AU106" i="41"/>
  <c r="AU105" i="41"/>
  <c r="AU104" i="41"/>
  <c r="AU99" i="41"/>
  <c r="AU96" i="41"/>
  <c r="AU283" i="41"/>
  <c r="AU8" i="41"/>
  <c r="AU7" i="41"/>
  <c r="AU87" i="41"/>
  <c r="AU83" i="41"/>
  <c r="AU77" i="41"/>
  <c r="AU70" i="41"/>
  <c r="AU69" i="41"/>
  <c r="AU64" i="41"/>
  <c r="AU63" i="41"/>
  <c r="AU262" i="41"/>
  <c r="AU59" i="41"/>
  <c r="AU287" i="41"/>
  <c r="AU53" i="41"/>
  <c r="AU49" i="41"/>
  <c r="AU45" i="41"/>
  <c r="AU35" i="41"/>
  <c r="AU28" i="41"/>
  <c r="AU25" i="41"/>
  <c r="AU22" i="41"/>
  <c r="AU20" i="41"/>
  <c r="AU244" i="41"/>
  <c r="AU285" i="41"/>
  <c r="AU107" i="41"/>
  <c r="AU94" i="41"/>
  <c r="AU242" i="41"/>
  <c r="AU278" i="41"/>
  <c r="AU237" i="41"/>
  <c r="AU233" i="41"/>
  <c r="AU291" i="41"/>
  <c r="AU212" i="41"/>
  <c r="AU206" i="41"/>
  <c r="AU205" i="41"/>
  <c r="AU16" i="41"/>
  <c r="AU204" i="41"/>
  <c r="AU203" i="41"/>
  <c r="AU200" i="41"/>
  <c r="AU199" i="41"/>
  <c r="AU198" i="41"/>
  <c r="AU194" i="41"/>
  <c r="AU15" i="41"/>
  <c r="AU178" i="41"/>
  <c r="AU176" i="41"/>
  <c r="AU162" i="41"/>
  <c r="AU161" i="41"/>
  <c r="AU160" i="41"/>
  <c r="AU149" i="41"/>
  <c r="AU147" i="41"/>
  <c r="AU143" i="41"/>
  <c r="AU138" i="41"/>
  <c r="AU135" i="41"/>
  <c r="AU111" i="41"/>
  <c r="AU10" i="41"/>
  <c r="AU110" i="41"/>
  <c r="AU103" i="41"/>
  <c r="AU265" i="41"/>
  <c r="AU264" i="41"/>
  <c r="AU80" i="41"/>
  <c r="AU78" i="41"/>
  <c r="AU76" i="41"/>
  <c r="AU67" i="41"/>
  <c r="AU62" i="41"/>
  <c r="AU61" i="41"/>
  <c r="AU60" i="41"/>
  <c r="AU58" i="41"/>
  <c r="AU57" i="41"/>
  <c r="AU54" i="41"/>
  <c r="AU52" i="41"/>
  <c r="AU41" i="41"/>
  <c r="AU37" i="41"/>
  <c r="AU34" i="41"/>
  <c r="AU259" i="41"/>
  <c r="AU33" i="41"/>
  <c r="AU24" i="41"/>
  <c r="AU23" i="41"/>
  <c r="AU184" i="41"/>
  <c r="AU102" i="41"/>
  <c r="AU101" i="41"/>
  <c r="AU51" i="41"/>
  <c r="AU50" i="41"/>
  <c r="AU47" i="41"/>
  <c r="AU155" i="41"/>
  <c r="AU252" i="41"/>
  <c r="AU193" i="41"/>
  <c r="AU185" i="41"/>
  <c r="AU157" i="41"/>
  <c r="AU4" i="41"/>
  <c r="AU3" i="41"/>
  <c r="AU27" i="41"/>
  <c r="AU17" i="41"/>
  <c r="AU245" i="41"/>
  <c r="AU243" i="41"/>
  <c r="AU232" i="41"/>
  <c r="AU228" i="41"/>
  <c r="AU214" i="41"/>
  <c r="AU187" i="41"/>
  <c r="AU177" i="41"/>
  <c r="AU168" i="41"/>
  <c r="AU163" i="41"/>
  <c r="AU139" i="41"/>
  <c r="AU284" i="41"/>
  <c r="AU268" i="41"/>
  <c r="AU127" i="41"/>
  <c r="AU126" i="41"/>
  <c r="AU97" i="41"/>
  <c r="AU93" i="41"/>
  <c r="AU267" i="41"/>
  <c r="AU266" i="41"/>
  <c r="AU79" i="41"/>
  <c r="AU75" i="41"/>
  <c r="AU46" i="41"/>
  <c r="AU42" i="41"/>
  <c r="AU226" i="41"/>
  <c r="AU92" i="41"/>
  <c r="AU91" i="41"/>
  <c r="AU225" i="41"/>
  <c r="AU169" i="41"/>
  <c r="AU248" i="41"/>
  <c r="AU192" i="41"/>
  <c r="AU191" i="41"/>
  <c r="AU272" i="41"/>
  <c r="AU290" i="41"/>
  <c r="AU263" i="41"/>
  <c r="AT31" i="41"/>
  <c r="AT213" i="41"/>
  <c r="AT129" i="41"/>
  <c r="AT74" i="41"/>
  <c r="AT261" i="41"/>
  <c r="AT29" i="41"/>
  <c r="AT26" i="41"/>
  <c r="AT238" i="41"/>
  <c r="AT219" i="41"/>
  <c r="AT85" i="41"/>
  <c r="AT73" i="41"/>
  <c r="AT66" i="41"/>
  <c r="AT251" i="41"/>
  <c r="AT249" i="41"/>
  <c r="AT241" i="41"/>
  <c r="AT230" i="41"/>
  <c r="AT227" i="41"/>
  <c r="AT222" i="41"/>
  <c r="AT217" i="41"/>
  <c r="AT211" i="41"/>
  <c r="AT202" i="41"/>
  <c r="AT274" i="41"/>
  <c r="AT273" i="41"/>
  <c r="AT195" i="41"/>
  <c r="AT270" i="41"/>
  <c r="AT175" i="41"/>
  <c r="AT174" i="41"/>
  <c r="AT173" i="41"/>
  <c r="AT172" i="41"/>
  <c r="AT170" i="41"/>
  <c r="AT167" i="41"/>
  <c r="AT156" i="41"/>
  <c r="AT269" i="41"/>
  <c r="AT152" i="41"/>
  <c r="AT289" i="41"/>
  <c r="AT151" i="41"/>
  <c r="AT145" i="41"/>
  <c r="AT144" i="41"/>
  <c r="AT12" i="41"/>
  <c r="AT136" i="41"/>
  <c r="AT132" i="41"/>
  <c r="AT130" i="41"/>
  <c r="AT125" i="41"/>
  <c r="AT121" i="41"/>
  <c r="AT11" i="41"/>
  <c r="AT118" i="41"/>
  <c r="AT117" i="41"/>
  <c r="AT116" i="41"/>
  <c r="AT115" i="41"/>
  <c r="AT112" i="41"/>
  <c r="AT109" i="41"/>
  <c r="AT100" i="41"/>
  <c r="AT95" i="41"/>
  <c r="AT86" i="41"/>
  <c r="AT84" i="41"/>
  <c r="AT5" i="41"/>
  <c r="AT82" i="41"/>
  <c r="AT81" i="41"/>
  <c r="AT71" i="41"/>
  <c r="AT68" i="41"/>
  <c r="AT65" i="41"/>
  <c r="AT56" i="41"/>
  <c r="AT55" i="41"/>
  <c r="AT48" i="41"/>
  <c r="AT286" i="41"/>
  <c r="AT44" i="41"/>
  <c r="AT43" i="41"/>
  <c r="AT260" i="41"/>
  <c r="AT40" i="41"/>
  <c r="AT39" i="41"/>
  <c r="AT36" i="41"/>
  <c r="AT280" i="41"/>
  <c r="AT258" i="41"/>
  <c r="AT32" i="41"/>
  <c r="AT257" i="41"/>
  <c r="AT30" i="41"/>
  <c r="AT255" i="41"/>
  <c r="AT21" i="41"/>
  <c r="AT19" i="41"/>
  <c r="AT18" i="41"/>
  <c r="AT254" i="41"/>
  <c r="AT253" i="41"/>
  <c r="AT201" i="41"/>
  <c r="AT190" i="41"/>
  <c r="AT134" i="41"/>
  <c r="AT133" i="41"/>
  <c r="AT131" i="41"/>
  <c r="AT72" i="41"/>
  <c r="AT207" i="41"/>
  <c r="AT279" i="41"/>
  <c r="AT247" i="41"/>
  <c r="AT246" i="41"/>
  <c r="AT240" i="41"/>
  <c r="AT239" i="41"/>
  <c r="AT236" i="41"/>
  <c r="AT235" i="41"/>
  <c r="AT234" i="41"/>
  <c r="AT276" i="41"/>
  <c r="AT231" i="41"/>
  <c r="AT229" i="41"/>
  <c r="AT224" i="41"/>
  <c r="AT223" i="41"/>
  <c r="AT221" i="41"/>
  <c r="AT220" i="41"/>
  <c r="AT216" i="41"/>
  <c r="AT215" i="41"/>
  <c r="AT275" i="41"/>
  <c r="AT210" i="41"/>
  <c r="AT209" i="41"/>
  <c r="AT197" i="41"/>
  <c r="AT196" i="41"/>
  <c r="AT189" i="41"/>
  <c r="AT188" i="41"/>
  <c r="AT186" i="41"/>
  <c r="AT14" i="41"/>
  <c r="AT164" i="41"/>
  <c r="AT159" i="41"/>
  <c r="AT158" i="41"/>
  <c r="AT154" i="41"/>
  <c r="AT153" i="41"/>
  <c r="AT150" i="41"/>
  <c r="AT13" i="41"/>
  <c r="AT148" i="41"/>
  <c r="AT146" i="41"/>
  <c r="AT137" i="41"/>
  <c r="AT128" i="41"/>
  <c r="AT124" i="41"/>
  <c r="AT123" i="41"/>
  <c r="AT120" i="41"/>
  <c r="AT119" i="41"/>
  <c r="AT114" i="41"/>
  <c r="AT113" i="41"/>
  <c r="AT108" i="41"/>
  <c r="AT106" i="41"/>
  <c r="AT105" i="41"/>
  <c r="AT104" i="41"/>
  <c r="AT99" i="41"/>
  <c r="AT96" i="41"/>
  <c r="AT283" i="41"/>
  <c r="AT8" i="41"/>
  <c r="AT7" i="41"/>
  <c r="AT87" i="41"/>
  <c r="AT83" i="41"/>
  <c r="AT77" i="41"/>
  <c r="AT70" i="41"/>
  <c r="AT69" i="41"/>
  <c r="AT64" i="41"/>
  <c r="AT63" i="41"/>
  <c r="AT262" i="41"/>
  <c r="AT59" i="41"/>
  <c r="AT287" i="41"/>
  <c r="AT53" i="41"/>
  <c r="AT49" i="41"/>
  <c r="AT45" i="41"/>
  <c r="AT35" i="41"/>
  <c r="AT28" i="41"/>
  <c r="AT25" i="41"/>
  <c r="AT22" i="41"/>
  <c r="AT20" i="41"/>
  <c r="AT244" i="41"/>
  <c r="AT285" i="41"/>
  <c r="AT107" i="41"/>
  <c r="AT94" i="41"/>
  <c r="AT242" i="41"/>
  <c r="AT278" i="41"/>
  <c r="AT237" i="41"/>
  <c r="AT233" i="41"/>
  <c r="AT291" i="41"/>
  <c r="AT212" i="41"/>
  <c r="AT206" i="41"/>
  <c r="AT205" i="41"/>
  <c r="AT16" i="41"/>
  <c r="AT204" i="41"/>
  <c r="AT203" i="41"/>
  <c r="AT200" i="41"/>
  <c r="AT199" i="41"/>
  <c r="AT198" i="41"/>
  <c r="AT194" i="41"/>
  <c r="AT15" i="41"/>
  <c r="AT178" i="41"/>
  <c r="AT176" i="41"/>
  <c r="AT162" i="41"/>
  <c r="AT161" i="41"/>
  <c r="AT160" i="41"/>
  <c r="AT149" i="41"/>
  <c r="AT147" i="41"/>
  <c r="AT143" i="41"/>
  <c r="AT138" i="41"/>
  <c r="AT135" i="41"/>
  <c r="AT111" i="41"/>
  <c r="AT10" i="41"/>
  <c r="AT110" i="41"/>
  <c r="AT103" i="41"/>
  <c r="AT265" i="41"/>
  <c r="AT264" i="41"/>
  <c r="AT80" i="41"/>
  <c r="AT78" i="41"/>
  <c r="AT76" i="41"/>
  <c r="AT67" i="41"/>
  <c r="AT62" i="41"/>
  <c r="AT61" i="41"/>
  <c r="AT60" i="41"/>
  <c r="AT58" i="41"/>
  <c r="AT57" i="41"/>
  <c r="AT54" i="41"/>
  <c r="AT52" i="41"/>
  <c r="AT41" i="41"/>
  <c r="AT37" i="41"/>
  <c r="AT34" i="41"/>
  <c r="AT259" i="41"/>
  <c r="AT33" i="41"/>
  <c r="AT24" i="41"/>
  <c r="AT23" i="41"/>
  <c r="AT184" i="41"/>
  <c r="AT102" i="41"/>
  <c r="AT101" i="41"/>
  <c r="AT51" i="41"/>
  <c r="AT50" i="41"/>
  <c r="AT47" i="41"/>
  <c r="AT155" i="41"/>
  <c r="AT252" i="41"/>
  <c r="AT193" i="41"/>
  <c r="AT185" i="41"/>
  <c r="AT157" i="41"/>
  <c r="AT4" i="41"/>
  <c r="AT3" i="41"/>
  <c r="AT27" i="41"/>
  <c r="AT17" i="41"/>
  <c r="AT245" i="41"/>
  <c r="AT243" i="41"/>
  <c r="AT232" i="41"/>
  <c r="AT228" i="41"/>
  <c r="AT214" i="41"/>
  <c r="AT187" i="41"/>
  <c r="AT177" i="41"/>
  <c r="AT168" i="41"/>
  <c r="AT163" i="41"/>
  <c r="AT139" i="41"/>
  <c r="AT284" i="41"/>
  <c r="AT268" i="41"/>
  <c r="AT127" i="41"/>
  <c r="AT126" i="41"/>
  <c r="AT97" i="41"/>
  <c r="AT93" i="41"/>
  <c r="AT267" i="41"/>
  <c r="AT266" i="41"/>
  <c r="AT79" i="41"/>
  <c r="AT75" i="41"/>
  <c r="AT46" i="41"/>
  <c r="AT42" i="41"/>
  <c r="AT226" i="41"/>
  <c r="AT92" i="41"/>
  <c r="AT91" i="41"/>
  <c r="AT225" i="41"/>
  <c r="AT169" i="41"/>
  <c r="AT248" i="41"/>
  <c r="AT192" i="41"/>
  <c r="AT191" i="41"/>
  <c r="AT272" i="41"/>
  <c r="AT290" i="41"/>
  <c r="AT263" i="41"/>
  <c r="R304" i="56"/>
  <c r="S304" i="56" s="1"/>
  <c r="AW47" i="41" s="1"/>
  <c r="R303" i="56"/>
  <c r="S303" i="56" s="1"/>
  <c r="AW50" i="41" s="1"/>
  <c r="R302" i="56"/>
  <c r="S302" i="56" s="1"/>
  <c r="AW135" i="41" s="1"/>
  <c r="R301" i="56"/>
  <c r="S301" i="56" s="1"/>
  <c r="AW160" i="41" s="1"/>
  <c r="R300" i="56"/>
  <c r="S300" i="56" s="1"/>
  <c r="AW198" i="41" s="1"/>
  <c r="R299" i="56"/>
  <c r="S299" i="56" s="1"/>
  <c r="AW76" i="41" s="1"/>
  <c r="R298" i="56"/>
  <c r="S298" i="56" s="1"/>
  <c r="AW162" i="41" s="1"/>
  <c r="R297" i="56"/>
  <c r="S297" i="56" s="1"/>
  <c r="AW237" i="41" s="1"/>
  <c r="R296" i="56"/>
  <c r="S296" i="56" s="1"/>
  <c r="AW185" i="41" s="1"/>
  <c r="R295" i="56"/>
  <c r="S295" i="56" s="1"/>
  <c r="AW221" i="41" s="1"/>
  <c r="R294" i="56"/>
  <c r="S294" i="56" s="1"/>
  <c r="AW229" i="41" s="1"/>
  <c r="R293" i="56"/>
  <c r="S293" i="56" s="1"/>
  <c r="AW45" i="41" s="1"/>
  <c r="R292" i="56"/>
  <c r="S292" i="56" s="1"/>
  <c r="AW214" i="41" s="1"/>
  <c r="R291" i="56"/>
  <c r="S291" i="56" s="1"/>
  <c r="AW46" i="41" s="1"/>
  <c r="R290" i="56"/>
  <c r="S290" i="56" s="1"/>
  <c r="AW244" i="41" s="1"/>
  <c r="R289" i="56"/>
  <c r="S289" i="56" s="1"/>
  <c r="AW58" i="41" s="1"/>
  <c r="R288" i="56"/>
  <c r="S288" i="56" s="1"/>
  <c r="AW62" i="41" s="1"/>
  <c r="R287" i="56"/>
  <c r="S287" i="56" s="1"/>
  <c r="R286" i="56"/>
  <c r="S286" i="56" s="1"/>
  <c r="AW138" i="41" s="1"/>
  <c r="R285" i="56"/>
  <c r="S285" i="56" s="1"/>
  <c r="AW161" i="41" s="1"/>
  <c r="R284" i="56"/>
  <c r="S284" i="56" s="1"/>
  <c r="AW176" i="41" s="1"/>
  <c r="R283" i="56"/>
  <c r="S283" i="56" s="1"/>
  <c r="AW291" i="41" s="1"/>
  <c r="R282" i="56"/>
  <c r="S282" i="56" s="1"/>
  <c r="AW111" i="41" s="1"/>
  <c r="R281" i="56"/>
  <c r="S281" i="56" s="1"/>
  <c r="AW143" i="41" s="1"/>
  <c r="R280" i="56"/>
  <c r="S280" i="56" s="1"/>
  <c r="AW220" i="41" s="1"/>
  <c r="R279" i="56"/>
  <c r="S279" i="56" s="1"/>
  <c r="AW240" i="41" s="1"/>
  <c r="R278" i="56"/>
  <c r="S278" i="56" s="1"/>
  <c r="AW197" i="41" s="1"/>
  <c r="R277" i="56"/>
  <c r="S277" i="56" s="1"/>
  <c r="AW186" i="41" s="1"/>
  <c r="R276" i="56"/>
  <c r="S276" i="56" s="1"/>
  <c r="AW137" i="41" s="1"/>
  <c r="R275" i="56"/>
  <c r="S275" i="56" s="1"/>
  <c r="AW22" i="41" s="1"/>
  <c r="R274" i="56"/>
  <c r="S274" i="56" s="1"/>
  <c r="AW25" i="41" s="1"/>
  <c r="R273" i="56"/>
  <c r="S273" i="56" s="1"/>
  <c r="AW231" i="41" s="1"/>
  <c r="R272" i="56"/>
  <c r="S272" i="56" s="1"/>
  <c r="AW196" i="41" s="1"/>
  <c r="R271" i="56"/>
  <c r="S271" i="56" s="1"/>
  <c r="AW69" i="41" s="1"/>
  <c r="R270" i="56"/>
  <c r="S270" i="56" s="1"/>
  <c r="AW216" i="41" s="1"/>
  <c r="R269" i="56"/>
  <c r="S269" i="56" s="1"/>
  <c r="AW101" i="41" s="1"/>
  <c r="R268" i="56"/>
  <c r="S268" i="56" s="1"/>
  <c r="AW51" i="41" s="1"/>
  <c r="R267" i="56"/>
  <c r="S267" i="56" s="1"/>
  <c r="AW278" i="41" s="1"/>
  <c r="R266" i="56"/>
  <c r="S266" i="56" s="1"/>
  <c r="AW41" i="41" s="1"/>
  <c r="R265" i="56"/>
  <c r="S265" i="56" s="1"/>
  <c r="AW78" i="41" s="1"/>
  <c r="R264" i="56"/>
  <c r="S264" i="56" s="1"/>
  <c r="R263" i="56"/>
  <c r="S263" i="56" s="1"/>
  <c r="AW194" i="41" s="1"/>
  <c r="R262" i="56"/>
  <c r="S262" i="56" s="1"/>
  <c r="R261" i="56"/>
  <c r="S261" i="56" s="1"/>
  <c r="AW67" i="41" s="1"/>
  <c r="R260" i="56"/>
  <c r="S260" i="56" s="1"/>
  <c r="AW204" i="41" s="1"/>
  <c r="R259" i="56"/>
  <c r="S259" i="56" s="1"/>
  <c r="R258" i="56"/>
  <c r="S258" i="56" s="1"/>
  <c r="AW155" i="41" s="1"/>
  <c r="R257" i="56"/>
  <c r="S257" i="56" s="1"/>
  <c r="R256" i="56"/>
  <c r="S256" i="56" s="1"/>
  <c r="R255" i="56"/>
  <c r="S255" i="56" s="1"/>
  <c r="R254" i="56"/>
  <c r="S254" i="56" s="1"/>
  <c r="AW37" i="41" s="1"/>
  <c r="R253" i="56"/>
  <c r="S253" i="56" s="1"/>
  <c r="R252" i="56"/>
  <c r="S252" i="56" s="1"/>
  <c r="AW23" i="41" s="1"/>
  <c r="R251" i="56"/>
  <c r="S251" i="56" s="1"/>
  <c r="R250" i="56"/>
  <c r="S250" i="56" s="1"/>
  <c r="R249" i="56"/>
  <c r="S249" i="56" s="1"/>
  <c r="R248" i="56"/>
  <c r="S248" i="56" s="1"/>
  <c r="AW52" i="41" s="1"/>
  <c r="R247" i="56"/>
  <c r="S247" i="56" s="1"/>
  <c r="R246" i="56"/>
  <c r="S246" i="56" s="1"/>
  <c r="AW60" i="41" s="1"/>
  <c r="R245" i="56"/>
  <c r="S245" i="56" s="1"/>
  <c r="R244" i="56"/>
  <c r="S244" i="56" s="1"/>
  <c r="R243" i="56"/>
  <c r="S243" i="56" s="1"/>
  <c r="AW94" i="41" s="1"/>
  <c r="R242" i="56"/>
  <c r="S242" i="56" s="1"/>
  <c r="AW205" i="41" s="1"/>
  <c r="R241" i="56"/>
  <c r="S241" i="56" s="1"/>
  <c r="AW248" i="41" s="1"/>
  <c r="R240" i="56"/>
  <c r="S240" i="56" s="1"/>
  <c r="AW57" i="41" s="1"/>
  <c r="R239" i="56"/>
  <c r="S239" i="56" s="1"/>
  <c r="AW80" i="41" s="1"/>
  <c r="R238" i="56"/>
  <c r="S238" i="56" s="1"/>
  <c r="AW110" i="41" s="1"/>
  <c r="R237" i="56"/>
  <c r="S237" i="56" s="1"/>
  <c r="AW10" i="41" s="1"/>
  <c r="R236" i="56"/>
  <c r="S236" i="56" s="1"/>
  <c r="AW147" i="41" s="1"/>
  <c r="R235" i="56"/>
  <c r="S235" i="56" s="1"/>
  <c r="AW15" i="41" s="1"/>
  <c r="R234" i="56"/>
  <c r="S234" i="56" s="1"/>
  <c r="AW200" i="41" s="1"/>
  <c r="R233" i="56"/>
  <c r="S233" i="56" s="1"/>
  <c r="AW203" i="41" s="1"/>
  <c r="R232" i="56"/>
  <c r="S232" i="56" s="1"/>
  <c r="AW191" i="41" s="1"/>
  <c r="R231" i="56"/>
  <c r="S231" i="56" s="1"/>
  <c r="AW133" i="41" s="1"/>
  <c r="R230" i="56"/>
  <c r="R229" i="56"/>
  <c r="S229" i="56" s="1"/>
  <c r="AW184" i="41" s="1"/>
  <c r="R228" i="56"/>
  <c r="S228" i="56" s="1"/>
  <c r="AW177" i="41" s="1"/>
  <c r="R227" i="56"/>
  <c r="S227" i="56" s="1"/>
  <c r="AW103" i="41" s="1"/>
  <c r="R226" i="56"/>
  <c r="S226" i="56" s="1"/>
  <c r="AW199" i="41" s="1"/>
  <c r="R225" i="56"/>
  <c r="S225" i="56" s="1"/>
  <c r="AW178" i="41" s="1"/>
  <c r="R224" i="56"/>
  <c r="S224" i="56" s="1"/>
  <c r="AW206" i="41" s="1"/>
  <c r="R223" i="56"/>
  <c r="S223" i="56" s="1"/>
  <c r="AW108" i="41" s="1"/>
  <c r="R222" i="56"/>
  <c r="S222" i="56" s="1"/>
  <c r="AW114" i="41" s="1"/>
  <c r="R221" i="56"/>
  <c r="S221" i="56" s="1"/>
  <c r="AW53" i="41" s="1"/>
  <c r="R220" i="56"/>
  <c r="S220" i="56" s="1"/>
  <c r="AW63" i="41" s="1"/>
  <c r="R219" i="56"/>
  <c r="S219" i="56" s="1"/>
  <c r="AW70" i="41" s="1"/>
  <c r="R218" i="56"/>
  <c r="S218" i="56" s="1"/>
  <c r="AW106" i="41" s="1"/>
  <c r="R217" i="56"/>
  <c r="S217" i="56" s="1"/>
  <c r="AW123" i="41" s="1"/>
  <c r="R216" i="56"/>
  <c r="S216" i="56" s="1"/>
  <c r="AW124" i="41" s="1"/>
  <c r="R215" i="56"/>
  <c r="S215" i="56" s="1"/>
  <c r="AW224" i="41" s="1"/>
  <c r="R214" i="56"/>
  <c r="S214" i="56" s="1"/>
  <c r="R213" i="56"/>
  <c r="S213" i="56" s="1"/>
  <c r="R212" i="56"/>
  <c r="R211" i="56"/>
  <c r="R210" i="56"/>
  <c r="R209" i="56"/>
  <c r="S209" i="56" s="1"/>
  <c r="AW169" i="41" s="1"/>
  <c r="R208" i="56"/>
  <c r="R207" i="56"/>
  <c r="R206" i="56"/>
  <c r="R205" i="56"/>
  <c r="S205" i="56" s="1"/>
  <c r="AW225" i="41" s="1"/>
  <c r="R204" i="56"/>
  <c r="R203" i="56"/>
  <c r="S203" i="56" s="1"/>
  <c r="R202" i="56"/>
  <c r="S202" i="56" s="1"/>
  <c r="R201" i="56"/>
  <c r="S201" i="56" s="1"/>
  <c r="R200" i="56"/>
  <c r="S200" i="56" s="1"/>
  <c r="R199" i="56"/>
  <c r="R198" i="56"/>
  <c r="R197" i="56"/>
  <c r="R196" i="56"/>
  <c r="R195" i="56"/>
  <c r="R194" i="56"/>
  <c r="R193" i="56"/>
  <c r="R192" i="56"/>
  <c r="R191" i="56"/>
  <c r="S191" i="56" s="1"/>
  <c r="R190" i="56"/>
  <c r="S190" i="56" s="1"/>
  <c r="R189" i="56"/>
  <c r="S189" i="56" s="1"/>
  <c r="AW226" i="41" s="1"/>
  <c r="R188" i="56"/>
  <c r="S188" i="56" s="1"/>
  <c r="R187" i="56"/>
  <c r="S187" i="56" s="1"/>
  <c r="AW91" i="41" s="1"/>
  <c r="R186" i="56"/>
  <c r="R185" i="56"/>
  <c r="S185" i="56" s="1"/>
  <c r="AW92" i="41" s="1"/>
  <c r="R184" i="56"/>
  <c r="R183" i="56"/>
  <c r="R182" i="56"/>
  <c r="S182" i="56" s="1"/>
  <c r="R181" i="56"/>
  <c r="S181" i="56" s="1"/>
  <c r="R180" i="56"/>
  <c r="R179" i="56"/>
  <c r="S179" i="56" s="1"/>
  <c r="AW157" i="41" s="1"/>
  <c r="R178" i="56"/>
  <c r="S178" i="56" s="1"/>
  <c r="AW168" i="41" s="1"/>
  <c r="R177" i="56"/>
  <c r="S177" i="56" s="1"/>
  <c r="AW163" i="41" s="1"/>
  <c r="R176" i="56"/>
  <c r="S176" i="56" s="1"/>
  <c r="AW93" i="41" s="1"/>
  <c r="R175" i="56"/>
  <c r="S175" i="56" s="1"/>
  <c r="AW228" i="41" s="1"/>
  <c r="R174" i="56"/>
  <c r="S174" i="56" s="1"/>
  <c r="AW42" i="41" s="1"/>
  <c r="R173" i="56"/>
  <c r="S173" i="56" s="1"/>
  <c r="AW243" i="41" s="1"/>
  <c r="R172" i="56"/>
  <c r="S172" i="56" s="1"/>
  <c r="AW17" i="41" s="1"/>
  <c r="R171" i="56"/>
  <c r="S171" i="56" s="1"/>
  <c r="AW27" i="41" s="1"/>
  <c r="R170" i="56"/>
  <c r="S170" i="56" s="1"/>
  <c r="AW97" i="41" s="1"/>
  <c r="R169" i="56"/>
  <c r="S169" i="56" s="1"/>
  <c r="AW139" i="41" s="1"/>
  <c r="R168" i="56"/>
  <c r="S168" i="56" s="1"/>
  <c r="AW252" i="41" s="1"/>
  <c r="R167" i="56"/>
  <c r="S167" i="56" s="1"/>
  <c r="AW284" i="41" s="1"/>
  <c r="R166" i="56"/>
  <c r="S166" i="56" s="1"/>
  <c r="AW127" i="41" s="1"/>
  <c r="R165" i="56"/>
  <c r="S165" i="56" s="1"/>
  <c r="R164" i="56"/>
  <c r="S164" i="56" s="1"/>
  <c r="R163" i="56"/>
  <c r="S163" i="56" s="1"/>
  <c r="AW187" i="41" s="1"/>
  <c r="R162" i="56"/>
  <c r="S162" i="56" s="1"/>
  <c r="AW232" i="41" s="1"/>
  <c r="R161" i="56"/>
  <c r="S161" i="56" s="1"/>
  <c r="AW193" i="41" s="1"/>
  <c r="R160" i="56"/>
  <c r="S160" i="56" s="1"/>
  <c r="AW149" i="41" s="1"/>
  <c r="R159" i="56"/>
  <c r="S159" i="56" s="1"/>
  <c r="AW179" i="41" s="1"/>
  <c r="R158" i="56"/>
  <c r="S158" i="56" s="1"/>
  <c r="AW285" i="41" s="1"/>
  <c r="R157" i="56"/>
  <c r="S157" i="56" s="1"/>
  <c r="AW107" i="41" s="1"/>
  <c r="R156" i="56"/>
  <c r="S156" i="56" s="1"/>
  <c r="AW126" i="41" s="1"/>
  <c r="R155" i="56"/>
  <c r="S155" i="56" s="1"/>
  <c r="R154" i="56"/>
  <c r="S154" i="56" s="1"/>
  <c r="R153" i="56"/>
  <c r="S153" i="56" s="1"/>
  <c r="AW79" i="41" s="1"/>
  <c r="R152" i="56"/>
  <c r="S152" i="56" s="1"/>
  <c r="AW275" i="41" s="1"/>
  <c r="R151" i="56"/>
  <c r="S151" i="56" s="1"/>
  <c r="R150" i="56"/>
  <c r="S150" i="56" s="1"/>
  <c r="R149" i="56"/>
  <c r="S149" i="56" s="1"/>
  <c r="R148" i="56"/>
  <c r="S148" i="56" s="1"/>
  <c r="R147" i="56"/>
  <c r="S147" i="56" s="1"/>
  <c r="AW13" i="41" s="1"/>
  <c r="R146" i="56"/>
  <c r="S146" i="56" s="1"/>
  <c r="R145" i="56"/>
  <c r="S145" i="56" s="1"/>
  <c r="R144" i="56"/>
  <c r="S144" i="56" s="1"/>
  <c r="R143" i="56"/>
  <c r="S143" i="56" s="1"/>
  <c r="R142" i="56"/>
  <c r="S142" i="56" s="1"/>
  <c r="R141" i="56"/>
  <c r="S141" i="56" s="1"/>
  <c r="AW96" i="41" s="1"/>
  <c r="R140" i="56"/>
  <c r="S140" i="56" s="1"/>
  <c r="AW72" i="41" s="1"/>
  <c r="R139" i="56"/>
  <c r="S139" i="56" s="1"/>
  <c r="R138" i="56"/>
  <c r="S138" i="56" s="1"/>
  <c r="R137" i="56"/>
  <c r="S137" i="56" s="1"/>
  <c r="R136" i="56"/>
  <c r="S136" i="56" s="1"/>
  <c r="R135" i="56"/>
  <c r="S135" i="56" s="1"/>
  <c r="R134" i="56"/>
  <c r="S134" i="56" s="1"/>
  <c r="R133" i="56"/>
  <c r="S133" i="56" s="1"/>
  <c r="R132" i="56"/>
  <c r="S132" i="56" s="1"/>
  <c r="R131" i="56"/>
  <c r="S131" i="56" s="1"/>
  <c r="R130" i="56"/>
  <c r="S130" i="56" s="1"/>
  <c r="AW234" i="41" s="1"/>
  <c r="R129" i="56"/>
  <c r="S129" i="56" s="1"/>
  <c r="AW246" i="41" s="1"/>
  <c r="R128" i="56"/>
  <c r="S128" i="56" s="1"/>
  <c r="AW247" i="41" s="1"/>
  <c r="R127" i="56"/>
  <c r="S127" i="56" s="1"/>
  <c r="AW9" i="41" s="1"/>
  <c r="R126" i="56"/>
  <c r="S126" i="56" s="1"/>
  <c r="AW287" i="41" s="1"/>
  <c r="R125" i="56"/>
  <c r="S125" i="56" s="1"/>
  <c r="AW59" i="41" s="1"/>
  <c r="R124" i="56"/>
  <c r="S124" i="56" s="1"/>
  <c r="R123" i="56"/>
  <c r="S123" i="56" s="1"/>
  <c r="AW288" i="41" s="1"/>
  <c r="R122" i="56"/>
  <c r="S122" i="56" s="1"/>
  <c r="AW77" i="41" s="1"/>
  <c r="R121" i="56"/>
  <c r="S121" i="56" s="1"/>
  <c r="AW83" i="41" s="1"/>
  <c r="R120" i="56"/>
  <c r="S120" i="56" s="1"/>
  <c r="AW87" i="41" s="1"/>
  <c r="R119" i="56"/>
  <c r="S119" i="56" s="1"/>
  <c r="AW283" i="41" s="1"/>
  <c r="R118" i="56"/>
  <c r="S118" i="56" s="1"/>
  <c r="AW99" i="41" s="1"/>
  <c r="R117" i="56"/>
  <c r="S117" i="56" s="1"/>
  <c r="AW104" i="41" s="1"/>
  <c r="R116" i="56"/>
  <c r="S116" i="56" s="1"/>
  <c r="AW105" i="41" s="1"/>
  <c r="R115" i="56"/>
  <c r="S115" i="56" s="1"/>
  <c r="AW113" i="41" s="1"/>
  <c r="R114" i="56"/>
  <c r="S114" i="56" s="1"/>
  <c r="AW128" i="41" s="1"/>
  <c r="R113" i="56"/>
  <c r="S113" i="56" s="1"/>
  <c r="AW131" i="41" s="1"/>
  <c r="R112" i="56"/>
  <c r="S112" i="56" s="1"/>
  <c r="AW134" i="41" s="1"/>
  <c r="R111" i="56"/>
  <c r="S111" i="56" s="1"/>
  <c r="AW146" i="41" s="1"/>
  <c r="R110" i="56"/>
  <c r="S110" i="56" s="1"/>
  <c r="AW148" i="41" s="1"/>
  <c r="R109" i="56"/>
  <c r="S109" i="56" s="1"/>
  <c r="AW153" i="41" s="1"/>
  <c r="R108" i="56"/>
  <c r="S108" i="56" s="1"/>
  <c r="AW158" i="41" s="1"/>
  <c r="R107" i="56"/>
  <c r="S107" i="56" s="1"/>
  <c r="AW159" i="41" s="1"/>
  <c r="R106" i="56"/>
  <c r="S106" i="56" s="1"/>
  <c r="AW164" i="41" s="1"/>
  <c r="R105" i="56"/>
  <c r="S105" i="56" s="1"/>
  <c r="AW290" i="41" s="1"/>
  <c r="R104" i="56"/>
  <c r="S104" i="56" s="1"/>
  <c r="AW201" i="41" s="1"/>
  <c r="R103" i="56"/>
  <c r="S103" i="56" s="1"/>
  <c r="AW207" i="41" s="1"/>
  <c r="R102" i="56"/>
  <c r="S102" i="56" s="1"/>
  <c r="AW210" i="41" s="1"/>
  <c r="R101" i="56"/>
  <c r="S101" i="56" s="1"/>
  <c r="AW215" i="41" s="1"/>
  <c r="R100" i="56"/>
  <c r="S100" i="56" s="1"/>
  <c r="AW223" i="41" s="1"/>
  <c r="R99" i="56"/>
  <c r="S99" i="56" s="1"/>
  <c r="AW276" i="41" s="1"/>
  <c r="R98" i="56"/>
  <c r="S98" i="56" s="1"/>
  <c r="AW235" i="41" s="1"/>
  <c r="R97" i="56"/>
  <c r="S97" i="56" s="1"/>
  <c r="AW236" i="41" s="1"/>
  <c r="R96" i="56"/>
  <c r="S96" i="56" s="1"/>
  <c r="AW239" i="41" s="1"/>
  <c r="R95" i="56"/>
  <c r="S95" i="56" s="1"/>
  <c r="AW279" i="41" s="1"/>
  <c r="R94" i="56"/>
  <c r="S94" i="56" s="1"/>
  <c r="R93" i="56"/>
  <c r="S93" i="56" s="1"/>
  <c r="AW75" i="41" s="1"/>
  <c r="R92" i="56"/>
  <c r="S92" i="56" s="1"/>
  <c r="AW268" i="41" s="1"/>
  <c r="R91" i="56"/>
  <c r="S91" i="56" s="1"/>
  <c r="AW175" i="41" s="1"/>
  <c r="R90" i="56"/>
  <c r="S90" i="56" s="1"/>
  <c r="AW43" i="41" s="1"/>
  <c r="R89" i="56"/>
  <c r="S89" i="56" s="1"/>
  <c r="AW65" i="41" s="1"/>
  <c r="R88" i="56"/>
  <c r="S88" i="56" s="1"/>
  <c r="AW71" i="41" s="1"/>
  <c r="R87" i="56"/>
  <c r="S87" i="56" s="1"/>
  <c r="AW116" i="41" s="1"/>
  <c r="R86" i="56"/>
  <c r="S86" i="56" s="1"/>
  <c r="R85" i="56"/>
  <c r="S85" i="56" s="1"/>
  <c r="R84" i="56"/>
  <c r="S84" i="56" s="1"/>
  <c r="R83" i="56"/>
  <c r="S83" i="56" s="1"/>
  <c r="R82" i="56"/>
  <c r="S82" i="56" s="1"/>
  <c r="R81" i="56"/>
  <c r="S81" i="56" s="1"/>
  <c r="AW30" i="41" s="1"/>
  <c r="R80" i="56"/>
  <c r="S80" i="56" s="1"/>
  <c r="AW195" i="41" s="1"/>
  <c r="R79" i="56"/>
  <c r="S79" i="56" s="1"/>
  <c r="R78" i="56"/>
  <c r="S78" i="56" s="1"/>
  <c r="R77" i="56"/>
  <c r="S77" i="56" s="1"/>
  <c r="R76" i="56"/>
  <c r="S76" i="56" s="1"/>
  <c r="R75" i="56"/>
  <c r="S75" i="56" s="1"/>
  <c r="AW167" i="41" s="1"/>
  <c r="R74" i="56"/>
  <c r="S74" i="56" s="1"/>
  <c r="R73" i="56"/>
  <c r="S73" i="56" s="1"/>
  <c r="R72" i="56"/>
  <c r="S72" i="56" s="1"/>
  <c r="R71" i="56"/>
  <c r="S71" i="56" s="1"/>
  <c r="R70" i="56"/>
  <c r="S70" i="56" s="1"/>
  <c r="AW202" i="41" s="1"/>
  <c r="R69" i="56"/>
  <c r="S69" i="56" s="1"/>
  <c r="AW222" i="41" s="1"/>
  <c r="R68" i="56"/>
  <c r="S68" i="56" s="1"/>
  <c r="AW55" i="41" s="1"/>
  <c r="R67" i="56"/>
  <c r="S67" i="56" s="1"/>
  <c r="R66" i="56"/>
  <c r="S66" i="56" s="1"/>
  <c r="R65" i="56"/>
  <c r="S65" i="56" s="1"/>
  <c r="R64" i="56"/>
  <c r="S64" i="56" s="1"/>
  <c r="R63" i="56"/>
  <c r="S63" i="56" s="1"/>
  <c r="AW19" i="41" s="1"/>
  <c r="R62" i="56"/>
  <c r="S62" i="56" s="1"/>
  <c r="R61" i="56"/>
  <c r="S61" i="56" s="1"/>
  <c r="R60" i="56"/>
  <c r="S60" i="56" s="1"/>
  <c r="R59" i="56"/>
  <c r="S59" i="56" s="1"/>
  <c r="R58" i="56"/>
  <c r="S58" i="56" s="1"/>
  <c r="R57" i="56"/>
  <c r="S57" i="56" s="1"/>
  <c r="AW280" i="41" s="1"/>
  <c r="R56" i="56"/>
  <c r="S56" i="56" s="1"/>
  <c r="AW39" i="41" s="1"/>
  <c r="R55" i="56"/>
  <c r="S55" i="56" s="1"/>
  <c r="R54" i="56"/>
  <c r="S54" i="56" s="1"/>
  <c r="R53" i="56"/>
  <c r="S53" i="56" s="1"/>
  <c r="R52" i="56"/>
  <c r="S52" i="56" s="1"/>
  <c r="R51" i="56"/>
  <c r="S51" i="56" s="1"/>
  <c r="AW230" i="41" s="1"/>
  <c r="R50" i="56"/>
  <c r="S50" i="56" s="1"/>
  <c r="R49" i="56"/>
  <c r="S49" i="56" s="1"/>
  <c r="R48" i="56"/>
  <c r="S48" i="56" s="1"/>
  <c r="R47" i="56"/>
  <c r="S47" i="56" s="1"/>
  <c r="R46" i="56"/>
  <c r="S46" i="56" s="1"/>
  <c r="AW286" i="41" s="1"/>
  <c r="R45" i="56"/>
  <c r="S45" i="56" s="1"/>
  <c r="AW48" i="41" s="1"/>
  <c r="R44" i="56"/>
  <c r="S44" i="56" s="1"/>
  <c r="AW56" i="41" s="1"/>
  <c r="R43" i="56"/>
  <c r="S43" i="56" s="1"/>
  <c r="R42" i="56"/>
  <c r="S42" i="56" s="1"/>
  <c r="R41" i="56"/>
  <c r="S41" i="56" s="1"/>
  <c r="R40" i="56"/>
  <c r="S40" i="56" s="1"/>
  <c r="R39" i="56"/>
  <c r="S39" i="56" s="1"/>
  <c r="AW85" i="41" s="1"/>
  <c r="R38" i="56"/>
  <c r="S38" i="56" s="1"/>
  <c r="R37" i="56"/>
  <c r="S37" i="56" s="1"/>
  <c r="R36" i="56"/>
  <c r="S36" i="56" s="1"/>
  <c r="R35" i="56"/>
  <c r="S35" i="56" s="1"/>
  <c r="R34" i="56"/>
  <c r="S34" i="56" s="1"/>
  <c r="AW115" i="41" s="1"/>
  <c r="R33" i="56"/>
  <c r="S33" i="56" s="1"/>
  <c r="AW118" i="41" s="1"/>
  <c r="R32" i="56"/>
  <c r="S32" i="56" s="1"/>
  <c r="AW11" i="41" s="1"/>
  <c r="R31" i="56"/>
  <c r="S31" i="56" s="1"/>
  <c r="AW125" i="41" s="1"/>
  <c r="R30" i="56"/>
  <c r="S30" i="56" s="1"/>
  <c r="AW130" i="41" s="1"/>
  <c r="R29" i="56"/>
  <c r="S29" i="56" s="1"/>
  <c r="AW132" i="41" s="1"/>
  <c r="R28" i="56"/>
  <c r="S28" i="56" s="1"/>
  <c r="AW136" i="41" s="1"/>
  <c r="R27" i="56"/>
  <c r="S27" i="56" s="1"/>
  <c r="AW151" i="41" s="1"/>
  <c r="R26" i="56"/>
  <c r="S26" i="56" s="1"/>
  <c r="AW270" i="41" s="1"/>
  <c r="R25" i="56"/>
  <c r="S25" i="56" s="1"/>
  <c r="AW217" i="41" s="1"/>
  <c r="R24" i="56"/>
  <c r="S24" i="56" s="1"/>
  <c r="AW227" i="41" s="1"/>
  <c r="R23" i="56"/>
  <c r="S23" i="56" s="1"/>
  <c r="AW170" i="41" s="1"/>
  <c r="R22" i="56"/>
  <c r="S22" i="56" s="1"/>
  <c r="AW174" i="41" s="1"/>
  <c r="R21" i="56"/>
  <c r="S21" i="56" s="1"/>
  <c r="R20" i="56"/>
  <c r="S20" i="56" s="1"/>
  <c r="AW66" i="41" s="1"/>
  <c r="R19" i="56"/>
  <c r="S19" i="56" s="1"/>
  <c r="AW68" i="41" s="1"/>
  <c r="R18" i="56"/>
  <c r="S18" i="56" s="1"/>
  <c r="AW100" i="41" s="1"/>
  <c r="R17" i="56"/>
  <c r="S17" i="56" s="1"/>
  <c r="AW117" i="41" s="1"/>
  <c r="R16" i="56"/>
  <c r="S16" i="56" s="1"/>
  <c r="AW145" i="41" s="1"/>
  <c r="R15" i="56"/>
  <c r="S15" i="56" s="1"/>
  <c r="AW289" i="41" s="1"/>
  <c r="R14" i="56"/>
  <c r="S14" i="56" s="1"/>
  <c r="AW152" i="41" s="1"/>
  <c r="R13" i="56"/>
  <c r="S13" i="56" s="1"/>
  <c r="AW180" i="41" s="1"/>
  <c r="R12" i="56"/>
  <c r="S12" i="56" s="1"/>
  <c r="AW219" i="41" s="1"/>
  <c r="R11" i="56"/>
  <c r="S11" i="56" s="1"/>
  <c r="AW192" i="41" s="1"/>
  <c r="R10" i="56"/>
  <c r="S10" i="56" s="1"/>
  <c r="AW272" i="41" s="1"/>
  <c r="R9" i="56"/>
  <c r="S9" i="56" s="1"/>
  <c r="AW26" i="41" s="1"/>
  <c r="R8" i="56"/>
  <c r="S8" i="56" s="1"/>
  <c r="AW29" i="41" s="1"/>
  <c r="R7" i="56"/>
  <c r="S7" i="56" s="1"/>
  <c r="AW31" i="41" s="1"/>
  <c r="R6" i="56"/>
  <c r="S6" i="56" s="1"/>
  <c r="AW129" i="41" s="1"/>
  <c r="R5" i="56"/>
  <c r="S5" i="56" s="1"/>
  <c r="AW74" i="41" s="1"/>
  <c r="R4" i="56"/>
  <c r="S4" i="56" s="1"/>
  <c r="AW213" i="41" s="1"/>
  <c r="R3" i="56"/>
  <c r="S3" i="56" s="1"/>
  <c r="AW154" i="41" l="1"/>
  <c r="AW212" i="41"/>
  <c r="AW33" i="41"/>
  <c r="AW86" i="41"/>
  <c r="AW40" i="41"/>
  <c r="AW21" i="41"/>
  <c r="AW273" i="41"/>
  <c r="AW242" i="41"/>
  <c r="AW54" i="41"/>
  <c r="AW150" i="41"/>
  <c r="AW109" i="41"/>
  <c r="AW241" i="41"/>
  <c r="AW245" i="41"/>
  <c r="AW64" i="41"/>
  <c r="AW81" i="41"/>
  <c r="AW173" i="41"/>
  <c r="AW251" i="41"/>
  <c r="AW28" i="41"/>
  <c r="AW14" i="41"/>
  <c r="AW209" i="41"/>
  <c r="AW73" i="41"/>
  <c r="AW172" i="41"/>
  <c r="AW249" i="41"/>
  <c r="AW84" i="41"/>
  <c r="AW211" i="41"/>
  <c r="AW188" i="41"/>
  <c r="AW190" i="41"/>
  <c r="AW34" i="41"/>
  <c r="AW233" i="41"/>
  <c r="AW112" i="41"/>
  <c r="AW44" i="41"/>
  <c r="AW32" i="41"/>
  <c r="AW121" i="41"/>
  <c r="AW144" i="41"/>
  <c r="AW120" i="41"/>
  <c r="AW35" i="41"/>
  <c r="AW24" i="41"/>
  <c r="AW95" i="41"/>
  <c r="AW238" i="41"/>
  <c r="AW274" i="41"/>
  <c r="AW269" i="41"/>
  <c r="AW49" i="41"/>
  <c r="AW20" i="41"/>
  <c r="AW16" i="41"/>
  <c r="AW18" i="41"/>
  <c r="AW156" i="41"/>
  <c r="AW82" i="41"/>
  <c r="AW12" i="41"/>
  <c r="AW36" i="41"/>
  <c r="AW119" i="41"/>
  <c r="AW189" i="41"/>
  <c r="AW61" i="41"/>
  <c r="AW102" i="41"/>
  <c r="AW253" i="41"/>
  <c r="AW255" i="41"/>
  <c r="AW8" i="41"/>
  <c r="AW7" i="41"/>
  <c r="AW260" i="41"/>
  <c r="AW3" i="41"/>
  <c r="AW258" i="41"/>
  <c r="AW266" i="41"/>
  <c r="AW4" i="41"/>
  <c r="AW259" i="41"/>
  <c r="AW257" i="41"/>
  <c r="AW5" i="41"/>
  <c r="AW265" i="41"/>
  <c r="AW267" i="41"/>
  <c r="AW263" i="41"/>
  <c r="AW262" i="41"/>
  <c r="AW261" i="41"/>
  <c r="AW254" i="41"/>
  <c r="AW264" i="41"/>
  <c r="AW88" i="41"/>
  <c r="S212" i="56"/>
  <c r="AW208" i="41"/>
  <c r="AW141" i="41"/>
  <c r="S211" i="56"/>
  <c r="S199" i="56"/>
  <c r="AW218" i="41" s="1"/>
  <c r="S210" i="56"/>
  <c r="S198" i="56"/>
  <c r="AW165" i="41" s="1"/>
  <c r="S186" i="56"/>
  <c r="AW281" i="41" s="1"/>
  <c r="S197" i="56"/>
  <c r="AW89" i="41" s="1"/>
  <c r="S208" i="56"/>
  <c r="AW122" i="41" s="1"/>
  <c r="S196" i="56"/>
  <c r="AW38" i="41" s="1"/>
  <c r="S184" i="56"/>
  <c r="AW282" i="41" s="1"/>
  <c r="S207" i="56"/>
  <c r="AW250" i="41" s="1"/>
  <c r="S195" i="56"/>
  <c r="AW90" i="41" s="1"/>
  <c r="S183" i="56"/>
  <c r="AW166" i="41" s="1"/>
  <c r="S230" i="56"/>
  <c r="AW277" i="41" s="1"/>
  <c r="S206" i="56"/>
  <c r="AW140" i="41" s="1"/>
  <c r="S194" i="56"/>
  <c r="AW98" i="41"/>
  <c r="AW183" i="41"/>
  <c r="AW182" i="41"/>
  <c r="AW6" i="41"/>
  <c r="AW181" i="41"/>
  <c r="S193" i="56"/>
  <c r="S204" i="56"/>
  <c r="AW142" i="41" s="1"/>
  <c r="S192" i="56"/>
  <c r="AW171" i="41" s="1"/>
  <c r="S180" i="56"/>
  <c r="AW271" i="41" s="1"/>
  <c r="AW256" i="4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tc={244028E9-9A9B-459F-979B-5617EE89ADAC}</author>
    <author>tc={002F85F4-3257-4A40-AE5D-728314251E40}</author>
    <author>tc={B0DC5824-3979-4831-877C-D6DD9D1C509A}</author>
    <author>tc={3F9E5543-A322-4A96-B648-17FEF8860BE5}</author>
    <author>tc={5F449694-A599-428D-A5E6-1ED639BF0703}</author>
    <author>tc={204BBF83-7069-41B9-8A40-3B303B4E0943}</author>
    <author>tc={95ED70B4-85DD-4615-A4F9-78F1EF542CC5}</author>
    <author>tc={6ECAB5A8-33DD-4438-BECB-F8FA9EE3E5DB}</author>
    <author>tc={2C7030C6-9054-4CB5-A62E-D106A62DB15D}</author>
    <author>tc={9A872EEC-E16F-4F94-9944-97EC854591E8}</author>
    <author>tc={24E9BDE8-05AD-4A57-A4C0-E53BAEBDDD96}</author>
    <author>tc={61F869C3-3079-4741-827A-83E6C03A7D88}</author>
    <author>tc={79C9BC3D-A661-49BB-AE1C-882C9C1C5C0C}</author>
    <author>tc={FD5B751A-1621-4CCC-B8B5-40D7502B97C9}</author>
    <author>tc={2156087A-1813-4467-BA93-68299C5EF935}</author>
    <author>tc={CFD26FC3-9D18-49C1-B596-FABB838B372E}</author>
    <author>DA SILVA Paula SCE/DGC</author>
    <author>tc={196D9041-2BD6-4328-BDE6-DC47F97CACDA}</author>
    <author>tc={65339506-DF17-4FB0-8D44-D4616FDC4441}</author>
    <author>tc={895B60AE-2401-422B-8533-CB7572D3C5C8}</author>
    <author>tc={A54F2BF9-BA8A-441E-99A3-0672C3917FBB}</author>
    <author>tc={DC7DA354-27FE-4725-9ECA-789F1966C4F4}</author>
    <author>tc={6D21013F-7660-43D5-8AC8-DBC340F11DDC}</author>
    <author>tc={E341C87F-ED0D-48D7-9240-45BA49E5D73A}</author>
    <author>tc={E23E93A7-4816-4DA8-883A-BA0D5F5FF955}</author>
    <author>tc={4400362A-2ACC-45D6-9C77-8233943D2309}</author>
    <author>BAUDRY Sophie DGC/DCI</author>
    <author>tc={F85A100B-7F85-4CB7-9998-B90446CF5935}</author>
  </authors>
  <commentList>
    <comment ref="C3" authorId="0" shapeId="0" xr:uid="{244028E9-9A9B-459F-979B-5617EE89ADAC}">
      <text>
        <t>[Threaded comment]
Your version of Excel allows you to read this threaded comment; however, any edits to it will get removed if the file is opened in a newer version of Excel. Learn more: https://go.microsoft.com/fwlink/?linkid=870924
Comment:
    Ajout VBRF et interfaces</t>
      </text>
    </comment>
    <comment ref="AJ3" authorId="1" shapeId="0" xr:uid="{002F85F4-3257-4A40-AE5D-728314251E40}">
      <text>
        <t>[Threaded comment]
Your version of Excel allows you to read this threaded comment; however, any edits to it will get removed if the file is opened in a newer version of Excel. Learn more: https://go.microsoft.com/fwlink/?linkid=870924
Comment:
    Normalement déjà corrigé en février</t>
      </text>
    </comment>
    <comment ref="C4" authorId="2" shapeId="0" xr:uid="{B0DC5824-3979-4831-877C-D6DD9D1C509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Ajout VRF et interfaces
</t>
      </text>
    </comment>
    <comment ref="AJ4" authorId="3" shapeId="0" xr:uid="{3F9E5543-A322-4A96-B648-17FEF8860BE5}">
      <text>
        <t>[Threaded comment]
Your version of Excel allows you to read this threaded comment; however, any edits to it will get removed if the file is opened in a newer version of Excel. Learn more: https://go.microsoft.com/fwlink/?linkid=870924
Comment:
    Normalement déjà corrigé en février</t>
      </text>
    </comment>
    <comment ref="AJ5" authorId="4" shapeId="0" xr:uid="{5F449694-A599-428D-A5E6-1ED639BF0703}">
      <text>
        <t>[Threaded comment]
Your version of Excel allows you to read this threaded comment; however, any edits to it will get removed if the file is opened in a newer version of Excel. Learn more: https://go.microsoft.com/fwlink/?linkid=870924
Comment:
    Depuis 1 an car il n’a jamais été modifié mais une mdoif est actuellement en cours</t>
      </text>
    </comment>
    <comment ref="AL6" authorId="5" shapeId="0" xr:uid="{204BBF83-7069-41B9-8A40-3B303B4E0943}">
      <text>
        <t>[Threaded comment]
Your version of Excel allows you to read this threaded comment; however, any edits to it will get removed if the file is opened in a newer version of Excel. Learn more: https://go.microsoft.com/fwlink/?linkid=870924
Comment:
    Depuis 1 an</t>
      </text>
    </comment>
    <comment ref="W7" authorId="6" shapeId="0" xr:uid="{95ED70B4-85DD-4615-A4F9-78F1EF542CC5}">
      <text>
        <t>[Threaded comment]
Your version of Excel allows you to read this threaded comment; however, any edits to it will get removed if the file is opened in a newer version of Excel. Learn more: https://go.microsoft.com/fwlink/?linkid=870924
Comment:
    5000 canaux totaux ont 1200 inclus donc c’est 3800*0,09€/canal = 342€</t>
      </text>
    </comment>
    <comment ref="W8" authorId="7" shapeId="0" xr:uid="{6ECAB5A8-33DD-4438-BECB-F8FA9EE3E5DB}">
      <text>
        <t>[Threaded comment]
Your version of Excel allows you to read this threaded comment; however, any edits to it will get removed if the file is opened in a newer version of Excel. Learn more: https://go.microsoft.com/fwlink/?linkid=870924
Comment:
    5000 canaux totaux ont 1200 inclus donc c’est 3800*0,09€/canal = 342€</t>
      </text>
    </comment>
    <comment ref="AJ9" authorId="8" shapeId="0" xr:uid="{2C7030C6-9054-4CB5-A62E-D106A62DB15D}">
      <text>
        <t>[Threaded comment]
Your version of Excel allows you to read this threaded comment; however, any edits to it will get removed if the file is opened in a newer version of Excel. Learn more: https://go.microsoft.com/fwlink/?linkid=870924
Comment:
    A verifier j’attends de voir quand est passé l’upgrade</t>
      </text>
    </comment>
    <comment ref="C11" authorId="9" shapeId="0" xr:uid="{9A872EEC-E16F-4F94-9944-97EC854591E8}">
      <text>
        <t>[Threaded comment]
Your version of Excel allows you to read this threaded comment; however, any edits to it will get removed if the file is opened in a newer version of Excel. Learn more: https://go.microsoft.com/fwlink/?linkid=870924
Comment:
    Régul je pesne fast upgrade de 4 à 10M</t>
      </text>
    </comment>
    <comment ref="C19" authorId="10" shapeId="0" xr:uid="{24E9BDE8-05AD-4A57-A4C0-E53BAEBDDD96}">
      <text>
        <t>[Threaded comment]
Your version of Excel allows you to read this threaded comment; however, any edits to it will get removed if the file is opened in a newer version of Excel. Learn more: https://go.microsoft.com/fwlink/?linkid=870924
Comment:
    Upgrade ss chgt de routeur</t>
      </text>
    </comment>
    <comment ref="E19" authorId="11" shapeId="0" xr:uid="{61F869C3-3079-4741-827A-83E6C03A7D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Modif 29032022
</t>
      </text>
    </comment>
    <comment ref="F34" authorId="12" shapeId="0" xr:uid="{79C9BC3D-A661-49BB-AE1C-882C9C1C5C0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Modif 29032022
</t>
      </text>
    </comment>
    <comment ref="E39" authorId="13" shapeId="0" xr:uid="{FD5B751A-1621-4CCC-B8B5-40D7502B97C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2021
</t>
      </text>
    </comment>
    <comment ref="H129" authorId="14" shapeId="0" xr:uid="{2156087A-1813-4467-BA93-68299C5EF93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Le 160 n’existe pas d
onc c’est du 150
</t>
      </text>
    </comment>
    <comment ref="E188" authorId="15" shapeId="0" xr:uid="{CFD26FC3-9D18-49C1-B596-FABB838B372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17/07/2020
</t>
      </text>
    </comment>
    <comment ref="F191" authorId="16" shapeId="0" xr:uid="{00000000-0006-0000-0700-000003000000}">
      <text>
        <r>
          <rPr>
            <b/>
            <sz val="9"/>
            <color indexed="81"/>
            <rFont val="Tahoma"/>
            <family val="2"/>
          </rPr>
          <t>DA SILVA Paula SCE/DGC:</t>
        </r>
        <r>
          <rPr>
            <sz val="9"/>
            <color indexed="81"/>
            <rFont val="Tahoma"/>
            <family val="2"/>
          </rPr>
          <t xml:space="preserve">
rajouté par Paula</t>
        </r>
      </text>
    </comment>
    <comment ref="F203" authorId="17" shapeId="0" xr:uid="{196D9041-2BD6-4328-BDE6-DC47F97CAC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Faire corriger le code PAS
</t>
      </text>
    </comment>
    <comment ref="C219" authorId="18" shapeId="0" xr:uid="{65339506-DF17-4FB0-8D44-D4616FDC444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Change de platinium à gold
</t>
      </text>
    </comment>
    <comment ref="G256" authorId="19" shapeId="0" xr:uid="{895B60AE-2401-422B-8533-CB7572D3C5C8}">
      <text>
        <t>[Threaded comment]
Your version of Excel allows you to read this threaded comment; however, any edits to it will get removed if the file is opened in a newer version of Excel. Learn more: https://go.microsoft.com/fwlink/?linkid=870924
Comment:
    Erreur dans el BDC fastupgrade</t>
      </text>
    </comment>
    <comment ref="AL256" authorId="20" shapeId="0" xr:uid="{A54F2BF9-BA8A-441E-99A3-0672C3917FBB}">
      <text>
        <t>[Threaded comment]
Your version of Excel allows you to read this threaded comment; however, any edits to it will get removed if the file is opened in a newer version of Excel. Learn more: https://go.microsoft.com/fwlink/?linkid=870924
Comment:
    Depuis le 06/11/2025</t>
      </text>
    </comment>
    <comment ref="AJ263" authorId="21" shapeId="0" xr:uid="{DC7DA354-27FE-4725-9ECA-789F1966C4F4}">
      <text>
        <t>[Threaded comment]
Your version of Excel allows you to read this threaded comment; however, any edits to it will get removed if the file is opened in a newer version of Excel. Learn more: https://go.microsoft.com/fwlink/?linkid=870924
Comment:
    Depuis fin 2025 - regarder la date de l’upgrade</t>
      </text>
    </comment>
    <comment ref="AJ268" authorId="22" shapeId="0" xr:uid="{6D21013F-7660-43D5-8AC8-DBC340F11D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Depuis 1 an car jamais modifié
</t>
      </text>
    </comment>
    <comment ref="AJ269" authorId="23" shapeId="0" xr:uid="{E341C87F-ED0D-48D7-9240-45BA49E5D73A}">
      <text>
        <t>[Threaded comment]
Your version of Excel allows you to read this threaded comment; however, any edits to it will get removed if the file is opened in a newer version of Excel. Learn more: https://go.microsoft.com/fwlink/?linkid=870924
Comment:
    1 an car il n’a pas été modifié depuis le début</t>
      </text>
    </comment>
    <comment ref="T270" authorId="24" shapeId="0" xr:uid="{E23E93A7-4816-4DA8-883A-BA0D5F5FF955}">
      <text>
        <t>[Threaded comment]
Your version of Excel allows you to read this threaded comment; however, any edits to it will get removed if the file is opened in a newer version of Excel. Learn more: https://go.microsoft.com/fwlink/?linkid=870924
Comment:
    1 453,9  	
C’est le prix d’un gold  50-50</t>
      </text>
    </comment>
    <comment ref="AJ273" authorId="25" shapeId="0" xr:uid="{4400362A-2ACC-45D6-9C77-8233943D2309}">
      <text>
        <t>[Threaded comment]
Your version of Excel allows you to read this threaded comment; however, any edits to it will get removed if the file is opened in a newer version of Excel. Learn more: https://go.microsoft.com/fwlink/?linkid=870924
Comment:
    Régul 1 an</t>
      </text>
    </comment>
    <comment ref="H278" authorId="26" shapeId="0" xr:uid="{00000000-0006-0000-0700-000001000000}">
      <text>
        <r>
          <rPr>
            <b/>
            <sz val="9"/>
            <color indexed="81"/>
            <rFont val="Tahoma"/>
            <family val="2"/>
          </rPr>
          <t xml:space="preserve">BAUDRY Sophie : tests en 2M non validés =&gt; à facturere en 1M </t>
        </r>
      </text>
    </comment>
    <comment ref="AL281" authorId="27" shapeId="0" xr:uid="{F85A100B-7F85-4CB7-9998-B90446CF5935}">
      <text>
        <t>[Threaded comment]
Your version of Excel allows you to read this threaded comment; however, any edits to it will get removed if the file is opened in a newer version of Excel. Learn more: https://go.microsoft.com/fwlink/?linkid=870924
Comment:
    Depuis 1 an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tc={8A943ED7-A564-4595-A1A9-5553A34C4067}</author>
  </authors>
  <commentList>
    <comment ref="E23" authorId="0" shapeId="0" xr:uid="{8A943ED7-A564-4595-A1A9-5553A34C406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2021
Upgrade de 0024408851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Orange Business</author>
  </authors>
  <commentList>
    <comment ref="C6" authorId="0" shapeId="0" xr:uid="{7E55B037-A27F-4E9C-B03C-C974BA30E90D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" authorId="0" shapeId="0" xr:uid="{A0089FF5-A7C7-44C8-AB19-AAC9A43E2376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0" shapeId="0" xr:uid="{A58D0CFE-8D60-4038-A2F0-3D2DE8B1678C}">
      <text>
        <r>
          <rPr>
            <sz val="9"/>
            <color indexed="81"/>
            <rFont val="Tahoma"/>
            <family val="2"/>
          </rPr>
          <t>support cuivre</t>
        </r>
      </text>
    </comment>
    <comment ref="K7" authorId="0" shapeId="0" xr:uid="{A26BC0FE-57B9-4112-9EE3-2D9A897A14FE}">
      <text>
        <r>
          <rPr>
            <sz val="9"/>
            <color indexed="81"/>
            <rFont val="Tahoma"/>
            <family val="2"/>
          </rPr>
          <t>support cuivre</t>
        </r>
      </text>
    </comment>
    <comment ref="C8" authorId="0" shapeId="0" xr:uid="{EC214224-1B22-408C-9B3B-54C97A73B725}">
      <text>
        <r>
          <rPr>
            <sz val="9"/>
            <color indexed="81"/>
            <rFont val="Tahoma"/>
            <family val="2"/>
          </rPr>
          <t xml:space="preserve">support cuivre </t>
        </r>
      </text>
    </comment>
    <comment ref="K8" authorId="0" shapeId="0" xr:uid="{601A0647-9E2C-4D0D-975C-6174CAC3CD62}">
      <text>
        <r>
          <rPr>
            <sz val="9"/>
            <color indexed="81"/>
            <rFont val="Tahoma"/>
            <family val="2"/>
          </rPr>
          <t xml:space="preserve">support cuivre </t>
        </r>
      </text>
    </comment>
    <comment ref="C39" authorId="0" shapeId="0" xr:uid="{E9D504DB-AA65-4B38-A734-22E22583B5D1}">
      <text>
        <r>
          <rPr>
            <b/>
            <sz val="9"/>
            <color indexed="81"/>
            <rFont val="Tahoma"/>
            <family val="2"/>
          </rPr>
          <t>Support cuivre: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9" authorId="0" shapeId="0" xr:uid="{455E061E-C6BD-459C-B38F-1AA1A9120F28}">
      <text>
        <r>
          <rPr>
            <b/>
            <sz val="9"/>
            <color indexed="81"/>
            <rFont val="Tahoma"/>
            <family val="2"/>
          </rPr>
          <t>Support cuivre: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0" authorId="0" shapeId="0" xr:uid="{DB161DCC-95CB-4DEC-82DA-288B53496D10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40" authorId="0" shapeId="0" xr:uid="{0F3977AF-BC6E-40E1-91AE-8CCEC539E1D0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C71" authorId="0" shapeId="0" xr:uid="{33C4EC0F-D6B2-4419-B87D-26635D551970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71" authorId="0" shapeId="0" xr:uid="{2159B32C-7DCB-4147-BD22-50B2B3F97828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C72" authorId="0" shapeId="0" xr:uid="{78282DCE-9B3D-4D9C-8B25-4B07E4FD8449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72" authorId="0" shapeId="0" xr:uid="{CEBE6800-4CCF-4F2C-B84A-D0095CDD3EF9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1" authorId="0" shapeId="0" xr:uid="{2600A04E-49BE-4157-98FB-7D62B84200E3}">
      <text>
        <r>
          <rPr>
            <b/>
            <sz val="9"/>
            <color indexed="81"/>
            <rFont val="Tahoma"/>
            <family val="2"/>
          </rPr>
          <t xml:space="preserve">support cuivre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01" authorId="0" shapeId="0" xr:uid="{603BB6A8-3077-4FFC-B679-E0945BD466FC}">
      <text>
        <r>
          <rPr>
            <b/>
            <sz val="9"/>
            <color indexed="81"/>
            <rFont val="Tahoma"/>
            <family val="2"/>
          </rPr>
          <t xml:space="preserve">support cuivre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2" authorId="0" shapeId="0" xr:uid="{B8DB7C5F-C4BA-48C6-964E-79FD1B6A2ED6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102" authorId="0" shapeId="0" xr:uid="{E50189F3-45E5-4DE6-8FC4-359D2DD273F5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C103" authorId="0" shapeId="0" xr:uid="{5D9905FB-46D4-4BC3-8B36-9A5FDF3E65C2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103" authorId="0" shapeId="0" xr:uid="{7FFC1F82-BE1F-422A-8D7B-68F0A3FEF2FE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C104" authorId="0" shapeId="0" xr:uid="{94B754D7-D539-4B80-ABE4-9BFBFD6B687C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04" authorId="0" shapeId="0" xr:uid="{1503BE2A-419E-446D-AA2B-3F7C93E16B35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5" authorId="0" shapeId="0" xr:uid="{423BFFB5-34F9-4CAD-91A6-C4283E4F57E9}">
      <text>
        <r>
          <rPr>
            <b/>
            <sz val="9"/>
            <color indexed="81"/>
            <rFont val="Tahoma"/>
            <family val="2"/>
          </rPr>
          <t>support cuivre sur secours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05" authorId="0" shapeId="0" xr:uid="{AACEA8CD-89EC-44BD-B394-5D2AC302CEDB}">
      <text>
        <r>
          <rPr>
            <b/>
            <sz val="9"/>
            <color indexed="81"/>
            <rFont val="Tahoma"/>
            <family val="2"/>
          </rPr>
          <t>support cuivre sur secours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6" authorId="0" shapeId="0" xr:uid="{E7AAD420-1D5F-4BBF-BD49-6FA4A6125B9C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16" authorId="0" shapeId="0" xr:uid="{87C74DDF-3EC6-4003-8C66-4D098968ED1C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7" authorId="0" shapeId="0" xr:uid="{9F5CA4D6-AB46-4DB9-8F12-7EBDEC4B0FCE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117" authorId="0" shapeId="0" xr:uid="{FCE2C077-3C79-4357-A0ED-C0220424B420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C147" authorId="0" shapeId="0" xr:uid="{B1EFAB1A-8786-4767-B6C4-8826323E527E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47" authorId="0" shapeId="0" xr:uid="{6A4F6768-CC9A-4418-97BE-485044B21B86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8" authorId="0" shapeId="0" xr:uid="{597C47D7-F4DB-45FA-8AEF-C292452310A3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48" authorId="0" shapeId="0" xr:uid="{7EF2E279-F2CF-4D5F-95C3-B433E7FF273E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9" authorId="0" shapeId="0" xr:uid="{49FEEC97-66B0-4129-B535-5C55F59ACCC9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149" authorId="0" shapeId="0" xr:uid="{B2474ED0-B840-455C-AF3D-F6046D51C0E7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C150" authorId="0" shapeId="0" xr:uid="{19B36FB5-79D0-4614-9C08-D6B7AB582B29}">
      <text>
        <r>
          <rPr>
            <sz val="9"/>
            <color indexed="81"/>
            <rFont val="Tahoma"/>
            <family val="2"/>
          </rPr>
          <t>Support cuivre</t>
        </r>
      </text>
    </comment>
    <comment ref="K150" authorId="0" shapeId="0" xr:uid="{700A9DFB-F654-4BEB-A244-146294565BAD}">
      <text>
        <r>
          <rPr>
            <sz val="9"/>
            <color indexed="81"/>
            <rFont val="Tahoma"/>
            <family val="2"/>
          </rPr>
          <t>Support cuivre</t>
        </r>
      </text>
    </comment>
    <comment ref="C151" authorId="0" shapeId="0" xr:uid="{72BCB93B-2C81-4DA4-97A3-C9D5E84DBAF3}">
      <text>
        <r>
          <rPr>
            <b/>
            <sz val="9"/>
            <color indexed="81"/>
            <rFont val="Tahoma"/>
            <family val="2"/>
          </rPr>
          <t xml:space="preserve">Support cuivre sur secours
</t>
        </r>
      </text>
    </comment>
    <comment ref="K151" authorId="0" shapeId="0" xr:uid="{F69B0EC8-32E1-48A1-B028-CF1B5F3122B1}">
      <text>
        <r>
          <rPr>
            <b/>
            <sz val="9"/>
            <color indexed="81"/>
            <rFont val="Tahoma"/>
            <family val="2"/>
          </rPr>
          <t xml:space="preserve">Support cuivre sur secours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Orange Business</author>
  </authors>
  <commentList>
    <comment ref="D6" authorId="0" shapeId="0" xr:uid="{ABBCE145-AFB4-4163-A897-BD40BFBA0831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6" authorId="0" shapeId="0" xr:uid="{29744AF2-2352-40A8-93F5-A447DFB5FFAA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D28" authorId="0" shapeId="0" xr:uid="{D0520188-9EFA-403C-9E1B-458CA0016120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28" authorId="0" shapeId="0" xr:uid="{05874FB0-A2CC-421E-B004-78EF5D4A815C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D29" authorId="0" shapeId="0" xr:uid="{E824321C-AA7F-43EE-B392-EBD5AAAFE5F1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29" authorId="0" shapeId="0" xr:uid="{2839FF91-8C9C-4D0F-9895-61E34ABC1FE6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D38" authorId="0" shapeId="0" xr:uid="{D1B355E8-4C51-4247-92A3-966ACCF55B46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K38" authorId="0" shapeId="0" xr:uid="{0056465D-9410-4AC2-9C55-498391BC8B59}">
      <text>
        <r>
          <rPr>
            <b/>
            <sz val="9"/>
            <color indexed="81"/>
            <rFont val="Tahoma"/>
            <family val="2"/>
          </rPr>
          <t>Support cuivre</t>
        </r>
      </text>
    </comment>
    <comment ref="D39" authorId="0" shapeId="0" xr:uid="{64E61C4E-2681-4ED4-A26E-01D15FEE25B4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9" authorId="0" shapeId="0" xr:uid="{01F3E7C0-1A2B-40BC-BA9C-B374FA8043CF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0" authorId="0" shapeId="0" xr:uid="{C7EEDD13-1480-4823-B0A6-A6C26421669C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0" authorId="0" shapeId="0" xr:uid="{C4EF8C79-CC09-43E5-B5DE-1B9FB863EDF5}">
      <text>
        <r>
          <rPr>
            <b/>
            <sz val="9"/>
            <color indexed="81"/>
            <rFont val="Tahoma"/>
            <family val="2"/>
          </rPr>
          <t>Support cuivre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1" authorId="0" shapeId="0" xr:uid="{69D9122F-CF92-4795-9A90-668C884D2CAB}">
      <text>
        <r>
          <rPr>
            <b/>
            <sz val="9"/>
            <color indexed="81"/>
            <rFont val="Tahoma"/>
            <family val="2"/>
          </rPr>
          <t xml:space="preserve">Support cuivre sur secours
</t>
        </r>
      </text>
    </comment>
    <comment ref="K41" authorId="0" shapeId="0" xr:uid="{DD16BE39-D45F-466A-AE71-2E2981BD530B}">
      <text>
        <r>
          <rPr>
            <b/>
            <sz val="9"/>
            <color indexed="81"/>
            <rFont val="Tahoma"/>
            <family val="2"/>
          </rPr>
          <t xml:space="preserve">Support cuivre sur secours
</t>
        </r>
      </text>
    </comment>
  </commentList>
</comments>
</file>

<file path=xl/sharedStrings.xml><?xml version="1.0" encoding="utf-8"?>
<sst xmlns="http://schemas.openxmlformats.org/spreadsheetml/2006/main" count="18428" uniqueCount="3851">
  <si>
    <t>Numéro Client - CPT</t>
  </si>
  <si>
    <t>Numéro De Compte - CPT</t>
  </si>
  <si>
    <t>Numéro Sous Compte (N° Contrat) - CTR</t>
  </si>
  <si>
    <t>raison sociale Titulaire - CPT</t>
  </si>
  <si>
    <t>n° SIREN Titulaire - CPT</t>
  </si>
  <si>
    <t>Catégorie de Compte (Code) - CPT</t>
  </si>
  <si>
    <t>Facture triée par - CPT</t>
  </si>
  <si>
    <t>Déploiement/Projet - CMDE</t>
  </si>
  <si>
    <t>Raison Sociale RESP FACT - CPT</t>
  </si>
  <si>
    <t>SIT- Identifiant de site</t>
  </si>
  <si>
    <t>SIT- Nom du site</t>
  </si>
  <si>
    <t>est-ce qu'il existe dans commande ?</t>
  </si>
  <si>
    <t>Code Etat service - SVC</t>
  </si>
  <si>
    <t>Code Action Version Service - VSV</t>
  </si>
  <si>
    <t>Code Etat Version de Service - VSV</t>
  </si>
  <si>
    <t>Date debut etat facturable - SVC</t>
  </si>
  <si>
    <t>Date MEF du service - VSV</t>
  </si>
  <si>
    <t>vérification date de facturation  VSV</t>
  </si>
  <si>
    <t>change ou création ?</t>
  </si>
  <si>
    <t>Raison sociale - SATSIT</t>
  </si>
  <si>
    <t>Adresse – SATSIT</t>
  </si>
  <si>
    <t>Code Postal – SATSIT</t>
  </si>
  <si>
    <t>Bureau Distributeur – SATSIT</t>
  </si>
  <si>
    <t>Pays – SATSIT</t>
  </si>
  <si>
    <t>N° service profil</t>
  </si>
  <si>
    <t>Libellé Type de Service - SVC</t>
  </si>
  <si>
    <t>Libellé référence de service - VSV</t>
  </si>
  <si>
    <t>BIZ - Niveau de disponibilité (lb)</t>
  </si>
  <si>
    <t>BIZ - All Inclusive</t>
  </si>
  <si>
    <t>BIZ - Num Tel Ligne Xdsl</t>
  </si>
  <si>
    <t>N° service Intranet</t>
  </si>
  <si>
    <t>Bande passante</t>
  </si>
  <si>
    <t>Activation WLAN</t>
  </si>
  <si>
    <t>Configuration IP site client</t>
  </si>
  <si>
    <t>Connectivité DOM Métropole</t>
  </si>
  <si>
    <t>Option Fibre Optique</t>
  </si>
  <si>
    <t>Zone tarifaire</t>
  </si>
  <si>
    <t>Type d'offre</t>
  </si>
  <si>
    <t>BIZ - Option Très Sécurisé</t>
  </si>
  <si>
    <t>N° prest racc sécu</t>
  </si>
  <si>
    <t>N° sce voix</t>
  </si>
  <si>
    <t>Lib réf sce voix</t>
  </si>
  <si>
    <t>Nb canaux voix</t>
  </si>
  <si>
    <t>Optimisation</t>
  </si>
  <si>
    <t>Proactivité</t>
  </si>
  <si>
    <t>Disponibilité</t>
  </si>
  <si>
    <t>Performance</t>
  </si>
  <si>
    <t>Option GTR</t>
  </si>
  <si>
    <t>GTR spécifique</t>
  </si>
  <si>
    <t>vérif GTR</t>
  </si>
  <si>
    <t>Architecture retenue</t>
  </si>
  <si>
    <t>Commentaire DC - VSV</t>
  </si>
  <si>
    <t>Commentaire DC pour DO - VSV</t>
  </si>
  <si>
    <t>06565</t>
  </si>
  <si>
    <t>0656500</t>
  </si>
  <si>
    <t>065650000</t>
  </si>
  <si>
    <t>ELECTRICITE DE FRANCE</t>
  </si>
  <si>
    <t>552081317</t>
  </si>
  <si>
    <t>RSR</t>
  </si>
  <si>
    <t>4</t>
  </si>
  <si>
    <t>N</t>
  </si>
  <si>
    <t>EDF</t>
  </si>
  <si>
    <t>1690509</t>
  </si>
  <si>
    <t>92COLO011AOG</t>
  </si>
  <si>
    <t>PARC</t>
  </si>
  <si>
    <t>MODIFICATION</t>
  </si>
  <si>
    <t>420 RUE D ESTIENNE D ORVES</t>
  </si>
  <si>
    <t>92700</t>
  </si>
  <si>
    <t>COLOMBES</t>
  </si>
  <si>
    <t>F</t>
  </si>
  <si>
    <t>0024288800</t>
  </si>
  <si>
    <t>Corporate</t>
  </si>
  <si>
    <t>Corporate routeurs à la carte nominal et secours</t>
  </si>
  <si>
    <t>Dual back-up</t>
  </si>
  <si>
    <t>NON</t>
  </si>
  <si>
    <t>0024288810</t>
  </si>
  <si>
    <t>OUI</t>
  </si>
  <si>
    <t>Non</t>
  </si>
  <si>
    <t>ZD</t>
  </si>
  <si>
    <t>OSM</t>
  </si>
  <si>
    <t>0024288821</t>
  </si>
  <si>
    <t>Voix unmanaged</t>
  </si>
  <si>
    <t>3600</t>
  </si>
  <si>
    <t>Optimisation WAN</t>
  </si>
  <si>
    <t>Proactivité WAN (24hx7j)</t>
  </si>
  <si>
    <t>performance (site source)</t>
  </si>
  <si>
    <t>Nominal InterLan 1.0 Secours InterLan 1.0</t>
  </si>
  <si>
    <t>MODIF POUR SUPPRESSION DES SUBVPN + MODIF NB CANAUX VOIX ET AJUSTEMENT MODULES ROUTEURS  GC2 LB EFORCE 25408406  &lt;0024533980 : résiliation usage Sub VPN perenne (SUBPER01) - RESIL SHTEE Résiliation totale (sans qualification)&gt;  &lt;0024533987 : résiliation usage Sub VPN classique (SUBCLA01) - RESIL SHTEE Résiliation totale (sans qualification)&gt;</t>
  </si>
  <si>
    <t>0024236430</t>
  </si>
  <si>
    <t>EDF RNG</t>
  </si>
  <si>
    <t>1690648</t>
  </si>
  <si>
    <t>20AJAC011AOG</t>
  </si>
  <si>
    <t>CALDANICCIA</t>
  </si>
  <si>
    <t>20167</t>
  </si>
  <si>
    <t>SARROLA CARCOPINO</t>
  </si>
  <si>
    <t>0024288795</t>
  </si>
  <si>
    <t>0024288805</t>
  </si>
  <si>
    <t>ZU</t>
  </si>
  <si>
    <t>0024288815</t>
  </si>
  <si>
    <t>550</t>
  </si>
  <si>
    <t>Nominal InterLan 1.0 Secours C2E Fibre</t>
  </si>
  <si>
    <t xml:space="preserve">FAST UPGRADE. ÉLIGIBILITE TESTEE AUTOMATIQUEMENT (PAS DE FICHIER CREOL).   - REFERENCE SWAN T405207856  - DDP A ROUTER VERS SPN  - N.B   LE CLIENT A DEMANDE A ETRE CONTACTE JUSTE AVANT LA REALISATION  </t>
  </si>
  <si>
    <t>1690672</t>
  </si>
  <si>
    <t>75PARI011AOG</t>
  </si>
  <si>
    <t>EN COURS</t>
  </si>
  <si>
    <t>81 RUE D AVRON</t>
  </si>
  <si>
    <t>75020</t>
  </si>
  <si>
    <t>PARIS</t>
  </si>
  <si>
    <t>0024288799</t>
  </si>
  <si>
    <t>0024288809</t>
  </si>
  <si>
    <t>0024288820</t>
  </si>
  <si>
    <t>1690674</t>
  </si>
  <si>
    <t>54MAXE011AOG</t>
  </si>
  <si>
    <t>16 RUE ALBERT EINSTEIN</t>
  </si>
  <si>
    <t>54320</t>
  </si>
  <si>
    <t>MAXEVILLE</t>
  </si>
  <si>
    <t>0024288797</t>
  </si>
  <si>
    <t>0024288807</t>
  </si>
  <si>
    <t>0024288818</t>
  </si>
  <si>
    <t>2600</t>
  </si>
  <si>
    <t xml:space="preserve">GTR 4H S1 sur Profil Corporate Dual Backup ou Dual Load-Balancing </t>
  </si>
  <si>
    <t>FAST UPGRADE. ÉLIGIBILITE TESTEE AUTOMATIQUEMENT (PAS DE FICHIER CREOL).   REFERENCE SWAN T301185170  DDP A ROUTER VERS SPN</t>
  </si>
  <si>
    <t>1690724</t>
  </si>
  <si>
    <t>97LAME011AOG</t>
  </si>
  <si>
    <t>LOT PETIT MORNE</t>
  </si>
  <si>
    <t>97232</t>
  </si>
  <si>
    <t>LE LAMENTIN</t>
  </si>
  <si>
    <t>0024288801</t>
  </si>
  <si>
    <t>0024288811</t>
  </si>
  <si>
    <t>0024288822</t>
  </si>
  <si>
    <t>120</t>
  </si>
  <si>
    <t>1E</t>
  </si>
  <si>
    <t>AJOUT MODULE ROUTEUR  EF 24937034  SCM MN</t>
  </si>
  <si>
    <t>1690729</t>
  </si>
  <si>
    <t>97MATO011AOG</t>
  </si>
  <si>
    <t>RTE DU LARIVOT</t>
  </si>
  <si>
    <t>97351</t>
  </si>
  <si>
    <t>MATOURY</t>
  </si>
  <si>
    <t>0024288802</t>
  </si>
  <si>
    <t>0024288812</t>
  </si>
  <si>
    <t>option fibre optique sur accès nominal et secours</t>
  </si>
  <si>
    <t>0024288823</t>
  </si>
  <si>
    <t>180</t>
  </si>
  <si>
    <t>Nominal C2E Fibre Secours C2E Fibre</t>
  </si>
  <si>
    <t xml:space="preserve">12/04/2022 - REMPLACEMENT MODULE SQ2V PAR SQ3J + AJOUT MODULE ACFE SANS RELANCE DE DDP CAR REGUL SI  SCM NICOLE   UPGRADE A 10M + CHANGEMENT DE ROUTEUR + OPTION FIBRE + MODIFICATION NB CANAUX VOIX  EF 23056806  SCM TP </t>
  </si>
  <si>
    <t>1691938</t>
  </si>
  <si>
    <t>97MORN011AOG</t>
  </si>
  <si>
    <t>SECTION ESPERANCE</t>
  </si>
  <si>
    <t>97111</t>
  </si>
  <si>
    <t>MORNE A L EAU</t>
  </si>
  <si>
    <t>0024288803</t>
  </si>
  <si>
    <t>0024288813</t>
  </si>
  <si>
    <t>STANDARD</t>
  </si>
  <si>
    <t>0024288824</t>
  </si>
  <si>
    <t>100</t>
  </si>
  <si>
    <t>DEMANDE D'UPGRADE DE 2 A 6 MBPS  CHANGEMENT DE ROUTEUR   PASSAGE EN FIBRE NECESSAIRE  EF 23199541 SCM CC</t>
  </si>
  <si>
    <t>1696330</t>
  </si>
  <si>
    <t>27VALD012AOP</t>
  </si>
  <si>
    <t>2 VOIE DE L OREE</t>
  </si>
  <si>
    <t>27100</t>
  </si>
  <si>
    <t>VAL DE REUIL</t>
  </si>
  <si>
    <t>0024301303</t>
  </si>
  <si>
    <t>DUAL LOAD BALANCING</t>
  </si>
  <si>
    <t>0178667898</t>
  </si>
  <si>
    <t>0024301313</t>
  </si>
  <si>
    <t>ZND</t>
  </si>
  <si>
    <t>RS3</t>
  </si>
  <si>
    <t>0020VUY2</t>
  </si>
  <si>
    <t>0024301321</t>
  </si>
  <si>
    <t>30000</t>
  </si>
  <si>
    <t>GTR S1 2H pour Corporate Standard ou Dual fibre avec RS3</t>
  </si>
  <si>
    <t>UPGRADE DES VRF A 6G  GC2 TP  EF 24942976</t>
  </si>
  <si>
    <t>1696363</t>
  </si>
  <si>
    <t>27PACY012AOP</t>
  </si>
  <si>
    <t>RUE EDOUARD ISAMBARD</t>
  </si>
  <si>
    <t>27120</t>
  </si>
  <si>
    <t>PACY SUR EURE</t>
  </si>
  <si>
    <t>0024302031</t>
  </si>
  <si>
    <t>0232249200</t>
  </si>
  <si>
    <t>0024302032</t>
  </si>
  <si>
    <t>0024302046</t>
  </si>
  <si>
    <t>CORRECTION SUBVPN INTERNE 0024302059 QUI DOIT ETRE A 5G  EF 25253298  CG2 MN</t>
  </si>
  <si>
    <t>1705898</t>
  </si>
  <si>
    <t>16ISLE011AOG</t>
  </si>
  <si>
    <t>BD SALVADOR ALLENDE</t>
  </si>
  <si>
    <t>16340</t>
  </si>
  <si>
    <t>L ISLE D ESPAGNAC</t>
  </si>
  <si>
    <t>0024365320</t>
  </si>
  <si>
    <t>0024365338</t>
  </si>
  <si>
    <t>0024365340</t>
  </si>
  <si>
    <t>600</t>
  </si>
  <si>
    <t>FAST UPGRADE. ÉLIGIBILITE TESTEE AUTOMATIQUEMENT (PAS DE FICHIER CREOL).   - REFERENCE SWAN    T411230579  - DDP A ROUTER VERS SPN</t>
  </si>
  <si>
    <t>1705900</t>
  </si>
  <si>
    <t>33BORD011AOG</t>
  </si>
  <si>
    <t>208 AV EMILE COUNORD</t>
  </si>
  <si>
    <t>33300</t>
  </si>
  <si>
    <t>BORDEAUX</t>
  </si>
  <si>
    <t>0024365321</t>
  </si>
  <si>
    <t>0024365339</t>
  </si>
  <si>
    <t>0024365341</t>
  </si>
  <si>
    <t>1800</t>
  </si>
  <si>
    <t>RENOMMAGE DE SITE AVEC CHGT DE HOSTNAME ET SUPPRESSION DU  RS3 SUITE RESIL DE LA PRESTA 0043JFC7 AU 10/12/24  GC2 LB EFORCE 25410419</t>
  </si>
  <si>
    <t>1705914</t>
  </si>
  <si>
    <t>38STGE011AOS</t>
  </si>
  <si>
    <t>RUE DES ISLES</t>
  </si>
  <si>
    <t>38450</t>
  </si>
  <si>
    <t>ST GEORGES DE COMMIERS</t>
  </si>
  <si>
    <t>0024358315</t>
  </si>
  <si>
    <t>0024358324</t>
  </si>
  <si>
    <t>0024358334</t>
  </si>
  <si>
    <t>900</t>
  </si>
  <si>
    <t xml:space="preserve">-FAST UPGRADE. ÉLIGIBILITE TESTEE AUTOMATIQUEMENT (PAS DE FICHIER CREOL).   - REFERENCE SWAN T507109338  - DDP A ROUTER VERS SPN   </t>
  </si>
  <si>
    <t>1705922</t>
  </si>
  <si>
    <t>38STJE011AOB</t>
  </si>
  <si>
    <t>536 RTE DU PONT DE COGNET</t>
  </si>
  <si>
    <t>38710</t>
  </si>
  <si>
    <t>ST JEAN D HERANS</t>
  </si>
  <si>
    <t>0024358361</t>
  </si>
  <si>
    <t>Corporate routeur à la carte</t>
  </si>
  <si>
    <t>0024358363</t>
  </si>
  <si>
    <t>Non Applicable</t>
  </si>
  <si>
    <t>0025838295</t>
  </si>
  <si>
    <t>350</t>
  </si>
  <si>
    <t>Nominal FTTE Actif Optimum sans Secours</t>
  </si>
  <si>
    <t>1705923</t>
  </si>
  <si>
    <t>43MONI011AOG</t>
  </si>
  <si>
    <t>6 BD PIERRE VANEAU</t>
  </si>
  <si>
    <t>43120</t>
  </si>
  <si>
    <t>MONISTROL SUR LOIRE</t>
  </si>
  <si>
    <t>0024358316</t>
  </si>
  <si>
    <t>0024358325</t>
  </si>
  <si>
    <t>0024358335</t>
  </si>
  <si>
    <t>EDF RIN5 / SUPPRESSION GTRS1 VU RSC DAVID LEROYER 30/09/2019 - MODIFICATION DE LA DATE CONTRACTUELLE DU SERVICE 25/11/2019 - MODIFICATION DE LA DATE CONTRACTUELLE DU SERVICE 05/12/2019 - MODIFICATION DE LA DATE CONTRACTUELLE DU SERVICE</t>
  </si>
  <si>
    <t>1705928</t>
  </si>
  <si>
    <t>59MARL011AOG</t>
  </si>
  <si>
    <t>178 RUE DE SAINT SAULVE</t>
  </si>
  <si>
    <t>59770</t>
  </si>
  <si>
    <t>MARLY</t>
  </si>
  <si>
    <t>0024358318</t>
  </si>
  <si>
    <t>0024358328</t>
  </si>
  <si>
    <t>0024358337</t>
  </si>
  <si>
    <t>RETRAIT OPTION GTRS1  EF 21191049  SCM TP  23/06/2020 - MODIFICATION DE LA DATE CONTRACTUELLE DU SERVICE 14/08/2020 - MODIFICATION DE LA DATE CONTRACTUELLE DU SERVICE 14/09/2020 - MODIFICATION DE LA DATE CONTRACTUELLE DU SERVICE</t>
  </si>
  <si>
    <t>1705933</t>
  </si>
  <si>
    <t>66PRAT011AOG</t>
  </si>
  <si>
    <t>RTE DE L USINE</t>
  </si>
  <si>
    <t>66230</t>
  </si>
  <si>
    <t>PRATS DE MOLLO LA PRESTE</t>
  </si>
  <si>
    <t>0024358319</t>
  </si>
  <si>
    <t>0024358329</t>
  </si>
  <si>
    <t>0024358338</t>
  </si>
  <si>
    <t xml:space="preserve">-FAST UPGRADE. ÉLIGIBILITE TESTEE AUTOMATIQUEMENT (PAS DE FICHIER CREOL).   - REFERENCE SWAN T503129980  - DDP A ROUTER VERS SPN   </t>
  </si>
  <si>
    <t>1705936</t>
  </si>
  <si>
    <t>77LIEU011AOG</t>
  </si>
  <si>
    <t>8 POINTS DE VUE</t>
  </si>
  <si>
    <t>77127</t>
  </si>
  <si>
    <t>LIEUSAINT</t>
  </si>
  <si>
    <t>0024358320</t>
  </si>
  <si>
    <t>0024358330</t>
  </si>
  <si>
    <t>0024358339</t>
  </si>
  <si>
    <t>&lt;0024358330 : modification usage Intranet&gt;</t>
  </si>
  <si>
    <t>1705940</t>
  </si>
  <si>
    <t>78CHAT011AOG</t>
  </si>
  <si>
    <t>6 QUAI WATTIER</t>
  </si>
  <si>
    <t>78400</t>
  </si>
  <si>
    <t>CHATOU</t>
  </si>
  <si>
    <t>0024358321</t>
  </si>
  <si>
    <t>0024358331</t>
  </si>
  <si>
    <t>0024358340</t>
  </si>
  <si>
    <t>ROUTRAC - PROJET INTERNE MCO FACTORY COMET V10 / SU CD0BGXX063 / RECONSTRUCTION ACCES EN LOCAL ETHERNET / VERS POP SARTROUVILLE / PRESTA NOMINAL EXISTANTE 0043KKH4 / ROUTEUR NOMINAL A REMPLACER PAR ISR4351/K9 / POUR TOUT INFORMATION OU BLOCAGE MERCI DE CONTACTER COMET.MRU@ORANGE.COM + A METTRE COMET V10 EN OBJET POUR PRISE EN COMPTE RAPIDE PAR L'EQUIPE MRU  FARREL MADA</t>
  </si>
  <si>
    <t>1705942</t>
  </si>
  <si>
    <t>93STOU011AOP</t>
  </si>
  <si>
    <t>RUE MOREL</t>
  </si>
  <si>
    <t>93400</t>
  </si>
  <si>
    <t>ST OUEN SUR SEINE</t>
  </si>
  <si>
    <t>0024365323</t>
  </si>
  <si>
    <t>0024365351</t>
  </si>
  <si>
    <t>0043JFC6</t>
  </si>
  <si>
    <t>0024365342</t>
  </si>
  <si>
    <t>15000</t>
  </si>
  <si>
    <t>150 Mb/s</t>
  </si>
  <si>
    <t xml:space="preserve">-FAST UPGRADE. ÉLIGIBILITE TESTEE AUTOMATIQUEMENT (PAS DE FICHIER CREOL).   - REFERENCE SWAN T510188961  - DDP A ROUTER VERS SPN </t>
  </si>
  <si>
    <t>1705947</t>
  </si>
  <si>
    <t>35CESS011AOP</t>
  </si>
  <si>
    <t>3 AV DE BELLE FONTAINE</t>
  </si>
  <si>
    <t>35510</t>
  </si>
  <si>
    <t>CESSON SEVIGNE</t>
  </si>
  <si>
    <t>0024358313</t>
  </si>
  <si>
    <t>0024358322</t>
  </si>
  <si>
    <t>0043JFY7</t>
  </si>
  <si>
    <t>0024358332</t>
  </si>
  <si>
    <t xml:space="preserve">Proactivité WAN (8h-18h) </t>
  </si>
  <si>
    <t>PASSAGE EN PROACTIVITE 8-18  LE CLIENT NE VEUT PAS DE GTRS1 MALGRE SON RS3 ET LA MODELISATION DE L'OFFRE  DEMANDE SOPHIE BAUDRY  EF25053338</t>
  </si>
  <si>
    <t>1705957</t>
  </si>
  <si>
    <t>36CUZI011AOS</t>
  </si>
  <si>
    <t>4 RUE DES PETITES COTES</t>
  </si>
  <si>
    <t>36190</t>
  </si>
  <si>
    <t>CUZION</t>
  </si>
  <si>
    <t>0024358314</t>
  </si>
  <si>
    <t>0024358323</t>
  </si>
  <si>
    <t>0024358333</t>
  </si>
  <si>
    <t xml:space="preserve">-FAST UPGRADE. ÉLIGIBILITE TESTEE AUTOMATIQUEMENT (PAS DE FICHIER CREOL).   - REFERENCE SWAN T509230581  - DDP A ROUTER VERS SPN   </t>
  </si>
  <si>
    <t>1715491</t>
  </si>
  <si>
    <t>13MARS021AOP</t>
  </si>
  <si>
    <t>7 RUE ANDRE ALLAR</t>
  </si>
  <si>
    <t>13015</t>
  </si>
  <si>
    <t>MARSEILLE</t>
  </si>
  <si>
    <t>0024432351</t>
  </si>
  <si>
    <t>0024432352</t>
  </si>
  <si>
    <t>0043SZN4</t>
  </si>
  <si>
    <t>0024432353</t>
  </si>
  <si>
    <t>2000</t>
  </si>
  <si>
    <t>1715492</t>
  </si>
  <si>
    <t>19ARGE011AOG</t>
  </si>
  <si>
    <t>15 RUE LOUIS BESSOU</t>
  </si>
  <si>
    <t>19400</t>
  </si>
  <si>
    <t>ARGENTAT SUR DORDOGNE</t>
  </si>
  <si>
    <t>0024408580</t>
  </si>
  <si>
    <t>0024408592</t>
  </si>
  <si>
    <t>0024408604</t>
  </si>
  <si>
    <t>UPGRADE A 20M ET MODIFICATION NB CANAUX VOIX  EF 25624162  GC2 MN</t>
  </si>
  <si>
    <t>1715494</t>
  </si>
  <si>
    <t>33CENO011AOG</t>
  </si>
  <si>
    <t>4 RUE RENE MARTRENCHAR</t>
  </si>
  <si>
    <t>33150</t>
  </si>
  <si>
    <t>CENON</t>
  </si>
  <si>
    <t>0024426918</t>
  </si>
  <si>
    <t>0024426925</t>
  </si>
  <si>
    <t>0024426930</t>
  </si>
  <si>
    <t>RETRAIT OPTION GTRS1  EF 21191049  SCM TP  23/06/2020 - MODIFICATION DE LA DATE CONTRACTUELLE DU SERVICE</t>
  </si>
  <si>
    <t>1715496</t>
  </si>
  <si>
    <t>39LONS011AOG</t>
  </si>
  <si>
    <t>325 RUE BERCAILLE</t>
  </si>
  <si>
    <t>39000</t>
  </si>
  <si>
    <t>LONS LE SAUNIER</t>
  </si>
  <si>
    <t>0024408673</t>
  </si>
  <si>
    <t>0024408690</t>
  </si>
  <si>
    <t>0024408708</t>
  </si>
  <si>
    <t xml:space="preserve">-FAST UPGRADE. ÉLIGIBILITE TESTEE AUTOMATIQUEMENT (PAS DE FICHIER CREOL).   - REFERENCE SWAN T409177392  - DDP A ROUTER VERS SPN   </t>
  </si>
  <si>
    <t>1715497</t>
  </si>
  <si>
    <t>46LUZE011AOG</t>
  </si>
  <si>
    <t>QUAI EMILE GIRONDE</t>
  </si>
  <si>
    <t>46140</t>
  </si>
  <si>
    <t>LUZECH</t>
  </si>
  <si>
    <t>0024408676</t>
  </si>
  <si>
    <t>0024408695</t>
  </si>
  <si>
    <t>0024408712</t>
  </si>
  <si>
    <t>UPGRADE DU SITE DE 10M A 20M + PASSAGE A 350 CANAUX VOIX  EF 24865109  SCM TP</t>
  </si>
  <si>
    <t>1715498</t>
  </si>
  <si>
    <t>50LESP021AOB</t>
  </si>
  <si>
    <t>17 RUE DE LA TRAINELLERIE</t>
  </si>
  <si>
    <t>50340</t>
  </si>
  <si>
    <t>LES PIEUX</t>
  </si>
  <si>
    <t>0024408678</t>
  </si>
  <si>
    <t>0024408696</t>
  </si>
  <si>
    <t>0024408713</t>
  </si>
  <si>
    <t>Nominal C2E Fibre sans Secours</t>
  </si>
  <si>
    <t xml:space="preserve">FAST UPGRADE. ÉLIGIBILITE TESTEE AUTOMATIQUEMENT (PAS DE FICHIER CREOL).   - REFERENCE SWAN    T211180399  - DDP A ROUTER VERS SPN  </t>
  </si>
  <si>
    <t>1715499</t>
  </si>
  <si>
    <t>52BETT011AOG</t>
  </si>
  <si>
    <t>RUE MARGUERITE PEREY</t>
  </si>
  <si>
    <t>52100</t>
  </si>
  <si>
    <t>BETTANCOURT LA FERREE</t>
  </si>
  <si>
    <t>0024408679</t>
  </si>
  <si>
    <t>0024408698</t>
  </si>
  <si>
    <t>0024408714</t>
  </si>
  <si>
    <t>EDF RIN5 / SUPPRESSION GTRS1 VU RSC DAVID LEROYER 30/09/2019 - MODIFICATION DE LA DATE CONTRACTUELLE DU SERVICE 03/12/2019 - MODIFICATION DE LA DATE CONTRACTUELLE DU SERVICE</t>
  </si>
  <si>
    <t>1715500</t>
  </si>
  <si>
    <t>57LAMA011AOG</t>
  </si>
  <si>
    <t>4 RUE DE THURY</t>
  </si>
  <si>
    <t>57140</t>
  </si>
  <si>
    <t>LA MAXE</t>
  </si>
  <si>
    <t>0024408680</t>
  </si>
  <si>
    <t>0024408699</t>
  </si>
  <si>
    <t>0024408715</t>
  </si>
  <si>
    <t>MODIFCDP - 20/04 CORRECTION NOM DE SITE SUITE MAIL DU CDP, SCM TP   UPGRADE DE 20 A 50M + CHNGT ROUTEUR + MODIF CANAUX VOIX  EF 24123219  SCM TP</t>
  </si>
  <si>
    <t>1715502</t>
  </si>
  <si>
    <t>59GRAV021AOB</t>
  </si>
  <si>
    <t>RUE DES 3 FERMES</t>
  </si>
  <si>
    <t>59820</t>
  </si>
  <si>
    <t>GRAVELINES</t>
  </si>
  <si>
    <t>0024408686</t>
  </si>
  <si>
    <t>0024408705</t>
  </si>
  <si>
    <t>option fibre optique sur accès nominal</t>
  </si>
  <si>
    <t>0024408719</t>
  </si>
  <si>
    <t>UPGRADE A 10M ET AUGMENTATION DES CANAUX VOIX   IL S AGIT D UNE REGULARISATION DI SI SATIN LE NECESSAIRE EST DEJA FAIT COTE PROD PAS BESOIN DE COLLECTO  EF 24521836  SCM MN</t>
  </si>
  <si>
    <t>1715503</t>
  </si>
  <si>
    <t>59MARC011AOG</t>
  </si>
  <si>
    <t>125 RUE NATIONALE</t>
  </si>
  <si>
    <t>59700</t>
  </si>
  <si>
    <t>MARCQ EN BAROEUL</t>
  </si>
  <si>
    <t>0024408688</t>
  </si>
  <si>
    <t>0024408706</t>
  </si>
  <si>
    <t>0024408720</t>
  </si>
  <si>
    <t>RETRAIT OPTION GTRS1  EF 21191049  SCM TP  23/06/2020 - MODIFICATION DE LA DATE CONTRACTUELLE DU SERVICE 14/08/2020 - MODIFICATION DE LA DATE CONTRACTUELLE DU SERVICE</t>
  </si>
  <si>
    <t>1715505</t>
  </si>
  <si>
    <t>59VILL011AOP</t>
  </si>
  <si>
    <t>5 PL DE VALMY</t>
  </si>
  <si>
    <t>59650</t>
  </si>
  <si>
    <t>VILLENEUVE D ASCQ</t>
  </si>
  <si>
    <t>0024426922</t>
  </si>
  <si>
    <t>0024427053</t>
  </si>
  <si>
    <t>0043SXG3</t>
  </si>
  <si>
    <t>0024426933</t>
  </si>
  <si>
    <t>FAST UPGRADE. ÉLIGIBILITE TESTEE AUTOMATIQUEMENT (PAS DE FICHIER CREOL).   - REFERENCE SWAN T406197295  - DDP A ROUTER VERS SPN</t>
  </si>
  <si>
    <t>1715506</t>
  </si>
  <si>
    <t>63AUBI011AOG</t>
  </si>
  <si>
    <t>13 ALL ALAN TURING</t>
  </si>
  <si>
    <t>63170</t>
  </si>
  <si>
    <t>AUBIERE</t>
  </si>
  <si>
    <t>0024408745</t>
  </si>
  <si>
    <t>0024408757</t>
  </si>
  <si>
    <t>0024408770</t>
  </si>
  <si>
    <t>MERCI DE BIEN QUALIFIER UNE DDP IL S AGIT BIEN DE L AJOUT D UN CODE MODULE  EF 25952925  GC2 MN</t>
  </si>
  <si>
    <t>1715507</t>
  </si>
  <si>
    <t>64ANGL011AOG</t>
  </si>
  <si>
    <t>5 AV DE LA BUTTE AUX CAILLES</t>
  </si>
  <si>
    <t>64600</t>
  </si>
  <si>
    <t>ANGLET</t>
  </si>
  <si>
    <t>0024408746</t>
  </si>
  <si>
    <t>0024408759</t>
  </si>
  <si>
    <t>0024408771</t>
  </si>
  <si>
    <t>EDF RIN5 / SUPPRESSION GTRS1 VU RSC DAVID LEROYER 30/09/2019 - MODIFICATION DE LA DATE CONTRACTUELLE DU SERVICE 02/12/2019 - MODIFICATION DE LA DATE CONTRACTUELLE DU SERVICE 05/12/2019 - MODIFICATION DE LA DATE CONTRACTUELLE DU SERVICE</t>
  </si>
  <si>
    <t>1715509</t>
  </si>
  <si>
    <t>68MULH021AOG</t>
  </si>
  <si>
    <t>20 RUE DU PATURAGE</t>
  </si>
  <si>
    <t>68200</t>
  </si>
  <si>
    <t>MULHOUSE</t>
  </si>
  <si>
    <t>0024408749</t>
  </si>
  <si>
    <t>0024408762</t>
  </si>
  <si>
    <t>0024408773</t>
  </si>
  <si>
    <t>1715510</t>
  </si>
  <si>
    <t>71CHAL011AOG</t>
  </si>
  <si>
    <t>1 AV DE VERDUN</t>
  </si>
  <si>
    <t>71100</t>
  </si>
  <si>
    <t>CHALON SUR SAONE</t>
  </si>
  <si>
    <t>0024408750</t>
  </si>
  <si>
    <t>0024408763</t>
  </si>
  <si>
    <t>0024408774</t>
  </si>
  <si>
    <t>"PROJET COMET V4   SU CD0BUNAE61   NOMINAL  CREATION EN // DU ROUTEUR ET DE L'ACCES EN LOCAL ETHERNET VERS LE POP CHALON SUR SAONE MARAICHERS   SECOURS INCHANGE  CONTACT   CDP.COMET@ORANGE.COM"</t>
  </si>
  <si>
    <t>1715511</t>
  </si>
  <si>
    <t>71CHAL021AOB</t>
  </si>
  <si>
    <t>3 RUE GEORGES LAPIERRE</t>
  </si>
  <si>
    <t>0024408751</t>
  </si>
  <si>
    <t>0024408764</t>
  </si>
  <si>
    <t>0024408775</t>
  </si>
  <si>
    <t>30</t>
  </si>
  <si>
    <t>DOWNGRADE A 2M - ET MODIFICATION DES CANAUX VOIX  EF 25601678  GC2 MN</t>
  </si>
  <si>
    <t>1715512</t>
  </si>
  <si>
    <t>73ALBE021AOG</t>
  </si>
  <si>
    <t>675 CH DE LA CHARRETTE</t>
  </si>
  <si>
    <t>73200</t>
  </si>
  <si>
    <t>ALBERTVILLE</t>
  </si>
  <si>
    <t>0024474103</t>
  </si>
  <si>
    <t>0024474104</t>
  </si>
  <si>
    <t>0024474105</t>
  </si>
  <si>
    <t xml:space="preserve">-FAST UPGRADE. ÉLIGIBILITE TESTEE AUTOMATIQUEMENT (PAS DE FICHIER CREOL).   - REFERENCE SWAN T507109327  - DDP A ROUTER VERS SPN </t>
  </si>
  <si>
    <t>1715513</t>
  </si>
  <si>
    <t>73MOUT011AOG</t>
  </si>
  <si>
    <t>290 RUE DE L ELECTRICITE</t>
  </si>
  <si>
    <t>73600</t>
  </si>
  <si>
    <t>MOUTIERS TARENTAISE</t>
  </si>
  <si>
    <t>0024408754</t>
  </si>
  <si>
    <t>0024408767</t>
  </si>
  <si>
    <t>0024408778</t>
  </si>
  <si>
    <t xml:space="preserve">-FAST UPGRADE. ÉLIGIBILITE TESTEE AUTOMATIQUEMENT (PAS DE FICHIER CREOL).   - REFERENCE SWAN T410178948  - DDP A ROUTER VERS SPN </t>
  </si>
  <si>
    <t>1715514</t>
  </si>
  <si>
    <t>73MOUT021AOG</t>
  </si>
  <si>
    <t>135 RUE DE GASCOGNE</t>
  </si>
  <si>
    <t>0024408755</t>
  </si>
  <si>
    <t>0024408768</t>
  </si>
  <si>
    <t>0024408779</t>
  </si>
  <si>
    <t>UPGRADE A 50M ET MODIFICATION NB CANAUX VOIX  MODIFICATION DU ROUTEUR  MODIFICATION DU CONTACT SITE   EF 25793931  GC2 MN</t>
  </si>
  <si>
    <t>1715515</t>
  </si>
  <si>
    <t>76LEHA011AOB</t>
  </si>
  <si>
    <t>RTE DU MOLE CENTRAL</t>
  </si>
  <si>
    <t>76600</t>
  </si>
  <si>
    <t>LE HAVRE</t>
  </si>
  <si>
    <t>0024427007</t>
  </si>
  <si>
    <t>0024427010</t>
  </si>
  <si>
    <t>0024427013</t>
  </si>
  <si>
    <t>GTR 4H S1 sur Profil Corporate ou Corporate Always-on</t>
  </si>
  <si>
    <t>Nominal InterLan 1.0 sans Secours</t>
  </si>
  <si>
    <t xml:space="preserve"> MODIFICATION DU NOM DE SITE DE 76LEHA011AOP VERS 76LEHA011AOB + PASSAGE D UN ACCES DUAL TRES SECURISE A UN ACCES STANDARD + DOWNGRADE DE 100M A 30M + MODIFICATION DES CANAUX VOIX DE 1800 A 550 + PAS DE CHANGEMENT DE ROUTEUR  BDC EN PJ  EF 23288286  SCM TP</t>
  </si>
  <si>
    <t>1715519</t>
  </si>
  <si>
    <t>83TANN011AOG</t>
  </si>
  <si>
    <t>QUA LAC SAINT CASSIEN</t>
  </si>
  <si>
    <t>83440</t>
  </si>
  <si>
    <t>TANNERON</t>
  </si>
  <si>
    <t>0024451904</t>
  </si>
  <si>
    <t>0024451906</t>
  </si>
  <si>
    <t>0024451908</t>
  </si>
  <si>
    <t>UPGRADE DE 10M A 20M POUR REGULARISATION COMMANDE ET FACTURATION ET ROUTEUR  GC2 MN</t>
  </si>
  <si>
    <t>1715520</t>
  </si>
  <si>
    <t>87FEYT011AOG</t>
  </si>
  <si>
    <t>RUE LOUIS ARMAND</t>
  </si>
  <si>
    <t>87220</t>
  </si>
  <si>
    <t>FEYTIAT</t>
  </si>
  <si>
    <t>0024408811</t>
  </si>
  <si>
    <t>0024408822</t>
  </si>
  <si>
    <t>0024408832</t>
  </si>
  <si>
    <t xml:space="preserve">-FAST UPGRADE. ÉLIGIBILITE TESTEE AUTOMATIQUEMENT (PAS DE FICHIER CREOL).   - REFERENCE SWAN T505089617  - DDP A ROUTER VERS SPN </t>
  </si>
  <si>
    <t>1715521</t>
  </si>
  <si>
    <t>87LIMO011AOG</t>
  </si>
  <si>
    <t>53 AV DU ROUSSILLON</t>
  </si>
  <si>
    <t>87000</t>
  </si>
  <si>
    <t>LIMOGES</t>
  </si>
  <si>
    <t>0024408812</t>
  </si>
  <si>
    <t>0024408823</t>
  </si>
  <si>
    <t>0024408833</t>
  </si>
  <si>
    <t>40</t>
  </si>
  <si>
    <t>10</t>
  </si>
  <si>
    <t>1715522</t>
  </si>
  <si>
    <t>89DOME011AOS</t>
  </si>
  <si>
    <t>USI DE BOIS DE CURE</t>
  </si>
  <si>
    <t>89450</t>
  </si>
  <si>
    <t>DOMECY SUR CURE</t>
  </si>
  <si>
    <t>0024408815</t>
  </si>
  <si>
    <t>0024408824</t>
  </si>
  <si>
    <t>0024408834</t>
  </si>
  <si>
    <t>UPGARDE DU SITE DE 10M VERS 30M + AUGMENTATION CANAUX VOIX DE 180 VERS 550  GC2 TP  EF 25519063</t>
  </si>
  <si>
    <t>1715548</t>
  </si>
  <si>
    <t>07LESS011AOG</t>
  </si>
  <si>
    <t>CH DE LA RIVIERE</t>
  </si>
  <si>
    <t>07140</t>
  </si>
  <si>
    <t>LES SALELLES</t>
  </si>
  <si>
    <t>0024408573</t>
  </si>
  <si>
    <t>0024408585</t>
  </si>
  <si>
    <t>0024408596</t>
  </si>
  <si>
    <t>EDF RIN5 / SUPPRESSION GTRS1 VU RSC DAVID LEROYER 30/09/2019 - MODIFICATION DE LA DATE CONTRACTUELLE DU SERVICE 02/12/2019 - MODIFICATION DE LA DATE CONTRACTUELLE DU SERVICE</t>
  </si>
  <si>
    <t>1715551</t>
  </si>
  <si>
    <t>08ROCR011AOG</t>
  </si>
  <si>
    <t>HAM DE SAINT NICOLAS</t>
  </si>
  <si>
    <t>08230</t>
  </si>
  <si>
    <t>ROCROI</t>
  </si>
  <si>
    <t>0024408574</t>
  </si>
  <si>
    <t>0024408586</t>
  </si>
  <si>
    <t>0024408597</t>
  </si>
  <si>
    <t>SITE 08ROCR011AOG   ANNULATION DE LA DERNIERE COMMANDE EN COURS (AJOUT DE CODES MODULES ROUTEURS)  EF 21536588  SCM TP 07/10/2020 - MODIFICATION DE LA DATE CONTRACTUELLE DU SERVICE</t>
  </si>
  <si>
    <t>1715593</t>
  </si>
  <si>
    <t>97BAIE011AOG</t>
  </si>
  <si>
    <t>BD DE DESTRELLAN</t>
  </si>
  <si>
    <t>97122</t>
  </si>
  <si>
    <t>BAIE MAHAULT</t>
  </si>
  <si>
    <t>0024408818</t>
  </si>
  <si>
    <t>0024408827</t>
  </si>
  <si>
    <t>0024408837</t>
  </si>
  <si>
    <t>ERRADV   REPRISE SAISIE POUR CORRECTION ROUTEUR NOMINAL ET ROUTEUR SECOURS SCM LB  DEMANDE D'UPGRADE DE 6 A 10 MBPS      EF 23199541 SCM CC</t>
  </si>
  <si>
    <t>1715596</t>
  </si>
  <si>
    <t>12MURD011AOG</t>
  </si>
  <si>
    <t>RTE DE PLEAU</t>
  </si>
  <si>
    <t>12600</t>
  </si>
  <si>
    <t>MUR DE BARREZ</t>
  </si>
  <si>
    <t>0024473824</t>
  </si>
  <si>
    <t>0024473830</t>
  </si>
  <si>
    <t>0024473832</t>
  </si>
  <si>
    <t>FAST UPGRADE. ÉLIGIBILITE TESTEE AUTOMATIQUEMENT (PAS DE FICHIER CREOL).   - REFERENCE SWAN    T411208167  - DDP A ROUTER VERS SPN</t>
  </si>
  <si>
    <t>1715601</t>
  </si>
  <si>
    <t>20BAST011AOG</t>
  </si>
  <si>
    <t>ERBAJOLO</t>
  </si>
  <si>
    <t>20600</t>
  </si>
  <si>
    <t>BASTIA</t>
  </si>
  <si>
    <t>0024408634</t>
  </si>
  <si>
    <t>0024408645</t>
  </si>
  <si>
    <t>0024408655</t>
  </si>
  <si>
    <t>FAST UPGRADE. ÉLIGIBILITE TESTEE AUTOMATIQUEMENT (PAS DE FICHIER CREOL).   - REFERENCE SWAN    T304111563  - DDP A ROUTER VERS SPN</t>
  </si>
  <si>
    <t>1715604</t>
  </si>
  <si>
    <t>44NANT021AOG</t>
  </si>
  <si>
    <t>11 RUE EDMEE MARIOTTE</t>
  </si>
  <si>
    <t>44300</t>
  </si>
  <si>
    <t>NANTES</t>
  </si>
  <si>
    <t>0024408674</t>
  </si>
  <si>
    <t>0024408692</t>
  </si>
  <si>
    <t>0024408709</t>
  </si>
  <si>
    <t>1715609</t>
  </si>
  <si>
    <t>35DINA011AOG</t>
  </si>
  <si>
    <t>63 BD JULES VERGER</t>
  </si>
  <si>
    <t>35800</t>
  </si>
  <si>
    <t>DINARD</t>
  </si>
  <si>
    <t>0024408642</t>
  </si>
  <si>
    <t>0024408652</t>
  </si>
  <si>
    <t>0024408662</t>
  </si>
  <si>
    <t>1715610</t>
  </si>
  <si>
    <t>35LARI011AOG</t>
  </si>
  <si>
    <t>BARG DE LA RANCE</t>
  </si>
  <si>
    <t>35780</t>
  </si>
  <si>
    <t>LA RICHARDAIS</t>
  </si>
  <si>
    <t>0024408643</t>
  </si>
  <si>
    <t>0024408653</t>
  </si>
  <si>
    <t>0024408663</t>
  </si>
  <si>
    <t xml:space="preserve">UPGRADE DE 20M A 50M + MODIFICATION CONTACT SITE + MODIFICATION NB CANAUX VOIX +  MODIFICATION DU ROUTEUR  CONTACT POUR LA MODIF  TONY CARRE 0637994821 - TONY.CARRE@EDF.FR  EF 24861171  SCM TP    </t>
  </si>
  <si>
    <t>1715649</t>
  </si>
  <si>
    <t>97BAIE021AOM</t>
  </si>
  <si>
    <t>POIN JARRY</t>
  </si>
  <si>
    <t>0024408819</t>
  </si>
  <si>
    <t>0024408828</t>
  </si>
  <si>
    <t>0024408838</t>
  </si>
  <si>
    <t>CHANGEMENT DE PROFIL DE CORPO DUAL BU EN STANDARD + PASSAGE DE 50M A 100M + AJOUT CANAUX VOIX  EF 22864291  SCM TP</t>
  </si>
  <si>
    <t>1715650</t>
  </si>
  <si>
    <t>97CAYE021AOG</t>
  </si>
  <si>
    <t>6 RTE DE BADUEL</t>
  </si>
  <si>
    <t>97300</t>
  </si>
  <si>
    <t>CAYENNE</t>
  </si>
  <si>
    <t>0024408844</t>
  </si>
  <si>
    <t>0024408859</t>
  </si>
  <si>
    <t>0024408873</t>
  </si>
  <si>
    <t>&lt;0024408859 : modification usage Intranet - - FAST UPGRADE. ÉLIGIBILITE TESTEE AUTOMATIQUEMENT (PAS DE FICHIER CREOL)   - REFERENCE SWAN T202150539  DDP A ROUTER VERS SPN &gt;  &lt;0024408873 : modification usage Voix&gt;  &lt;0024408859 : modification usage Intranet&gt;</t>
  </si>
  <si>
    <t>1715653</t>
  </si>
  <si>
    <t>97GOUR011AOG</t>
  </si>
  <si>
    <t>CH COMMUNAL 3 RIVIERE SENS</t>
  </si>
  <si>
    <t>97113</t>
  </si>
  <si>
    <t>GOURBEYRE</t>
  </si>
  <si>
    <t>0024408845</t>
  </si>
  <si>
    <t>0024408861</t>
  </si>
  <si>
    <t>0024408874</t>
  </si>
  <si>
    <t>FAST UPGRADE. ÉLIGIBILITE TESTEE AUTOMATIQUEMENT (PAS DE FICHIER CREOL).   - REFERENCE SWAN    T404236354  - DDP A ROUTER VERS SPN</t>
  </si>
  <si>
    <t>1715655</t>
  </si>
  <si>
    <t>97KOUR011AOG</t>
  </si>
  <si>
    <t>29 LOT CABALOU</t>
  </si>
  <si>
    <t>97310</t>
  </si>
  <si>
    <t>KOUROU</t>
  </si>
  <si>
    <t>0024408847</t>
  </si>
  <si>
    <t>0024408862</t>
  </si>
  <si>
    <t>0024408875</t>
  </si>
  <si>
    <t>MODIFICATION DE 2 INTERFACES ROUTEURS (CODES MODULES) + MODIFICATION DES CONTACTS SUR SITE  CQHD/2022.04204  SCM NICOLE EFORCE 23042004</t>
  </si>
  <si>
    <t>1715657</t>
  </si>
  <si>
    <t>97LADE011AOS</t>
  </si>
  <si>
    <t>GRANDE ANSE</t>
  </si>
  <si>
    <t>97127</t>
  </si>
  <si>
    <t>LA DESIRADE</t>
  </si>
  <si>
    <t>0024408848</t>
  </si>
  <si>
    <t>0024408863</t>
  </si>
  <si>
    <t>0024408876</t>
  </si>
  <si>
    <t>Nominal C2E Secours C2E</t>
  </si>
  <si>
    <t xml:space="preserve">DEMANDE D'UPGRADE DE 1 A 2 MBPS  SANS CHANGEMENT DE ROUTEUR   SANS RECONSTRUCTION PHYSIQUE  EF 23199541 SCM CC   </t>
  </si>
  <si>
    <t>1715659</t>
  </si>
  <si>
    <t>97POIN011AOM</t>
  </si>
  <si>
    <t>RUE EUVREMONT GENE</t>
  </si>
  <si>
    <t>97110</t>
  </si>
  <si>
    <t>POINTE A PITRE</t>
  </si>
  <si>
    <t>0024408851</t>
  </si>
  <si>
    <t>0024408865</t>
  </si>
  <si>
    <t>0024408878</t>
  </si>
  <si>
    <t>CHANGEMENT DE PROFIL DE CORPO DUAL BU EN STANDARD + PASSAGE DE 50M A 100M + AJOUT CANAUX VOIX  EF 22864291  SCM TP  &lt;0024408878   MODIFICATION USAGE VOIX&gt;</t>
  </si>
  <si>
    <t>1715661</t>
  </si>
  <si>
    <t>97STLA011AOG</t>
  </si>
  <si>
    <t>36 RUE COLONEL CHANDON</t>
  </si>
  <si>
    <t>97320</t>
  </si>
  <si>
    <t>ST LAURENT DU MARONI</t>
  </si>
  <si>
    <t>0024408853</t>
  </si>
  <si>
    <t>0024408867</t>
  </si>
  <si>
    <t>0024408880</t>
  </si>
  <si>
    <t xml:space="preserve">MODIFICATION DE 2 INTERFACES ROUTEURS (CODES MODULES) + MODIFICATION DES CONTACTS SUR SITE  CQHD/2022.04205  SCM NICOLE EFORCE 23042004  </t>
  </si>
  <si>
    <t>1715664</t>
  </si>
  <si>
    <t>97STMA011AOG</t>
  </si>
  <si>
    <t>SPRING CONCORDIA MARIGOT</t>
  </si>
  <si>
    <t>97150</t>
  </si>
  <si>
    <t>ST MARTIN</t>
  </si>
  <si>
    <t>0024408854</t>
  </si>
  <si>
    <t>0024408868</t>
  </si>
  <si>
    <t>0024408881</t>
  </si>
  <si>
    <t>"UPGRADE A 6M - AUGMENTATION CANAUX VOIX - CHANGEMENT DE ROUTEUR  SANS CHANGEMENT DE ROUTEUR  PAS DE RECONSTRUCTION PHYSIQUE "      EF 23199541 SCM CC</t>
  </si>
  <si>
    <t>1715665</t>
  </si>
  <si>
    <t>97STMA021AOG</t>
  </si>
  <si>
    <t>BAIE DE LA POTENCE</t>
  </si>
  <si>
    <t>0024408855</t>
  </si>
  <si>
    <t>0024408869</t>
  </si>
  <si>
    <t>0024408882</t>
  </si>
  <si>
    <t>"UPGRADE A 10M - AUGMENTATION CANAUX VOIX - CHANGEMENT DE ROUTEUR  PASSAGE EN FIBRE NECSSAIRE "      EF 23199541 SCM CC</t>
  </si>
  <si>
    <t>1715666</t>
  </si>
  <si>
    <t>97TERR011AOS</t>
  </si>
  <si>
    <t>RUE DE L ANSE DES MURIERS</t>
  </si>
  <si>
    <t>97136</t>
  </si>
  <si>
    <t>TERRE DE BAS</t>
  </si>
  <si>
    <t>0024408856</t>
  </si>
  <si>
    <t>0024408870</t>
  </si>
  <si>
    <t>0024408883</t>
  </si>
  <si>
    <t>15</t>
  </si>
  <si>
    <t>24/10 CORRECTION POUR MODIF CANAUX VOIX SUITE RETOUR ARRIERE  18/10 CREATION CDE POUR REVENIR EN 1M SUITE ANNULATION UPGRADE  ANNULATION SUITE IMPOSSIBILITE TECHNIQUE  EF 23655722  SCM TP</t>
  </si>
  <si>
    <t>1715667</t>
  </si>
  <si>
    <t>97TRIN011AOG</t>
  </si>
  <si>
    <t>QUA BEAUSEJOUR</t>
  </si>
  <si>
    <t>97220</t>
  </si>
  <si>
    <t>LA TRINITE</t>
  </si>
  <si>
    <t>0024408857</t>
  </si>
  <si>
    <t>0024408871</t>
  </si>
  <si>
    <t>0024408884</t>
  </si>
  <si>
    <t>RETRAIT DE LA GTR S1 STANDARD ET AJOUT GTR SPECIFIQUE S1 480 MN  SCM TP</t>
  </si>
  <si>
    <t>1715672</t>
  </si>
  <si>
    <t>97STBA011AOS</t>
  </si>
  <si>
    <t>LD PUBLIC</t>
  </si>
  <si>
    <t>97133</t>
  </si>
  <si>
    <t>ST BARTHELEMY</t>
  </si>
  <si>
    <t>0024408852</t>
  </si>
  <si>
    <t>0024408866</t>
  </si>
  <si>
    <t>0024408879</t>
  </si>
  <si>
    <t>13/06 SUITE ANNULATION UPGRADE, NVLLE CDE POUR REMETTRE SUR DEBIT D ORIGINE, GC2 TP  MODIFPROD - 12/06 ANNULATION UPGRADE SUR DEMANDE CDP, GC2 TP</t>
  </si>
  <si>
    <t>1715675</t>
  </si>
  <si>
    <t>83TOUL011AOG</t>
  </si>
  <si>
    <t>1 BD DE LA DEMOCRATIE</t>
  </si>
  <si>
    <t>83000</t>
  </si>
  <si>
    <t>TOULON</t>
  </si>
  <si>
    <t>0024408810</t>
  </si>
  <si>
    <t>0024408821</t>
  </si>
  <si>
    <t>0024408831</t>
  </si>
  <si>
    <t>1715680</t>
  </si>
  <si>
    <t>15AURI011AOG</t>
  </si>
  <si>
    <t>14 AV DU GARRIC</t>
  </si>
  <si>
    <t>AURILLAC</t>
  </si>
  <si>
    <t>0024408579</t>
  </si>
  <si>
    <t>0024408591</t>
  </si>
  <si>
    <t>0024408602</t>
  </si>
  <si>
    <t>UPGRADE DE 10M A 20M - MODIFICATION CANAUX VOIX PASSAGE DE 180 A 360 - MISE A JOUR CONTACT SITE   SCM LB EFORCE 24819316</t>
  </si>
  <si>
    <t>1715686</t>
  </si>
  <si>
    <t>21DIJO011AOG</t>
  </si>
  <si>
    <t>38 AV FRANCOISE GIROUD</t>
  </si>
  <si>
    <t>21000</t>
  </si>
  <si>
    <t>DIJON</t>
  </si>
  <si>
    <t>0024408636</t>
  </si>
  <si>
    <t>0024408646</t>
  </si>
  <si>
    <t>0024408656</t>
  </si>
  <si>
    <t>UPGRADE DE 30 A 50M + AUGMENTATION DU NB DE CANAUX VOIX + AJOUT D¿UN CODE PACK LOGICIEL   GC2 TP  EF 25237484</t>
  </si>
  <si>
    <t>1715701</t>
  </si>
  <si>
    <t>59EURA011AOG</t>
  </si>
  <si>
    <t>253 BD DE LEEDS</t>
  </si>
  <si>
    <t>59777</t>
  </si>
  <si>
    <t>LILLE</t>
  </si>
  <si>
    <t>0024408684</t>
  </si>
  <si>
    <t>0024408704</t>
  </si>
  <si>
    <t>0024408718</t>
  </si>
  <si>
    <t>UPGRADE DU SITE DE 30 A 50M + MODIF CANAUX VOIX + AJOUT PACK LOGICIEL   EF 24016765  SCM TP</t>
  </si>
  <si>
    <t>1715713</t>
  </si>
  <si>
    <t>73BOZE011AOB</t>
  </si>
  <si>
    <t>RUE EMILE MACHET</t>
  </si>
  <si>
    <t>73350</t>
  </si>
  <si>
    <t>BOZEL</t>
  </si>
  <si>
    <t>0024408753</t>
  </si>
  <si>
    <t>0024408766</t>
  </si>
  <si>
    <t>0024408777</t>
  </si>
  <si>
    <t>Nominal C2E sans Secours</t>
  </si>
  <si>
    <t>MODIFPROD LE 30/10 NOUVELEL REF WED AVEC STATUT FTTE   MIGRATION EN FIBRE FTTE 100M  MODIFICATION DU ROUTEUR  MODIFICATION DU NB DE CANAUX VOIX   MODIFICATION DU CONTACT SITE   EF 25898955  GC2 MN</t>
  </si>
  <si>
    <t>1715715</t>
  </si>
  <si>
    <t>25CHAR011AOB</t>
  </si>
  <si>
    <t>LD USINE ELECTRIQUE REFRAIN</t>
  </si>
  <si>
    <t>25140</t>
  </si>
  <si>
    <t>CHARQUEMONT</t>
  </si>
  <si>
    <t>0024408637</t>
  </si>
  <si>
    <t>0024408647</t>
  </si>
  <si>
    <t>0024408657</t>
  </si>
  <si>
    <t>20</t>
  </si>
  <si>
    <t>UPGRADE DU SITE DE 1M A 2M  MODIFICATION DU NB DE CANAUX VOIX  CHANGEMENT DE ROUTEUR   BDC EN PJ  EF 21037651 03/04/2020 - MODIFICATION DE LA DATE CONTRACTUELLE DU SERVICE 22/04/2020 - MODIFICATION DE LA DATE CONTRACTUELLE DU SERVICE 26/06/2020 - MODIFICATION DE LA DATE CONTRACTUELLE DU SERVICE 06/07/2020 - MODIFICATION DE LA DATE CONTRACTUELLE DU SERVICE 27/07/2020 - MODIFICATION DE LA DATE CONTRACTUELLE DU SERVICE 02/09/2020 - MODIFICATION DE LA DATE CONTRACTUELLE DU SERVICE 02/10/2020 - MODIFICATION DE LA DATE CONTRACTUELLE DU SERVICE 30/10/2020 - MODIFICATION DE LA DATE CONTRACTUELLE DU SERVICE 29/12/2020 - MODIFICATION DE LA DATE CONTRACTUELLE DU SERVICE 01/02/2021 - MODIFICATION DE LA DATE CONTRACTUELLE DU SERVICE</t>
  </si>
  <si>
    <t>1715719</t>
  </si>
  <si>
    <t>26BEAU011AOB</t>
  </si>
  <si>
    <t>22 RTE DU VERCORS</t>
  </si>
  <si>
    <t>26600</t>
  </si>
  <si>
    <t>BEAUMONT MONTEUX</t>
  </si>
  <si>
    <t>0024408638</t>
  </si>
  <si>
    <t>0024408648</t>
  </si>
  <si>
    <t>0024408658</t>
  </si>
  <si>
    <t>MIGRATION EN FIBRE FTTE 100M  MODIFICATION DU NB DE CANAUX VOIX   MODIFICATION DU CONTACT SITE   EF 25876587  GC2 MN</t>
  </si>
  <si>
    <t>1715734</t>
  </si>
  <si>
    <t>37TOUR011AOP</t>
  </si>
  <si>
    <t>71 AV EDOUARD MICHELIN</t>
  </si>
  <si>
    <t>37200</t>
  </si>
  <si>
    <t>TOURS</t>
  </si>
  <si>
    <t>0024492441</t>
  </si>
  <si>
    <t>0024492501</t>
  </si>
  <si>
    <t>0043SXG0</t>
  </si>
  <si>
    <t>0024492506</t>
  </si>
  <si>
    <t>SUPPRESSION DU SUB VPN N 2 PERENNE  SUPPRESSION VRF-INVITE ET LAN ASSOCIES SUIVANTS   A2I, PCAPA.  MODIFICATION SUBPN CLASSIQUE   UPGRADE A 150M ET AUGMENTATION CANAUX VOIX.  EFORCE 25812971-SCM FRED      &amp;AMP AMP AMP AMP AMP LT 0024653409   R&amp;AMP AMP AMP AMP AMP  233 SILIATION USAGE SUB VPN PERENNE (SUBPER01) -   R&amp;AMP AMP AMP AMP AMP  233 SILIATION TOTALE (SANS QUALIFICATION)&amp;AMP AMP AMP AMP AMP GT   &lt;0024653415 : résiliation usage Sub VPN classique (SUBCLA01) -  Résiliation totale (sans qualification)&gt;</t>
  </si>
  <si>
    <t>1715881</t>
  </si>
  <si>
    <t>38LEPO011AOG</t>
  </si>
  <si>
    <t>CREATION</t>
  </si>
  <si>
    <t>ALL DE LA HOUILLE BLANCHE</t>
  </si>
  <si>
    <t>38800</t>
  </si>
  <si>
    <t>LE PONT DE CLAIX</t>
  </si>
  <si>
    <t>0025674115</t>
  </si>
  <si>
    <t>0025674118</t>
  </si>
  <si>
    <t>0025674120</t>
  </si>
  <si>
    <t>UPGRADE DE L ACCES EXISTANT A 100M ET CANAUX VOIX A 1800 ET CHANGEMENT DE ROUTEUR  EF 24806485  SCM MN  &lt;0025674118   CREATION USAGE INTRANET&gt;  &lt;0025674120   CREATION USAGE VOIX&gt;</t>
  </si>
  <si>
    <t>1715896</t>
  </si>
  <si>
    <t>97CAYE011AOG</t>
  </si>
  <si>
    <t>IMP USINE EDF</t>
  </si>
  <si>
    <t>0024408842</t>
  </si>
  <si>
    <t>0024408858</t>
  </si>
  <si>
    <t>0024408872</t>
  </si>
  <si>
    <t>UPGRADE A 160M ET MODIFICATION CANAUX VOIX   AVEC CHANGEMENT DE ROUTEUR  EF 25599742  GC2 MN</t>
  </si>
  <si>
    <t>1715902</t>
  </si>
  <si>
    <t>01SAMO011AOB</t>
  </si>
  <si>
    <t>RUE DU MOULIN</t>
  </si>
  <si>
    <t>01580</t>
  </si>
  <si>
    <t>SAMOGNAT</t>
  </si>
  <si>
    <t>0024408571</t>
  </si>
  <si>
    <t>0024408583</t>
  </si>
  <si>
    <t>0024408594</t>
  </si>
  <si>
    <t>Nominal C2E CN2 sans Secours</t>
  </si>
  <si>
    <t xml:space="preserve">ROUTRAC MCO FACTORY COMET - PROJET MIGRATION POP ATM VERS GE - MIGRATION DE L'ACCES NOMINAL LL2048K - ROUTEUR NOMINAL - MERCI DE RECUPERER LA PARTIE TERMINALE NRA/CLIENT - PRESTA ACTUELLE 0043VKY5 VERS C2E CN2 POUR UNE MIGRATION DE DSLAM - NB PARIES EXISTANTES 0 - AVEC CHANGEMENT DE ROUTEUR C892FSP-K9 PAR C892FSP-K9 CONTACTS   CDP.COMET@ORANGE.COM RAC BM-CDS.P-FBO-RAC.EXT@ORANGE.COM  </t>
  </si>
  <si>
    <t>1715948</t>
  </si>
  <si>
    <t>05LARA011AOG</t>
  </si>
  <si>
    <t>RTE DE VENTAVON</t>
  </si>
  <si>
    <t>05300</t>
  </si>
  <si>
    <t>VENTAVON</t>
  </si>
  <si>
    <t>0024444540</t>
  </si>
  <si>
    <t>0024444554</t>
  </si>
  <si>
    <t>0024444556</t>
  </si>
  <si>
    <t>UPGRADE A 50M ET MODIFICATION NB CANAUX VOIX  MODIFICATION DU ROUTEUR  MODIFICATION DU CONTACT SITE  EF 25597394  GC2 MN</t>
  </si>
  <si>
    <t>1715956</t>
  </si>
  <si>
    <t>26PIZA011AOG</t>
  </si>
  <si>
    <t>RTE DU BARRAGE</t>
  </si>
  <si>
    <t>26300</t>
  </si>
  <si>
    <t>CHATUZANGE LE GOUBET</t>
  </si>
  <si>
    <t>0024487131</t>
  </si>
  <si>
    <t>0024487136</t>
  </si>
  <si>
    <t>0024487141</t>
  </si>
  <si>
    <t>UPGRADE A 50M AVEC CHANGEMENT DE NOMBRE DE CANAUX VOIX , ET CHANGEMENT DE ROUTEUR  EF 25175019   GC2 MN</t>
  </si>
  <si>
    <t>1715973</t>
  </si>
  <si>
    <t>97MARI011AOS</t>
  </si>
  <si>
    <t>LD GRANDE SAVANE</t>
  </si>
  <si>
    <t>97112</t>
  </si>
  <si>
    <t>GRAND BOURG</t>
  </si>
  <si>
    <t>0024487056</t>
  </si>
  <si>
    <t>0024487060</t>
  </si>
  <si>
    <t>0024487073</t>
  </si>
  <si>
    <t>70</t>
  </si>
  <si>
    <t>10/05/2022 - MODIF CANAUX VOIX SUITE OUBLI SUR BDC - ERRBDC  SCM NICOLE EFORCE 23236331  DEMANDE D'UPGRADE DE 2 A 4 MBPS  SANS CHANGEMENT DE ROUTEUR   SANS RECONSTRUCTION PHYSIQUE  EF 23199541 SCM CC</t>
  </si>
  <si>
    <t>1720647</t>
  </si>
  <si>
    <t>73ALBE031AOB</t>
  </si>
  <si>
    <t>213 CH DE LA CASSINE</t>
  </si>
  <si>
    <t>0024431267</t>
  </si>
  <si>
    <t>0024431277</t>
  </si>
  <si>
    <t>0024508671</t>
  </si>
  <si>
    <t>1720848</t>
  </si>
  <si>
    <t>43MONI021AOS</t>
  </si>
  <si>
    <t>PONT DE LIGNON</t>
  </si>
  <si>
    <t>0024432328</t>
  </si>
  <si>
    <t>0024432329</t>
  </si>
  <si>
    <t>0024432330</t>
  </si>
  <si>
    <t>UPGRADE DE 10M A 20M + PASSAGE A 350 CANAUX VOIX  COLLECTO EN PJ  EFORCE 20972745  SCM TP  18/03/2020 - MODIFICATION DE LA DATE CONTRACTUELLE DU SERVICE 02/04/2020 - MODIFICATION DE LA DATE CONTRACTUELLE DU SERVICE 30/04/2020 - MODIFICATION DE LA DATE CONTRACTUELLE DU SERVICE 10/07/2020 - MODIFICATION DE LA DATE CONTRACTUELLE DU SERVICE</t>
  </si>
  <si>
    <t>1736083</t>
  </si>
  <si>
    <t>06STDA011AOS</t>
  </si>
  <si>
    <t>SAINT DALMAS</t>
  </si>
  <si>
    <t>06430</t>
  </si>
  <si>
    <t>TENDE</t>
  </si>
  <si>
    <t>0024511011</t>
  </si>
  <si>
    <t>0024511076</t>
  </si>
  <si>
    <t>0024511077</t>
  </si>
  <si>
    <t>FAST UPGRADE. ÉLIGIBILITE TESTEE AUTOMATIQUEMENT (PAS DE FICHIER CREOL).   - REFERENCE SWAN    T501158048  - DDP A ROUTER VERS SPN</t>
  </si>
  <si>
    <t>X</t>
  </si>
  <si>
    <t>1705908</t>
  </si>
  <si>
    <t>38SINA011AOB</t>
  </si>
  <si>
    <t>RTE D AVIGNONET</t>
  </si>
  <si>
    <t>38650</t>
  </si>
  <si>
    <t>SINARD</t>
  </si>
  <si>
    <t>0024358360</t>
  </si>
  <si>
    <t>0024358362</t>
  </si>
  <si>
    <t>0024358364</t>
  </si>
  <si>
    <t xml:space="preserve">PROJET EDF RIN5 / SUPPR OPTION GTRS1 / VU CDP DAVID LEROYER   </t>
  </si>
  <si>
    <t>1715501</t>
  </si>
  <si>
    <t>57UCKA011AOB</t>
  </si>
  <si>
    <t>PORT DE RICHEMONT</t>
  </si>
  <si>
    <t>57270</t>
  </si>
  <si>
    <t>RICHEMONT</t>
  </si>
  <si>
    <t>0024408682</t>
  </si>
  <si>
    <t>Suppression GTRS1 sur le réseau EDF RIN5 / vu CDP DAVID LEROYER 05/10/2020 - SUPPRESSION GTRS1 SUR LE RESEAU EDF RIN5 / VU CDP DAVID LEROYER</t>
  </si>
  <si>
    <t>1715504</t>
  </si>
  <si>
    <t>59SEQU011AOG</t>
  </si>
  <si>
    <t>2 RUE DE LA DEULE</t>
  </si>
  <si>
    <t>59320</t>
  </si>
  <si>
    <t>SEQUEDIN</t>
  </si>
  <si>
    <t>0024408689</t>
  </si>
  <si>
    <t>0024408707</t>
  </si>
  <si>
    <t>0024408721</t>
  </si>
  <si>
    <t>OSMGD PROJET RNG RIN5 VAGUE 1 - CREATION ROUTEUR + ACCES - NECESSITE PLAN DE PREVENTION - DATE MES 06/08/2018 - EBSO 105452  &lt;0024408707 : CRÉATION USAGE INTRANET&gt;  &lt;0024408721 : CRÉATION USAGE VOIX&gt; 10/05/2019 - MODIFICATION DE LA DATE CONTRACTUELLE DU SERVICE 26/08/2020 - MODIFICATION DE LA DATE CONTRACTUELLE DU SERVICE 04/09/2020 - MODIFICATION DE LA DATE CONTRACTUELLE DU SERVICE 05/10/2020 - MODIFICATION DE LA DATE CONTRACTUELLE DU SERVICE</t>
  </si>
  <si>
    <t>1715516</t>
  </si>
  <si>
    <t>76ROUE031AOP</t>
  </si>
  <si>
    <t>AV DE CAEN</t>
  </si>
  <si>
    <t>76100</t>
  </si>
  <si>
    <t>ROUEN</t>
  </si>
  <si>
    <t>0024426923</t>
  </si>
  <si>
    <t>0024426928</t>
  </si>
  <si>
    <t>0043SXG4</t>
  </si>
  <si>
    <t>0024426935</t>
  </si>
  <si>
    <t>07/11/2019 - MODIFICATION DE LA DATE MEF VERSION SERVICE PARC</t>
  </si>
  <si>
    <t>OSMGD PROJET RNG RIN5 VAGUE 1 - CREATION ROUTEUR + ACCES - NECESSITE PLAN DE PREVENTION - DATE MES 30/07/2018 - EBSO 105452  &lt;0024426928 : CRÉATION USAGE INTRANET&gt;  &lt;0024426935 : CRÉATION USAGE VOIX&gt; 10/05/2019 - MODIFICATION DE LA DATE CONTRACTUELLE DU SERVICE</t>
  </si>
  <si>
    <t>1715518</t>
  </si>
  <si>
    <t>78PORC011AOB</t>
  </si>
  <si>
    <t>AV HENRI REGNAULT</t>
  </si>
  <si>
    <t>78440</t>
  </si>
  <si>
    <t>PORCHEVILLE</t>
  </si>
  <si>
    <t>0024408809</t>
  </si>
  <si>
    <t>0024408820</t>
  </si>
  <si>
    <t>0024408829</t>
  </si>
  <si>
    <t xml:space="preserve">PROJET EDF RIN5 / SUPPR OPTION GTRS1 / VU CDP DAVID LEROYER </t>
  </si>
  <si>
    <t>1715523</t>
  </si>
  <si>
    <t>91PALA011AOP</t>
  </si>
  <si>
    <t>7 BD GASPARD MONGE</t>
  </si>
  <si>
    <t>91120</t>
  </si>
  <si>
    <t>PALAISEAU</t>
  </si>
  <si>
    <t>0024426924</t>
  </si>
  <si>
    <t>0024426929</t>
  </si>
  <si>
    <t>0036YAC7</t>
  </si>
  <si>
    <t>0024426937</t>
  </si>
  <si>
    <t>OSMGD PROJET RNG RIN5 VAGUE 1 - CREATION ROUTEUR + ACCES - NECESSITE PLAN DE PREVENTION - DATE MES 02/08/2018 - EBSO 105452  &lt;0024426929 : CRÉATION USAGE INTRANET&gt;  &lt;0024426937 : CRÉATION USAGE VOIX&gt; 10/05/2019 - MODIFICATION DE LA DATE CONTRACTUELLE DU SERVICE</t>
  </si>
  <si>
    <t>1715731</t>
  </si>
  <si>
    <t>34PREM011AOB</t>
  </si>
  <si>
    <t>VEZOLES</t>
  </si>
  <si>
    <t>34220</t>
  </si>
  <si>
    <t>RIOLS</t>
  </si>
  <si>
    <t>0024507298</t>
  </si>
  <si>
    <t>0024507312</t>
  </si>
  <si>
    <t>0024507314</t>
  </si>
  <si>
    <t>1721309</t>
  </si>
  <si>
    <t>52CHAU021AOB</t>
  </si>
  <si>
    <t>9 RUE DE LA MALADIERE</t>
  </si>
  <si>
    <t>52000</t>
  </si>
  <si>
    <t>CHAUMONT</t>
  </si>
  <si>
    <t>0024435414</t>
  </si>
  <si>
    <t>0024435417</t>
  </si>
  <si>
    <t>0024435421</t>
  </si>
  <si>
    <t xml:space="preserve">PROJET EDF RIN5 / TRES URGENT / MAJ OPTIONS SCCR / VU CDP DAVID LEROYER </t>
  </si>
  <si>
    <t>1732445</t>
  </si>
  <si>
    <t>74PASS011AOG</t>
  </si>
  <si>
    <t>CH PRES MOULIN</t>
  </si>
  <si>
    <t>74190</t>
  </si>
  <si>
    <t>PASSY</t>
  </si>
  <si>
    <t>0024492259</t>
  </si>
  <si>
    <t>0024492262</t>
  </si>
  <si>
    <t>0024492271</t>
  </si>
  <si>
    <t>300</t>
  </si>
  <si>
    <t xml:space="preserve">PROJET EDF RIN5 /TRES URGENT / AJOUT OPTIONS SCCR / DISPO1 + OPTIWA + PERFSSO / VU CDP DAVID LEROYER   </t>
  </si>
  <si>
    <t>Business Solution</t>
  </si>
  <si>
    <t>Business VPN Solution</t>
  </si>
  <si>
    <t>030118 / JMV / CREATION BIZSOL "EDF RNG" POUR PROJET EDF RIN 5</t>
  </si>
  <si>
    <t>065650002</t>
  </si>
  <si>
    <t>1734840</t>
  </si>
  <si>
    <t>01STVU021AOB</t>
  </si>
  <si>
    <t>ZI PLAINE DE L AIN RTE DE BLYE</t>
  </si>
  <si>
    <t>01150</t>
  </si>
  <si>
    <t>ST VULBAS</t>
  </si>
  <si>
    <t>0024531221</t>
  </si>
  <si>
    <t>0024531267</t>
  </si>
  <si>
    <t>0024531314</t>
  </si>
  <si>
    <t>1734841</t>
  </si>
  <si>
    <t>07MONT011AOG</t>
  </si>
  <si>
    <t>QUA LES SOUBEYROLS</t>
  </si>
  <si>
    <t>07560</t>
  </si>
  <si>
    <t>MONTPEZAT SOUS BAUZON</t>
  </si>
  <si>
    <t>0024531225</t>
  </si>
  <si>
    <t>0024531272</t>
  </si>
  <si>
    <t>0024531318</t>
  </si>
  <si>
    <t>260</t>
  </si>
  <si>
    <t>ATTENTION MODIF A BLANC PAS DE DDP IL S AGIT D UNE REGULARISATION D UPGRADE ET DE CANAUX VOIX  EF 24811325  SCM MN</t>
  </si>
  <si>
    <t>1734842</t>
  </si>
  <si>
    <t>09TARA011AOS</t>
  </si>
  <si>
    <t>AV DE L AYROULE</t>
  </si>
  <si>
    <t>09400</t>
  </si>
  <si>
    <t>TARASCON SUR ARIEGE</t>
  </si>
  <si>
    <t>0024529387</t>
  </si>
  <si>
    <t>0024530037</t>
  </si>
  <si>
    <t>0024530070</t>
  </si>
  <si>
    <t xml:space="preserve">FAST UPGRADE. ÉLIGIBILITE TESTEE AUTOMATIQUEMENT (PAS DE FICHIER CREOL).   - REFERENCE SWAN T403212591  - DDP A ROUTER VERS SPN  - N.B   LE CLIENT A DEMANDE A ETRE CONTACTE JUSTE AVANT LA REALISATION </t>
  </si>
  <si>
    <t>1734843</t>
  </si>
  <si>
    <t>10PONT011AOG</t>
  </si>
  <si>
    <t>2 RUE ROBERT KELLER</t>
  </si>
  <si>
    <t>10150</t>
  </si>
  <si>
    <t>PONT STE MARIE</t>
  </si>
  <si>
    <t>0024531227</t>
  </si>
  <si>
    <t>0024531274</t>
  </si>
  <si>
    <t>0024531319</t>
  </si>
  <si>
    <t>1734844</t>
  </si>
  <si>
    <t>12ENTR011AOM</t>
  </si>
  <si>
    <t>AV DE RODIEZ</t>
  </si>
  <si>
    <t>12140</t>
  </si>
  <si>
    <t>ENTRAYGUES SUR TRUYERE</t>
  </si>
  <si>
    <t>0024531854</t>
  </si>
  <si>
    <t>0024531856</t>
  </si>
  <si>
    <t>0024531858</t>
  </si>
  <si>
    <t>UPGRADE DU SITE DE 20M A 50M + CHANGEMENT DE ROUTEUR + CHANGEMENT NOMBRE DE CANAUX VOIX  EF 24465801  SCM TP</t>
  </si>
  <si>
    <t>1734846</t>
  </si>
  <si>
    <t>14HERO011AOP</t>
  </si>
  <si>
    <t>21 AV DE CAMBRIDGE</t>
  </si>
  <si>
    <t>14200</t>
  </si>
  <si>
    <t>HEROUVILLE ST CLAIR</t>
  </si>
  <si>
    <t>0024529392</t>
  </si>
  <si>
    <t>0024530039</t>
  </si>
  <si>
    <t>0044HXU3</t>
  </si>
  <si>
    <t>0024530073</t>
  </si>
  <si>
    <t>1734848</t>
  </si>
  <si>
    <t>19TULL021AOS</t>
  </si>
  <si>
    <t>RUE DU DOCTEUR VALETTE</t>
  </si>
  <si>
    <t>19000</t>
  </si>
  <si>
    <t>TULLE</t>
  </si>
  <si>
    <t>0024529394</t>
  </si>
  <si>
    <t>0024530040</t>
  </si>
  <si>
    <t>0024530074</t>
  </si>
  <si>
    <t>EDF RIN5 / SUPPRESSION GTRS1 VU RSC DAVID LEROYER 30/09/2019 - MODIFICATION DE LA DATE CONTRACTUELLE DU SERVICE 03/12/2019 - MODIFICATION DE LA DATE CONTRACTUELLE DU SERVICE 09/01/2020 - MODIFICATION DE LA DATE CONTRACTUELLE DU SERVICE 14/02/2020 - MODIFICATION DE LA DATE CONTRACTUELLE DU SERVICE 16/03/2020 - MODIFICATION DE LA DATE CONTRACTUELLE DU SERVICE</t>
  </si>
  <si>
    <t>1734849</t>
  </si>
  <si>
    <t>20BAST021AOG</t>
  </si>
  <si>
    <t>RUE 4E DIV MAROCAINE DE MONTAGNE</t>
  </si>
  <si>
    <t>0024529396</t>
  </si>
  <si>
    <t>0024530041</t>
  </si>
  <si>
    <t>0024530075</t>
  </si>
  <si>
    <t>UPGRADE A 10M  AUGMENTATION VOLUME CANAUX VOIX 180 CANAUX  EF 25752784  GC2 MN</t>
  </si>
  <si>
    <t>1734850</t>
  </si>
  <si>
    <t>20CALV011AOS</t>
  </si>
  <si>
    <t>QUA DONATEO</t>
  </si>
  <si>
    <t>20260</t>
  </si>
  <si>
    <t>CALVI</t>
  </si>
  <si>
    <t>0024529400</t>
  </si>
  <si>
    <t>0024530043</t>
  </si>
  <si>
    <t>0024530077</t>
  </si>
  <si>
    <t>UPGRADE A 10M  AUGMENTATION VOLUME CANAUX VOIX 180 CANAUX  CHANGEMENT DU CONTACT SITE  EF 25689333  GC2 MN</t>
  </si>
  <si>
    <t>1734851</t>
  </si>
  <si>
    <t>21DIJO021AOG</t>
  </si>
  <si>
    <t>11 RUE RENE CHAR</t>
  </si>
  <si>
    <t>0024529402</t>
  </si>
  <si>
    <t>0024530044</t>
  </si>
  <si>
    <t>0024530078</t>
  </si>
  <si>
    <t xml:space="preserve">FAST UPGRADE. ÉLIGIBILITE TESTEE AUTOMATIQUEMENT (PAS DE FICHIER CREOL)   REFERENCE SWAN T209162444  DDP A ROUTER VERS SPN </t>
  </si>
  <si>
    <t>1734852</t>
  </si>
  <si>
    <t>27VALD013AOM</t>
  </si>
  <si>
    <t>0024521624</t>
  </si>
  <si>
    <t>0024521632</t>
  </si>
  <si>
    <t>0044HDS3</t>
  </si>
  <si>
    <t>0024521633</t>
  </si>
  <si>
    <t>MODIFICATION DES SUBVPN - SUBVPN 1 CHANGE CANAUX VOIX - SUBVPN 2 ET 16  MODIF DEBIT ET CANAUX VOIX - SUBVPN 3 ET 15 RESILIATION  EF 21576065  SCM TP  &lt;0024959276 : résiliation usage Sub VPN classique (SUBCLA01) - SUBVPN 3 ET 15   RESILIATION  EF 21576065  SCM TP Résiliation totale (sans qualification)&gt;  &lt;0024521636 : résiliation usage Sub VPN classique (SUBCLA01) - SUBVPN 3 ET 15   RESILIATION  EF 21576065  SCM TP Résiliation totale (sans qualification)&gt;</t>
  </si>
  <si>
    <t>1734857</t>
  </si>
  <si>
    <t>38CHAM011AOG</t>
  </si>
  <si>
    <t>31 RTE DE SAINT GEORGES</t>
  </si>
  <si>
    <t>38560</t>
  </si>
  <si>
    <t>CHAMP SUR DRAC</t>
  </si>
  <si>
    <t>0024531855</t>
  </si>
  <si>
    <t>0024531857</t>
  </si>
  <si>
    <t>0024531859</t>
  </si>
  <si>
    <t>EDF RIN5 / SUPPRESSION GTRS1 VU RSC DAVID LEROYER</t>
  </si>
  <si>
    <t>1734858</t>
  </si>
  <si>
    <t>38LAVE011AOG</t>
  </si>
  <si>
    <t>ZI DU GRAND PLANOT</t>
  </si>
  <si>
    <t>38290</t>
  </si>
  <si>
    <t>LA VERPILLIERE</t>
  </si>
  <si>
    <t>0024529415</t>
  </si>
  <si>
    <t>0024530050</t>
  </si>
  <si>
    <t>0024530085</t>
  </si>
  <si>
    <t>UPGRADE DU SITE DE 20M A 30M + PASSAGE DE 300 A 550 CANAUX VOIX  GG2 TP  EF 25526712</t>
  </si>
  <si>
    <t>1734859</t>
  </si>
  <si>
    <t>38LEBO021AOS</t>
  </si>
  <si>
    <t>RTE DE L ALPE D HUEZ</t>
  </si>
  <si>
    <t>38520</t>
  </si>
  <si>
    <t>LE BOURG D OISANS</t>
  </si>
  <si>
    <t>0024531255</t>
  </si>
  <si>
    <t>0024531301</t>
  </si>
  <si>
    <t>0024531343</t>
  </si>
  <si>
    <t>1734860</t>
  </si>
  <si>
    <t>38STEG021AOM</t>
  </si>
  <si>
    <t>AV DE SAN MARINO</t>
  </si>
  <si>
    <t>38120</t>
  </si>
  <si>
    <t>ST EGREVE</t>
  </si>
  <si>
    <t>0024531259</t>
  </si>
  <si>
    <t>0024531305</t>
  </si>
  <si>
    <t>0024531347</t>
  </si>
  <si>
    <t xml:space="preserve">-FAST UPGRADE. ÉLIGIBILITE TESTEE AUTOMATIQUEMENT (PAS DE FICHIER CREOL).   - REFERENCE SWAN T502229619  - DDP A ROUTER VERS SPN   </t>
  </si>
  <si>
    <t>1734863</t>
  </si>
  <si>
    <t>43BRIV011AOS</t>
  </si>
  <si>
    <t>38 AV PIERRE FARIGOULE</t>
  </si>
  <si>
    <t>43700</t>
  </si>
  <si>
    <t>BRIVES CHARENSAC</t>
  </si>
  <si>
    <t>0024529422</t>
  </si>
  <si>
    <t>0024530053</t>
  </si>
  <si>
    <t>0024530088</t>
  </si>
  <si>
    <t>450</t>
  </si>
  <si>
    <t>-FAST UPGRADE. ÉLIGIBILITE TESTEE AUTOMATIQUEMENT (PAS DE FICHIER CREOL).   - REFERENCE SWAN T507173761  - DDP A ROUTER VERS SPN</t>
  </si>
  <si>
    <t>1734864</t>
  </si>
  <si>
    <t>43ESPA011AOS</t>
  </si>
  <si>
    <t>RTE DE SAUGUES</t>
  </si>
  <si>
    <t>43000</t>
  </si>
  <si>
    <t>ESPALY ST MARCEL</t>
  </si>
  <si>
    <t>0024531261</t>
  </si>
  <si>
    <t>0024531307</t>
  </si>
  <si>
    <t>0024531349</t>
  </si>
  <si>
    <t>UPGRADE A 50M MODIFICATION DES ROUTEURS ET DES CANAUX VOIX   EF 25014226  SCM MN</t>
  </si>
  <si>
    <t>1734865</t>
  </si>
  <si>
    <t>49ANGE011AOG</t>
  </si>
  <si>
    <t>15 RUE BOREAU</t>
  </si>
  <si>
    <t>49100</t>
  </si>
  <si>
    <t>ANGERS</t>
  </si>
  <si>
    <t>0024529425</t>
  </si>
  <si>
    <t>0024530055</t>
  </si>
  <si>
    <t>0024530091</t>
  </si>
  <si>
    <t xml:space="preserve">POUR UN UPGRADE BVPN  - FAST UPGRADE. ÉLIGIBILITE TESTEE AUTOMATIQUEMENT (PAS DE FICHIER CREOL)   - REFERENCE SWAN T207216104  - DDP A ROUTER VERS SPN   </t>
  </si>
  <si>
    <t>1734867</t>
  </si>
  <si>
    <t>51REIM011AOG</t>
  </si>
  <si>
    <t>6 RUE EDOUARD MIGNOT</t>
  </si>
  <si>
    <t>51100</t>
  </si>
  <si>
    <t>REIMS</t>
  </si>
  <si>
    <t>0024530172</t>
  </si>
  <si>
    <t>0024530176</t>
  </si>
  <si>
    <t>0024530180</t>
  </si>
  <si>
    <t>FAST UPGRADE. ÉLIGIBILITE TESTEE AUTOMATIQUEMENT (PAS DE FICHIER CREOL).   - REFERENCE SWAN    T311094287  - DDP A ROUTER VERS SPN</t>
  </si>
  <si>
    <t>1734869</t>
  </si>
  <si>
    <t>54NANC021AOP</t>
  </si>
  <si>
    <t>1 RUE HENRIETTE GALLE GRIMM</t>
  </si>
  <si>
    <t>54000</t>
  </si>
  <si>
    <t>NANCY</t>
  </si>
  <si>
    <t>0024530173</t>
  </si>
  <si>
    <t>0024530177</t>
  </si>
  <si>
    <t>0044HXU7</t>
  </si>
  <si>
    <t>0024530181</t>
  </si>
  <si>
    <t>FAST UPGRADE. ÉLIGIBILITE TESTEE AUTOMATIQUEMENT (PAS DE FICHIER CREOL).   - REFERENCE SWAN    T411169396  - DDP A ROUTER VERS SPN</t>
  </si>
  <si>
    <t>1734873</t>
  </si>
  <si>
    <t>62STMA011AOG</t>
  </si>
  <si>
    <t>260 RTE DE DESVRES</t>
  </si>
  <si>
    <t>62280</t>
  </si>
  <si>
    <t>ST MARTIN BOULOGNE</t>
  </si>
  <si>
    <t>0024530527</t>
  </si>
  <si>
    <t>0024530535</t>
  </si>
  <si>
    <t>0024530543</t>
  </si>
  <si>
    <t>FAST UPGRADE. ÉLIGIBILITE TESTEE AUTOMATIQUEMENT (PAS DE FICHIER CREOL).   - REFERENCE SWAN    T212103180  - DDP A ROUTER VERS SPN</t>
  </si>
  <si>
    <t>1734875</t>
  </si>
  <si>
    <t>65ARGE011AOS</t>
  </si>
  <si>
    <t>CH DU COMTE NORD</t>
  </si>
  <si>
    <t>65400</t>
  </si>
  <si>
    <t>ARGELES GAZOST</t>
  </si>
  <si>
    <t>0024530365</t>
  </si>
  <si>
    <t>0024530370</t>
  </si>
  <si>
    <t>0024530375</t>
  </si>
  <si>
    <t>FAST UPGRADE. ÉLIGIBILITE TESTEE AUTOMATIQUEMENT (PAS DE FICHIER CREOL).   - REFERENCE SWAN    T503128815  - DDP A ROUTER VERS SPN</t>
  </si>
  <si>
    <t>1734876</t>
  </si>
  <si>
    <t>65BAGN011AOG</t>
  </si>
  <si>
    <t>RES EDF</t>
  </si>
  <si>
    <t>65710</t>
  </si>
  <si>
    <t>BEAUDEAN</t>
  </si>
  <si>
    <t>0024530366</t>
  </si>
  <si>
    <t>0024530371</t>
  </si>
  <si>
    <t>0024530376</t>
  </si>
  <si>
    <t>UPGRADE A 20M - DES CANAUX VOIX   EF 25014320  SCM MN</t>
  </si>
  <si>
    <t>1734877</t>
  </si>
  <si>
    <t>66RIVE011AOG</t>
  </si>
  <si>
    <t>27 AV DE L AGLY</t>
  </si>
  <si>
    <t>66600</t>
  </si>
  <si>
    <t>RIVESALTES</t>
  </si>
  <si>
    <t>0024530367</t>
  </si>
  <si>
    <t>0024530372</t>
  </si>
  <si>
    <t>0024530377</t>
  </si>
  <si>
    <t>1734879</t>
  </si>
  <si>
    <t>68MULH011AOP</t>
  </si>
  <si>
    <t>54 AV ROBERT SCHUMAN</t>
  </si>
  <si>
    <t>68100</t>
  </si>
  <si>
    <t>0024530531</t>
  </si>
  <si>
    <t>0024530539</t>
  </si>
  <si>
    <t>0044HXU6</t>
  </si>
  <si>
    <t>0024530548</t>
  </si>
  <si>
    <t xml:space="preserve">COMMENTAIRE DE SUPPRESSION DE GTRS1 POUR GENERER UNE DDP  EF 24895466  SCM MN </t>
  </si>
  <si>
    <t>1734880</t>
  </si>
  <si>
    <t>69VILL011AOG</t>
  </si>
  <si>
    <t>82 RUE DE PIERREFRITE</t>
  </si>
  <si>
    <t>69100</t>
  </si>
  <si>
    <t>VILLEURBANNE</t>
  </si>
  <si>
    <t>0024530534</t>
  </si>
  <si>
    <t>0024530542</t>
  </si>
  <si>
    <t>Zone 1</t>
  </si>
  <si>
    <t>0024530551</t>
  </si>
  <si>
    <t>UPGRADE A 160M ET MODIFICATION NB CANAUX VOIX  EF 25668137  GC2 MN</t>
  </si>
  <si>
    <t>1734882</t>
  </si>
  <si>
    <t>73MONT011AOS</t>
  </si>
  <si>
    <t>195 AV PAUL LOUIS MERLIN</t>
  </si>
  <si>
    <t>73800</t>
  </si>
  <si>
    <t>MONTMELIAN</t>
  </si>
  <si>
    <t>0024530765</t>
  </si>
  <si>
    <t>0024530773</t>
  </si>
  <si>
    <t>0024530781</t>
  </si>
  <si>
    <t xml:space="preserve">UPGRADE DE 20M A 50M ET MODIFICATION NB CANAUX VOIX + MODIFICATION DU ROUTEUR  MODIFICATION DU CONTACT SITE -&gt; DELHAYE QUENTIN, QUENTIN.DELHAYE@EDF.FR          </t>
  </si>
  <si>
    <t>1734883</t>
  </si>
  <si>
    <t>74CLUS011AOS</t>
  </si>
  <si>
    <t>1988 AV DES GLIERES</t>
  </si>
  <si>
    <t>74300</t>
  </si>
  <si>
    <t>CLUSES</t>
  </si>
  <si>
    <t>0024530766</t>
  </si>
  <si>
    <t>0024530774</t>
  </si>
  <si>
    <t>0024530782</t>
  </si>
  <si>
    <t>UPGRADE A 50M  AUGMENTATION VOLUME CANAUX VOIX   CHANGEMENT DE ROUTEUR  CHANGEMENT CONTACT SITE      EF 25995008  GC2 MN</t>
  </si>
  <si>
    <t>1734885</t>
  </si>
  <si>
    <t>74THON011AOB</t>
  </si>
  <si>
    <t>U E ALPES</t>
  </si>
  <si>
    <t>2 RTE DE BIOGE</t>
  </si>
  <si>
    <t>74500</t>
  </si>
  <si>
    <t>FETERNES</t>
  </si>
  <si>
    <t>0024530767</t>
  </si>
  <si>
    <t>0024530775</t>
  </si>
  <si>
    <t>0024530783</t>
  </si>
  <si>
    <t>Nominal LL2048K sans Secours</t>
  </si>
  <si>
    <t>08/12/2025 ERRADV CORRECTION DE LA REF WED GC2 MN  MODIFPROD GG LE7/11 PROBLEME COLLECTO .NEW REF WED  "MIGRATION FIBRE EN FTTE - FIBRESMART OPTIMALE  MODIF CONTACT SITE  MODIF CANAUX VOIX  MODIF ROUTEUR"      EF 25943866  GC2 MN</t>
  </si>
  <si>
    <t>1734890</t>
  </si>
  <si>
    <t>81ALBI011AOG</t>
  </si>
  <si>
    <t>RUE GUSTAVE EIFFEL</t>
  </si>
  <si>
    <t>81000</t>
  </si>
  <si>
    <t>ALBI</t>
  </si>
  <si>
    <t>0024530619</t>
  </si>
  <si>
    <t>0024530624</t>
  </si>
  <si>
    <t>0024530629</t>
  </si>
  <si>
    <t>UPGRADE DE 10M A 20M - MODIFICATION CANAUX VOIX  EF 24828813  SCM MN</t>
  </si>
  <si>
    <t>1734891</t>
  </si>
  <si>
    <t>81CAST011AOG</t>
  </si>
  <si>
    <t>17 RUE EUGENIE AUBERTOT</t>
  </si>
  <si>
    <t>81100</t>
  </si>
  <si>
    <t>CASTRES</t>
  </si>
  <si>
    <t>0024530771</t>
  </si>
  <si>
    <t>0024530779</t>
  </si>
  <si>
    <t>0024530787</t>
  </si>
  <si>
    <t>FAST UPGRADE. ÉLIGIBILITE TESTEE AUTOMATIQUEMENT (PAS DE FICHIER CREOL).   - REFERENCE SWAN    T503130061  - DDP A ROUTER VERS SPN</t>
  </si>
  <si>
    <t>1734894</t>
  </si>
  <si>
    <t>81GAIL011AOG</t>
  </si>
  <si>
    <t>CH DE LA BOURELIE</t>
  </si>
  <si>
    <t>81600</t>
  </si>
  <si>
    <t>GAILLAC</t>
  </si>
  <si>
    <t>0024530772</t>
  </si>
  <si>
    <t>0024530780</t>
  </si>
  <si>
    <t>0024530788</t>
  </si>
  <si>
    <t>1734896</t>
  </si>
  <si>
    <t>93NOIS011AOG</t>
  </si>
  <si>
    <t>BD DU MONT D EST</t>
  </si>
  <si>
    <t>93160</t>
  </si>
  <si>
    <t>NOISY LE GRAND</t>
  </si>
  <si>
    <t>0025446854</t>
  </si>
  <si>
    <t>0025446855</t>
  </si>
  <si>
    <t>0025446857</t>
  </si>
  <si>
    <t>CREA EN PARALLELE DE L'ACCES EXISTANT 0024529104 EN VUE D'UN DEPLACEMENT DES ARRIVEES OPTIQUES  CONTACT DAVID PABICH 0762105211  EF 23671477  SCM TP      &lt;0025446855   CREATION USAGE INTRANET&gt;  &lt;0025446857   CREATION USAGE VOIX&gt;</t>
  </si>
  <si>
    <t>1734900</t>
  </si>
  <si>
    <t>06NICE011AOG</t>
  </si>
  <si>
    <t>21 AV SIMONE VEIL</t>
  </si>
  <si>
    <t>06200</t>
  </si>
  <si>
    <t>NICE</t>
  </si>
  <si>
    <t>0024529385</t>
  </si>
  <si>
    <t>0024530036</t>
  </si>
  <si>
    <t>0024530069</t>
  </si>
  <si>
    <t>PASSAGE A 1800 CANAUX VOIX DU SITE  IMMEUBLE THE CROWN - BAT B  CONATCT MATTHIEU BERDUGO - MATTHIEU.BERDUGO@EDF.FR  EF 21194180  SCM TP 15/06/2020 - MODIFICATION DE LA DATE CONTRACTUELLE DU SERVICE 06/07/2020 - MODIFICATION DE LA DATE CONTRACTUELLE DU SERVICE 26/08/2020 - MODIFICATION DE LA DATE CONTRACTUELLE DU SERVICE 01/10/2020 - MODIFICATION DE LA DATE CONTRACTUELLE DU SERVICE</t>
  </si>
  <si>
    <t>1734908</t>
  </si>
  <si>
    <t>06NICE021AOG</t>
  </si>
  <si>
    <t>538 RTE DE GRENOBLE</t>
  </si>
  <si>
    <t>0024531223</t>
  </si>
  <si>
    <t>0024531270</t>
  </si>
  <si>
    <t>0024531316</t>
  </si>
  <si>
    <t>UPGRADE A 50M ET MODIFICATION NB CANAUX VOIX  MODIFICATION DU ROUTEUR  MODIFICATION DU CONTACT SITE  EF 25597370  GC2 MN</t>
  </si>
  <si>
    <t>1734911</t>
  </si>
  <si>
    <t>11AXAT011AOG</t>
  </si>
  <si>
    <t>PL JOACHIM ESTRADE</t>
  </si>
  <si>
    <t>11140</t>
  </si>
  <si>
    <t>AXAT</t>
  </si>
  <si>
    <t>0024531229</t>
  </si>
  <si>
    <t>0024531276</t>
  </si>
  <si>
    <t>0024531321</t>
  </si>
  <si>
    <t>-FAST UPGRADE. ÉLIGIBILITE TESTEE AUTOMATIQUEMENT (PAS DE FICHIER CREOL).   - REFERENCE SWAN T503127935  - DDP A ROUTER VERS SPN</t>
  </si>
  <si>
    <t>1734995</t>
  </si>
  <si>
    <t>59LILL011AOG</t>
  </si>
  <si>
    <t>137 RUE DE LUXEMBOURG</t>
  </si>
  <si>
    <t>0024530253</t>
  </si>
  <si>
    <t>0024530259</t>
  </si>
  <si>
    <t>0024530266</t>
  </si>
  <si>
    <t>1735001</t>
  </si>
  <si>
    <t>90BELF011AOG</t>
  </si>
  <si>
    <t>RESILIATION</t>
  </si>
  <si>
    <t>6 AV DES USINES</t>
  </si>
  <si>
    <t>90000</t>
  </si>
  <si>
    <t>BELFORT</t>
  </si>
  <si>
    <t>0024514764</t>
  </si>
  <si>
    <t>RESIL DEMANDEE AU 31/12/24 SANS APPLICATION DU PREAVIS CTR PAR VENTE  GC2 LB EFORCE 25418042 Résiliation totale (sans qualification)</t>
  </si>
  <si>
    <t>1735006</t>
  </si>
  <si>
    <t>87AMBA011AOS</t>
  </si>
  <si>
    <t>87240</t>
  </si>
  <si>
    <t>AMBAZAC</t>
  </si>
  <si>
    <t>0024529101</t>
  </si>
  <si>
    <t>0024529126</t>
  </si>
  <si>
    <t>0024529143</t>
  </si>
  <si>
    <t>UPGRADE A 20M  AUGMENTATION VOLUME CANAUX VOIX  EF 25602895  GC2 MN</t>
  </si>
  <si>
    <t>1735046</t>
  </si>
  <si>
    <t>80AMIE011AOG</t>
  </si>
  <si>
    <t>59 AV D ITALIE</t>
  </si>
  <si>
    <t>80090</t>
  </si>
  <si>
    <t>AMIENS</t>
  </si>
  <si>
    <t>0024530618</t>
  </si>
  <si>
    <t>0024530623</t>
  </si>
  <si>
    <t>0024530628</t>
  </si>
  <si>
    <t>1735050</t>
  </si>
  <si>
    <t>31BLAG011AOG</t>
  </si>
  <si>
    <t>BD HENRI ZIEGLER</t>
  </si>
  <si>
    <t>31700</t>
  </si>
  <si>
    <t>BLAGNAC</t>
  </si>
  <si>
    <t>0024514683</t>
  </si>
  <si>
    <t>RESIL DEMANDEE SANS APPLICATION DU MOIS DE PREAVIS MHF AU 311224 SUR DEMANDE VENTE SOPHIE BAUDRY  GC2 LB EF 25418013 Résiliation totale (sans qualification)</t>
  </si>
  <si>
    <t>1735053</t>
  </si>
  <si>
    <t>31ESTA011AOG</t>
  </si>
  <si>
    <t>AV DU CRABERE</t>
  </si>
  <si>
    <t>31800</t>
  </si>
  <si>
    <t>ESTANCARBON</t>
  </si>
  <si>
    <t>0024531251</t>
  </si>
  <si>
    <t>0024531298</t>
  </si>
  <si>
    <t>0024531341</t>
  </si>
  <si>
    <t xml:space="preserve">- FAST UPGRADE. ÉLIGIBILITE TESTEE AUTOMATIQUEMENT (PAS DE FICHIER CREOL)   - REFERENCE SWAN T112174446  - DDP A ROUTER VERS SPN   </t>
  </si>
  <si>
    <t>1735056</t>
  </si>
  <si>
    <t>59LILL031AOG</t>
  </si>
  <si>
    <t>39 RUE DU FAUBOURG DE ROUBAIX</t>
  </si>
  <si>
    <t>59800</t>
  </si>
  <si>
    <t>0024530175</t>
  </si>
  <si>
    <t>0024530179</t>
  </si>
  <si>
    <t>0024530183</t>
  </si>
  <si>
    <t>400</t>
  </si>
  <si>
    <t>1735058</t>
  </si>
  <si>
    <t>69LYON021AOM</t>
  </si>
  <si>
    <t>BD MARIUS VIVIER MERLE</t>
  </si>
  <si>
    <t>69003</t>
  </si>
  <si>
    <t>LYON</t>
  </si>
  <si>
    <t>0024530532</t>
  </si>
  <si>
    <t>0024530540</t>
  </si>
  <si>
    <t>0024530549</t>
  </si>
  <si>
    <t>5000</t>
  </si>
  <si>
    <t>800 Mb/s</t>
  </si>
  <si>
    <t>UPGRADE DE 700M A 1G AVEC CHANGEMENT DU ROUTEUR + AJOUT DE CANAUX VOIX + MODIF DEBIT ET CANAUX VOIX DES SUBVPN  CQHD/2022.22336  SCM NICOLE EFORCE 23751687</t>
  </si>
  <si>
    <t>1735059</t>
  </si>
  <si>
    <t>69LYON031AOM</t>
  </si>
  <si>
    <t>154 AV THIERS</t>
  </si>
  <si>
    <t>69006</t>
  </si>
  <si>
    <t>0024530533</t>
  </si>
  <si>
    <t>0024530541</t>
  </si>
  <si>
    <t>0024530550</t>
  </si>
  <si>
    <t>UPGRADE DE 700M A 1G AVEC CHANGEMENT DU ROUTEUR + AJOUT DE CANAUX VOIX + MODIF DEBIT ET CANAUX VOIX DES SUBVPN  CQHD/2022.22337  SCM NICOLE EFORCE 23751687</t>
  </si>
  <si>
    <t>1735061</t>
  </si>
  <si>
    <t>76ROUE021AOG</t>
  </si>
  <si>
    <t>46 AV DE BRETAGNE</t>
  </si>
  <si>
    <t>76000</t>
  </si>
  <si>
    <t>0024530616</t>
  </si>
  <si>
    <t>0024530621</t>
  </si>
  <si>
    <t>0024530626</t>
  </si>
  <si>
    <t>SUPPRESSION DE LA GTR SUITE REPONSE ASM ET NVEAU BDC EN PJ LE 220720.BB  CREATION SUBVPN PERENNE + CLASSIQUE + AJOUT INTERFACE ROUTEUR  BDC EN PJ  EF 21318562  SCM TP  27/07/2020 - MODIFICATION DE LA DATE CONTRACTUELLE DU SERVICE 14/08/2020 - MODIFICATION DE LA DATE CONTRACTUELLE DU SERVICE 19/08/2020 - MODIFICATION DE LA DATE CONTRACTUELLE DU SERVICE 16/09/2020 - MODIFICATION DE LA DATE CONTRACTUELLE DU SERVICE 25/09/2020 - MODIFICATION DE LA DATE CONTRACTUELLE DU SERVICE 25/09/2020 - MODIFICATION DE LA DATE CONTRACTUELLE DU SERVICE 30/10/2020 - MODIFICATION DE LA DATE CONTRACTUELLE DU SERVICE</t>
  </si>
  <si>
    <t>1735073</t>
  </si>
  <si>
    <t>68COLM011AOG</t>
  </si>
  <si>
    <t>14 RUE DE LA FECHT</t>
  </si>
  <si>
    <t>68000</t>
  </si>
  <si>
    <t>COLMAR</t>
  </si>
  <si>
    <t>0024530530</t>
  </si>
  <si>
    <t>0024530538</t>
  </si>
  <si>
    <t>0024530547</t>
  </si>
  <si>
    <t>1735077</t>
  </si>
  <si>
    <t>38PONT011AOM</t>
  </si>
  <si>
    <t>CITE EDF</t>
  </si>
  <si>
    <t>38680</t>
  </si>
  <si>
    <t>PONT EN ROYANS</t>
  </si>
  <si>
    <t>0024531257</t>
  </si>
  <si>
    <t>0024531303</t>
  </si>
  <si>
    <t>0024531345</t>
  </si>
  <si>
    <t xml:space="preserve">-FAST UPGRADE. ÉLIGIBILITE TESTEE AUTOMATIQUEMENT (PAS DE FICHIER CREOL).   - REFERENCE SWAN T502229617  - DDP A ROUTER VERS SPN   </t>
  </si>
  <si>
    <t>1735083</t>
  </si>
  <si>
    <t>97CAYE031AOG</t>
  </si>
  <si>
    <t>ZI COLLERY 3</t>
  </si>
  <si>
    <t>0024529105</t>
  </si>
  <si>
    <t>0024529130</t>
  </si>
  <si>
    <t>0024529147</t>
  </si>
  <si>
    <t>1735085</t>
  </si>
  <si>
    <t>97MATO021AOG</t>
  </si>
  <si>
    <t>99 RUE DE LA LIBERTE</t>
  </si>
  <si>
    <t>0024529106</t>
  </si>
  <si>
    <t>0024529131</t>
  </si>
  <si>
    <t>0024529148</t>
  </si>
  <si>
    <t>ANNULE ET REMPLACE L UPGRADE 4M EN CUIVRE  UPGRADE 4M FIBRE AVEC MODIFICATION DES CANAUX ET ROUTEUR   EF 25558036 GC2 MN</t>
  </si>
  <si>
    <t>1735088</t>
  </si>
  <si>
    <t>97STLA021AOG</t>
  </si>
  <si>
    <t>1 QUA SAINT JEAN</t>
  </si>
  <si>
    <t>0024529109</t>
  </si>
  <si>
    <t>0024529134</t>
  </si>
  <si>
    <t>0024529151</t>
  </si>
  <si>
    <t>FAST UPGRADE. ÉLIGIBILITE TESTEE AUTOMATIQUEMENT (PAS DE FICHIER CREOL).   - REFERENCE SWAN    T501251479  - DDP A ROUTER VERS SPN</t>
  </si>
  <si>
    <t>1735440</t>
  </si>
  <si>
    <t>31MURE011AOS</t>
  </si>
  <si>
    <t>181 AV JACQUES DOUZANS</t>
  </si>
  <si>
    <t>31600</t>
  </si>
  <si>
    <t>MURET</t>
  </si>
  <si>
    <t>0024529409</t>
  </si>
  <si>
    <t>0024530047</t>
  </si>
  <si>
    <t>0024530081</t>
  </si>
  <si>
    <t>UPGRADE A 50M ET MODIFICATION DU NB DE CANAUX VOIX ET AJOUT D'UN CODE MODULE LICENCE ROUTEUR  EF 24613264  SCM MN</t>
  </si>
  <si>
    <t>1735442</t>
  </si>
  <si>
    <t>42STET011AOG</t>
  </si>
  <si>
    <t>2 RUE JACQUES CONSTANT MILLERET</t>
  </si>
  <si>
    <t>42000</t>
  </si>
  <si>
    <t>ST ETIENNE</t>
  </si>
  <si>
    <t>0024529420</t>
  </si>
  <si>
    <t>0024530052</t>
  </si>
  <si>
    <t>0024530087</t>
  </si>
  <si>
    <t>1735445</t>
  </si>
  <si>
    <t>29GUIP011AOG</t>
  </si>
  <si>
    <t>ZAC DE KERGARADEC</t>
  </si>
  <si>
    <t>29490</t>
  </si>
  <si>
    <t>GUIPAVAS</t>
  </si>
  <si>
    <t>0024531249</t>
  </si>
  <si>
    <t>0024531296</t>
  </si>
  <si>
    <t>0024531339</t>
  </si>
  <si>
    <t xml:space="preserve">POUR UN UPGRADE BVPN  - FAST UPGRADE. ÉLIGIBILITE TESTEE AUTOMATIQUEMENT (PAS DE FICHIER CREOL)   - REFERENCE SWAN T207216084  - DDP A ROUTER VERS SPN   </t>
  </si>
  <si>
    <t>1735449</t>
  </si>
  <si>
    <t>30NIME011AOG</t>
  </si>
  <si>
    <t>AV AMEDEE BOLLE</t>
  </si>
  <si>
    <t>30900</t>
  </si>
  <si>
    <t>NIMES</t>
  </si>
  <si>
    <t>0024529407</t>
  </si>
  <si>
    <t>0024530046</t>
  </si>
  <si>
    <t>0024530080</t>
  </si>
  <si>
    <t>1735451</t>
  </si>
  <si>
    <t>20BAST041AOG</t>
  </si>
  <si>
    <t>RUE PARATOJO</t>
  </si>
  <si>
    <t>20200</t>
  </si>
  <si>
    <t>0024529398</t>
  </si>
  <si>
    <t>0024530042</t>
  </si>
  <si>
    <t>0024530076</t>
  </si>
  <si>
    <t xml:space="preserve">UPGRADE DE 20M A 30M + MODIF CANAUX VOIX ET SUBVPN 20BAST041AOP  EF 23080308  SCM TP </t>
  </si>
  <si>
    <t>1735456</t>
  </si>
  <si>
    <t>20BORG011AOB</t>
  </si>
  <si>
    <t>VIALE DI SUVALE</t>
  </si>
  <si>
    <t>20290</t>
  </si>
  <si>
    <t>LUCCIANA</t>
  </si>
  <si>
    <t>0024531241</t>
  </si>
  <si>
    <t>0024531287</t>
  </si>
  <si>
    <t>0024531332</t>
  </si>
  <si>
    <t>CHANGEMENT DE HOSTNAME GC2 MN  MODIFICATION DE DUAL BACKUP EN STANDARD (SUPPRESSION DU SECOURS)  EF 25867050  GC2 MN</t>
  </si>
  <si>
    <t>1735460</t>
  </si>
  <si>
    <t>20AJAC071AOG</t>
  </si>
  <si>
    <t>ZI DU VAZZIO</t>
  </si>
  <si>
    <t>20090</t>
  </si>
  <si>
    <t>AJACCIO</t>
  </si>
  <si>
    <t>0024531238</t>
  </si>
  <si>
    <t>0024531285</t>
  </si>
  <si>
    <t>0024531330</t>
  </si>
  <si>
    <t xml:space="preserve">FAST UPGRADE. ÉLIGIBILITE TESTEE AUTOMATIQUEMENT (PAS DE FICHIER CREOL).   - REFERENCE SWAN   - DDP A ROUTER VERS SPN T404160783  - N.B   LE CLIENT A DEMANDE A ETRE CONTACTE JUSTE AVANT LA REALISATION </t>
  </si>
  <si>
    <t>1738610</t>
  </si>
  <si>
    <t>74ANNE011AOG</t>
  </si>
  <si>
    <t>1 AV BERTHOLLET</t>
  </si>
  <si>
    <t>74000</t>
  </si>
  <si>
    <t>ANNECY</t>
  </si>
  <si>
    <t>0024523685</t>
  </si>
  <si>
    <t>0024523686</t>
  </si>
  <si>
    <t>0024523687</t>
  </si>
  <si>
    <t>CREATION SUBVPN, VRF WIFI  MODIFICATION DE 2 LANS  LES LANS OTC (GI0/2/0) ET PCAPA (GI0/2/1) SONT A REMPLACER PAR LES LANS RLE ET WIFI  EF 21116634  SCM TP  &lt;0024935743   CREATION USAGE SUB VPN PERENNE - CREA SUBVPN PERENNE  EF 21116634  SCM TP&gt; 12/05/2020 - MODIFICATION DE LA DATE CONTRACTUELLE DU SERVICE 10/07/2020 - MODIFICATION DE LA DATE CONTRACTUELLE DU SERVICE</t>
  </si>
  <si>
    <t>1765739</t>
  </si>
  <si>
    <t>20AJAC041AOS</t>
  </si>
  <si>
    <t>EDF RIN5</t>
  </si>
  <si>
    <t>RTE DES MILELLI</t>
  </si>
  <si>
    <t>0024715646</t>
  </si>
  <si>
    <t>0024715647</t>
  </si>
  <si>
    <t>0024715650</t>
  </si>
  <si>
    <t>60</t>
  </si>
  <si>
    <t>FAST UPGRADE. ÉLIGIBILITE TESTEE AUTOMATIQUEMENT (PAS DE FICHIER CREOL).   - REFERENCE SWAN    T403124043  - DDP A ROUTER VERS SPN</t>
  </si>
  <si>
    <t>38GREN011AOB</t>
  </si>
  <si>
    <t>1765754</t>
  </si>
  <si>
    <t>56VANN011AOG</t>
  </si>
  <si>
    <t>RUE ALFRED KASTLER</t>
  </si>
  <si>
    <t>56000</t>
  </si>
  <si>
    <t>VANNES</t>
  </si>
  <si>
    <t>0024655437</t>
  </si>
  <si>
    <t>0024655441</t>
  </si>
  <si>
    <t>0024655445</t>
  </si>
  <si>
    <t xml:space="preserve">   </t>
  </si>
  <si>
    <t>-FAST UPGRADE. ÉLIGIBILITE TESTEE AUTOMATIQUEMENT (PAS DE FICHIER CREOL).   - REFERENCE SWAN T412164753  - DDP A ROUTER VERS SPN</t>
  </si>
  <si>
    <t>1765759</t>
  </si>
  <si>
    <t>64PAUZ021AOG</t>
  </si>
  <si>
    <t>20 AV PIERRE MASSE</t>
  </si>
  <si>
    <t>64000</t>
  </si>
  <si>
    <t>PAU</t>
  </si>
  <si>
    <t>0024655344</t>
  </si>
  <si>
    <t>0024655353</t>
  </si>
  <si>
    <t>0024655362</t>
  </si>
  <si>
    <t>FAST UPGRADE. ÉLIGIBILITE TESTEE AUTOMATIQUEMENT (PAS DE FICHIER CREOL).   - REFERENCE SWAN    T411230718  - DDP A ROUTER VERS SPN</t>
  </si>
  <si>
    <t>1766036</t>
  </si>
  <si>
    <t>25BESA011AOB</t>
  </si>
  <si>
    <t>RUE BERSOT</t>
  </si>
  <si>
    <t>25000</t>
  </si>
  <si>
    <t>BESANCON</t>
  </si>
  <si>
    <t>0024654312</t>
  </si>
  <si>
    <t>0024654326</t>
  </si>
  <si>
    <t>0024654341</t>
  </si>
  <si>
    <t>1766044</t>
  </si>
  <si>
    <t>33MERI021AOS</t>
  </si>
  <si>
    <t>ALL PIERRE GILLES DE GENNES</t>
  </si>
  <si>
    <t>33700</t>
  </si>
  <si>
    <t>MERIGNAC</t>
  </si>
  <si>
    <t>0024654314</t>
  </si>
  <si>
    <t>0024654329</t>
  </si>
  <si>
    <t>0024654343</t>
  </si>
  <si>
    <t xml:space="preserve">UPGRADE A 50M  AUGMENTATION VOLUME CANAUX VOIX   CHANGEMENT DE ROUTEUR  CHANGEMENT CONTACT SITE    EF 26000725  GC2 MN   </t>
  </si>
  <si>
    <t>1766340</t>
  </si>
  <si>
    <t>42STJU011AOG</t>
  </si>
  <si>
    <t>RTE DU BARRAGE DE GRANGENT</t>
  </si>
  <si>
    <t>42170</t>
  </si>
  <si>
    <t>CHAMBLES</t>
  </si>
  <si>
    <t>0024685257</t>
  </si>
  <si>
    <t>0024685264</t>
  </si>
  <si>
    <t>0024685268</t>
  </si>
  <si>
    <t xml:space="preserve">FAST UPGRADE. ÉLIGIBILITE TESTEE AUTOMATIQUEMENT (PAS DE FICHIER CREOL).   - REFERENCE SWAN T403212780  - DDP A ROUTER VERS SPN  - N.B   LE CLIENT A DEMANDE A ETRE CONTACTE JUSTE AVANT LA REALISATION </t>
  </si>
  <si>
    <t>1797196</t>
  </si>
  <si>
    <t>26VALE021AOG</t>
  </si>
  <si>
    <t>RUE JEAN JULLIEN DAVIN</t>
  </si>
  <si>
    <t>26000</t>
  </si>
  <si>
    <t>VALENCE</t>
  </si>
  <si>
    <t>0024791801</t>
  </si>
  <si>
    <t>0024791803</t>
  </si>
  <si>
    <t>0024791804</t>
  </si>
  <si>
    <t xml:space="preserve">POUR UN UPGRADE BVPN  - FAST UPGRADE. ÉLIGIBILITE TESTEE AUTOMATIQUEMENT (PAS DE FICHIER CREOL)   - REFERENCE SWAN T209202425  - DDP A ROUTER VERS SPN </t>
  </si>
  <si>
    <t>1815359</t>
  </si>
  <si>
    <t>12GOLI011AOB</t>
  </si>
  <si>
    <t>BARG DE GOLINHAC</t>
  </si>
  <si>
    <t>GOLINHAC</t>
  </si>
  <si>
    <t>0024829210</t>
  </si>
  <si>
    <t>0024829211</t>
  </si>
  <si>
    <t>0024829212</t>
  </si>
  <si>
    <t>XCREOL - CREATION CORPORATE 2M + 20 CANAUX VOIX  1 SEUL ND SUR SITE DE TYPE NUMERIS 0565444810  EFORCE 20766262  SCM TP    &lt;0024829211   CREATION USAGE INTRANET&gt;  &lt;0024829212   CREATION USAGE VOIX&gt; 21/04/2020 - MODIFICATION DE LA DATE CONTRACTUELLE DU SERVICE</t>
  </si>
  <si>
    <t>1815360</t>
  </si>
  <si>
    <t>31LABA011AOB</t>
  </si>
  <si>
    <t>RUE DU BARRAGE</t>
  </si>
  <si>
    <t>31210</t>
  </si>
  <si>
    <t>POINTIS DE RIVIERE</t>
  </si>
  <si>
    <t>0024829214</t>
  </si>
  <si>
    <t>0024829215</t>
  </si>
  <si>
    <t>0024829216</t>
  </si>
  <si>
    <t>22/01 SUITE ALERTE CDP POUR INELIGIBILITE AU DEBIT DEMANDE, MODIF COMMANDE POUR PASSER EN 1M + 10 CANAUX VOIX. WEB REFAIT  XCREOL - CREATION CORPORATE 2M + 20 CANAUX VOIX  NDI SITE 0561951621 - COORDONNEES GPS X 43.092724 - GPS Y 0.62554115  LE NOMBRE DE PAIRES DISPONIBLES EST INSUFFISANT - DESATURATION INDISPENSABLE - PAS D'ENGAGEMENT SUR LES DELAIS DE REALISATION   EFORCE 20766262  SCM TP    &lt;0024829211   CREATION USAGE INTRANET&gt;  &lt;0024829212   CREATION USAGE VOIX&gt;  &lt;0024829215   CREATION USAGE INTRANET&gt;  &lt;0024829216   CREATION USAGE VOIX&gt;</t>
  </si>
  <si>
    <t>1816596</t>
  </si>
  <si>
    <t>78CHAT012AOG</t>
  </si>
  <si>
    <t>0024834530</t>
  </si>
  <si>
    <t>0024834536</t>
  </si>
  <si>
    <t>0024834539</t>
  </si>
  <si>
    <t>CORRECTION D INVERSION AU NIVEAU CANAUX VOIX (550) ENTRE LE SUB1 ET SUB2  EF 21661595</t>
  </si>
  <si>
    <t>1816607</t>
  </si>
  <si>
    <t>77ORVA011AOG</t>
  </si>
  <si>
    <t>AV DES RENARDIERES</t>
  </si>
  <si>
    <t>77250</t>
  </si>
  <si>
    <t>MORET LOING ET ORVANNE</t>
  </si>
  <si>
    <t>0024834544</t>
  </si>
  <si>
    <t>0024834545</t>
  </si>
  <si>
    <t>0024834546</t>
  </si>
  <si>
    <t>04/12 CORRECTION D¿INVERSION AU NIVEAUX CANAUX VOIX (550) ENTRE LE SUB1 ET SUB2  EF 21661595  SCM TP</t>
  </si>
  <si>
    <t>1816609</t>
  </si>
  <si>
    <t>55BARL011AOB</t>
  </si>
  <si>
    <t>18 AV GAMBETTA</t>
  </si>
  <si>
    <t>55000</t>
  </si>
  <si>
    <t>BAR LE DUC</t>
  </si>
  <si>
    <t>0024834549</t>
  </si>
  <si>
    <t>0024834550</t>
  </si>
  <si>
    <t>0024834551</t>
  </si>
  <si>
    <t>XCREOL - CREA 8 SITES 19SERA011AOB/ 19ROCH011AOB/12CAST011AOB/ 38LIVE031AOS/ 78CHAT012AOG/ 77ORVA011AOG/ 55BARL011AOB/ 47VILL011AOB  EFORCE 20766371  SCM TP  &lt;0024834492   CREATION USAGE INTRANET&gt;  &lt;0024834495   CREATION USAGE VOIX&gt;  &lt;0024834550   CREATION USAGE INTRANET&gt;  &lt;0024834551   CREATION USAGE VOIX&gt; 17/02/2020 - MODIFICATION DE LA DATE CONTRACTUELLE DU SERVICE 16/03/2020 - MODIFICATION DE LA DATE CONTRACTUELLE DU SERVICE 16/04/2020 - MODIFICATION DE LA DATE CONTRACTUELLE DU SERVICE 15/05/2020 - MODIFICATION DE LA DATE CONTRACTUELLE DU SERVICE 28/05/2020 - MODIFICATION DE LA DATE CONTRACTUELLE DU SERVICE 22/06/2020 - MODIFICATION DE LA DATE CONTRACTUELLE DU SERVICE</t>
  </si>
  <si>
    <t>1816611</t>
  </si>
  <si>
    <t>47VILL011AOB</t>
  </si>
  <si>
    <t>VIREBEAU NORD</t>
  </si>
  <si>
    <t>47300</t>
  </si>
  <si>
    <t>VILLENEUVE SUR LOT</t>
  </si>
  <si>
    <t>0024834554</t>
  </si>
  <si>
    <t>0024834555</t>
  </si>
  <si>
    <t>0024834556</t>
  </si>
  <si>
    <t xml:space="preserve">FIBRAGE DU SITE ET UPGRADE A 4M CHANGEMENT DE ROUTEUR  AUGMENTATION DES CANAUX VOIX  EF 24802657  SCM MN  </t>
  </si>
  <si>
    <t>1834157</t>
  </si>
  <si>
    <t>01BOUR011AOB</t>
  </si>
  <si>
    <t>293 AV DES GRANGES BARDES</t>
  </si>
  <si>
    <t>01000</t>
  </si>
  <si>
    <t>BOURG EN BRESSE</t>
  </si>
  <si>
    <t>0024912838</t>
  </si>
  <si>
    <t>0024912839</t>
  </si>
  <si>
    <t>0024912840</t>
  </si>
  <si>
    <t xml:space="preserve">FAST UPGRADE. ÉLIGIBILITE TESTEE AUTOMATIQUEMENT (PAS DE FICHIER CREOL).   - REFERENCE SWAN T410247349  - DDP A ROUTER VERS SPN </t>
  </si>
  <si>
    <t>1835124</t>
  </si>
  <si>
    <t>45FLEU011AOG</t>
  </si>
  <si>
    <t>1 PL RIVIERRE CASALIS</t>
  </si>
  <si>
    <t>45400</t>
  </si>
  <si>
    <t>FLEURY LES AUBRAIS</t>
  </si>
  <si>
    <t>0024917216</t>
  </si>
  <si>
    <t>0024917274</t>
  </si>
  <si>
    <t>0024917277</t>
  </si>
  <si>
    <t>CREATION CORPORATE DUAL BACKUP 20M + 2 SUBVPN + 350 CANAUX VOIX  EF 21061354  SCM MN    &lt;0024917274 : création usage Intranet&gt;  &lt;0024917277 : création usage Voix&gt;  &lt;0024917279 : création usage Sub VPN perenne&gt;  &lt;0024917280 : création usage Sub VPN classique&gt; 15/05/2020 - MODIFICATION DE LA DATE CONTRACTUELLE DU SERVICE 28/07/2020 - MODIFICATION DE LA DATE CONTRACTUELLE DU SERVICE 31/08/2020 - MODIFICATION DE LA DATE CONTRACTUELLE DU SERVICE</t>
  </si>
  <si>
    <t>1861885</t>
  </si>
  <si>
    <t>67STRA031AOG</t>
  </si>
  <si>
    <t>6 RUE GUSTAVE ADOLPHE HIRN</t>
  </si>
  <si>
    <t>67000</t>
  </si>
  <si>
    <t>STRASBOURG</t>
  </si>
  <si>
    <t>0025023370</t>
  </si>
  <si>
    <t>0025023373</t>
  </si>
  <si>
    <t>0025023374</t>
  </si>
  <si>
    <t>02/11 CORRECTION DEBIT SUR SUBVPN  CREATION CORPORATE 20M + 350 CANAUX VOIX + SUBVPN  BDC EN PJ  EF 21611701  SCM TP  &lt;0025023374   CREATION USAGE VOIX&gt;  &lt;0025023376   CREATION USAGE SUB VPN CLASSIQUE - EF 21445631  13/10/2020 - MODIFICATION DE LA DATE CONTRACTUELLE DU SERVICE&gt;  &lt;0025023375   CREATION USAGE SUB VPN PERENNE&gt;  &lt;0025023373   CREATION USAGE INTRANET&gt; 08/12/2020 - MODIFICATION DE LA DATE CONTRACTUELLE DU SERVICE 26/01/2021 - MODIFICATION DE LA DATE CONTRACTUELLE DU SERVICE</t>
  </si>
  <si>
    <t>1862396</t>
  </si>
  <si>
    <t>97MIQU011AOB</t>
  </si>
  <si>
    <t>5 RUE ANTOINE SOUCY</t>
  </si>
  <si>
    <t>97500</t>
  </si>
  <si>
    <t>ST PIERRE ET MIQUELON</t>
  </si>
  <si>
    <t>PM</t>
  </si>
  <si>
    <t>0025016773</t>
  </si>
  <si>
    <t>Small</t>
  </si>
  <si>
    <t>Small routeur à la carte Hybrid</t>
  </si>
  <si>
    <t>Sans secours</t>
  </si>
  <si>
    <t>0025016775</t>
  </si>
  <si>
    <t>HYBRID</t>
  </si>
  <si>
    <t>Nominal HYBRID Offnet</t>
  </si>
  <si>
    <t xml:space="preserve">REGUL SI POUR MISE A JOUR CODE ROUTEUR EN CONFORMITE AVEC LE TERRAIN  DDP A BLANC.  TOUT EST EN PARC COTE PROD ET ON NE REINTERVIENT PAS  TSC FRANCIS POIRE  EF 22612678  SCM TP </t>
  </si>
  <si>
    <t>1862411</t>
  </si>
  <si>
    <t>97STPI011AOB</t>
  </si>
  <si>
    <t>23 BD CONSTANT COLMAY</t>
  </si>
  <si>
    <t>0025016705</t>
  </si>
  <si>
    <t>0025016709</t>
  </si>
  <si>
    <t>1863418</t>
  </si>
  <si>
    <t>06STMA022AOB</t>
  </si>
  <si>
    <t>CASTAGNIER</t>
  </si>
  <si>
    <t>06450</t>
  </si>
  <si>
    <t>ST MARTIN VESUBIE</t>
  </si>
  <si>
    <t>0025027976</t>
  </si>
  <si>
    <t>0025027981</t>
  </si>
  <si>
    <t>0025027983</t>
  </si>
  <si>
    <t>-FAST UPGRADE. ÉLIGIBILITE TESTEE AUTOMATIQUEMENT (PAS DE FICHIER CREOL).   - REFERENCE SWAN T505233438  - DDP A ROUTER VERS SPN</t>
  </si>
  <si>
    <t>1866678</t>
  </si>
  <si>
    <t>92MONT032AOP</t>
  </si>
  <si>
    <t>165 AV PIERRE BROSSOLETTE</t>
  </si>
  <si>
    <t>92120</t>
  </si>
  <si>
    <t>MONTROUGE</t>
  </si>
  <si>
    <t>0025037818</t>
  </si>
  <si>
    <t>0025037827</t>
  </si>
  <si>
    <t>0048LMK1</t>
  </si>
  <si>
    <t>0025037829</t>
  </si>
  <si>
    <t>20000</t>
  </si>
  <si>
    <t>"UPGRADE A 1G   CHNAGEMENT CONTACT SITE   MODIF NB CNX VOIX   MODIF SUB VPN   MODIF ROUTEURS"        EF 25953145  GC2MN</t>
  </si>
  <si>
    <t>1870584</t>
  </si>
  <si>
    <t>13AIXE033AOG</t>
  </si>
  <si>
    <t>1165 AV J R G GAUTIER DE LA LAUZIERE</t>
  </si>
  <si>
    <t>13290</t>
  </si>
  <si>
    <t>AIX EN PROVENCE</t>
  </si>
  <si>
    <t>0025053525</t>
  </si>
  <si>
    <t>0025053526</t>
  </si>
  <si>
    <t>0025053527</t>
  </si>
  <si>
    <t>SUPPRESSION GTRS1  SCM NICOLE  CORRECTION REF. ROUTEUR SUITE ERREUR BDC  SCM NICOLE  CORRECTION GTR SUITE SUPPRESSION RS3  SCM NICOLE  CREATION CORPORATE DUAL BACK UP 200M ROUTEURS A LA CARTE + 1800 CANAUX VOIX + SUB VPN AVEC RS3 0048TTT0  BDC EN PJ  EF 21773745  SCM TP    CHANGEMENT NOM DE SITE - LE SITE 13AIXE032AOP DEVIENT 13AIXE033AOG  SUPPRESSION DE L'OPTION TRES SECURISEE ET RS3 + MODIFICATION DEBITS ET CANAUX VOIX DES SUBVPN  SCM NICOLE EFORCE 22029861    &lt;0025053526   CREATION USAGE INTRANET&gt;  &lt;0025053527   CREATION USAGE VOIX&gt;  &lt;0025053528   CREATION USAGE SUB VPN PERENNE&gt;  &lt;0025053530   CREATION USAGE SUB VPN CLASSIQUE - 11/12/2019 - MODIFICATION DE LA DATE CONTRACTUELLE DU SERVICE  06/02/2020 - MODIFICATION DE LA DATE CONTRACTUELLE DU SERVICE&gt;  09/02/2021 - MODIFICATION DE LA DATE CONTRACTUELLE DU SERVICE</t>
  </si>
  <si>
    <t>1870599</t>
  </si>
  <si>
    <t>69LYON041AOP</t>
  </si>
  <si>
    <t>PL ANTOINETTE FOUQUE</t>
  </si>
  <si>
    <t>69007</t>
  </si>
  <si>
    <t>0025053583</t>
  </si>
  <si>
    <t>0025053584</t>
  </si>
  <si>
    <t>0048TBB1</t>
  </si>
  <si>
    <t>0025053585</t>
  </si>
  <si>
    <t>7000</t>
  </si>
  <si>
    <t>1883084</t>
  </si>
  <si>
    <t>38CHAT011AOB</t>
  </si>
  <si>
    <t>BERTIQUIERE</t>
  </si>
  <si>
    <t>38160</t>
  </si>
  <si>
    <t>CHATTE</t>
  </si>
  <si>
    <t>0025105941</t>
  </si>
  <si>
    <t>0025105942</t>
  </si>
  <si>
    <t>0025105944</t>
  </si>
  <si>
    <t>CREATION CORPORATE 10M SUR SUPPORT FIBRE + 120 CANAUX VOIX  BDC EN PJ  SCM NICOLE EFORCE 22025064</t>
  </si>
  <si>
    <t>1895840</t>
  </si>
  <si>
    <t>37BEAU031AOS</t>
  </si>
  <si>
    <t>MODIFICATION ADMIN</t>
  </si>
  <si>
    <t>RUE DES FRERES LUMIERE</t>
  </si>
  <si>
    <t>37420</t>
  </si>
  <si>
    <t>BEAUMONT EN VERON</t>
  </si>
  <si>
    <t>0025173515</t>
  </si>
  <si>
    <t>0025173518</t>
  </si>
  <si>
    <t>Zone 5</t>
  </si>
  <si>
    <t>0025173523</t>
  </si>
  <si>
    <t xml:space="preserve"> modification administrative le 30/10/2024 SUPPRESSION CARTES ROUTEURS SQ3J PLUS NECESSAIRES SUITE DERNIER UPGRADE D'OCTROBRE 2024, GC2 TP EF 25325061 </t>
  </si>
  <si>
    <t>1903829</t>
  </si>
  <si>
    <t>38LEPE011AOB</t>
  </si>
  <si>
    <t>CH DU MANIGUET</t>
  </si>
  <si>
    <t>38220</t>
  </si>
  <si>
    <t>VIZILLE</t>
  </si>
  <si>
    <t>0025193101</t>
  </si>
  <si>
    <t>0025193102</t>
  </si>
  <si>
    <t>0025193103</t>
  </si>
  <si>
    <t>12/07 CORRECTION, NOUVEAU WED INSERE AVEC DQ2H SUITE ALERTE QUALIF  SERVICE ISSU DU DEMENAGEMENT DU SERVICE 0024975471  SITE A FIBRER  EF 22338519  SCM TP</t>
  </si>
  <si>
    <t>1948541</t>
  </si>
  <si>
    <t>29ILED011AOB</t>
  </si>
  <si>
    <t>LD CROIX ROUGE</t>
  </si>
  <si>
    <t>29242</t>
  </si>
  <si>
    <t>ILE D OUESSANT</t>
  </si>
  <si>
    <t>0025336393</t>
  </si>
  <si>
    <t>0025336394</t>
  </si>
  <si>
    <t>0025336396</t>
  </si>
  <si>
    <t>ERRBDC 29/03 CORRECTION CODE ROUTEUR SUR DEMANDE EQUIPE CO  CREATION CORPORATE 4M SUR SUPPORT CUIVRE + 40 CANAUX VOIX  BDC EN PJ  EFORCE 23060158   SCM TP  &lt;0025336394   CREATION USAGE INTRANET&gt;  &lt;0025336396   CREATION USAGE VOIX&gt;</t>
  </si>
  <si>
    <t>1949385</t>
  </si>
  <si>
    <t>69LYON051AOP</t>
  </si>
  <si>
    <t>76 AV TONY GARNIER</t>
  </si>
  <si>
    <t>0025339170</t>
  </si>
  <si>
    <t>0025339172</t>
  </si>
  <si>
    <t>0051SJZ5</t>
  </si>
  <si>
    <t>0025339173</t>
  </si>
  <si>
    <t>5500</t>
  </si>
  <si>
    <t>CORRECTION GTRS1 VERS GTRS2  EF 24442795  SCM TP</t>
  </si>
  <si>
    <t>2003934</t>
  </si>
  <si>
    <t>76PENL011AOP</t>
  </si>
  <si>
    <t>ZI CENTRALE EDF</t>
  </si>
  <si>
    <t>76630</t>
  </si>
  <si>
    <t>PETIT CAUX</t>
  </si>
  <si>
    <t>0025490509</t>
  </si>
  <si>
    <t>0025490512</t>
  </si>
  <si>
    <t>0053PWC8</t>
  </si>
  <si>
    <t>0025490513</t>
  </si>
  <si>
    <t>9000</t>
  </si>
  <si>
    <t>ERRADV SUITE SUPPRESSION DE SUBVPN CORRECTION DU NB DE SUB SUR LE CORPORATE  GC2 MN  SUPPRESSION DES SUBVPN  EF 25957894  GC2 MN   &lt;0025490516   RESILIATION USAGE SUB VPN CLASSIQUE (SUBCLA01) -   RESILIATION TOTALE (SANS QUALIFICATION)&gt;  &lt;0025490514   RESILIATION USAGE SUB VPN PERENNE (SUBPER01) - SUPPRESSION SUBVPN  RESILIATION TOTALE (SANS QUALIFICATION)&gt;</t>
  </si>
  <si>
    <t>2006867</t>
  </si>
  <si>
    <t>37TOUR031AOG</t>
  </si>
  <si>
    <t>2 RUE EMILE ARON</t>
  </si>
  <si>
    <t>0025498126</t>
  </si>
  <si>
    <t>0025498130</t>
  </si>
  <si>
    <t>0025498131</t>
  </si>
  <si>
    <t>MODIFCDP - 02/03 CORRECTION NOM DE SITE, SCM TP  280223 VBO   CORRECTION NBRE SUB VPN A 1  CREA CORPO DUAL BACKUP 100M + 1800 CANAUX VOIX   EF 23960410  SCM TP      &lt;0025446855   CREATION USAGE INTRANET&gt;  &lt;0025446857   CREATION USAGE VOIX&gt;  &lt;0025490512   CREATION USAGE INTRANET&gt;  &lt;0025498130   CREATION USAGE INTRANET&gt;  &lt;0025498131   CREATION USAGE VOIX&gt;</t>
  </si>
  <si>
    <t>2009571</t>
  </si>
  <si>
    <t>69LYON061AOP</t>
  </si>
  <si>
    <t>63 AV TONY GARNIER</t>
  </si>
  <si>
    <t>0025506860</t>
  </si>
  <si>
    <t>0025506862</t>
  </si>
  <si>
    <t>0053UCZ7</t>
  </si>
  <si>
    <t>0025506864</t>
  </si>
  <si>
    <t>2012908</t>
  </si>
  <si>
    <t>69LYON071AOP</t>
  </si>
  <si>
    <t>51 BD MARIUS VIVIER MERLE</t>
  </si>
  <si>
    <t>0025514711</t>
  </si>
  <si>
    <t>0025514713</t>
  </si>
  <si>
    <t>0053WFF6</t>
  </si>
  <si>
    <t>0025514714</t>
  </si>
  <si>
    <t>UPGRADE A 800M AVEC PASSAGE A 15000 CANAUX VOIX  CHANGEMENT DE ROUTEUR  SUPPRESSION GTR 2H MALGRE RS3  GC2 LB EFORCE 25090618</t>
  </si>
  <si>
    <t>2029752</t>
  </si>
  <si>
    <t>97CAYE041AOG</t>
  </si>
  <si>
    <t>842 CH SAINT ANTOINE</t>
  </si>
  <si>
    <t>0025564789</t>
  </si>
  <si>
    <t>0025564792</t>
  </si>
  <si>
    <t>0025564793</t>
  </si>
  <si>
    <t>CREA CORPO DUAL BACKUP 10M FIBRE + 180 CANAUX VOIX  EF 24278001  SCM TP  &lt;0025506862   CREATION USAGE INTRANET&gt;  &lt;0025506864   CREATION USAGE VOIX&gt;  &lt;0025514713   CREATION USAGE INTRANET&gt;  &lt;0025514714   CREATION USAGE VOIX&gt;  &lt;0025564792 : création usage Intranet&gt;  &lt;0025564793 : création usage Voix&gt;</t>
  </si>
  <si>
    <t>2034680</t>
  </si>
  <si>
    <t>69LYON081AOP</t>
  </si>
  <si>
    <t>0025577973</t>
  </si>
  <si>
    <t>0025577974</t>
  </si>
  <si>
    <t>0054PFW0</t>
  </si>
  <si>
    <t>0025577976</t>
  </si>
  <si>
    <t>GTR S1 4H pour Corporate Standard ou Dual fibre avec RS2/AF2</t>
  </si>
  <si>
    <t>UPGRADE DU SITE DE 300M A 700M + CHANGEMENT DE ROUTEUR + MODIFICATION CANAUX VOIX   GC2 TP  EF 25417979</t>
  </si>
  <si>
    <t>2038994</t>
  </si>
  <si>
    <t>67GAMB013AOS</t>
  </si>
  <si>
    <t>RUE DE LA PORTE DE FRANCE</t>
  </si>
  <si>
    <t>67760</t>
  </si>
  <si>
    <t>GAMBSHEIM</t>
  </si>
  <si>
    <t>0025588716</t>
  </si>
  <si>
    <t>0025588717</t>
  </si>
  <si>
    <t>0025588719</t>
  </si>
  <si>
    <t>CREA CORPO DUAL BACKUP 20M + 350 CANAUX VOIX  EF 24399942  SCM MN      &lt;0025588717 : création usage Intranet&gt;  &lt;0025588719 : création usage Voix&gt;</t>
  </si>
  <si>
    <t>2061759</t>
  </si>
  <si>
    <t>13MARS091AOS</t>
  </si>
  <si>
    <t>132 BD MICHELET</t>
  </si>
  <si>
    <t>13008</t>
  </si>
  <si>
    <t>0025654316</t>
  </si>
  <si>
    <t>0025654317</t>
  </si>
  <si>
    <t>0025654318</t>
  </si>
  <si>
    <t>CREA CORPO DUAL BACKUP 200M + 3600 CANAUX VOIX  EF 24731721  SCM TP  &lt;0025654317 : création usage Intranet&gt;  &lt;0025654318 : création usage Voix&gt;</t>
  </si>
  <si>
    <t>2063895</t>
  </si>
  <si>
    <t>97BAIE031AOM</t>
  </si>
  <si>
    <t>MORN BERNARD</t>
  </si>
  <si>
    <t>0025659893</t>
  </si>
  <si>
    <t>0025659898</t>
  </si>
  <si>
    <t>0025659899</t>
  </si>
  <si>
    <t>CREATION CORPORATE 300M SUR SUPPORT FIBRE ET 5500 CANAUX VOIX  SCM TP  EFORCE 24760805  &lt;0025659898 : création usage Intranet&gt;  &lt;0025659899 : création usage Voix&gt;</t>
  </si>
  <si>
    <t>2064190</t>
  </si>
  <si>
    <t>44STHE011AOG</t>
  </si>
  <si>
    <t>2 AV DU SAINT LAURENT</t>
  </si>
  <si>
    <t>44800</t>
  </si>
  <si>
    <t>ST HERBLAIN</t>
  </si>
  <si>
    <t>0025660975</t>
  </si>
  <si>
    <t>0025660976</t>
  </si>
  <si>
    <t>0025660978</t>
  </si>
  <si>
    <t>-FAST UPGRADE. ÉLIGIBILITE TESTEE AUTOMATIQUEMENT (PAS DE FICHIER CREOL).   - REFERENCE SWAN T505195654  - DDP A ROUTER VERS SPN</t>
  </si>
  <si>
    <t>2064738</t>
  </si>
  <si>
    <t>35RENN021AOS</t>
  </si>
  <si>
    <t>28 RUE DU BOURG NOUVEAU</t>
  </si>
  <si>
    <t>35000</t>
  </si>
  <si>
    <t>RENNES</t>
  </si>
  <si>
    <t>0025662384</t>
  </si>
  <si>
    <t>0025662387</t>
  </si>
  <si>
    <t>0025662390</t>
  </si>
  <si>
    <t>ATTENTION DEMANDE URGENTE ET PRIORITAIRE  CREATION CORPORATE DUAL BACK UP 50M FTTO ROUTEUR A LA CARTE AVEC 900 CANAUX VOIX  SITE A FIBRER   EF 24774967  SCM MN        &lt;0025662387 : création usage Intranet&gt;  &lt;0025662390 : création usage Voix&gt;</t>
  </si>
  <si>
    <t>2067504</t>
  </si>
  <si>
    <t>75PARI051AOP</t>
  </si>
  <si>
    <t>CARNET</t>
  </si>
  <si>
    <t>89 AV DE LA GRANDE ARMEE</t>
  </si>
  <si>
    <t>75116</t>
  </si>
  <si>
    <t>0025847476</t>
  </si>
  <si>
    <t>0025847478</t>
  </si>
  <si>
    <t>0057JKA6</t>
  </si>
  <si>
    <t>0025847480</t>
  </si>
  <si>
    <t>CREATION CORPORATE DUAL BACK UP 400M - 7000 CV - RS3   0057JKA6 / DIAG FIBRE 0056RWM2  GC2 LB EF 25410194      &lt;0025847478 : création usage Intranet&gt;  &lt;0025847480 : création usage Voix&gt;</t>
  </si>
  <si>
    <t>2068485</t>
  </si>
  <si>
    <t>97MATO051AOS</t>
  </si>
  <si>
    <t>RTDE 191</t>
  </si>
  <si>
    <t>0025674892</t>
  </si>
  <si>
    <t>0025674894</t>
  </si>
  <si>
    <t>0025674895</t>
  </si>
  <si>
    <t xml:space="preserve">-FAST UPGRADE. ÉLIGIBILITE TESTEE AUTOMATIQUEMENT (PAS DE FICHIER CREOL).   - REFERENCE SWAN T510227568  - DDP A ROUTER VERS SPN </t>
  </si>
  <si>
    <t>2081562</t>
  </si>
  <si>
    <t>69LYON091AOP</t>
  </si>
  <si>
    <t>RUE PIERRE BOURDEIX</t>
  </si>
  <si>
    <t>0025713026</t>
  </si>
  <si>
    <t>0025714141</t>
  </si>
  <si>
    <t>0056BJX5</t>
  </si>
  <si>
    <t>0025714142</t>
  </si>
  <si>
    <t>CREA CORPO DUAL BACKUP 1G AVEC RS3 0056BJX5 + 2000 CANAUX VOIX   EF 24980296  SCM MN    &lt;0025714141 : création usage Intranet&gt;</t>
  </si>
  <si>
    <t>2082734</t>
  </si>
  <si>
    <t>97BAIE041AOB</t>
  </si>
  <si>
    <t>ALL DES COLIBRIS</t>
  </si>
  <si>
    <t>0025716400</t>
  </si>
  <si>
    <t>0025716402</t>
  </si>
  <si>
    <t>0025716403</t>
  </si>
  <si>
    <t>CREA CORPO 10M + 180 CANAUX VOIX   EF 25000095  GC2 TP    &lt;0025674894   CREATION USAGE INTRANET&gt;  &lt;0025674895   CREATION USAGE VOIX&gt;  &lt;0025716402   CREATION USAGE INTRANET&gt;  &lt;0025716403   CREATION USAGE VOIX&gt;</t>
  </si>
  <si>
    <t>2087677</t>
  </si>
  <si>
    <t>69LYON101AOG</t>
  </si>
  <si>
    <t>12 RUE SAINT SIDOINE</t>
  </si>
  <si>
    <t>0025732232</t>
  </si>
  <si>
    <t>0025732234</t>
  </si>
  <si>
    <t>0025732236</t>
  </si>
  <si>
    <t xml:space="preserve">  CREATION CORPORATE DUAL BACK UP 100M ROUTEUR A LA CARTE AVEC 1800 CANAUX VOIX  SITE A FIBRER   EF 25040629  SCM MN        &lt;0025662387   CREATION USAGE INTRANET&gt;  &lt;0025662390   CREATION USAGE VOIX&gt;  &lt;0025732234 : création usage Intranet&gt;  &lt;0025732236 : création usage Voix&gt;</t>
  </si>
  <si>
    <t>2102538</t>
  </si>
  <si>
    <t>37TOUR061AOG</t>
  </si>
  <si>
    <t>RTE DE SAINT AVERTIN</t>
  </si>
  <si>
    <t>0025787278</t>
  </si>
  <si>
    <t>0025787279</t>
  </si>
  <si>
    <t>0025787280</t>
  </si>
  <si>
    <t>CREATION CORPORATE DUAL BACK UP 200M ROUTEUR A LA CARTE AVEC 3600 CANAUX VOIX  SITE A FIBRER   EF 25236986  GC2 TP  &lt;0025787279 : création usage Intranet&gt;  &lt;0025787280 : création usage Voix&gt;</t>
  </si>
  <si>
    <t>2112601</t>
  </si>
  <si>
    <t>17PERI021AOG</t>
  </si>
  <si>
    <t>9 AV LOUIS LUMIERE</t>
  </si>
  <si>
    <t>17180</t>
  </si>
  <si>
    <t>PERIGNY</t>
  </si>
  <si>
    <t>0025828316</t>
  </si>
  <si>
    <t>0025828318</t>
  </si>
  <si>
    <t>0025828320</t>
  </si>
  <si>
    <t>CREATION CORPORATE DUAL BACK UP 50M ROUTEUR A LA CARTE AVEC 900 CANAUX VOIX  SITE A FIBRER   EF 25374754  GC2 MN    &lt;0025828318   CREATION USAGE INTRANET&gt;  &lt;0025828320   CREATION USAGE VOIX&gt;</t>
  </si>
  <si>
    <t>2116282</t>
  </si>
  <si>
    <t>31TOUL071AOG</t>
  </si>
  <si>
    <t>4 RUE CLAUDE MARIE PERROUD</t>
  </si>
  <si>
    <t>31100</t>
  </si>
  <si>
    <t>TOULOUSE</t>
  </si>
  <si>
    <t>0025843340</t>
  </si>
  <si>
    <t>0025843351</t>
  </si>
  <si>
    <t>0025843354</t>
  </si>
  <si>
    <t xml:space="preserve">-FAST UPGRADE. ÉLIGIBILITE TESTEE AUTOMATIQUEMENT (PAS DE FICHIER CREOL).   - REFERENCE SWAN T512150836  - DDP A ROUTER VERS SPN   </t>
  </si>
  <si>
    <t>2116288</t>
  </si>
  <si>
    <t>31TOUL081AOG</t>
  </si>
  <si>
    <t>5 RUE CLAUDE MARIE PERROUD</t>
  </si>
  <si>
    <t>0025843373</t>
  </si>
  <si>
    <t>0025843374</t>
  </si>
  <si>
    <t>0025843376</t>
  </si>
  <si>
    <t xml:space="preserve">-FAST UPGRADE. ÉLIGIBILITE TESTEE AUTOMATIQUEMENT (PAS DE FICHIER CREOL).   - REFERENCE SWAN T506191142  - DDP A ROUTER VERS SPN </t>
  </si>
  <si>
    <t>2116321</t>
  </si>
  <si>
    <t>31TOUL091AOS</t>
  </si>
  <si>
    <t>1 RPT DU GENERAL EISENHOWER</t>
  </si>
  <si>
    <t>0025843383</t>
  </si>
  <si>
    <t>0025843385</t>
  </si>
  <si>
    <t>0025843386</t>
  </si>
  <si>
    <t>CJANGEMENT HOSTNAME NOM DE SITE DEVIENT 31TOUL091AOS  EF 25925812  GC2 MN</t>
  </si>
  <si>
    <t>2120322</t>
  </si>
  <si>
    <t>69VENI011AOG</t>
  </si>
  <si>
    <t>41 BD MARCEL SEMBAT</t>
  </si>
  <si>
    <t>69200</t>
  </si>
  <si>
    <t>VENISSIEUX</t>
  </si>
  <si>
    <t>0025853590</t>
  </si>
  <si>
    <t>0025853591</t>
  </si>
  <si>
    <t>0025853991</t>
  </si>
  <si>
    <t>CREATION D-UN NOUVEL ACCES CORPORATE DUAL BACKUP 100M  EF 25452884  GC2 MN        &lt;0025853591   CREATION USAGE INTRANET&gt;  &lt;0025853991 : création usage Voix&gt;</t>
  </si>
  <si>
    <t>2121193</t>
  </si>
  <si>
    <t>44NANT051AOB</t>
  </si>
  <si>
    <t>26 BD DE L ESTUAIRE</t>
  </si>
  <si>
    <t>44200</t>
  </si>
  <si>
    <t>0025855989</t>
  </si>
  <si>
    <t>0025855990</t>
  </si>
  <si>
    <t>0025855992</t>
  </si>
  <si>
    <t>MODIFICATION ACCES DUAL BACKUP DEVIENT ACCES STANDARD  MODIFICATION NOM DU SITE 44NANT051AOS DEVIENT 44NANT051AOB  EF 25799931  GC2 MN</t>
  </si>
  <si>
    <t>2126990</t>
  </si>
  <si>
    <t>13MARS101AOG</t>
  </si>
  <si>
    <t>18 RUE JACQUES REATTU</t>
  </si>
  <si>
    <t>13009</t>
  </si>
  <si>
    <t>0025887600</t>
  </si>
  <si>
    <t>0025887603</t>
  </si>
  <si>
    <t>0025887604</t>
  </si>
  <si>
    <t xml:space="preserve">CREATION CORPORATE DUAL BACK UP 200M + 3600 CANAUX VOIX  EF 25537065  GC2 TP  </t>
  </si>
  <si>
    <t>2128964</t>
  </si>
  <si>
    <t>44STLU011AOG</t>
  </si>
  <si>
    <t>12 RUE D AMSTERDAM</t>
  </si>
  <si>
    <t>44980</t>
  </si>
  <si>
    <t>STE LUCE SUR LOIRE</t>
  </si>
  <si>
    <t>0025909488</t>
  </si>
  <si>
    <t>0025909489</t>
  </si>
  <si>
    <t>0025909490</t>
  </si>
  <si>
    <t>CREATION CORPORATE DUAL BACK UP 20M + 350 CANAUX VOIX  EF 25555775  GC2 TP    &lt;0025909489   CREATION USAGE INTRANET&gt;  &lt;0025909490   CREATION USAGE VOIX&gt;</t>
  </si>
  <si>
    <t>2133862</t>
  </si>
  <si>
    <t>05ESPI013AOB</t>
  </si>
  <si>
    <t>05190</t>
  </si>
  <si>
    <t>ROUSSET SERRE PONCON</t>
  </si>
  <si>
    <t>0025941797</t>
  </si>
  <si>
    <t>0025941800</t>
  </si>
  <si>
    <t>0025941801</t>
  </si>
  <si>
    <t>15/04/2025 ERRBDC SUITE ERREUR BDC CORRECTION DU PROFIL CORPORATE QUI PASSE EN STANDARD AU LIEU DE DUAL BACKUP GC2 MN  CREATION DE SITE- BUSINESS VPN CORPORATE AVEC 50M ET 900 CANAUX VOIX  EF 25599668  GC2 MN  &lt;0025941800   CREATION USAGE INTRANET&gt;  &lt;0025941801   CREATION USAGE VOIX&gt;</t>
  </si>
  <si>
    <t>2138853</t>
  </si>
  <si>
    <t>59DUNK011AOB</t>
  </si>
  <si>
    <t>60 RTE DU PERTUIS DU MOLE 2</t>
  </si>
  <si>
    <t>59140</t>
  </si>
  <si>
    <t>DUNKERQUE</t>
  </si>
  <si>
    <t>0025958499</t>
  </si>
  <si>
    <t>0025958514</t>
  </si>
  <si>
    <t>0025958516</t>
  </si>
  <si>
    <t>CREATION DE SITE CORPORATE AVEC 10M ET 180 CANAUX VOIX  EF 25671684  GC2 MN  &lt;0025958514 : création usage Intranet&gt;  &lt;0025958516 : création usage Voix&gt;</t>
  </si>
  <si>
    <t>2142759</t>
  </si>
  <si>
    <t>37AVOI021AOB</t>
  </si>
  <si>
    <t>24 RUE GUSTAVE EIFFEL</t>
  </si>
  <si>
    <t>AVOINE</t>
  </si>
  <si>
    <t>0025972593</t>
  </si>
  <si>
    <t>0025972594</t>
  </si>
  <si>
    <t>0025972595</t>
  </si>
  <si>
    <t>CREATION DE SITE- BUSINESS VPN CORPORATE AVEC 50M ET  900 CANAUX VOIX  SITE A FIBRER  EF 25709552  GC2 MN    &lt;0025972594 : création usage Intranet&gt;  &lt;0025972595 : création usage Voix&gt;</t>
  </si>
  <si>
    <t>2153845</t>
  </si>
  <si>
    <t>97REMI011AOS</t>
  </si>
  <si>
    <t>5 RUE WAPA</t>
  </si>
  <si>
    <t>97354</t>
  </si>
  <si>
    <t>REMIRE MONTJOLY</t>
  </si>
  <si>
    <t>0026007703</t>
  </si>
  <si>
    <t>0026007704</t>
  </si>
  <si>
    <t>0026007705</t>
  </si>
  <si>
    <t>CREATION CORPORATE DUAL BACK UP 10M + 180 CANAUX VOIX  EFORCE 25812130-SCM FRED    &lt;0026007704   CREATION USAGE INTRANET&gt;</t>
  </si>
  <si>
    <t>2158297</t>
  </si>
  <si>
    <t>20CAST011AOB</t>
  </si>
  <si>
    <t>60 STRADA DI U PONTE</t>
  </si>
  <si>
    <t>20236</t>
  </si>
  <si>
    <t>CASTIRLA</t>
  </si>
  <si>
    <t>0026020360</t>
  </si>
  <si>
    <t>0026020368</t>
  </si>
  <si>
    <t>0026020558</t>
  </si>
  <si>
    <t xml:space="preserve">BUGSI NOUVELLE REF WED CAR INFO STATUT RESEAU FTTE NON REMONTEE GC2 MN  CREATION ACCES STANDARD 20M EN FTTE FIBRESMART  EF 25867050  GC2 MN    &amp;AMP AMP AMP AMP AMP AMP AMP AMP LT 0026020368   CR&amp;AMP AMP AMP AMP AMP AMP AMP AMP  233 ATION USAGE INTRANET&amp;AMP AMP AMP AMP AMP AMP AMP AMP GT   &amp;AMP AMP LT 0026020558   CR&amp;AMP AMP  233 ATION USAGE VOIX&amp;AMP AMP GT </t>
  </si>
  <si>
    <t>2158393</t>
  </si>
  <si>
    <t>20GHIS021AOB</t>
  </si>
  <si>
    <t>199 RTE DE PRATELLO</t>
  </si>
  <si>
    <t>20240</t>
  </si>
  <si>
    <t>GHISONACCIA</t>
  </si>
  <si>
    <t>0026020579</t>
  </si>
  <si>
    <t>0026020580</t>
  </si>
  <si>
    <t>0026020581</t>
  </si>
  <si>
    <t xml:space="preserve">BUGSI NOUVELLE WED CAR LE STATUT RESEAU FTTE NE REMONTE PAS GC2 MN  CREATION ACCES STANDARD 20M EN FTTE FIBRESMART  EF 25867050  GC2 MN    &amp;AMP AMP AMP AMP AMP AMP AMP AMP AMP AMP AMP AMP AMP LT 0026020368   CR&amp;AMP AMP AMP AMP AMP AMP AMP AMP AMP AMP AMP AMP AMP  233 ATION USAGE INTRANET&amp;AMP AMP AMP AMP AMP AMP AMP AMP AMP AMP AMP AMP AMP GT   &amp;AMP AMP AMP AMP AMP AMP AMP LT 0026020558   CR&amp;AMP AMP AMP AMP AMP AMP AMP  233 ATION USAGE VOIX&amp;AMP AMP AMP AMP AMP AMP AMP GT   &amp;AMP AMP LT 0026020580   CR&amp;AMP AMP  233 ATION USAGE INTRANET&amp;AMP AMP GT   &amp;AMP AMP LT 0026020581   CR&amp;AMP AMP  233 ATION USAGE VOIX&amp;AMP AMP GT </t>
  </si>
  <si>
    <t>2160276</t>
  </si>
  <si>
    <t>69LYON121AOP</t>
  </si>
  <si>
    <t>0026025520</t>
  </si>
  <si>
    <t>0026025526</t>
  </si>
  <si>
    <t>0058VWF2</t>
  </si>
  <si>
    <t>0026025527</t>
  </si>
  <si>
    <t xml:space="preserve">CREATION DE SITE- BUSINESS VPN DUAL BACKUP AVEC RACCORDEMENT SECURISE NIVEAU 3 NO 0058VWF2  EF 25888220  GC2 MN  &amp;AMP LT 0026025526   CR&amp;AMP  233 ATION USAGE INTRANET&amp;AMP GT </t>
  </si>
  <si>
    <t>1734845</t>
  </si>
  <si>
    <t>14CAEN021AOG</t>
  </si>
  <si>
    <t>1 RUE RAYMONDE BAIL</t>
  </si>
  <si>
    <t>14000</t>
  </si>
  <si>
    <t>CAEN</t>
  </si>
  <si>
    <t>0024531234</t>
  </si>
  <si>
    <t>0024531281</t>
  </si>
  <si>
    <t>0024531326</t>
  </si>
  <si>
    <t>OSMGD PROJET RNG RIN5 VAGUE 2 - CREATION ROUTEUR + ACCES - NECESSITE PLAN DE PREVENTION - DATE MES 21/01/2019 - EBSO 106000 - NOMENCLATURE R586 SUPPORT COMMANDES EN ANTICIPES - ROUTEURS A LA CARTE  AVEC NOMENCLATURE - CDP K. THIBAULT A CONTACTER POUR COMMANDE MATERIEL  &lt;0024531326 : création usage Voix&gt;  &lt;0024531281 : création usage Intranet&gt; 10/05/2019 - MODIFICATION DE LA DATE CONTRACTUELLE DU SERVICE</t>
  </si>
  <si>
    <t>1734870</t>
  </si>
  <si>
    <t>57LAMA021AOB</t>
  </si>
  <si>
    <t>RUE DE THURY</t>
  </si>
  <si>
    <t>0024530251</t>
  </si>
  <si>
    <t>0024530257</t>
  </si>
  <si>
    <t>0024530264</t>
  </si>
  <si>
    <t>1734871</t>
  </si>
  <si>
    <t>57METZ021AOG</t>
  </si>
  <si>
    <t>130 AV DE THIONVILLE</t>
  </si>
  <si>
    <t>57050</t>
  </si>
  <si>
    <t>METZ</t>
  </si>
  <si>
    <t>0024530252</t>
  </si>
  <si>
    <t>0024530258</t>
  </si>
  <si>
    <t>0024530265</t>
  </si>
  <si>
    <t>OSMGD PROJET RNG RIN5 VAGUE 2 - CREATION ROUTEUR + ACCES - NECESSITE PLAN DE PREVENTION - DATE MES 24/01/2019 - EBSO 106000 - NOMENCLATURE R589 SUPPORT COMMANDES EN ANTICIPES - ROUTEURS A LA CARTE  AVEC NOMENCLATURE - CDP K. THIBAULT A CONTACTER POUR COMMANDE MATERIEL  &lt;0024530258 : création usage Intranet&gt;  &lt;0024530265 : création usage Voix&gt; 10/05/2019 - MODIFICATION DE LA DATE CONTRACTUELLE DU SERVICE</t>
  </si>
  <si>
    <t>1734874</t>
  </si>
  <si>
    <t>64PAUZ031AOP</t>
  </si>
  <si>
    <t>1 RUE ADA BYRON</t>
  </si>
  <si>
    <t>0024530529</t>
  </si>
  <si>
    <t>0024530537</t>
  </si>
  <si>
    <t>0044HXU8</t>
  </si>
  <si>
    <t>0024530546</t>
  </si>
  <si>
    <t>OSMGD PROJET RNG RIN5 VAGUE 2 - CREATION ROUTEUR + ACCES - NECESSITE PLAN DE PREVENTION - DATE MES 16/01/2019 - EBSO 106000 - NOMENCLATURE R591 SUPPORT COMMANDES EN ANTICIPES - ROUTEURS A LA CARTE  AVEC NOMENCLATURE - CDP K. THIBAULT A CONTACTER POUR COMMANDE MATERIEL  &lt;0024530537 : création usage Intranet&gt;  &lt;0024530546 : création usage Voix&gt; 10/05/2019 - MODIFICATION DE LA DATE CONTRACTUELLE DU SERVICE</t>
  </si>
  <si>
    <t>1734887</t>
  </si>
  <si>
    <t>76STVA011AOB</t>
  </si>
  <si>
    <t>RUE DU BOURGTHEROULDE</t>
  </si>
  <si>
    <t>76460</t>
  </si>
  <si>
    <t>ST VALERY EN CAUX</t>
  </si>
  <si>
    <t>0024530769</t>
  </si>
  <si>
    <t>0024530777</t>
  </si>
  <si>
    <t>0024530785</t>
  </si>
  <si>
    <t>1734889</t>
  </si>
  <si>
    <t>80AMIE021AOP</t>
  </si>
  <si>
    <t>26 RUE DE LA VALLEE</t>
  </si>
  <si>
    <t>80000</t>
  </si>
  <si>
    <t>0024530770</t>
  </si>
  <si>
    <t>0024530778</t>
  </si>
  <si>
    <t>0047CBH8</t>
  </si>
  <si>
    <t>0024530786</t>
  </si>
  <si>
    <t>PROJET EDF_RIN5 / ANNUL VERSION DE SERVICE DU 0024530770, AFIN DE REPASSER SUR UNE GTRS1 / SUR DDE CLIENT + CDP DAVID LEROYER</t>
  </si>
  <si>
    <t>1734893</t>
  </si>
  <si>
    <t>86CHAS011AOP</t>
  </si>
  <si>
    <t>5 AV DU TOUR DE FRANCE</t>
  </si>
  <si>
    <t>86360</t>
  </si>
  <si>
    <t>CHASSENEUIL DU POITOU</t>
  </si>
  <si>
    <t>0024531265</t>
  </si>
  <si>
    <t>0024531311</t>
  </si>
  <si>
    <t>0044HXU2</t>
  </si>
  <si>
    <t>0024531352</t>
  </si>
  <si>
    <t>PROJET EDF RIN5 / SUPPR OPTION GTRS1 / VU CDP DAVID LEROYER  17/07/2020 - MODIFICATION DE LA DATE CONTRACTUELLE DU SERVICE 19/08/2020 - MODIFICATION DE LA DATE CONTRACTUELLE DU SERVICE 24/09/2020 - MODIFICATION DE LA DATE CONTRACTUELLE DU SERVICE 26/10/2020 - MODIFICATION DE LA DATE CONTRACTUELLE DU SERVICE 26/10/2020 - MODIFICATION DE LA DATE CONTRACTUELLE DU SERVICE 27/11/2020 - MODIFICATION DE LA DATE CONTRACTUELLE DU SERVICE 28/12/2020 - MODIFICATION DE LA DATE CONTRACTUELLE DU SERVICE 01/02/2021 - MODIFICATION DE LA DATE CONTRACTUELLE DU SERVICE 11/05/2021 - MODIFICATION DE LA DATE CONTRACTUELLE DU SERVICE</t>
  </si>
  <si>
    <t>1735064</t>
  </si>
  <si>
    <t>60LACR011AOG</t>
  </si>
  <si>
    <t>98 IMP TERRES AU PRE DES ILES</t>
  </si>
  <si>
    <t>60610</t>
  </si>
  <si>
    <t>LACROIX ST OUEN</t>
  </si>
  <si>
    <t>0024530255</t>
  </si>
  <si>
    <t>0024530261</t>
  </si>
  <si>
    <t>0024530268</t>
  </si>
  <si>
    <t>07/08/2019 - MODIFICATION DE LA DATE MEF VERSION SERVICE PARC</t>
  </si>
  <si>
    <t>OSMGD PROJET RNG RIN5 VAGUE 2 - CREATION ROUTEUR + ACCES - NECESSITE PLAN DE PREVENTION - DATE MES 22/01/2019 - EBSO 106000 - NOMENCLATURE R585 SUPPORT COMMANDES EN ANTICIPES - ROUTEURS A LA CARTE  AVEC NOMENCLATURE - CDP K. THIBAULT A CONTACTER POUR COMMANDE MATERIEL  &lt;0024530261 : création usage Intranet&gt;  &lt;0024530268 : création usage Voix&gt; 10/05/2019 - MODIFICATION DE LA DATE CONTRACTUELLE DU SERVICE</t>
  </si>
  <si>
    <t>1735069</t>
  </si>
  <si>
    <t>64OLOR011AOG</t>
  </si>
  <si>
    <t>8 RUE AMPERE</t>
  </si>
  <si>
    <t>64400</t>
  </si>
  <si>
    <t>OLORON STE MARIE</t>
  </si>
  <si>
    <t>0024530528</t>
  </si>
  <si>
    <t>0024530536</t>
  </si>
  <si>
    <t>0024530545</t>
  </si>
  <si>
    <t>1765741</t>
  </si>
  <si>
    <t>20CORT011AOS</t>
  </si>
  <si>
    <t>PL PORETTE</t>
  </si>
  <si>
    <t>20250</t>
  </si>
  <si>
    <t>CORTE</t>
  </si>
  <si>
    <t>0024654306</t>
  </si>
  <si>
    <t>0024654320</t>
  </si>
  <si>
    <t>0024654334</t>
  </si>
  <si>
    <t>PROJET EDF RIN5 / 261119 / JMV / SUPPRESSION GTRS1 / VU RSC DAVID LEROYER  05/12/2019 - MODIFICATION DE LA DATE CONTRACTUELLE DU SERVICE 09/01/2020 - MODIFICATION DE LA DATE CONTRACTUELLE DU SERVICE 17/02/2020 - MODIFICATION DE LA DATE CONTRACTUELLE DU SERVICE</t>
  </si>
  <si>
    <t>1765748</t>
  </si>
  <si>
    <t>33MERI031AOG</t>
  </si>
  <si>
    <t>10 RUE ARCHIMEDE</t>
  </si>
  <si>
    <t>0024654315</t>
  </si>
  <si>
    <t>0024654330</t>
  </si>
  <si>
    <t>0024654344</t>
  </si>
  <si>
    <t>VAGUE 3</t>
  </si>
  <si>
    <t>PROJET EDF RIN5 / 261119 / JMV / SUPPRESSION GTRS1 / VU RSC DAVID LEROYER  27/12/2019 - MODIFICATION DE LA DATE CONTRACTUELLE DU SERVICE 27/01/2020 - MODIFICATION DE LA DATE CONTRACTUELLE DU SERVICE 09/03/2020 - MODIFICATION DE LA DATE CONTRACTUELLE DU SERVICE 08/04/2020 - MODIFICATION DE LA DATE CONTRACTUELLE DU SERVICE 12/05/2020 - MODIFICATION DE LA DATE CONTRACTUELLE DU SERVICE 15/06/2020 - MODIFICATION DE LA DATE CONTRACTUELLE DU SERVICE 06/07/2020 - MODIFICATION DE LA DATE CONTRACTUELLE DU SERVICE</t>
  </si>
  <si>
    <t>1766029</t>
  </si>
  <si>
    <t>23CHAT011AOB</t>
  </si>
  <si>
    <t>LA ROCHE</t>
  </si>
  <si>
    <t>23430</t>
  </si>
  <si>
    <t>CHATELUS LE MARCHEIX</t>
  </si>
  <si>
    <t>0024648965</t>
  </si>
  <si>
    <t>0024648978</t>
  </si>
  <si>
    <t>0024648991</t>
  </si>
  <si>
    <t>PROJET EDF RIN5 / 261119 / JMV / SUPPRESSION GTRS1 / VU RSC DAVID LEROYER  05/12/2019 - MODIFICATION DE LA DATE CONTRACTUELLE DU SERVICE 09/01/2020 - MODIFICATION DE LA DATE CONTRACTUELLE DU SERVICE</t>
  </si>
  <si>
    <t>1767391</t>
  </si>
  <si>
    <t>65JUIL011AOB</t>
  </si>
  <si>
    <t>AV DE L AEROPORT</t>
  </si>
  <si>
    <t>65290</t>
  </si>
  <si>
    <t>JUILLAN</t>
  </si>
  <si>
    <t>0024690649</t>
  </si>
  <si>
    <t>0024690650</t>
  </si>
  <si>
    <t>0024690651</t>
  </si>
  <si>
    <t>EDF RIN5 / SUPPRESSION GTRS1 SUR LA VAGUE3 PHASE 2 / VU CDP DAVID LEROYER</t>
  </si>
  <si>
    <t>1769708</t>
  </si>
  <si>
    <t>34MONT041AOG</t>
  </si>
  <si>
    <t>300 AV NINA SIMONE</t>
  </si>
  <si>
    <t>34000</t>
  </si>
  <si>
    <t>MONTPELLIER</t>
  </si>
  <si>
    <t>0024656766</t>
  </si>
  <si>
    <t>0024656768</t>
  </si>
  <si>
    <t>0024656772</t>
  </si>
  <si>
    <t>1780155</t>
  </si>
  <si>
    <t>31TOUL051AOG</t>
  </si>
  <si>
    <t>0024738028</t>
  </si>
  <si>
    <t>0024738029</t>
  </si>
  <si>
    <t>0024738030</t>
  </si>
  <si>
    <t>LOT 4</t>
  </si>
  <si>
    <t>CREATION ROUTEUR + ACCES - NECESSITE PLAN DE PREVENTION - APPELER LE CP - EBSO 106800 - DATE MES MAX 15/11/2019 - NOMENCLATURE R730    &lt;0024738029 : création usage Intranet&gt;  &lt;0024738030 : modification usage Voix&gt; 03/07/2020 - MODIFICATION DE LA DATE CONTRACTUELLE DU SERVICE</t>
  </si>
  <si>
    <t>1784458</t>
  </si>
  <si>
    <t>09SOUE011AOB</t>
  </si>
  <si>
    <t>RTE DE KERCABANAC</t>
  </si>
  <si>
    <t>09140</t>
  </si>
  <si>
    <t>SOUEIX ROGALLE</t>
  </si>
  <si>
    <t>0024739952</t>
  </si>
  <si>
    <t>0024739964</t>
  </si>
  <si>
    <t>0024739976</t>
  </si>
  <si>
    <t>CREATION ROUTEUR + ACCES - NECESSITE PLAN DE PREVENTION - APPELER LE CP - EBSO 106800 - DATE MES MAX 15/11/2019 - NOMENCLATURE R566  &lt;0024739964 : création usage Intranet&gt;  &lt;0024739976 : création usage Voix&gt;</t>
  </si>
  <si>
    <t>065650003</t>
  </si>
  <si>
    <t>1734866</t>
  </si>
  <si>
    <t>50CHER011AOG</t>
  </si>
  <si>
    <t>76 BD PIERRE MENDES FRANCE</t>
  </si>
  <si>
    <t>50100</t>
  </si>
  <si>
    <t>CHERBOURG EN COTENTIN</t>
  </si>
  <si>
    <t>0024529427</t>
  </si>
  <si>
    <t>0024530056</t>
  </si>
  <si>
    <t>0024530092</t>
  </si>
  <si>
    <t xml:space="preserve">POUR UN UPGRADE BVPN  - FAST UPGRADE. ÉLIGIBILITE TESTEE AUTOMATIQUEMENT (PAS DE FICHIER CREOL)   - REFERENCE SWAN T207216119  - DDP A ROUTER VERS SPN   </t>
  </si>
  <si>
    <t>1735236</t>
  </si>
  <si>
    <t>27PACY013AOM</t>
  </si>
  <si>
    <t>1 RUE EDOUARD ISAMBARD</t>
  </si>
  <si>
    <t>0024521182</t>
  </si>
  <si>
    <t>0024521185</t>
  </si>
  <si>
    <t>0044HEL7</t>
  </si>
  <si>
    <t>0024521189</t>
  </si>
  <si>
    <t>MODIFICATION DES SUBVPN - SUBVPN 1 CHANGE CANAUX VOIX - SUBVPN 2 ET 16 MODIF DEBIT ET CANAUX VOIX - SUBVPN 3 ET 15 RESILIATION  EF 21576065  SCM TP  &lt;0024959289 : résiliation usage Sub VPN classique (SUBCLA01) - RESILAITION SUB VPN 3 ET 15  EF 21576065  SCM TP Résiliation totale (sans qualification)&gt;  &lt;0024521587 : résiliation usage Sub VPN classique (SUBCLA01) - RESILIATION SUB VPN 3 ET 15  EF 21576065  SCM TP Résiliation totale (sans qualification)&gt;</t>
  </si>
  <si>
    <t>1765743</t>
  </si>
  <si>
    <t>20PROP011AOS</t>
  </si>
  <si>
    <t>11 RUE JEAN PAUL PANDOLFI</t>
  </si>
  <si>
    <t>20110</t>
  </si>
  <si>
    <t>PROPRIANO</t>
  </si>
  <si>
    <t>0024654310</t>
  </si>
  <si>
    <t>0024654324</t>
  </si>
  <si>
    <t>0024654338</t>
  </si>
  <si>
    <t>1765744</t>
  </si>
  <si>
    <t>22MURD011AOS</t>
  </si>
  <si>
    <t>LD GUERLEDAN</t>
  </si>
  <si>
    <t>22530</t>
  </si>
  <si>
    <t>GUERLEDAN</t>
  </si>
  <si>
    <t>0024654311</t>
  </si>
  <si>
    <t>0024654325</t>
  </si>
  <si>
    <t>0024654339</t>
  </si>
  <si>
    <t xml:space="preserve">-FAST UPGRADE. ÉLIGIBILITE TESTEE AUTOMATIQUEMENT (PAS DE FICHIER CREOL).   - REFERENCE SWAN T510124280  - DDP A ROUTER VERS SPN </t>
  </si>
  <si>
    <t>1765746</t>
  </si>
  <si>
    <t>30PONT011AOG</t>
  </si>
  <si>
    <t>CH DES SOURCES</t>
  </si>
  <si>
    <t>30130</t>
  </si>
  <si>
    <t>PONT ST ESPRIT</t>
  </si>
  <si>
    <t>0024654313</t>
  </si>
  <si>
    <t>0024654328</t>
  </si>
  <si>
    <t>0024654342</t>
  </si>
  <si>
    <t>UPGRADE A 50M  AUGMENTATION VOLUME CANAUX VOIX   CHANGEMENT DE ROUTEUR  CHANGEMENT CONTACT SITE     EF 26007305  GC2 MN</t>
  </si>
  <si>
    <t>1765751</t>
  </si>
  <si>
    <t>43BRIV021AOB</t>
  </si>
  <si>
    <t>7 COTE DE TIREBOEUF</t>
  </si>
  <si>
    <t>0024648972</t>
  </si>
  <si>
    <t>0024648985</t>
  </si>
  <si>
    <t>0024648998</t>
  </si>
  <si>
    <t xml:space="preserve">UPGRADE DE 4M A 10M SUR SUPPORT FIBRE + AJOUT CANAUX VOIX + CHANGEMENT DU ROUTEUR  SCM NICOLE EFORCE 23455371 </t>
  </si>
  <si>
    <t>1765757</t>
  </si>
  <si>
    <t>63STGE011AOS</t>
  </si>
  <si>
    <t>RUE JOLIOT CURIE</t>
  </si>
  <si>
    <t>63390</t>
  </si>
  <si>
    <t>ST GERVAIS D AUVERGNE</t>
  </si>
  <si>
    <t>0024655342</t>
  </si>
  <si>
    <t>0024655351</t>
  </si>
  <si>
    <t>0024655360</t>
  </si>
  <si>
    <t>FAST UPGRADE. ÉLIGIBILITE TESTEE AUTOMATIQUEMENT (PAS DE FICHIER CREOL).   - REFERENCE SWAN    T404236373  - DDP A ROUTER VERS SPN</t>
  </si>
  <si>
    <t>1765758</t>
  </si>
  <si>
    <t>63THIE011AOG</t>
  </si>
  <si>
    <t>144 AV DES ETATS UNIS</t>
  </si>
  <si>
    <t>63300</t>
  </si>
  <si>
    <t>THIERS</t>
  </si>
  <si>
    <t>0024655343</t>
  </si>
  <si>
    <t>0024655352</t>
  </si>
  <si>
    <t>0024655361</t>
  </si>
  <si>
    <t>UPGRADE DE 15M FTTO - MODIFICATION CANAUX VOIX   EF UPGRADE DE 15M - MODIFICATION CANAUX VOIX   SCM MN</t>
  </si>
  <si>
    <t>1765760</t>
  </si>
  <si>
    <t>73STMI011AOM</t>
  </si>
  <si>
    <t>RUE DE LA SAUSSAZ</t>
  </si>
  <si>
    <t>73140</t>
  </si>
  <si>
    <t>ST MICHEL DE MAURIENNE</t>
  </si>
  <si>
    <t>0024685326</t>
  </si>
  <si>
    <t>0024685330</t>
  </si>
  <si>
    <t>0024685331</t>
  </si>
  <si>
    <t xml:space="preserve">VAGUE 3 </t>
  </si>
  <si>
    <t>OSMGD PROJET RNG RIN5 VAGUE 3 - CREATION ROUTEUR + ACCES - NECESSITE PLAN DE PREVENTION - APPELER LE CP - NOMENCLATURE R580 - EBSO 106476 - DATE MES 30/10/2020 - ATTENTION SITE MONO ROUTEUR EN MAN AVEC 73AVRI011AOM - SITE DESTINE A LA VDS - UPGRADE DE DEBIT 1 AUGMANTATION DU NOMBRE DE CANAUX VOIX  &lt;0024685330   CREATION USAGE INTRANET&gt;  &lt;0024685331   CREATION USAGE VOIX&gt;  27/01/2020 - MODIFICATION DE LA DATE CONTRACTUELLE DU SERVICE  04/03/2020 - MODIFICATION DE LA DATE CONTRACTUELLE DU SERVICE  04/03/2020 - MODIFICATION DE LA DATE CONTRACTUELLE DU SERVICE  01/04/2020 - MODIFICATION DE LA DATE CONTRACTUELLE DU SERVICE  12/05/2020 - MODIFICATION DE LA DATE CONTRACTUELLE DU SERVICE  15/06/2020 - MODIFICATION DE LA DATE CONTRACTUELLE DU SERVICE  06/07/2020 - MODIFICATION DE LA DATE CONTRACTUELLE DU SERVICE  &lt;0024685331 : modification usage Voix&gt;  &lt;0024685330 : modification usage Intranet&gt;</t>
  </si>
  <si>
    <t>1765763</t>
  </si>
  <si>
    <t>82GOLF011AOG</t>
  </si>
  <si>
    <t>CENTRALE HYDRAULIQUE</t>
  </si>
  <si>
    <t>82400</t>
  </si>
  <si>
    <t>GOLFECH</t>
  </si>
  <si>
    <t>0024690012</t>
  </si>
  <si>
    <t>0024690013</t>
  </si>
  <si>
    <t>0024690014</t>
  </si>
  <si>
    <t xml:space="preserve">-FAST UPGRADE. ÉLIGIBILITE TESTEE AUTOMATIQUEMENT (PAS DE FICHIER CREOL).   - REFERENCE SWAN T501218879  - DDP A ROUTER VERS SPN   </t>
  </si>
  <si>
    <t>1765774</t>
  </si>
  <si>
    <t>05LARG011AOG</t>
  </si>
  <si>
    <t>AV DE BEAUREGARD</t>
  </si>
  <si>
    <t>05120</t>
  </si>
  <si>
    <t>L ARGENTIERE LA BESSEE</t>
  </si>
  <si>
    <t>0024653377</t>
  </si>
  <si>
    <t>0024653379</t>
  </si>
  <si>
    <t>0024653388</t>
  </si>
  <si>
    <t xml:space="preserve">-FAST UPGRADE. ÉLIGIBILITE TESTEE AUTOMATIQUEMENT (PAS DE FICHIER CREOL).   - REFERENCE SWAN T507109344  - DDP A ROUTER VERS SPN   </t>
  </si>
  <si>
    <t>1766023</t>
  </si>
  <si>
    <t>20FURI011AOG</t>
  </si>
  <si>
    <t>SAINT PANCRACE</t>
  </si>
  <si>
    <t>FURIANI</t>
  </si>
  <si>
    <t>0024654307</t>
  </si>
  <si>
    <t>0024654321</t>
  </si>
  <si>
    <t>0024654335</t>
  </si>
  <si>
    <t xml:space="preserve">COMMANDE FASTUPGRADE POUR MISE A JOUR DES ROUTEURS, ET LA LICENSE PERF + AJOUT CANAUX VOIX   EF 24278058  SCM TP </t>
  </si>
  <si>
    <t>1766354</t>
  </si>
  <si>
    <t>69GIVO011AOB</t>
  </si>
  <si>
    <t>CH DES VORGINES</t>
  </si>
  <si>
    <t>69700</t>
  </si>
  <si>
    <t>GIVORS</t>
  </si>
  <si>
    <t>0025253522</t>
  </si>
  <si>
    <t>0025253529</t>
  </si>
  <si>
    <t>0025253530</t>
  </si>
  <si>
    <t>IL S'AGIT D'UN DEPLACEMENT DE L'ARRIVEE TELECOM CAR LA GUERITE DE L'ENTREE VA ETRE RASEE  A CONSTRUIRE EN CREA/RESIL DANS LE NOUVEAU LOCAL D'ARRIVEE FT DANS LE BATIMENT ADMINISTRATIF  CONTACT CLIENT MATTHIEU BERDUGO - MATTHIEU.BERDUGO@EDF.FR  L'ACCES 0024913464 ACTUELLEMENT EN COURS EN MIGR/DEM VA ETRE ANNULE  EF 22581666  SCM TP    &lt;0025253529   CREATION USAGE INTRANET&gt;</t>
  </si>
  <si>
    <t>1766373</t>
  </si>
  <si>
    <t>73STJE011AOM</t>
  </si>
  <si>
    <t>98 AV DE LA GARE</t>
  </si>
  <si>
    <t>73300</t>
  </si>
  <si>
    <t>ST JEAN DE MAURIENNE</t>
  </si>
  <si>
    <t>0024655995</t>
  </si>
  <si>
    <t>0024655998</t>
  </si>
  <si>
    <t>0024656001</t>
  </si>
  <si>
    <t>UPGRADE A 100M , AVEC AJOUT CODE ROUTEUR LICENCE PERF - MODIF VOLUME CANAUX VOIX  EF 25573992  GC2</t>
  </si>
  <si>
    <t>1766492</t>
  </si>
  <si>
    <t>81BOUT011AOM</t>
  </si>
  <si>
    <t>RUE DU BAOUS</t>
  </si>
  <si>
    <t>81660</t>
  </si>
  <si>
    <t>BOUT DU PONT DE LARN</t>
  </si>
  <si>
    <t>0024656058</t>
  </si>
  <si>
    <t>0024656063</t>
  </si>
  <si>
    <t>0024656067</t>
  </si>
  <si>
    <t>1766495</t>
  </si>
  <si>
    <t>81BRAS011AOM</t>
  </si>
  <si>
    <t>CH DU CAMBOUSSEL</t>
  </si>
  <si>
    <t>81260</t>
  </si>
  <si>
    <t>BRASSAC</t>
  </si>
  <si>
    <t>0024656059</t>
  </si>
  <si>
    <t>0024656064</t>
  </si>
  <si>
    <t>0024656068</t>
  </si>
  <si>
    <t>-FAST UPGRADE. ÉLIGIBILITE TESTEE AUTOMATIQUEMENT (PAS DE FICHIER CREOL).   - REFERENCE SWAN T506116779  - DDP A ROUTER VERS SPN</t>
  </si>
  <si>
    <t>1766950</t>
  </si>
  <si>
    <t>83VINO011AOS</t>
  </si>
  <si>
    <t>EDF CITE USINE</t>
  </si>
  <si>
    <t>83560</t>
  </si>
  <si>
    <t>VINON SUR VERDON</t>
  </si>
  <si>
    <t>0024655346</t>
  </si>
  <si>
    <t>0024655355</t>
  </si>
  <si>
    <t>0024655364</t>
  </si>
  <si>
    <t>UPGRADE A 50M  AUGMENTATION VOLUME CANAUX VOIX   CHANGEMENT DU CONTACT SITE   EF 25788539  GC2 MN</t>
  </si>
  <si>
    <t>1766952</t>
  </si>
  <si>
    <t>86LISL011AOG</t>
  </si>
  <si>
    <t>RUE DE LA ROCHE</t>
  </si>
  <si>
    <t>86150</t>
  </si>
  <si>
    <t>L ISLE JOURDAIN</t>
  </si>
  <si>
    <t>0024655347</t>
  </si>
  <si>
    <t>0024655356</t>
  </si>
  <si>
    <t>0024655365</t>
  </si>
  <si>
    <t xml:space="preserve">FAST UPGRADE. ÉLIGIBILITE TESTEE AUTOMATIQUEMENT (PAS DE FICHIER CREOL).   - REFERENCE SWAN    T503214255  - DDP A ROUTER VERS SPN  </t>
  </si>
  <si>
    <t>1766969</t>
  </si>
  <si>
    <t>97FORT021AOS</t>
  </si>
  <si>
    <t>RUE DE LA TANNERIE</t>
  </si>
  <si>
    <t>97200</t>
  </si>
  <si>
    <t>FORT DE FRANCE</t>
  </si>
  <si>
    <t>0024661711</t>
  </si>
  <si>
    <t>0024661714</t>
  </si>
  <si>
    <t>0024661715</t>
  </si>
  <si>
    <t>1766974</t>
  </si>
  <si>
    <t>97FORT041AOM</t>
  </si>
  <si>
    <t>PL FRANCOIS MITTERRAND</t>
  </si>
  <si>
    <t>0024659816</t>
  </si>
  <si>
    <t>0024659817</t>
  </si>
  <si>
    <t>0024659819</t>
  </si>
  <si>
    <t xml:space="preserve">"DEMANDE D'UPGRADE DE 30 A 100 MBPS  AJOUT LICENCE PERF  SANS RECONSTRUCTION PHYSIQUE   SCM CC 23199541    </t>
  </si>
  <si>
    <t>1766976</t>
  </si>
  <si>
    <t>97RIVI011AOS</t>
  </si>
  <si>
    <t>QUA LAUGIER</t>
  </si>
  <si>
    <t>97215</t>
  </si>
  <si>
    <t>RIVIERE SALEE</t>
  </si>
  <si>
    <t>0024655349</t>
  </si>
  <si>
    <t>0024655358</t>
  </si>
  <si>
    <t>0024655367</t>
  </si>
  <si>
    <t>DEMANDE D'UPGRADE DE 6 A 10 MBPS  CHANGEMENT DE ROUTEUR   PASSAGE EN FIBRE NECESSAIRE     EF 23199541 SCM CC</t>
  </si>
  <si>
    <t>1766979</t>
  </si>
  <si>
    <t>97SCHO011AOS</t>
  </si>
  <si>
    <t>AV LOUIS MOREAU GOTTSCHALK</t>
  </si>
  <si>
    <t>97233</t>
  </si>
  <si>
    <t>SCHOELCHER</t>
  </si>
  <si>
    <t>0024655350</t>
  </si>
  <si>
    <t>0024655359</t>
  </si>
  <si>
    <t>0024655368</t>
  </si>
  <si>
    <t>1767301</t>
  </si>
  <si>
    <t>20LUCC011AOG</t>
  </si>
  <si>
    <t>0024685278</t>
  </si>
  <si>
    <t>0024685280</t>
  </si>
  <si>
    <t>0024685283</t>
  </si>
  <si>
    <t>1767315</t>
  </si>
  <si>
    <t>97CASE011AOS</t>
  </si>
  <si>
    <t>CITE COROSSOLS</t>
  </si>
  <si>
    <t>97222</t>
  </si>
  <si>
    <t>BELLEFONTAINE</t>
  </si>
  <si>
    <t>0025611394</t>
  </si>
  <si>
    <t>0025611398</t>
  </si>
  <si>
    <t>0025611399</t>
  </si>
  <si>
    <t>1767321</t>
  </si>
  <si>
    <t>07CRUA021AOB</t>
  </si>
  <si>
    <t>RUE PAUL VERLAINE</t>
  </si>
  <si>
    <t>07350</t>
  </si>
  <si>
    <t>CRUAS</t>
  </si>
  <si>
    <t>0024648961</t>
  </si>
  <si>
    <t>0024648974</t>
  </si>
  <si>
    <t>0024648987</t>
  </si>
  <si>
    <t>XCREOL - CREA 8 SITES 19SERA011AOB/ 19ROCH011AOB/12CAST011AOB/ 38LIVE031AOS/ 78CHAT012AOG/ 77ORVA011AOG/ 55BARL011AOB/ 47VILL011AOB + UPGRADE SITE 07CRUA021AOB  EFORCE 20766371  SCM TP 17/02/2020 - MODIFICATION DE LA DATE CONTRACTUELLE DU SERVICE 16/03/2020 - MODIFICATION DE LA DATE CONTRACTUELLE DU SERVICE 14/04/2020 - MODIFICATION DE LA DATE CONTRACTUELLE DU SERVICE 13/05/2020 - MODIFICATION DE LA DATE CONTRACTUELLE DU SERVICE 16/06/2020 - MODIFICATION DE LA DATE CONTRACTUELLE DU SERVICE 16/06/2020 - MODIFICATION DE LA DATE CONTRACTUELLE DU SERVICE 22/06/2020 - MODIFICATION DE LA DATE CONTRACTUELLE DU SERVICE 25/06/2020 - MODIFICATION DE LA DATE CONTRACTUELLE DU SERVICE 26/06/2020 - MODIFICATION DE LA DATE CONTRACTUELLE DU SERVICE 26/06/2020 - MODIFICATION DE LA DATE CONTRACTUELLE DU SERVICE 06/07/2020 - MODIFICATION DE LA DATE CONTRACTUELLE DU SERVICE 07/08/2020 - MODIFICATION DE LA DATE CONTRACTUELLE DU SERVICE 09/09/2020 - MODIFICATION DE LA DATE CONTRACTUELLE DU SERVICE 09/10/202</t>
  </si>
  <si>
    <t>1767396</t>
  </si>
  <si>
    <t>97FORT011AOM</t>
  </si>
  <si>
    <t>AV VICTOR LAMON</t>
  </si>
  <si>
    <t>0024659759</t>
  </si>
  <si>
    <t>0024659764</t>
  </si>
  <si>
    <t>0024659766</t>
  </si>
  <si>
    <t xml:space="preserve">"DEMANDE D'UPGRADE DE 30 A 100 MBPS  AJOUT LICENCE PERF  SANS RECONSTRUCTION PHYSIQUE   SCM CC EF 23199541   </t>
  </si>
  <si>
    <t>1780123</t>
  </si>
  <si>
    <t>65LUZS011AOG</t>
  </si>
  <si>
    <t>1 RTE DE SASSIS</t>
  </si>
  <si>
    <t>65120</t>
  </si>
  <si>
    <t>LUZ ST SAUVEUR</t>
  </si>
  <si>
    <t>0024737894</t>
  </si>
  <si>
    <t>0024737896</t>
  </si>
  <si>
    <t>0024737897</t>
  </si>
  <si>
    <t>1786928</t>
  </si>
  <si>
    <t>38LIVE011AOS</t>
  </si>
  <si>
    <t>RTE DES 6 VALLEES</t>
  </si>
  <si>
    <t>LIVET ET GAVET</t>
  </si>
  <si>
    <t>0024738091</t>
  </si>
  <si>
    <t>0024738095</t>
  </si>
  <si>
    <t>0024738097</t>
  </si>
  <si>
    <t>UPGRADE DU SITE A 50M + MODFI NB CANAUX VOIX + CHANGEMENT ROUTEUR  EF 24273884  SCM TP</t>
  </si>
  <si>
    <t>1734862</t>
  </si>
  <si>
    <t>42COMM011AOG</t>
  </si>
  <si>
    <t>42300</t>
  </si>
  <si>
    <t>VILLEREST</t>
  </si>
  <si>
    <t>0024514763</t>
  </si>
  <si>
    <t>0024514767</t>
  </si>
  <si>
    <t>0024514771</t>
  </si>
  <si>
    <t>OSMGD PROJET RNG RIN5 VAGUE 2 - CREATION ROUTEUR + ACCES - NECESSITE PLAN DE PREVENTION - DATE MES 14/12/2018 - EBSO 105941 SITES PRIORITAIRES - SUPPORT COMMANDES EN ANTICIPES - ROUTEURS A LA CARTE  SANS NOMENCLATURE - CDP K. THIBAULT A CONTACTER POUR COMMANDE MATERIEL   &lt;0024514767   CREATION USAGE INTRANET&gt;  &lt;0024514771   CREATION USAGE VOIX&gt;  MAIL DU 231118 MODIF CANAUX VOIX 10/05/2019 - MODIFICATION DE LA DATE CONTRACTUELLE DU SERVICE</t>
  </si>
  <si>
    <t>1765742</t>
  </si>
  <si>
    <t>20PORT011AOG</t>
  </si>
  <si>
    <t>464 CH DE QUENZA</t>
  </si>
  <si>
    <t>20137</t>
  </si>
  <si>
    <t>PORTO VECCHIO</t>
  </si>
  <si>
    <t>0024654309</t>
  </si>
  <si>
    <t>0024654323</t>
  </si>
  <si>
    <t>0024654337</t>
  </si>
  <si>
    <t>1765762</t>
  </si>
  <si>
    <t>77VERN011AOB</t>
  </si>
  <si>
    <t>LE PORT</t>
  </si>
  <si>
    <t>77670</t>
  </si>
  <si>
    <t>VERNOU LA CELLE SUR SEINE</t>
  </si>
  <si>
    <t>0024759785</t>
  </si>
  <si>
    <t>0024759787</t>
  </si>
  <si>
    <t>0024759790</t>
  </si>
  <si>
    <t>Suppression GTRS1 sur le réseau EDF RIN5 / vu CDP DAVID LEROYER 05/10/2020 - SUPPRESSION GTRS1 SUR LE RESEAU EDF RIN5 / VU CDP DAVID LEROYER 31/12/2020 - MODIFICATION DE LA DATE CONTRACTUELLE DU SERVICE</t>
  </si>
  <si>
    <t>1766014</t>
  </si>
  <si>
    <t>11AXAT021AOM</t>
  </si>
  <si>
    <t>USI DE NENTILLA</t>
  </si>
  <si>
    <t>0024655961</t>
  </si>
  <si>
    <t>0024655975</t>
  </si>
  <si>
    <t>0024655979</t>
  </si>
  <si>
    <t>1766042</t>
  </si>
  <si>
    <t>26STPA021AOB</t>
  </si>
  <si>
    <t>20 RUE D ALSACE</t>
  </si>
  <si>
    <t>26130</t>
  </si>
  <si>
    <t>ST PAUL TROIS CHATEAUX</t>
  </si>
  <si>
    <t>0024648968</t>
  </si>
  <si>
    <t>0024648981</t>
  </si>
  <si>
    <t>0024648994</t>
  </si>
  <si>
    <t>0024649974</t>
  </si>
  <si>
    <t>0024649984</t>
  </si>
  <si>
    <t>0024649994</t>
  </si>
  <si>
    <t>1766376</t>
  </si>
  <si>
    <t>74CHAM011AOB</t>
  </si>
  <si>
    <t>CH DE LA BARRE DU CHAPITRE</t>
  </si>
  <si>
    <t>74400</t>
  </si>
  <si>
    <t>CHAMONIX MONT BLANC</t>
  </si>
  <si>
    <t>0024649975</t>
  </si>
  <si>
    <t>0024649985</t>
  </si>
  <si>
    <t>0024649995</t>
  </si>
  <si>
    <t xml:space="preserve">PROJET EDF RIN5 / SUPPRESSION DE L¿OPTION GTRS1 </t>
  </si>
  <si>
    <t>1766954</t>
  </si>
  <si>
    <t>95CHAM011AOB</t>
  </si>
  <si>
    <t>RN 1</t>
  </si>
  <si>
    <t>95660</t>
  </si>
  <si>
    <t>CHAMPAGNE SUR OISE</t>
  </si>
  <si>
    <t>0024829196</t>
  </si>
  <si>
    <t>0024829198</t>
  </si>
  <si>
    <t>0024829199</t>
  </si>
  <si>
    <t>OSMGD PROJET RNG RIN5 VAGUE 3 - CREATION ROUTEUR + ACCES - NOUVELLE SAISIE POUR CHANGEMENT TECHNOLOGIE - NECESSITE PLAN DE PREVENTION - APPELER LE CP - NOMENCLATURE R595 - EBSO 106476 - DATE MES 31/01/2020      &lt;0024829198 : création usage Intranet&gt;  &lt;0024829199 : création usage Voix&gt; 10/07/2020 - MODIFICATION DE LA DATE CONTRACTUELLE DU SERVICE 29/07/2020 - MODIFICATION DE LA DATE CONTRACTUELLE DU SERVICE 05/08/2020 - MODIFICATION DE LA DATE CONTRACTUELLE DU SERVICE 06/08/2020 - MODIFICATION DE LA DATE CONTRACTUELLE DU SERVICE 14/08/2020 - MODIFICATION DE LA DATE CONTRACTUELLE DU SERVICE 17/08/2020 - MODIFICATION DE LA DATE CONTRACTUELLE DU SERVICE</t>
  </si>
  <si>
    <t>1767327</t>
  </si>
  <si>
    <t>09FOIX031AOB</t>
  </si>
  <si>
    <t>LABARRE</t>
  </si>
  <si>
    <t>09000</t>
  </si>
  <si>
    <t>FOIX</t>
  </si>
  <si>
    <t>0024648964</t>
  </si>
  <si>
    <t>0024648977</t>
  </si>
  <si>
    <t>0024648990</t>
  </si>
  <si>
    <t>1780118</t>
  </si>
  <si>
    <t>86LISL021AOB</t>
  </si>
  <si>
    <t>RUE DE CHARDES</t>
  </si>
  <si>
    <t>0024739946</t>
  </si>
  <si>
    <t>0024739958</t>
  </si>
  <si>
    <t>0024739970</t>
  </si>
  <si>
    <t>CREATION ROUTEUR + ACCES - NECESSITE PLAN DE PREVENTION - APPELER LE CP - EBSO 106800 - DATE MES MAX 15/11/2019 - NOMENCLATURE R594  &lt;0024739958 : création usage Intranet&gt;  &lt;0024739970 : création usage Voix&gt;</t>
  </si>
  <si>
    <t>1780122</t>
  </si>
  <si>
    <t>65STLA011AOS</t>
  </si>
  <si>
    <t>PARC BENOIST DE FOURNEYRON</t>
  </si>
  <si>
    <t>65170</t>
  </si>
  <si>
    <t>ST LARY SOULAN</t>
  </si>
  <si>
    <t>0024737879</t>
  </si>
  <si>
    <t>0024737885</t>
  </si>
  <si>
    <t>0024737886</t>
  </si>
  <si>
    <t>CREATION ROUTEUR + ACCES - NECESSITE PLAN DE PREVENTION - APPELER LE CP - EBSO 106800 - DATE MES MAX 15/11/2019 - NOMENCLATURE R674    &lt;0024737885 : création usage Intranet&gt;</t>
  </si>
  <si>
    <t>065650004</t>
  </si>
  <si>
    <t>1734847</t>
  </si>
  <si>
    <t>19LEST011AOG</t>
  </si>
  <si>
    <t>MONCEAUX LA VIROLE</t>
  </si>
  <si>
    <t>19170</t>
  </si>
  <si>
    <t>LESTARDS</t>
  </si>
  <si>
    <t>0024531236</t>
  </si>
  <si>
    <t>0024531283</t>
  </si>
  <si>
    <t>0024531328</t>
  </si>
  <si>
    <t>EDF RIN5 / SUPPRESSION GTRS1 VU RSC DAVID LEROYER 30/09/2019 - MODIFICATION DE LA DATE CONTRACTUELLE DU SERVICE 02/12/2019 - MODIFICATION DE LA DATE CONTRACTUELLE DU SERVICE 05/12/2019 - MODIFICATION DE LA DATE CONTRACTUELLE DU SERVICE 08/01/2020 - MODIFICATION DE LA DATE CONTRACTUELLE DU SERVICE</t>
  </si>
  <si>
    <t>1734888</t>
  </si>
  <si>
    <t>77CHAL011AOB</t>
  </si>
  <si>
    <t>6 RUE DES ACACIAS</t>
  </si>
  <si>
    <t>77171</t>
  </si>
  <si>
    <t>CHALAUTRE LA GRANDE</t>
  </si>
  <si>
    <t>0024530617</t>
  </si>
  <si>
    <t>0024530622</t>
  </si>
  <si>
    <t>0024530627</t>
  </si>
  <si>
    <t>MODIFPROD - 06/02 CORRECTION CONTACT SITE SUR DEMANDE CDP, SCM TP  MIGRATION D-UN ACCES CUIVRE VERS FIBRE POUR LE SITE DE RIN5 CHALAUTRE, 77CHAL011AOB --IL S-AGIT D-UN UPGRADE A 4M, AVEC UN PASSAGE EN FIBRE ET CHANGEMENT DE ROUTEUR  EF 24579350  SCM MN</t>
  </si>
  <si>
    <t>1735042</t>
  </si>
  <si>
    <t>25MOUT011AOB</t>
  </si>
  <si>
    <t>RTE DES GORGES DE NOUAILLES</t>
  </si>
  <si>
    <t>25920</t>
  </si>
  <si>
    <t>MOUTHIER HAUTE PIERRE</t>
  </si>
  <si>
    <t>0024531245</t>
  </si>
  <si>
    <t>0024531292</t>
  </si>
  <si>
    <t>0024531335</t>
  </si>
  <si>
    <t xml:space="preserve">-FAST UPGRADE. ÉLIGIBILITE TESTEE AUTOMATIQUEMENT (PAS DE FICHIER CREOL).   - REFERENCE SWAN T501218908  - DDP A ROUTER VERS SPN   </t>
  </si>
  <si>
    <t>1735080</t>
  </si>
  <si>
    <t>12MONT011AOM</t>
  </si>
  <si>
    <t>USI EDF</t>
  </si>
  <si>
    <t>12460</t>
  </si>
  <si>
    <t>MONTEZIC</t>
  </si>
  <si>
    <t>0024529389</t>
  </si>
  <si>
    <t>0024530038</t>
  </si>
  <si>
    <t>0024530071</t>
  </si>
  <si>
    <t>09/10/2023 ERRADV CORRECTION DU PROFIL CORPORATE DUAL VERS CORPORATE SCM MN  REGULARISATION DE LA COMMANDE SATIN DU SITE 12MONT011AOM   LA PRODUCTION A DEJA ETE REALISEE.   UPGRADE DEBIT  UPGRADE CANAUX VOIX   EF 24493926  SCM MN</t>
  </si>
  <si>
    <t>1735086</t>
  </si>
  <si>
    <t>97REGI011AOG</t>
  </si>
  <si>
    <t>LOT COMMUNAL</t>
  </si>
  <si>
    <t>97390</t>
  </si>
  <si>
    <t>REGINA</t>
  </si>
  <si>
    <t>0024529107</t>
  </si>
  <si>
    <t>0024529132</t>
  </si>
  <si>
    <t>0024529149</t>
  </si>
  <si>
    <t>1735087</t>
  </si>
  <si>
    <t>97STGE011AOG</t>
  </si>
  <si>
    <t>LOT EMILIO PASCAL</t>
  </si>
  <si>
    <t>97313</t>
  </si>
  <si>
    <t>ST GEORGES</t>
  </si>
  <si>
    <t>0024529108</t>
  </si>
  <si>
    <t>0024529133</t>
  </si>
  <si>
    <t>0024529150</t>
  </si>
  <si>
    <t>1735091</t>
  </si>
  <si>
    <t>46LAVA011AOB</t>
  </si>
  <si>
    <t>LE BOURG</t>
  </si>
  <si>
    <t>46130</t>
  </si>
  <si>
    <t>LAVAL DE CERE</t>
  </si>
  <si>
    <t>0024529424</t>
  </si>
  <si>
    <t>0024530054</t>
  </si>
  <si>
    <t>0024530089</t>
  </si>
  <si>
    <t>1735238</t>
  </si>
  <si>
    <t>31LABA021AOG</t>
  </si>
  <si>
    <t>CITE EDF DE CAMON</t>
  </si>
  <si>
    <t>LABARTHE RIVIERE</t>
  </si>
  <si>
    <t>0024514761</t>
  </si>
  <si>
    <t>0024514765</t>
  </si>
  <si>
    <t>0024514769</t>
  </si>
  <si>
    <t xml:space="preserve">FAST UPGRADE. ÉLIGIBILITE TESTEE AUTOMATIQUEMENT (PAS DE FICHIER CREOL).   - REFERENCE SWAN    T503254693  - DDP A ROUTER VERS SPN  </t>
  </si>
  <si>
    <t>1735659</t>
  </si>
  <si>
    <t>24STCA011AOG</t>
  </si>
  <si>
    <t>BARG LE</t>
  </si>
  <si>
    <t>24150</t>
  </si>
  <si>
    <t>ST CAPRAISE DE LALINDE</t>
  </si>
  <si>
    <t>0024531243</t>
  </si>
  <si>
    <t>0024531289</t>
  </si>
  <si>
    <t>0024531333</t>
  </si>
  <si>
    <t>UPGRADE A 20M ET MODIFICATION NB CANAUX VOIX  EF 25624197  GC2 MN</t>
  </si>
  <si>
    <t>1740798</t>
  </si>
  <si>
    <t>07MEYR011AOB</t>
  </si>
  <si>
    <t>IMP DU PLOT</t>
  </si>
  <si>
    <t>07380</t>
  </si>
  <si>
    <t>MEYRAS</t>
  </si>
  <si>
    <t>0024536927</t>
  </si>
  <si>
    <t>0024536930</t>
  </si>
  <si>
    <t>0024536931</t>
  </si>
  <si>
    <t>EDF RIN5 / SUPPRESSION GTRS1 VU RSC DAVID LEROYER   30/09/2019 - MODIFICATION DE LA DATE CONTRACTUELLE DU SERVICE</t>
  </si>
  <si>
    <t>1740864</t>
  </si>
  <si>
    <t>15NEUV011AOS</t>
  </si>
  <si>
    <t>LD GRANDVAL</t>
  </si>
  <si>
    <t>15260</t>
  </si>
  <si>
    <t>NEUVEGLISE SUR TRUYERE</t>
  </si>
  <si>
    <t>0024536906</t>
  </si>
  <si>
    <t>0024536908</t>
  </si>
  <si>
    <t>0024536910</t>
  </si>
  <si>
    <t>1765752</t>
  </si>
  <si>
    <t>43MONI031AOB</t>
  </si>
  <si>
    <t>RUE DES JACQUETS</t>
  </si>
  <si>
    <t>43580</t>
  </si>
  <si>
    <t>MONISTROL D ALLIER</t>
  </si>
  <si>
    <t>0024649971</t>
  </si>
  <si>
    <t>0024649981</t>
  </si>
  <si>
    <t>0024649991</t>
  </si>
  <si>
    <t>MIGRATION ATM VERS GE SANS MODIFICATION DE SERVICE  SCM NICOLE EFORCE 23243406</t>
  </si>
  <si>
    <t>1765756</t>
  </si>
  <si>
    <t>63QUEU011AOB</t>
  </si>
  <si>
    <t>LES SAIGNOLES</t>
  </si>
  <si>
    <t>63780</t>
  </si>
  <si>
    <t>QUEUILLE</t>
  </si>
  <si>
    <t>0024649972</t>
  </si>
  <si>
    <t>0024649982</t>
  </si>
  <si>
    <t>0024649992</t>
  </si>
  <si>
    <t>MODIFC - 05/11 SUITE ANNULATION UPGRADE PAR CLIENT, VOIR DDP 8583462, NOUVELLE COMMANDE POUR RETOUR A SITUATION INITIALE EN 2M AVEC 20 CANAUX VOIX, GC2 TP  ANNULATION SUR DEMANDE CDP SUITE MAIL CLIENT, GC2 TP</t>
  </si>
  <si>
    <t>1766015</t>
  </si>
  <si>
    <t>12LETR011AOM</t>
  </si>
  <si>
    <t>LE POUGET</t>
  </si>
  <si>
    <t>12430</t>
  </si>
  <si>
    <t>LE TRUEL</t>
  </si>
  <si>
    <t>0024655962</t>
  </si>
  <si>
    <t>0024655981</t>
  </si>
  <si>
    <t>0024655982</t>
  </si>
  <si>
    <t>1766314</t>
  </si>
  <si>
    <t>34OLAR011AOM</t>
  </si>
  <si>
    <t>MONTAHUT</t>
  </si>
  <si>
    <t>34390</t>
  </si>
  <si>
    <t>ST JULIEN</t>
  </si>
  <si>
    <t>0024655993</t>
  </si>
  <si>
    <t>0024655996</t>
  </si>
  <si>
    <t>0024655999</t>
  </si>
  <si>
    <t>1766324</t>
  </si>
  <si>
    <t>38CORP011AOS</t>
  </si>
  <si>
    <t>LE SAUTET</t>
  </si>
  <si>
    <t>38970</t>
  </si>
  <si>
    <t>PELLAFOL</t>
  </si>
  <si>
    <t>0024654316</t>
  </si>
  <si>
    <t>0024654331</t>
  </si>
  <si>
    <t>0024654345</t>
  </si>
  <si>
    <t>UPGRADE A 50M ET MODIFICATION NB CANAUX VOIX    MODIFICATION ROUTEUR  MODIFICATION CONTACT SITE   EF 25793917  GC2 MN</t>
  </si>
  <si>
    <t>1766345</t>
  </si>
  <si>
    <t>46CAJA011AOB</t>
  </si>
  <si>
    <t>RTE DE LA COMBELLE</t>
  </si>
  <si>
    <t>46160</t>
  </si>
  <si>
    <t>CAJARC</t>
  </si>
  <si>
    <t>0024800899</t>
  </si>
  <si>
    <t>0024800901</t>
  </si>
  <si>
    <t>0024800902</t>
  </si>
  <si>
    <t>UPGRADE DE 10M - MODIFICATION CANAUX VOIX + CHANGEMENT DE ROUTEUR  EF 24871260  SCM MN</t>
  </si>
  <si>
    <t>1766371</t>
  </si>
  <si>
    <t>73AVRI011AOM</t>
  </si>
  <si>
    <t>RUE DE LA COMBE</t>
  </si>
  <si>
    <t>73500</t>
  </si>
  <si>
    <t>AVRIEUX</t>
  </si>
  <si>
    <t>0024655994</t>
  </si>
  <si>
    <t>0024655997</t>
  </si>
  <si>
    <t>0024656000</t>
  </si>
  <si>
    <t>UPGRADE A 100M , AVEC AJOUT CODE ROUTEUR LICENCE PERF - MODIF VOLUME CANAUX VOIX  EF 25573992  GC2 MN</t>
  </si>
  <si>
    <t>1766483</t>
  </si>
  <si>
    <t>81ARTH011AOM</t>
  </si>
  <si>
    <t>RUE LUCIENNE PELLEGRINI</t>
  </si>
  <si>
    <t>81160</t>
  </si>
  <si>
    <t>ARTHES</t>
  </si>
  <si>
    <t>0024656057</t>
  </si>
  <si>
    <t>0024656062</t>
  </si>
  <si>
    <t>0024656066</t>
  </si>
  <si>
    <t>OSMGD PROJET RNG RIN5 VAGUE 3 - CREATION ROUTEUR + ACCES - NECESSITE PLAN DE PREVENTION - APPELER LE CP - NOMENCLATURE R679 - EBSO 106476 - DATE MES 14/10/2019 - ATTENTION SITE MONO ROUTEUR EN MAN AVEC 81BRAS011AOM, 12LETR011AOM ET 81RIVI011AOM - SITE DESTINE A LA VDS    &lt;0024656062   CREATION USAGE INTRANET&gt;  &lt;0024656066   CREATION USAGE VOIX&gt;</t>
  </si>
  <si>
    <t>1766505</t>
  </si>
  <si>
    <t>81RIVI011AOM</t>
  </si>
  <si>
    <t>CENTRALE ELECTRIQUE</t>
  </si>
  <si>
    <t>RIVIERES</t>
  </si>
  <si>
    <t>0024656157</t>
  </si>
  <si>
    <t>0024656174</t>
  </si>
  <si>
    <t>0024656178</t>
  </si>
  <si>
    <t>OSMGD PROJET RNG RIN5 VAGUE 3 - CREATION ROUTEUR + ACCES - NECESSITE PLAN DE PREVENTION - APPELER LE CP - NOMENCLATURE R594 - EBSO 106476 - DATE MES 29/08/2019 - ATTENTION SITE MONO ROUTEUR EN MAN AVEC 81ARTH011AOM - SITE DESTINE A LA VDS    &lt;0024656174   CREATION USAGE INTRANET&gt;</t>
  </si>
  <si>
    <t>1767318</t>
  </si>
  <si>
    <t>06STMA011AOS</t>
  </si>
  <si>
    <t>QUA GABRE BONSON</t>
  </si>
  <si>
    <t>06830</t>
  </si>
  <si>
    <t>BONSON</t>
  </si>
  <si>
    <t>0024714475</t>
  </si>
  <si>
    <t>0024714486</t>
  </si>
  <si>
    <t>0024714489</t>
  </si>
  <si>
    <t>FAST UPGRADE. ÉLIGIBILITE TESTEE AUTOMATIQUEMENT (PAS DE FICHIER CREOL).   - REFERENCE SWAN    T311218228  - DDP A ROUTER VERS SPN</t>
  </si>
  <si>
    <t>1788115</t>
  </si>
  <si>
    <t>87STMA011AOS</t>
  </si>
  <si>
    <t>LD SAINT MARC</t>
  </si>
  <si>
    <t>87400</t>
  </si>
  <si>
    <t>ST MARTIN TERRESSUS</t>
  </si>
  <si>
    <t>0024743258</t>
  </si>
  <si>
    <t>0024743259</t>
  </si>
  <si>
    <t>0024743260</t>
  </si>
  <si>
    <t>FAST UPGRADE. ÉLIGIBILITE TESTEE AUTOMATIQUEMENT (PAS DE FICHIER CREOL).   - REFERENCE SWAN    T403140099  - DDP A ROUTER VERS SPN</t>
  </si>
  <si>
    <t>1736291</t>
  </si>
  <si>
    <t>19VOUT011AOS</t>
  </si>
  <si>
    <t>59 LE SAILLANT</t>
  </si>
  <si>
    <t>19130</t>
  </si>
  <si>
    <t>VOUTEZAC</t>
  </si>
  <si>
    <t>0024511669</t>
  </si>
  <si>
    <t>0024511676</t>
  </si>
  <si>
    <t>0024511677</t>
  </si>
  <si>
    <t>1740805</t>
  </si>
  <si>
    <t>88RAON011AOS</t>
  </si>
  <si>
    <t>VIEUX PRE</t>
  </si>
  <si>
    <t>54540</t>
  </si>
  <si>
    <t>PIERRE PERCEE</t>
  </si>
  <si>
    <t>0024536844</t>
  </si>
  <si>
    <t>0024536846</t>
  </si>
  <si>
    <t>0024536848</t>
  </si>
  <si>
    <t>OSMGD PROJET RNG RIN5 VAGUE 2 - CREATION ROUTEUR + ACCES - NECESSITE PLAN DE PREVENTION - DATE MES 15/10/2019 - EBSO 106000 - NOMENCLATURE R674 - ROUTEURS A LA CARTE  AVEC NOMENCLATURE - CDP K. THIBAULT A CONTACTER POUR COMMANDE MATERIEL   26/08/2020 - MODIFICATION DE LA DATE CONTRACTUELLE DU SERVICE</t>
  </si>
  <si>
    <t>1740843</t>
  </si>
  <si>
    <t>12MURD021AOM</t>
  </si>
  <si>
    <t>RUEYRE</t>
  </si>
  <si>
    <t>BROMMAT</t>
  </si>
  <si>
    <t>0024721075</t>
  </si>
  <si>
    <t>0024721079</t>
  </si>
  <si>
    <t>0024721081</t>
  </si>
  <si>
    <t>1740854</t>
  </si>
  <si>
    <t>15LARO011AOS</t>
  </si>
  <si>
    <t>LD BARRAGE EDF</t>
  </si>
  <si>
    <t>15150</t>
  </si>
  <si>
    <t>ST ETIENNE CANTALES</t>
  </si>
  <si>
    <t>0024536905</t>
  </si>
  <si>
    <t>0024536907</t>
  </si>
  <si>
    <t>0024536909</t>
  </si>
  <si>
    <t xml:space="preserve">PROJET EDF RIN5 / SUPPRESSION OPTION GTRS1 </t>
  </si>
  <si>
    <t>1742370</t>
  </si>
  <si>
    <t>31TOUL021AOP</t>
  </si>
  <si>
    <t>8 RUE CLAUDE MARIE PERROUD</t>
  </si>
  <si>
    <t>0024544931</t>
  </si>
  <si>
    <t>0024544933</t>
  </si>
  <si>
    <t>0041VAL8</t>
  </si>
  <si>
    <t>0024544934</t>
  </si>
  <si>
    <t>PROJET EDF RIN5 / JMV / 180221 / AJOUT GTRS1 SUR DDE RSC DAVID LEROYER + TSC FRANCIS POIRE 18/02/2021 - MODIFICATION DE LA DATE CONTRACTUELLE DU SERVICE</t>
  </si>
  <si>
    <t>1765738</t>
  </si>
  <si>
    <t>09PERL011AOM</t>
  </si>
  <si>
    <t>ZR BERERES</t>
  </si>
  <si>
    <t>09110</t>
  </si>
  <si>
    <t>PERLES ET CASTELET</t>
  </si>
  <si>
    <t>0024655960</t>
  </si>
  <si>
    <t>0024655968</t>
  </si>
  <si>
    <t>0024655969</t>
  </si>
  <si>
    <t>1765749</t>
  </si>
  <si>
    <t>38CLON011AOB</t>
  </si>
  <si>
    <t>RUE DU CLOS DES LAURIERS</t>
  </si>
  <si>
    <t>38550</t>
  </si>
  <si>
    <t>CLONAS SUR VAREZE</t>
  </si>
  <si>
    <t>0024648970</t>
  </si>
  <si>
    <t>0024648983</t>
  </si>
  <si>
    <t>0024648996</t>
  </si>
  <si>
    <t>1765761</t>
  </si>
  <si>
    <t>74MIEU011AOB</t>
  </si>
  <si>
    <t>CHENALETTE</t>
  </si>
  <si>
    <t>74440</t>
  </si>
  <si>
    <t>MIEUSSY</t>
  </si>
  <si>
    <t>0024751342</t>
  </si>
  <si>
    <t>0024751356</t>
  </si>
  <si>
    <t>0024751360</t>
  </si>
  <si>
    <t>120820 / JMV / (EDF RIN5) / CHANGEMENT DE GTR POUR LE SITE 74MIEU011AOB  (SUPPRESSION GTRS1)   19/08/2020 - MODIFICATION DE LA DATE CONTRACTUELLE DU SERVICE</t>
  </si>
  <si>
    <t>1765996</t>
  </si>
  <si>
    <t>23STPI011AOB</t>
  </si>
  <si>
    <t>LE BARRAGE DE L ETROIT</t>
  </si>
  <si>
    <t>ST PIERRE CHERIGNAT</t>
  </si>
  <si>
    <t>0024648966</t>
  </si>
  <si>
    <t>0024648979</t>
  </si>
  <si>
    <t>0024648992</t>
  </si>
  <si>
    <t>1766325</t>
  </si>
  <si>
    <t>38LAFE011AOB</t>
  </si>
  <si>
    <t>FOND DE FRANCE</t>
  </si>
  <si>
    <t>38580</t>
  </si>
  <si>
    <t>LE HAUT BREDA</t>
  </si>
  <si>
    <t>0024648971</t>
  </si>
  <si>
    <t>0024648984</t>
  </si>
  <si>
    <t>0024648997</t>
  </si>
  <si>
    <t>1766347</t>
  </si>
  <si>
    <t>47LETE011AOS</t>
  </si>
  <si>
    <t>LAGAZAILLE</t>
  </si>
  <si>
    <t>47110</t>
  </si>
  <si>
    <t>LE TEMPLE SUR LOT</t>
  </si>
  <si>
    <t>0024655436</t>
  </si>
  <si>
    <t>0024655440</t>
  </si>
  <si>
    <t>0024655444</t>
  </si>
  <si>
    <t>1780120</t>
  </si>
  <si>
    <t>86MILL011AOB</t>
  </si>
  <si>
    <t>LD BARRAGE DE JOUSSEAU</t>
  </si>
  <si>
    <t>MILLAC</t>
  </si>
  <si>
    <t>0024739947</t>
  </si>
  <si>
    <t>0024739959</t>
  </si>
  <si>
    <t>0024739971</t>
  </si>
  <si>
    <t>CREATION ROUTEUR + ACCES - NECESSITE PLAN DE PREVENTION - APPELER LE CP - EBSO 106800 - DATE MES MAX 15/11/2019 - NOMENCLATURE R594  &lt;0024739959 : création usage Intranet&gt;  &lt;0024739971 : création usage Voix&gt;</t>
  </si>
  <si>
    <t>1780134</t>
  </si>
  <si>
    <t>87STJU011AOB</t>
  </si>
  <si>
    <t>LD MONT LARRON</t>
  </si>
  <si>
    <t>87460</t>
  </si>
  <si>
    <t>ST JULIEN LE PETIT</t>
  </si>
  <si>
    <t>0024739949</t>
  </si>
  <si>
    <t>0024739961</t>
  </si>
  <si>
    <t>0024739973</t>
  </si>
  <si>
    <t>LOT 4 14/01/2020 - MODIFICATION DE LA DATE MEF VERSION SERVICE PARC</t>
  </si>
  <si>
    <t>CREATION ROUTEUR + ACCES - NECESSITE PLAN DE PREVENTION - APPELER LE CP - EBSO 106800 - DATE MES MAX 15/11/2019 - NOMENCLATURE R594  &lt;0024739973 : création usage Voix&gt;  &lt;0024739961 : création usage Intranet&gt;</t>
  </si>
  <si>
    <t>INFORMATIONS BDC</t>
  </si>
  <si>
    <t>données issues de la commande</t>
  </si>
  <si>
    <t>SATIN</t>
  </si>
  <si>
    <t xml:space="preserve">Vague </t>
  </si>
  <si>
    <t xml:space="preserve">date de création </t>
  </si>
  <si>
    <t xml:space="preserve">date de modification </t>
  </si>
  <si>
    <t>fastupgrade</t>
  </si>
  <si>
    <t xml:space="preserve">Nom du site </t>
  </si>
  <si>
    <t>CodePAS</t>
  </si>
  <si>
    <t>Index Offre demandée</t>
  </si>
  <si>
    <t>Index offre du fournisseur</t>
  </si>
  <si>
    <t xml:space="preserve">Zonage du site </t>
  </si>
  <si>
    <t>Techno nominal</t>
  </si>
  <si>
    <t>Technologie secours
(si site redondé)</t>
  </si>
  <si>
    <t>Nb de canaux Voix
inclus</t>
  </si>
  <si>
    <t xml:space="preserve">Nb canaux voix complémentaires </t>
  </si>
  <si>
    <t xml:space="preserve">Nb de SUBVPN </t>
  </si>
  <si>
    <t>GTR 24*7</t>
  </si>
  <si>
    <t>Frais d'Accès au Service
Génie Civil</t>
  </si>
  <si>
    <t>Frais de mise en service/ change</t>
  </si>
  <si>
    <t>Frais d'Accès SubVPN</t>
  </si>
  <si>
    <t>Coût TOTAL Frais d'Accès au Service</t>
  </si>
  <si>
    <t>Coût Abonnement offre</t>
  </si>
  <si>
    <t>Coût Abonnement Chassis</t>
  </si>
  <si>
    <t xml:space="preserve">Cout Cartes interface </t>
  </si>
  <si>
    <t>Cout canaux voix supplémentaire</t>
  </si>
  <si>
    <t>Coût Abonnement Connectivité</t>
  </si>
  <si>
    <t>GTRS1
Coût Plage de support 24h/24 7j/7</t>
  </si>
  <si>
    <t>TOTAL ABO (offre + chassis+cartes )</t>
  </si>
  <si>
    <t>Montant Abonnement</t>
  </si>
  <si>
    <t>montant Abonnement canaux Voix supplémentaire</t>
  </si>
  <si>
    <t>Montant Options coûts récurrents</t>
  </si>
  <si>
    <t>Etat facturation</t>
  </si>
  <si>
    <t>Etat du service SATIN</t>
  </si>
  <si>
    <t>Etat de la version de service SATIN</t>
  </si>
  <si>
    <t xml:space="preserve">date de MEF du service </t>
  </si>
  <si>
    <t xml:space="preserve">change ou création </t>
  </si>
  <si>
    <t>Debit Satin</t>
  </si>
  <si>
    <t>commentaire</t>
  </si>
  <si>
    <t>Vague 1</t>
  </si>
  <si>
    <t>CRC Part MONTMORENCY</t>
  </si>
  <si>
    <t>95MONT011AOG</t>
  </si>
  <si>
    <t>Platinum_50_50</t>
  </si>
  <si>
    <t>VDS</t>
  </si>
  <si>
    <t>DOAAT Montrouge</t>
  </si>
  <si>
    <t>92MONT021AOG</t>
  </si>
  <si>
    <t>Gold_200_200</t>
  </si>
  <si>
    <t>Vague 2</t>
  </si>
  <si>
    <t>CCE TELEPERFORMANCE Belfort</t>
  </si>
  <si>
    <t>Gold_100_100</t>
  </si>
  <si>
    <t>CRC Part: AVIGNON</t>
  </si>
  <si>
    <t>84AVIG011AOG</t>
  </si>
  <si>
    <t>Gold_20_20</t>
  </si>
  <si>
    <t>NEY</t>
  </si>
  <si>
    <t>75PARI021AOB</t>
  </si>
  <si>
    <t>Bronze_10_0</t>
  </si>
  <si>
    <t>Pilote</t>
  </si>
  <si>
    <t>GEH RHIN NORD</t>
  </si>
  <si>
    <t>67PLOB011AOG</t>
  </si>
  <si>
    <t>CEIDRE Valenciennes</t>
  </si>
  <si>
    <t>59VALE011AOB</t>
  </si>
  <si>
    <t>Bronze_4_0</t>
  </si>
  <si>
    <t>Vague 3</t>
  </si>
  <si>
    <t>CCE Intrum Justitia</t>
  </si>
  <si>
    <t>44NANT041AOG</t>
  </si>
  <si>
    <t>US OUEST NANTES</t>
  </si>
  <si>
    <t>44NANT011AOG</t>
  </si>
  <si>
    <t>Gold_160_160</t>
  </si>
  <si>
    <t>Grenoble Eurennepolis</t>
  </si>
  <si>
    <t>Gold_30_30</t>
  </si>
  <si>
    <t>DTG Béziers Mercorent</t>
  </si>
  <si>
    <t>34BEZI011AOG</t>
  </si>
  <si>
    <t>Gold_10_10</t>
  </si>
  <si>
    <t>CRC Part et MA BORDEAUX RAVEZIES</t>
  </si>
  <si>
    <t>33BORD011AOP</t>
  </si>
  <si>
    <t>Platinum_100_100</t>
  </si>
  <si>
    <t>UTI-CPE AMBES</t>
  </si>
  <si>
    <t>33AMBE021AOB</t>
  </si>
  <si>
    <t>CCE TELEPERFORMANCE Blagnac</t>
  </si>
  <si>
    <t>CSPC-Agence Comptable Bourg de Péage</t>
  </si>
  <si>
    <t>26BOUR011AOB</t>
  </si>
  <si>
    <t>Bronze_20_0</t>
  </si>
  <si>
    <t>DCO Tertiaire Trégueux Plérin</t>
  </si>
  <si>
    <t>22PLER011AOB</t>
  </si>
  <si>
    <t>Station de conversion de Lucciana</t>
  </si>
  <si>
    <t>20BORG011AOG</t>
  </si>
  <si>
    <t>CRC Part : PERIGNY</t>
  </si>
  <si>
    <t>17PERI011AOG</t>
  </si>
  <si>
    <t>Gold_50_50</t>
  </si>
  <si>
    <t>Vague 4</t>
  </si>
  <si>
    <t>Usine de La Croux</t>
  </si>
  <si>
    <t>12REQU011AOB</t>
  </si>
  <si>
    <t>Silver_2_2</t>
  </si>
  <si>
    <t>DOAAT Civrieux</t>
  </si>
  <si>
    <t>01CIVR011AOS</t>
  </si>
  <si>
    <t>Silver_50_50</t>
  </si>
  <si>
    <t>débit calculé avec l'offre fournisseur du devis</t>
  </si>
  <si>
    <t>vérif GTR devis vs facture février 2026</t>
  </si>
  <si>
    <t>vérif GTR SATIN</t>
  </si>
  <si>
    <t>vérif GTR parc technique du 25022026</t>
  </si>
  <si>
    <t>vérif GTR RETOUR EDF</t>
  </si>
  <si>
    <t>vérif offre devis vs facture février 20262</t>
  </si>
  <si>
    <t>débit calculé avec l'offre3</t>
  </si>
  <si>
    <t>AC La Trinité AENA Martinique</t>
  </si>
  <si>
    <t>pas trouvé</t>
  </si>
  <si>
    <t>Gold_6_6</t>
  </si>
  <si>
    <t>canaux à corriger à 36€</t>
  </si>
  <si>
    <t>AC LES SAINTES</t>
  </si>
  <si>
    <t xml:space="preserve">pas trouvé </t>
  </si>
  <si>
    <t>Silver_1_1</t>
  </si>
  <si>
    <t xml:space="preserve">C2E Cuivre </t>
  </si>
  <si>
    <t>j'ai corrigé l'abo du bdcà partir du BPU</t>
  </si>
  <si>
    <t>AC ST-BARTHELEMY</t>
  </si>
  <si>
    <t>Silver_4_4</t>
  </si>
  <si>
    <t>Cu</t>
  </si>
  <si>
    <t>pas de canaux supplémentaires donc corriger els canaux à 0 - j'ai corrigé le prix de 'abo dans le BDC à partir du BPU</t>
  </si>
  <si>
    <t>Centrale PEI Larivot</t>
  </si>
  <si>
    <t>Silver_20_20</t>
  </si>
  <si>
    <t xml:space="preserve">C2E Fibre </t>
  </si>
  <si>
    <t>à corriger fastupgrade  au 21/11/2025 ?</t>
  </si>
  <si>
    <t>AC LA DESIRADE</t>
  </si>
  <si>
    <t>HZ</t>
  </si>
  <si>
    <t>j'ai corrigé le prix  de k'abo dans le BDC à partir du BPU</t>
  </si>
  <si>
    <t>AC BASSE TERRE</t>
  </si>
  <si>
    <t>C2E Fibre</t>
  </si>
  <si>
    <t>ok trouvé en 2024</t>
  </si>
  <si>
    <t>AC Fort de France AECO Martinique</t>
  </si>
  <si>
    <t>PAS TROUVé de doc  -j'ai corrigé le prix du BDC à partir du BPU</t>
  </si>
  <si>
    <t>Smartside</t>
  </si>
  <si>
    <t>Platinum_800_800</t>
  </si>
  <si>
    <t>Zone Dense</t>
  </si>
  <si>
    <t>mis à jour avec devis fastupgrdae 2025 dans mail - prix des canaux à corriger à 1242€</t>
  </si>
  <si>
    <t>DIT-COLOMBES</t>
  </si>
  <si>
    <t xml:space="preserve">Local Ethernet </t>
  </si>
  <si>
    <t>canaux à corriger à 252€</t>
  </si>
  <si>
    <t>GEH TARN AGOUT</t>
  </si>
  <si>
    <t>Fibre</t>
  </si>
  <si>
    <t>CRC Part CHATOU + R&amp;D</t>
  </si>
  <si>
    <t>REGUL FACTURATION SUR F2VRIER DONC ATTENDRE MARS 2026</t>
  </si>
  <si>
    <t>Renardières</t>
  </si>
  <si>
    <t>fin 2025</t>
  </si>
  <si>
    <t>CNPE PENLY3</t>
  </si>
  <si>
    <t>Platinum_500_500</t>
  </si>
  <si>
    <t>prix des canaux à corriger  à  702€</t>
  </si>
  <si>
    <t>GEH St Jean de Maurienne</t>
  </si>
  <si>
    <t>Platinum_MAN_100_0</t>
  </si>
  <si>
    <t xml:space="preserve">mis à jour avec devis fastupgrdae 2025 dans mail </t>
  </si>
  <si>
    <t>UPA-GEH SMB-Bozel</t>
  </si>
  <si>
    <t>modif en cours à vérifier  en mars</t>
  </si>
  <si>
    <t>Centrale de Villarodin</t>
  </si>
  <si>
    <t>ART-antenne Albertville</t>
  </si>
  <si>
    <t>canaux à corriger à 5</t>
  </si>
  <si>
    <t>Lou Gerland</t>
  </si>
  <si>
    <t>Platinum_600_600</t>
  </si>
  <si>
    <t>C2E fibre</t>
  </si>
  <si>
    <t>prix des canaux à corriger à 414 €</t>
  </si>
  <si>
    <t>Lyon Campus - THIERS</t>
  </si>
  <si>
    <t>Platinum_MAN_1000_0</t>
  </si>
  <si>
    <t>Lyon Campus - VELUM</t>
  </si>
  <si>
    <t>CRC Chaumont</t>
  </si>
  <si>
    <t>canaux à corriger à27€</t>
  </si>
  <si>
    <t>UPA-GEH-EV-centrale de Monteynard</t>
  </si>
  <si>
    <t>canaux à corriger à 27€</t>
  </si>
  <si>
    <t>CRC Part CENON</t>
  </si>
  <si>
    <t>Local Ethernet</t>
  </si>
  <si>
    <t>Ile de OUESSANT - SEI - Bureau EDF la croix rouge</t>
  </si>
  <si>
    <t>DATACENTER VAL DE REUIL</t>
  </si>
  <si>
    <t>Platinum_6000_6000</t>
  </si>
  <si>
    <t>canaux bundlés</t>
  </si>
  <si>
    <t>UPA-GEH EV-centrale de Beaumont Monteux</t>
  </si>
  <si>
    <t>REFRAIN (LE)</t>
  </si>
  <si>
    <t>Bronze_2_0</t>
  </si>
  <si>
    <t>pas de canaux supplémentaires</t>
  </si>
  <si>
    <t>Site Centrale du Vazzio</t>
  </si>
  <si>
    <t>Usine Entraygues</t>
  </si>
  <si>
    <t>Platinum_MAN_50_0</t>
  </si>
  <si>
    <t>Barrage de Kercabanac</t>
  </si>
  <si>
    <t>Usine de Labarre</t>
  </si>
  <si>
    <t>Bronze_1_0</t>
  </si>
  <si>
    <t>BAUDRY S : tests en 2M non validés =&gt; à facturer en 1M</t>
  </si>
  <si>
    <t>DAIP-ULM-ALN-St Vulbas</t>
  </si>
  <si>
    <t>Bronze_30_0</t>
  </si>
  <si>
    <t>fast janvier 26 -  donc écart de prix normal car ca a été fait en février, canaux à mettre à 14€ en février 2026</t>
  </si>
  <si>
    <t>AC Ile de Cayenne Guyane</t>
  </si>
  <si>
    <t>Pas d'upgrade, le PA est à 20 depuis le  début</t>
  </si>
  <si>
    <t>01/04/2023-downgrade</t>
  </si>
  <si>
    <t>CRC Part : NOISY-LE-GRAND</t>
  </si>
  <si>
    <t>GU Clermont Ferrand</t>
  </si>
  <si>
    <t>Gold_15_15</t>
  </si>
  <si>
    <t>Silver_15_15</t>
  </si>
  <si>
    <t>Laboratoire Déporté CNPE Gravelines</t>
  </si>
  <si>
    <t>Zone non dense</t>
  </si>
  <si>
    <t>corrigé en février 2026</t>
  </si>
  <si>
    <t>CRC Part NANTES Chantrerie</t>
  </si>
  <si>
    <t>fast de janvier 2026 - vérifier en mars</t>
  </si>
  <si>
    <t>CRC Part : SAINT-ETIENNE</t>
  </si>
  <si>
    <t>change janvier 26 - corriger les canaux à36€</t>
  </si>
  <si>
    <t>CRC Part : MURET</t>
  </si>
  <si>
    <t>DAIP-ULM-AMT-VDR-PontStEsprit</t>
  </si>
  <si>
    <t>Site Centrale Lucciana</t>
  </si>
  <si>
    <t>à vérifier car il  y a 2 devis en octobre 2025 et février 2026 on a pris celui de 2025</t>
  </si>
  <si>
    <t>Bâtiment Siège EDF Saint-Pierre</t>
  </si>
  <si>
    <t>cde 2021 - 22612678</t>
  </si>
  <si>
    <t>c'est une Internet fibre 50 M en technologie lien nominal</t>
  </si>
  <si>
    <t>SITE CENTRALE ST-MARTIN</t>
  </si>
  <si>
    <t xml:space="preserve">Fibre </t>
  </si>
  <si>
    <t>AC ST-MARTIN</t>
  </si>
  <si>
    <t>AE et Cle St Laurent du Maroni Guyane</t>
  </si>
  <si>
    <t>AC du Maroni Guyane</t>
  </si>
  <si>
    <t>Point d accueil de St Georges de l Oyapo Guyane</t>
  </si>
  <si>
    <t>Gold_2_2</t>
  </si>
  <si>
    <t>pas de canaux supplémentaires - j'ai corrigé le prix de 'abo dans le BDC à partir du BPU</t>
  </si>
  <si>
    <t>AC Shoelcher Martinique</t>
  </si>
  <si>
    <t>Silver_10_10</t>
  </si>
  <si>
    <t>AC Riviere Salee - Petit Bourg AES</t>
  </si>
  <si>
    <t>Pt d accueil de REGINA Guyane</t>
  </si>
  <si>
    <t>CENTRE EGD BERGEVIN</t>
  </si>
  <si>
    <t>AC Morne a l Eau</t>
  </si>
  <si>
    <t>Bâtiment Exploitation EDF Miquelon</t>
  </si>
  <si>
    <t>Point  d accueil clientele  Matoury Guyane</t>
  </si>
  <si>
    <t>Gold_4_4</t>
  </si>
  <si>
    <t>AC Larivot</t>
  </si>
  <si>
    <t>AC MARIE GALANTE</t>
  </si>
  <si>
    <t>AC LAMENTIN GRAC</t>
  </si>
  <si>
    <t>AC Kourou Guyane</t>
  </si>
  <si>
    <t>AC Cascade Martinique</t>
  </si>
  <si>
    <t>Centre EGD Martinique</t>
  </si>
  <si>
    <t>Cayenne - St Antoine</t>
  </si>
  <si>
    <t>Collery - Etat Major Guyane</t>
  </si>
  <si>
    <t>Centre EGD Guyane</t>
  </si>
  <si>
    <t>Gold_150_150</t>
  </si>
  <si>
    <t>Site Centrale Bellefontaine 2 Martinique</t>
  </si>
  <si>
    <t>Zone Non Dense</t>
  </si>
  <si>
    <t>Magasin DESTRELLAN</t>
  </si>
  <si>
    <t>AUDACIA</t>
  </si>
  <si>
    <t>Platinum_MAN_300_0</t>
  </si>
  <si>
    <t>c'est bon à 300 depuis le début</t>
  </si>
  <si>
    <t>SITE CENTRALE JARRY SUD</t>
  </si>
  <si>
    <t>AC BAIE MAHAUT</t>
  </si>
  <si>
    <t>UTI-CPE Champagne sur Oise</t>
  </si>
  <si>
    <t>EDVANCE FLOW</t>
  </si>
  <si>
    <t>migré en 2022 en 800Mb et upgrade en cours pouu passer en 1GB</t>
  </si>
  <si>
    <t>SACLAY FORMATION</t>
  </si>
  <si>
    <t>Bois-de-cure</t>
  </si>
  <si>
    <t>Silver_30_30</t>
  </si>
  <si>
    <t>UH VIEUX PRE</t>
  </si>
  <si>
    <t>GUH SAINT MARC</t>
  </si>
  <si>
    <t>Usine hydraulique MONTLARRON</t>
  </si>
  <si>
    <t>CRC Part LIMOGES</t>
  </si>
  <si>
    <t>Tertiaire FEYTIAT</t>
  </si>
  <si>
    <t xml:space="preserve">ZD </t>
  </si>
  <si>
    <t xml:space="preserve">à vérifier/corriger sur la facture au 06/05/2025 - mis à jour avec devis fastupgrdae 2025 dans mail </t>
  </si>
  <si>
    <t>EIM AMBAZAC</t>
  </si>
  <si>
    <t>Usine hydraulique JOUSSEAU</t>
  </si>
  <si>
    <t>Usine hydraulique de CHARDES</t>
  </si>
  <si>
    <t>GUH LA ROCHE</t>
  </si>
  <si>
    <t>CCE Armatis Chasseneuil du Poitou</t>
  </si>
  <si>
    <t>Platinum_300_300</t>
  </si>
  <si>
    <t>Centrale de Vinon</t>
  </si>
  <si>
    <t>CRC Part TOULON</t>
  </si>
  <si>
    <t>Saint Cassien GUH</t>
  </si>
  <si>
    <t>GUH GOLFECH</t>
  </si>
  <si>
    <t>c'est tout bon il est bien en 20M</t>
  </si>
  <si>
    <t>Usine de RIVIERES</t>
  </si>
  <si>
    <t>Platinum_MAN_4_0</t>
  </si>
  <si>
    <t>EIM GAILLAC</t>
  </si>
  <si>
    <t>EIM CASTRES</t>
  </si>
  <si>
    <t>GUH Brassac</t>
  </si>
  <si>
    <t>Usine du BAOUS</t>
  </si>
  <si>
    <t>Platinum_4_0</t>
  </si>
  <si>
    <t>Platinum_MAN_10_0</t>
  </si>
  <si>
    <t xml:space="preserve">vérifier / corriger facture au 09/05/2025 - mis à jour avec devis fastupgrdae 2025 dans mail </t>
  </si>
  <si>
    <t>GUH Saut de Sabo</t>
  </si>
  <si>
    <t>Platinum_MAN_30_0</t>
  </si>
  <si>
    <t>CCE Coriolis Amiens</t>
  </si>
  <si>
    <t>CRC Part AMIENS</t>
  </si>
  <si>
    <t>UPTI-CPE Porcheville</t>
  </si>
  <si>
    <t>UTI-CPE Montereau</t>
  </si>
  <si>
    <t xml:space="preserve">CRC Part LIEUSAINT </t>
  </si>
  <si>
    <t>Laboratoire CNPE Nogent sur Seine</t>
  </si>
  <si>
    <t>Terminal Ferroviaire</t>
  </si>
  <si>
    <t>DSIT Rouen</t>
  </si>
  <si>
    <t>CRC Part ROUEN</t>
  </si>
  <si>
    <t>UPCLH - Centrale du Havre</t>
  </si>
  <si>
    <t>CRC Part : PARIS AVRON</t>
  </si>
  <si>
    <t>UPA-GEH SMB-Centrale de Bioge</t>
  </si>
  <si>
    <t>le site est en cours de modif mais le devis de 10Mb/s n'a jamais été fait - CANAUX 0 CORRIGER à 9€</t>
  </si>
  <si>
    <t>EIM Passy</t>
  </si>
  <si>
    <t>pas trouvé l'upgradede 10 à 20 - pas de canaux complémentaires</t>
  </si>
  <si>
    <t>Prise d'eau de MIEUSSY</t>
  </si>
  <si>
    <t>UPA-GEH SMB-centrale de PRESSY</t>
  </si>
  <si>
    <t>silver_50_50</t>
  </si>
  <si>
    <t>Centrale Les Bois</t>
  </si>
  <si>
    <t>Annecy ATRIA</t>
  </si>
  <si>
    <t>EIM Maurienne</t>
  </si>
  <si>
    <t>Platinum_MAN_20_0</t>
  </si>
  <si>
    <t>UPA-GEH SMB-GU Moutiers Bozel</t>
  </si>
  <si>
    <t>UPA-GEH SMB-Moutiers A2C</t>
  </si>
  <si>
    <t>UP Alpes - GMH Montmélian</t>
  </si>
  <si>
    <t>GEH Savoie Mont-Blanc Albertville</t>
  </si>
  <si>
    <t>CRC Part CHALON-SUR-SAONE</t>
  </si>
  <si>
    <t>CETIC Chalon sur Saone</t>
  </si>
  <si>
    <t>UPA-GEH EV et GMH Alpes-Cusset</t>
  </si>
  <si>
    <t>USIN Lyon Parilly - Edvance Vénissieux</t>
  </si>
  <si>
    <t>DTG Lyon</t>
  </si>
  <si>
    <t>La Grande Halle (LGH)</t>
  </si>
  <si>
    <t>Platinum_1000_1000</t>
  </si>
  <si>
    <t>ZA1</t>
  </si>
  <si>
    <t>CARTERET</t>
  </si>
  <si>
    <t>Platinum_700_700</t>
  </si>
  <si>
    <t>To Lyon</t>
  </si>
  <si>
    <t>Lyon EKLAA</t>
  </si>
  <si>
    <t>Platinum_200_200</t>
  </si>
  <si>
    <t>LE</t>
  </si>
  <si>
    <t>NOVA</t>
  </si>
  <si>
    <t>Platinum_400_400</t>
  </si>
  <si>
    <t>UPTI CPE Loire sur Rhône</t>
  </si>
  <si>
    <t>DPIH Tertiaire Mulhouse Paturage</t>
  </si>
  <si>
    <t>CRC Part MULHOUSE</t>
  </si>
  <si>
    <t>GMH EST ECEM</t>
  </si>
  <si>
    <t>STRASBOURG PONTS COUVERTS</t>
  </si>
  <si>
    <t>GU GAMBSHEIM (Gambsheim)</t>
  </si>
  <si>
    <t>CRC Part : RIVESALTES</t>
  </si>
  <si>
    <t>GUH AUDE TECH</t>
  </si>
  <si>
    <t>GUH NESTES</t>
  </si>
  <si>
    <t>Usine SAINT SAUVEUR</t>
  </si>
  <si>
    <t xml:space="preserve">C2E fibre </t>
  </si>
  <si>
    <t>Agence Territoriale TARBES</t>
  </si>
  <si>
    <t>GUH CAMPAN</t>
  </si>
  <si>
    <t>GEH Adour &amp; Gaves</t>
  </si>
  <si>
    <t>CCE Acticall Pau</t>
  </si>
  <si>
    <t>CRC Part : PAU</t>
  </si>
  <si>
    <t>EIM OLORON</t>
  </si>
  <si>
    <t>CRC Part ANGLET</t>
  </si>
  <si>
    <t>Lot Thiers</t>
  </si>
  <si>
    <t>Centrale des Fades</t>
  </si>
  <si>
    <t>CRC Part AUBIERE</t>
  </si>
  <si>
    <t>Tertiaire Recouvrement</t>
  </si>
  <si>
    <t>CCE WEBHELP COMPIEGNE</t>
  </si>
  <si>
    <t>DSIT Villeneuve d Ascq</t>
  </si>
  <si>
    <t>Platinum_150_150</t>
  </si>
  <si>
    <t>ZA</t>
  </si>
  <si>
    <t>DAIP-ULM-AMT-NO-Sequedin</t>
  </si>
  <si>
    <t>CRC Part MARLY</t>
  </si>
  <si>
    <t>CRC Part MARCQ-EN-BAROEUL</t>
  </si>
  <si>
    <t>DC-EURAVENIR / Tertiaire LILLE EURAVENIR</t>
  </si>
  <si>
    <t>CRC Part LILLE</t>
  </si>
  <si>
    <t>DAIP-ULM-EM-Lille</t>
  </si>
  <si>
    <t>EURAENERGIE</t>
  </si>
  <si>
    <t>UPTI-CPE Richemont</t>
  </si>
  <si>
    <t>CCE Arvato Metz</t>
  </si>
  <si>
    <t>UPTI-CPE La Maxe</t>
  </si>
  <si>
    <t>DAIP-ULM-AMT-E-LaMaxe</t>
  </si>
  <si>
    <t>CRC Part Vannes</t>
  </si>
  <si>
    <t>Tertiaire Bar le Duc</t>
  </si>
  <si>
    <t>CRC Part et EM NANCY ORIGIN</t>
  </si>
  <si>
    <t>LE KANTIC</t>
  </si>
  <si>
    <t>CEIDRE FORMATION</t>
  </si>
  <si>
    <t>CRC Part et EM Reims Clairmarais</t>
  </si>
  <si>
    <t>Laboratoire Déporté Flamanville</t>
  </si>
  <si>
    <t>CRC Part CHERBOURG</t>
  </si>
  <si>
    <t>CRC Part : ANGERS</t>
  </si>
  <si>
    <t>Centrale Hydroélectrique de Villeneuve</t>
  </si>
  <si>
    <t>GUH TEMPLE SUR LOT</t>
  </si>
  <si>
    <t>GUH LUZECH</t>
  </si>
  <si>
    <t>Usine Laval de Cère</t>
  </si>
  <si>
    <t>GUH Cajarc</t>
  </si>
  <si>
    <t>CITEVOLIA</t>
  </si>
  <si>
    <t>Saint Herblain</t>
  </si>
  <si>
    <t>Gold_300_300</t>
  </si>
  <si>
    <t>à corriger depuis le 26/05/2025 fastupgrade avec les prix ici</t>
  </si>
  <si>
    <t>Nantes Estuaire</t>
  </si>
  <si>
    <t>Bronze_6_0</t>
  </si>
  <si>
    <t>Centrale de Monistrol d'Allier</t>
  </si>
  <si>
    <t>UPC-GEH LA-centrale de Pont de Lignon</t>
  </si>
  <si>
    <t>CRC Part MONISTROL-SUR-LOIRE</t>
  </si>
  <si>
    <t>UPC-GEH LA-ESPALY</t>
  </si>
  <si>
    <t>DAIP Brives Charensac</t>
  </si>
  <si>
    <t>UPC-GMH-EIM CHARENSAC</t>
  </si>
  <si>
    <t>Centrale de Grangent</t>
  </si>
  <si>
    <t>gold_15_15</t>
  </si>
  <si>
    <t>Usine de Villerest</t>
  </si>
  <si>
    <t>Tertiaire ROR</t>
  </si>
  <si>
    <t>UPA-GEH EV-centrale de St Pierre-Cognet</t>
  </si>
  <si>
    <t>FTTE 
FibreSmart</t>
  </si>
  <si>
    <t>le site a été modifié le 27/11/2025 en fibre FTTE fibre smart  20M</t>
  </si>
  <si>
    <t>UPA-GEH EV-St Georges de Commiers</t>
  </si>
  <si>
    <t>UPA-GEH EV-centrale de St Egrève</t>
  </si>
  <si>
    <t>UPA-GEH EV-centrale de Pont en Royans</t>
  </si>
  <si>
    <t>Vague 5</t>
  </si>
  <si>
    <t>EDF CIH - Bureau Aménagement de Gavet</t>
  </si>
  <si>
    <t>UPA-GEH Ecrins Vercors Pont de Claix</t>
  </si>
  <si>
    <t>Usine de Péage de Vizille</t>
  </si>
  <si>
    <t>UPA-GMH-EIM OISANS</t>
  </si>
  <si>
    <t>DAIP-ULM-AMT-VDR-La Verpillière</t>
  </si>
  <si>
    <t>Centrale de Fond de France</t>
  </si>
  <si>
    <t>Centrale du SAUTET</t>
  </si>
  <si>
    <t>Labo Enviro St Alban</t>
  </si>
  <si>
    <t>Usine de Beauvoir</t>
  </si>
  <si>
    <t>UPA-GMH Alpes-EIM Dauphiné</t>
  </si>
  <si>
    <t>TOURS PERSEA</t>
  </si>
  <si>
    <t>TOURS-ARON</t>
  </si>
  <si>
    <t>CRC Part et MA et EM TOURS GALION</t>
  </si>
  <si>
    <t>Démonstrateur Industriel Graphite de Chinon (DIG)</t>
  </si>
  <si>
    <t>Silver_100_100</t>
  </si>
  <si>
    <t>ULM de Chinon</t>
  </si>
  <si>
    <t>Bronze_50_0</t>
  </si>
  <si>
    <t>GUH EGUZON</t>
  </si>
  <si>
    <t>Rennes Bourg Nouveau</t>
  </si>
  <si>
    <t>BARRAGE DE LA RANCE</t>
  </si>
  <si>
    <t>GEH OUEST</t>
  </si>
  <si>
    <t>CRC MA et Part RENNES-CESSON</t>
  </si>
  <si>
    <t>USINE DE SAUT DE VESOLES</t>
  </si>
  <si>
    <t>Usine de MONTAHUT</t>
  </si>
  <si>
    <t>Platinum_MAN_20</t>
  </si>
  <si>
    <t>CRC Montpellier Arion</t>
  </si>
  <si>
    <t xml:space="preserve">Links Park </t>
  </si>
  <si>
    <t>AGENCE ARAP ARAT MILLENIUM</t>
  </si>
  <si>
    <t>change</t>
  </si>
  <si>
    <t>Toulouse UFPI</t>
  </si>
  <si>
    <t>Perroud5 Toulouse</t>
  </si>
  <si>
    <t>Perroud4 Toulouse</t>
  </si>
  <si>
    <t>DC : Prestation EASITEAM</t>
  </si>
  <si>
    <t>Perroud8 Campus Toulouse</t>
  </si>
  <si>
    <t>GUH SAINT GAUDENS - CAMON</t>
  </si>
  <si>
    <t>BARRAGE DE RODERE</t>
  </si>
  <si>
    <t>GEH Garonne</t>
  </si>
  <si>
    <t>CRC Part : NIMES</t>
  </si>
  <si>
    <t>CRC Entreprise : GUIPAVAS</t>
  </si>
  <si>
    <t>PICAP NOE</t>
  </si>
  <si>
    <t>Platinum_MAN_2000_0</t>
  </si>
  <si>
    <t>PICAP PACY</t>
  </si>
  <si>
    <t>DATACENTER PACY</t>
  </si>
  <si>
    <t>CRC Valence</t>
  </si>
  <si>
    <t>Labo Enviro Tricastin</t>
  </si>
  <si>
    <t>UPA-GEH EV-centrale de Pizançon</t>
  </si>
  <si>
    <t>UH MOUTHIERS HAUTEPIERRE</t>
  </si>
  <si>
    <t>CRC Part BESANCON</t>
  </si>
  <si>
    <t>EIM TUILIERES</t>
  </si>
  <si>
    <t>Barrage l'ETROIT - Groupement Usines MAULDE-TAURION, La Chatre</t>
  </si>
  <si>
    <t>Barrage CHATELUS</t>
  </si>
  <si>
    <t>GUH GUERLEDAN</t>
  </si>
  <si>
    <t>CRC Part DIJON</t>
  </si>
  <si>
    <t>CRC MA + EM DIJON</t>
  </si>
  <si>
    <t>AE Propriano</t>
  </si>
  <si>
    <t>AE Porto-Vecchio</t>
  </si>
  <si>
    <t>Site GR Gaz de Furiani</t>
  </si>
  <si>
    <t>AE Corte</t>
  </si>
  <si>
    <t>Silver_6_6</t>
  </si>
  <si>
    <t>AE Calvi</t>
  </si>
  <si>
    <t>AC Bastia</t>
  </si>
  <si>
    <t>AE Bastia Rural</t>
  </si>
  <si>
    <t>Site ERBAJOLO</t>
  </si>
  <si>
    <t>AE Ajaccio ville</t>
  </si>
  <si>
    <t>DSLE</t>
  </si>
  <si>
    <t>AE Ajaccio rural</t>
  </si>
  <si>
    <t>GUH Saillant</t>
  </si>
  <si>
    <t>GEH Dordogne</t>
  </si>
  <si>
    <t>GUH VEZERE</t>
  </si>
  <si>
    <t>EIM ARGENTAT</t>
  </si>
  <si>
    <t>Périgny - Louis Lumière</t>
  </si>
  <si>
    <t>CRC Part ANGOULEME</t>
  </si>
  <si>
    <t>GUH Grandval</t>
  </si>
  <si>
    <t>GUH St Etienne Cantales</t>
  </si>
  <si>
    <t>GEH LOT TRUYERE</t>
  </si>
  <si>
    <t>CRC Part HEROUVILLE-SAINT-CLAIR</t>
  </si>
  <si>
    <t>CCE WEBHELP CAEN</t>
  </si>
  <si>
    <t>OPPEN</t>
  </si>
  <si>
    <t>DIPDE Michelet</t>
  </si>
  <si>
    <t>Silver_200_200</t>
  </si>
  <si>
    <t>CRC Part MARSEILLE ALLAR</t>
  </si>
  <si>
    <t>Carré du Golf</t>
  </si>
  <si>
    <t>GUH BROMMAT</t>
  </si>
  <si>
    <t>Platinum_MAN_2_0</t>
  </si>
  <si>
    <t>EIM MUR DE BARREZ</t>
  </si>
  <si>
    <t>GUH MONTEZIC</t>
  </si>
  <si>
    <t>GUH POUGET</t>
  </si>
  <si>
    <t>Barrage de GOLINHAC</t>
  </si>
  <si>
    <t>Usine de Nentilla</t>
  </si>
  <si>
    <t>EIM AXAT</t>
  </si>
  <si>
    <t>CCE Avato Troyes</t>
  </si>
  <si>
    <t>GEH Aude Ariège</t>
  </si>
  <si>
    <t>GUH PERLES et CASTELET</t>
  </si>
  <si>
    <t>GEH REVIN SAINT-NICOLAS + GU REVIN</t>
  </si>
  <si>
    <t>UPC-GEH LA-GU Montpezat_Allier</t>
  </si>
  <si>
    <t>UPC-GEH LA-Barrage de Pont de Veyrières</t>
  </si>
  <si>
    <t>UPC-GEH-LA Usine Les Salelles</t>
  </si>
  <si>
    <t>Labo Enviro Cruas</t>
  </si>
  <si>
    <t>Usine hydraulique St-Martin de Vésubie</t>
  </si>
  <si>
    <t xml:space="preserve">à corriger sur la facture au 11/06/2025 à 1501 au lieu de 1437 - mis à jour avec devis fastupgrdae 2025 dans mail </t>
  </si>
  <si>
    <t>GU Plan du Var</t>
  </si>
  <si>
    <t>Saint Dalmas UH</t>
  </si>
  <si>
    <t>Nice Lingostiere GEH</t>
  </si>
  <si>
    <t>EDF-The Crown. Nice Eco Vallée</t>
  </si>
  <si>
    <t>GU Argentiere</t>
  </si>
  <si>
    <t>UPM-GMH Méditerranée-EIM Ventavon</t>
  </si>
  <si>
    <t>Serre Ponçon UH</t>
  </si>
  <si>
    <t>COISELET</t>
  </si>
  <si>
    <t>Site Tertiaire : Acc. RCGC et DCT BOURG</t>
  </si>
  <si>
    <t>0024529104</t>
  </si>
  <si>
    <t>type</t>
  </si>
  <si>
    <t xml:space="preserve">Total FAS </t>
  </si>
  <si>
    <t xml:space="preserve">TOTAL ABO (offre + chassis+cartes) = abo facture </t>
  </si>
  <si>
    <t>NEXT</t>
  </si>
  <si>
    <t>Cœur d’Ebène</t>
  </si>
  <si>
    <r>
      <t>97REMI011AO</t>
    </r>
    <r>
      <rPr>
        <b/>
        <sz val="11"/>
        <color rgb="FFFF0000"/>
        <rFont val="Calibri"/>
        <family val="2"/>
        <scheme val="minor"/>
      </rPr>
      <t>S</t>
    </r>
  </si>
  <si>
    <t>Usine de Castirla</t>
  </si>
  <si>
    <t>Poste Source de Ghisonaccia</t>
  </si>
  <si>
    <t>EXO7</t>
  </si>
  <si>
    <t>MODIFICATION AVEC CREATION site en FIBRE</t>
  </si>
  <si>
    <t>FibreSmart 
(FTTE actif)</t>
  </si>
  <si>
    <t>Bronze_100_0</t>
  </si>
  <si>
    <t>Platinum_Man_50_0</t>
  </si>
  <si>
    <t xml:space="preserve">68MULH021AOG </t>
  </si>
  <si>
    <t xml:space="preserve">CREATION nouveau site </t>
  </si>
  <si>
    <t>95CHAM012AOB</t>
  </si>
  <si>
    <t xml:space="preserve">8930-4220258747 </t>
  </si>
  <si>
    <t>06565-00</t>
  </si>
  <si>
    <t>2 créations</t>
  </si>
  <si>
    <t>RUN février 2026</t>
  </si>
  <si>
    <t>RUN janvier 2026</t>
  </si>
  <si>
    <t>RUN décembre 2025</t>
  </si>
  <si>
    <t>RUN novembre 2025</t>
  </si>
  <si>
    <t>RUN octobre 2025</t>
  </si>
  <si>
    <t>RUN septembre 2025</t>
  </si>
  <si>
    <t>RUN août 2025</t>
  </si>
  <si>
    <t>RUN juillet 2025</t>
  </si>
  <si>
    <t>RUN juin 2025</t>
  </si>
  <si>
    <t>RUN mai 2025</t>
  </si>
  <si>
    <t>RUN avril 2025</t>
  </si>
  <si>
    <t>RUN mars 2025</t>
  </si>
  <si>
    <t>RUN février 2025</t>
  </si>
  <si>
    <t>RUN janvier 2025</t>
  </si>
  <si>
    <t>RUN décembre 2024</t>
  </si>
  <si>
    <t>RUN novembre 2024</t>
  </si>
  <si>
    <t>RUN octobre 2024</t>
  </si>
  <si>
    <t>RUN septembre 2024</t>
  </si>
  <si>
    <t>RUN août 2024</t>
  </si>
  <si>
    <t>RUN juillet 2024</t>
  </si>
  <si>
    <t>RUN juin 2024</t>
  </si>
  <si>
    <t>RUN mai 2024</t>
  </si>
  <si>
    <t>RUN avril 2024</t>
  </si>
  <si>
    <t>RUN mars 2024</t>
  </si>
  <si>
    <t>RUN février 2024</t>
  </si>
  <si>
    <t>RUN janvier 2024</t>
  </si>
  <si>
    <t>RUN décembre 2023</t>
  </si>
  <si>
    <t>RUN novembre 2023</t>
  </si>
  <si>
    <t>RUN octobre 2023</t>
  </si>
  <si>
    <t>RUN septembre 2023</t>
  </si>
  <si>
    <t>RUN août 2023</t>
  </si>
  <si>
    <t>RUN juillet 2023</t>
  </si>
  <si>
    <t>RUN juin 2023</t>
  </si>
  <si>
    <t>RUN mai 2023</t>
  </si>
  <si>
    <t>RUN avril 2023</t>
  </si>
  <si>
    <t>RUN mars 2023</t>
  </si>
  <si>
    <t>RUN février 2023</t>
  </si>
  <si>
    <t>RUN janvier 2023</t>
  </si>
  <si>
    <t>RUN décembre 2022</t>
  </si>
  <si>
    <t>RUN novembre 2022</t>
  </si>
  <si>
    <t>RUN octobre 2022</t>
  </si>
  <si>
    <t>RUN septembre 2022</t>
  </si>
  <si>
    <t>RUN aout 2022</t>
  </si>
  <si>
    <t>RUN juillet 2022</t>
  </si>
  <si>
    <t>RUN juin 2022</t>
  </si>
  <si>
    <t>RUN mai 2022</t>
  </si>
  <si>
    <t>RUN avril 2022</t>
  </si>
  <si>
    <t>RUN mars 2022</t>
  </si>
  <si>
    <t>RUN février 2022</t>
  </si>
  <si>
    <t>RUN janvier 2022</t>
  </si>
  <si>
    <t>RUN décembre 2021</t>
  </si>
  <si>
    <t>RUN novembre 2021</t>
  </si>
  <si>
    <t>RUN octobre 2021</t>
  </si>
  <si>
    <t>RUN septembre 2021</t>
  </si>
  <si>
    <t>RUN août 2021</t>
  </si>
  <si>
    <t>RUN juillet 2021</t>
  </si>
  <si>
    <t>RUN juin 2021</t>
  </si>
  <si>
    <t>RUN mai 2021</t>
  </si>
  <si>
    <t>RUN avril 2021</t>
  </si>
  <si>
    <t>RUN mars 2021</t>
  </si>
  <si>
    <t>RUN février 2021</t>
  </si>
  <si>
    <t>RUN janvier 2021</t>
  </si>
  <si>
    <t>RUN décembre 2020</t>
  </si>
  <si>
    <t>RUN novembre 2020</t>
  </si>
  <si>
    <t>RUN octobre 2020</t>
  </si>
  <si>
    <t>RUN septembre 2020</t>
  </si>
  <si>
    <t>RUN aout 2020</t>
  </si>
  <si>
    <t>RUN juillet 2020</t>
  </si>
  <si>
    <t>RUN juin 2020</t>
  </si>
  <si>
    <t>RUN mai 2020</t>
  </si>
  <si>
    <t>RUN avril 2020</t>
  </si>
  <si>
    <t>RUN mars 2020</t>
  </si>
  <si>
    <t>RUN Février 2020</t>
  </si>
  <si>
    <t>RUN Janvier 2020</t>
  </si>
  <si>
    <t>RUN Décembre 2019</t>
  </si>
  <si>
    <t>RUN Novembre 2019</t>
  </si>
  <si>
    <t>RUN Octobre 2019</t>
  </si>
  <si>
    <t>RUN Septembre 2019</t>
  </si>
  <si>
    <t>RUN Août 2019</t>
  </si>
  <si>
    <t>RUN Juillet 2019</t>
  </si>
  <si>
    <t>RUN Juin 2019</t>
  </si>
  <si>
    <t>RUN Mai 2019</t>
  </si>
  <si>
    <t>RUN Avril 2019</t>
  </si>
  <si>
    <t>RUN Mars 2019</t>
  </si>
  <si>
    <t>RUN Février 2019</t>
  </si>
  <si>
    <t>RUN Janvier 2019</t>
  </si>
  <si>
    <t>RUN 2018</t>
  </si>
  <si>
    <t>Vague</t>
  </si>
  <si>
    <t>Profil facturé</t>
  </si>
  <si>
    <t>Montant Options coûts récurents</t>
  </si>
  <si>
    <t>Nom usuel EDF (Référence commande)</t>
  </si>
  <si>
    <t>Site en mouvement sur la période</t>
  </si>
  <si>
    <t>Date Début de Facturation</t>
  </si>
  <si>
    <t>Date du change</t>
  </si>
  <si>
    <t>Sécurité</t>
  </si>
  <si>
    <t/>
  </si>
  <si>
    <t>SIEM</t>
  </si>
  <si>
    <t>Datacenter</t>
  </si>
  <si>
    <t>DATACENTER Noé</t>
  </si>
  <si>
    <t>DATACENTER Pacy</t>
  </si>
  <si>
    <t>Résilié</t>
  </si>
  <si>
    <t>06ROQU011AOB</t>
  </si>
  <si>
    <t>ROQUEBILLIERE</t>
  </si>
  <si>
    <t>Pilotes</t>
  </si>
  <si>
    <t>CRC Part CHATOU</t>
  </si>
  <si>
    <t>31TOUL011AOG</t>
  </si>
  <si>
    <t>CRC Part : TOULOUSE GRANDE PLAINE</t>
  </si>
  <si>
    <t>AC MORNE A L EAU</t>
  </si>
  <si>
    <t>résil 31/11/2024</t>
  </si>
  <si>
    <t>AE AJACCIO RURAL</t>
  </si>
  <si>
    <t>AC Lamentin GRAC</t>
  </si>
  <si>
    <t>54NANC011AOG</t>
  </si>
  <si>
    <t>CRC MA NANCY Republique</t>
  </si>
  <si>
    <t>ART Albertville</t>
  </si>
  <si>
    <t>92FONT011AOG</t>
  </si>
  <si>
    <t>FONTENAY AUX ROSES</t>
  </si>
  <si>
    <t>47AGEN011AOB</t>
  </si>
  <si>
    <t>DC Agen</t>
  </si>
  <si>
    <t>10TROY011AOG</t>
  </si>
  <si>
    <t>CRC Part TROYES</t>
  </si>
  <si>
    <t>Site d'ERBAJOLO</t>
  </si>
  <si>
    <t>77DAMM011AOG</t>
  </si>
  <si>
    <t xml:space="preserve">Dammarie les lys </t>
  </si>
  <si>
    <t>GEH Ecrins Vercors Pont de Claix</t>
  </si>
  <si>
    <t>CCE Teleperformance Belfort</t>
  </si>
  <si>
    <t>13MARS011AOG</t>
  </si>
  <si>
    <t>Marseille Gabes</t>
  </si>
  <si>
    <t>GU Moutiers</t>
  </si>
  <si>
    <t>67STRA011AOG</t>
  </si>
  <si>
    <t>DSIT Strasbourg</t>
  </si>
  <si>
    <t>resil 04/10/2024</t>
  </si>
  <si>
    <t>33EYSI011AOG</t>
  </si>
  <si>
    <t>CRC Part : EYSINES</t>
  </si>
  <si>
    <t>19TULL011AOG</t>
  </si>
  <si>
    <t>AC LA DÉSIRADE</t>
  </si>
  <si>
    <t>34MONT021AOG</t>
  </si>
  <si>
    <t>CRC MA Montpellier</t>
  </si>
  <si>
    <t>72LEMA011AOG</t>
  </si>
  <si>
    <t>CRC Part : LE MANS</t>
  </si>
  <si>
    <t xml:space="preserve">AC Kourou </t>
  </si>
  <si>
    <t>AC du Maroni</t>
  </si>
  <si>
    <t>AE du Maroni</t>
  </si>
  <si>
    <t>Laboratoire du CNPE Gravelines</t>
  </si>
  <si>
    <t>AC Ile de CAYENNE</t>
  </si>
  <si>
    <t>Aménagement du Cusset</t>
  </si>
  <si>
    <t>CSPC Bourg de Péage</t>
  </si>
  <si>
    <t>AC BASTIA’</t>
  </si>
  <si>
    <t>38MEYL011AOB</t>
  </si>
  <si>
    <t>CRC Meylan</t>
  </si>
  <si>
    <t>13AIXE021AOG</t>
  </si>
  <si>
    <t>GMH Aix Gambetta</t>
  </si>
  <si>
    <t>Nice Eco Vallée</t>
  </si>
  <si>
    <t>PA MATOURY</t>
  </si>
  <si>
    <t>AC SAINT BARTHELEMY</t>
  </si>
  <si>
    <t>Centrale de Bioge</t>
  </si>
  <si>
    <t>Laboratoire Déporté du CNPE Flamanville</t>
  </si>
  <si>
    <t>CETIC Chalon sur Saône</t>
  </si>
  <si>
    <t>06LECA011AOG</t>
  </si>
  <si>
    <t>CRC CANNES</t>
  </si>
  <si>
    <t>06NICE031AOG</t>
  </si>
  <si>
    <t>CRC NICE brancolar (Site commerce)</t>
  </si>
  <si>
    <t>26MONT011AOG</t>
  </si>
  <si>
    <t>CRC Montélimar</t>
  </si>
  <si>
    <t>34MONT031AOG</t>
  </si>
  <si>
    <t>CRC Tertiaire + MA Montpellier Mistral</t>
  </si>
  <si>
    <t>53LAVA011AOG</t>
  </si>
  <si>
    <t>CCE Coriolis Laval</t>
  </si>
  <si>
    <t>CRC Tertiaire Recouvrement</t>
  </si>
  <si>
    <t>Tertiaire Annecy</t>
  </si>
  <si>
    <t>91EVRY011AOG</t>
  </si>
  <si>
    <t>CRC Part Evry</t>
  </si>
  <si>
    <t>44NANT031AOG</t>
  </si>
  <si>
    <t>CRC Part NANTES</t>
  </si>
  <si>
    <t xml:space="preserve">AC les Saintes </t>
  </si>
  <si>
    <t>PICAP DATACENTER Pacy</t>
  </si>
  <si>
    <t>PICAP DATACENTER Noé</t>
  </si>
  <si>
    <t>97ABYM011AOG</t>
  </si>
  <si>
    <t>AC ABYMES</t>
  </si>
  <si>
    <t>26VALE011AOG</t>
  </si>
  <si>
    <t>92COLO021AOG</t>
  </si>
  <si>
    <t>CRC MA: COLOMBES</t>
  </si>
  <si>
    <t>Barrage l'Etroit groupement usines Maulde Taurion</t>
  </si>
  <si>
    <t>UPA-GEH EV centrale de Pizançon</t>
  </si>
  <si>
    <t>38VIZI011AOG</t>
  </si>
  <si>
    <t>UPA-Agence Sud Isère Drome 1R1T</t>
  </si>
  <si>
    <t>CRC Part Nantes Chantrerie</t>
  </si>
  <si>
    <t>CRC Part et EM Reims Claimarais</t>
  </si>
  <si>
    <t xml:space="preserve">CEIDRE Valenciennes </t>
  </si>
  <si>
    <t>76ROUE041AOB</t>
  </si>
  <si>
    <t>DIG ROUEN La Pucelle</t>
  </si>
  <si>
    <t xml:space="preserve">EIM Oloron Ste Marie </t>
  </si>
  <si>
    <t xml:space="preserve">CRC Part Marcq en Baroeul </t>
  </si>
  <si>
    <t>13AIXE011AOG</t>
  </si>
  <si>
    <t xml:space="preserve">Aix Cedre </t>
  </si>
  <si>
    <t>68FESS021AOB</t>
  </si>
  <si>
    <t>Magasin Relais du CNPE Fessenheim</t>
  </si>
  <si>
    <t>DSIT Villeneuve d’Ascq</t>
  </si>
  <si>
    <t>AC St-Martin</t>
  </si>
  <si>
    <t>Site Centrale Saint Martin</t>
  </si>
  <si>
    <t>CCE Arvato Troyes</t>
  </si>
  <si>
    <t>Centre EGD GUADELOUPE</t>
  </si>
  <si>
    <t>Centrale Jarry Sud</t>
  </si>
  <si>
    <t>AC Basse Terre</t>
  </si>
  <si>
    <t>Barrage Roche-Talamie</t>
  </si>
  <si>
    <t>AC Baie-Mahault</t>
  </si>
  <si>
    <t>81STSU011AOB</t>
  </si>
  <si>
    <t>Tertiaire Saint Sulpice</t>
  </si>
  <si>
    <t>Lyon Velum</t>
  </si>
  <si>
    <t>Lyon Thiers</t>
  </si>
  <si>
    <t>UPTI CPE Loire sur Rhone</t>
  </si>
  <si>
    <t>AE Porto Vecchio</t>
  </si>
  <si>
    <t>Centrale de Saint Dalmas</t>
  </si>
  <si>
    <t>05GAPZ011AOB</t>
  </si>
  <si>
    <t>DAIP GAP</t>
  </si>
  <si>
    <t>Laboratoire du CNPE de Cruas</t>
  </si>
  <si>
    <t>Marseille Allar</t>
  </si>
  <si>
    <t>GU JURA LOUE (Mouthier)</t>
  </si>
  <si>
    <t>GUH CAMON Saint Gaudens</t>
  </si>
  <si>
    <t>Links Park</t>
  </si>
  <si>
    <t>CRC Angers</t>
  </si>
  <si>
    <t>57METZ011AOS</t>
  </si>
  <si>
    <t>LSAOA Metz</t>
  </si>
  <si>
    <t>Agence Territoriale de Tarbes</t>
  </si>
  <si>
    <t>73FRAN011AOG</t>
  </si>
  <si>
    <t>UPA-Agence de Savoie 1R1T</t>
  </si>
  <si>
    <t xml:space="preserve">Laboratoire Deporte du CNPE Nogent </t>
  </si>
  <si>
    <t>CCE Amartis Chasseneuil du Poitou</t>
  </si>
  <si>
    <t>Usine Montlarron</t>
  </si>
  <si>
    <t>Campus Saclay</t>
  </si>
  <si>
    <t>AC Rivière Salée</t>
  </si>
  <si>
    <t>Agence ARAP ARAT MILLENIUM</t>
  </si>
  <si>
    <t>38VIZI021AOS</t>
  </si>
  <si>
    <t>Usine Péage de Vizille</t>
  </si>
  <si>
    <t>89AUXE011AOG</t>
  </si>
  <si>
    <t>Tertiaire ENT AUXERRE</t>
  </si>
  <si>
    <t>Usine Saint Sauveur</t>
  </si>
  <si>
    <t>59WASQ011AOG</t>
  </si>
  <si>
    <t>CCE Contentia</t>
  </si>
  <si>
    <t>Site Centrale Bellefontaine 2</t>
  </si>
  <si>
    <t>GUH Le Saillant</t>
  </si>
  <si>
    <t>28CHAR011AOG</t>
  </si>
  <si>
    <t>DSP Chartres Pascal</t>
  </si>
  <si>
    <t>Terminal Ferroviaire St Valery</t>
  </si>
  <si>
    <t>Montpellier Arion</t>
  </si>
  <si>
    <t>Usine Hydraulique de Chardes</t>
  </si>
  <si>
    <t>Usine Hydraulique  Jousseau</t>
  </si>
  <si>
    <t>GUH La Roche</t>
  </si>
  <si>
    <t>CCE Sitel Pau</t>
  </si>
  <si>
    <t>GUH CAJARC</t>
  </si>
  <si>
    <t>UPCLH-Centrale du Havre</t>
  </si>
  <si>
    <t>AC Fort de France AECO Martininique</t>
  </si>
  <si>
    <t>50DUCE011AOB</t>
  </si>
  <si>
    <t>Barrage de La Roche Qui Boit</t>
  </si>
  <si>
    <t>CRC Pau</t>
  </si>
  <si>
    <t>AMT Pont St Esprit</t>
  </si>
  <si>
    <t>GUH Campan</t>
  </si>
  <si>
    <t>Usine de LABARRE</t>
  </si>
  <si>
    <t>CRC Part Besançon</t>
  </si>
  <si>
    <t>Intrum Nantes</t>
  </si>
  <si>
    <t>Usine de Montézic</t>
  </si>
  <si>
    <t>EM Entraygues</t>
  </si>
  <si>
    <t>59LILL021AOG</t>
  </si>
  <si>
    <t>Tour de Lille</t>
  </si>
  <si>
    <t>38LIVE021AOB</t>
  </si>
  <si>
    <t>Barrage de Livet</t>
  </si>
  <si>
    <t>AC Cascade (SCLI) Martinique</t>
  </si>
  <si>
    <t>Usine La Croux</t>
  </si>
  <si>
    <t>GUH St Cassien</t>
  </si>
  <si>
    <t>Centrale de Pont de Lignon</t>
  </si>
  <si>
    <t>UTI CPE de Ambes</t>
  </si>
  <si>
    <t>résil 30/09/2024</t>
  </si>
  <si>
    <t>GUH Nestes</t>
  </si>
  <si>
    <t>CRC Part Perigny</t>
  </si>
  <si>
    <t>56VANN021AOG</t>
  </si>
  <si>
    <t>CRC Vannes</t>
  </si>
  <si>
    <t>Usine Villeneuve sur Lot</t>
  </si>
  <si>
    <t>38LIVE031AOS</t>
  </si>
  <si>
    <t>UPA-GEH EV-centrale de Riouperoux</t>
  </si>
  <si>
    <t>12RODE011AOB</t>
  </si>
  <si>
    <t>Site Tertiaire : DCT RODEZ</t>
  </si>
  <si>
    <t>19SERA011AOB</t>
  </si>
  <si>
    <t>GUH NEUVIC</t>
  </si>
  <si>
    <t>12CAST011AOB</t>
  </si>
  <si>
    <t>Usine de Castelnau</t>
  </si>
  <si>
    <t>Repli DOAAT Civrieux</t>
  </si>
  <si>
    <t>CRC Vannes PIBS2</t>
  </si>
  <si>
    <t>Usine de Baous</t>
  </si>
  <si>
    <t>19ROCH011AOB</t>
  </si>
  <si>
    <t>Usine VAL-BENEYTE</t>
  </si>
  <si>
    <t>Chatou R&amp;D</t>
  </si>
  <si>
    <t>RENARDIERES</t>
  </si>
  <si>
    <t>Usine Hydraulique St Martin de Vésubie</t>
  </si>
  <si>
    <t>92COUR011AOG</t>
  </si>
  <si>
    <t>Tour AREVA</t>
  </si>
  <si>
    <t>Strasbourg Ponts Couverts</t>
  </si>
  <si>
    <t>Démonstrateur Industriel Chinon</t>
  </si>
  <si>
    <t>Oui</t>
  </si>
  <si>
    <t>TO LYON</t>
  </si>
  <si>
    <t>DIPDE MICHELET</t>
  </si>
  <si>
    <t xml:space="preserve"> </t>
  </si>
  <si>
    <t>44NANT051AOS </t>
  </si>
  <si>
    <t>date mail</t>
  </si>
  <si>
    <t>Site</t>
  </si>
  <si>
    <t>Matériel pour 1 routeur</t>
  </si>
  <si>
    <t>Débit avant modification</t>
  </si>
  <si>
    <t>Débit après modification</t>
  </si>
  <si>
    <t>date de réalisation</t>
  </si>
  <si>
    <t>Nom du Site</t>
  </si>
  <si>
    <t>Code PAS</t>
  </si>
  <si>
    <t>Index Offre proposée par l'opérateur</t>
  </si>
  <si>
    <t>Coût Plage de support 24h/24 7j/7</t>
  </si>
  <si>
    <t>ISR4321
*1 NIM-1GE-CU-SFP</t>
  </si>
  <si>
    <t>ISR4331
*1 NIM-1GE-CU-SFP
*1 GLC-LH-SMD</t>
  </si>
  <si>
    <t>ISR4351
*2 NIM-1GE-CU-SFP
*1 GLC-LH-SMD
*1 GLC-SX-MMD</t>
  </si>
  <si>
    <t>ISR4321
*1 NIM-2GE-CU-SFP</t>
  </si>
  <si>
    <t>ISR4331
*1 NIM-1GE-CU-SFP</t>
  </si>
  <si>
    <t>*1 GLC-LH-SMD
Cisco 1161-8P</t>
  </si>
  <si>
    <t>NOUVEAU</t>
  </si>
  <si>
    <t>Abonnement mensuel</t>
  </si>
  <si>
    <t>commentaires</t>
  </si>
  <si>
    <t>Index Offre</t>
  </si>
  <si>
    <t>Frais d'Accès Connectivité</t>
  </si>
  <si>
    <t>Coût Mensuel Connectivité
Site en Zone Dense</t>
  </si>
  <si>
    <t>Coût Mensuel Connectivité
Site en Zone Non Dense</t>
  </si>
  <si>
    <t>Coût Mensuel Connectivité
Site en Hors Zone 
(Support Fibre)</t>
  </si>
  <si>
    <t xml:space="preserve">Plage de support étendue à 24/7 </t>
  </si>
  <si>
    <t>coût mensuel par PAS pour étendre la plage de support à 24/7
Un coût par équipement ne sera pas accepté.
Il n'y aura pas de frais d'accès.</t>
  </si>
  <si>
    <t>Bronze, Platinum Man</t>
  </si>
  <si>
    <t>Silver, Gold, Platinum</t>
  </si>
  <si>
    <t>GTR 4h en 24/7 + surcout option disponibilité 24/7</t>
  </si>
  <si>
    <t xml:space="preserve">Bronze_0,5_0_cuivre </t>
  </si>
  <si>
    <t>Bronze_1_0_cuivre</t>
  </si>
  <si>
    <t>Bronze_15_0</t>
  </si>
  <si>
    <t>Bronze_25_0</t>
  </si>
  <si>
    <t>Bronze_150_0</t>
  </si>
  <si>
    <t>Bronze_200_0</t>
  </si>
  <si>
    <t>sur devis</t>
  </si>
  <si>
    <t>Bronze_300_0</t>
  </si>
  <si>
    <t>Bronze_400_0</t>
  </si>
  <si>
    <t>Bronze_500_0</t>
  </si>
  <si>
    <t>Bronze_600_0</t>
  </si>
  <si>
    <t>Bronze_700_0</t>
  </si>
  <si>
    <t>Bronze_800_0</t>
  </si>
  <si>
    <t>Bronze_1000_0</t>
  </si>
  <si>
    <t>Bronze_1500_0</t>
  </si>
  <si>
    <t>Bronze_2000_0</t>
  </si>
  <si>
    <t>Bronze_2500_0</t>
  </si>
  <si>
    <t>Bronze_3000_0</t>
  </si>
  <si>
    <t>Bronze_4000_0</t>
  </si>
  <si>
    <t>Bronze_5000_0</t>
  </si>
  <si>
    <t>Bronze_6000_0</t>
  </si>
  <si>
    <t>Bronze_7000_0</t>
  </si>
  <si>
    <t>Bronze_8000_0</t>
  </si>
  <si>
    <t>Bronze_9000_0</t>
  </si>
  <si>
    <t>Bronze_10000_0</t>
  </si>
  <si>
    <t>Platinum MAN_0,5_0_cuivre</t>
  </si>
  <si>
    <t>Platinum MAN_1_0_cuivre</t>
  </si>
  <si>
    <t>Platinum MAN_2_0_cuivre</t>
  </si>
  <si>
    <t>Platinum MAN_4_0</t>
  </si>
  <si>
    <t>Platinum MAN_6_0</t>
  </si>
  <si>
    <t>Platinum MAN_10_0</t>
  </si>
  <si>
    <t>Platinum MAN_15_0</t>
  </si>
  <si>
    <t>Platinum MAN_20_0</t>
  </si>
  <si>
    <t>Platinum MAN_25_0</t>
  </si>
  <si>
    <t>Platinum MAN_30_0</t>
  </si>
  <si>
    <t>Platinum MAN_50_0</t>
  </si>
  <si>
    <t>Platinum MAN_100_0</t>
  </si>
  <si>
    <t>Platinum MAN_150_0</t>
  </si>
  <si>
    <t>Platinum MAN_200_0</t>
  </si>
  <si>
    <t>Platinum MAN_300_0</t>
  </si>
  <si>
    <t>Platinum MAN_400_0</t>
  </si>
  <si>
    <t>Platinum MAN_500_0</t>
  </si>
  <si>
    <t>Platinum MAN_600_0</t>
  </si>
  <si>
    <t>Platinum MAN_700_0</t>
  </si>
  <si>
    <t>Platinum MAN_800_0</t>
  </si>
  <si>
    <t>Platinum MAN_1000_0</t>
  </si>
  <si>
    <t>Platinum MAN_1500_0</t>
  </si>
  <si>
    <t>Platinum MAN_2000_0</t>
  </si>
  <si>
    <t>Platinum MAN_2500_0</t>
  </si>
  <si>
    <t>Platinum MAN_3000_0</t>
  </si>
  <si>
    <t>Platinum MAN_4000_0</t>
  </si>
  <si>
    <t>Platinum MAN_5000_0</t>
  </si>
  <si>
    <t>Platinum MAN_6000_0</t>
  </si>
  <si>
    <t>Platinum MAN_7000_0</t>
  </si>
  <si>
    <t>Platinum MAN_8000_0</t>
  </si>
  <si>
    <t>Platinum MAN_9000_0</t>
  </si>
  <si>
    <t>Platinum MAN_10000_0</t>
  </si>
  <si>
    <t>Silver_0,5_0,5_cuivre</t>
  </si>
  <si>
    <t>Silver_1_1_cuivre</t>
  </si>
  <si>
    <t>Silver_2_2_cuivre</t>
  </si>
  <si>
    <t>Silver_25_25</t>
  </si>
  <si>
    <t>Silver_150_150</t>
  </si>
  <si>
    <t>Silver_300_300</t>
  </si>
  <si>
    <t>Silver_400_400</t>
  </si>
  <si>
    <t>Silver_500_500</t>
  </si>
  <si>
    <t>Silver_600_600</t>
  </si>
  <si>
    <t>Silver_700_700</t>
  </si>
  <si>
    <t>Silver_800_800</t>
  </si>
  <si>
    <t>Silver_1000_1000</t>
  </si>
  <si>
    <t>Silver_1500_1500</t>
  </si>
  <si>
    <t>Silver_2000_2000</t>
  </si>
  <si>
    <t>Silver_2500_2500</t>
  </si>
  <si>
    <t>Silver_3000_3000</t>
  </si>
  <si>
    <t>Silver_4000_4000</t>
  </si>
  <si>
    <t>Silver_5000_5000</t>
  </si>
  <si>
    <t>Silver_6000_6000</t>
  </si>
  <si>
    <t>Silver_7000_7000</t>
  </si>
  <si>
    <t>Silver_8000_8000</t>
  </si>
  <si>
    <t>Silver_9000_9000</t>
  </si>
  <si>
    <t>Silver_10000_10000</t>
  </si>
  <si>
    <t>Silver_2_1_cuivre</t>
  </si>
  <si>
    <t>Silver_4_1_cuivre</t>
  </si>
  <si>
    <t>Silver_4_2</t>
  </si>
  <si>
    <t>Silver_6_2</t>
  </si>
  <si>
    <t>Silver_6_4</t>
  </si>
  <si>
    <t>Silver_10_2</t>
  </si>
  <si>
    <t>Silver_10_6</t>
  </si>
  <si>
    <t>Silver_15_4</t>
  </si>
  <si>
    <t>Silver_20_6</t>
  </si>
  <si>
    <t>Silver_20_10</t>
  </si>
  <si>
    <t>Silver_30_8</t>
  </si>
  <si>
    <t>Silver_30_10</t>
  </si>
  <si>
    <t>Silver_50_10</t>
  </si>
  <si>
    <t>Gold_0,5_0,5_cuivre</t>
  </si>
  <si>
    <t>Gold_1_1_cuivre</t>
  </si>
  <si>
    <t>Gold_2_2_cuivre</t>
  </si>
  <si>
    <t>Gold_25_25</t>
  </si>
  <si>
    <t>Gold_80_80</t>
  </si>
  <si>
    <t>Gold_400_400</t>
  </si>
  <si>
    <t>Gold_500_500</t>
  </si>
  <si>
    <t>Gold_600_600</t>
  </si>
  <si>
    <t>Gold_700_700</t>
  </si>
  <si>
    <t>Gold_800_800</t>
  </si>
  <si>
    <t>Gold_1000_1000</t>
  </si>
  <si>
    <t>Gold_1500_1500</t>
  </si>
  <si>
    <t>Gold_2000_2000</t>
  </si>
  <si>
    <t>Gold_2500_2500</t>
  </si>
  <si>
    <t>Gold_3000_3000</t>
  </si>
  <si>
    <t>Gold_4000_4000</t>
  </si>
  <si>
    <t>Gold_5000_5000</t>
  </si>
  <si>
    <t>Gold_6000_6000</t>
  </si>
  <si>
    <t>Gold_7000_7000</t>
  </si>
  <si>
    <t>Gold_8000_8000</t>
  </si>
  <si>
    <t>Gold_9000_9000</t>
  </si>
  <si>
    <t>Gold_10000_10000</t>
  </si>
  <si>
    <t>Gold_2_1_cuivre</t>
  </si>
  <si>
    <t>Gold_4_1</t>
  </si>
  <si>
    <t>Gold_4_2</t>
  </si>
  <si>
    <t>Gold_6_2</t>
  </si>
  <si>
    <t>Gold_6_4</t>
  </si>
  <si>
    <t>Gold_10_2</t>
  </si>
  <si>
    <t>Gold_10_6</t>
  </si>
  <si>
    <t>Gold_15_4</t>
  </si>
  <si>
    <t>Gold_20_6</t>
  </si>
  <si>
    <t>Gold_20_10</t>
  </si>
  <si>
    <t>Gold_30_8</t>
  </si>
  <si>
    <t>Gold_30_10</t>
  </si>
  <si>
    <t>Gold_30_15</t>
  </si>
  <si>
    <t>Gold_50_10</t>
  </si>
  <si>
    <t>Bande Passante Voix incluse dans la connectivité</t>
  </si>
  <si>
    <t>Pour obtenir une bande passante Voix de 30% environ</t>
  </si>
  <si>
    <t>Débit Nominal en Mbps</t>
  </si>
  <si>
    <t>exprimée </t>
  </si>
  <si>
    <t>nombre de canaux totaix</t>
  </si>
  <si>
    <t>Nb canaux voix supplémentaire</t>
  </si>
  <si>
    <t>Bande passante voix en %</t>
  </si>
  <si>
    <t>Coût mensuel supplémentaire associé</t>
  </si>
  <si>
    <t>Coût Mensuel Connectivité
Site en Hors Zone</t>
  </si>
  <si>
    <t>Bronze_2_0_cuivre</t>
  </si>
  <si>
    <t>Bronze_2_0_DOM</t>
  </si>
  <si>
    <t>en Nb canaux voix</t>
  </si>
  <si>
    <t>en % de la bande passante connectivité</t>
  </si>
  <si>
    <t>Bronze_4_0_DOM</t>
  </si>
  <si>
    <t>Bronze_6_0_DOM</t>
  </si>
  <si>
    <t>Bronze_10_0_DOM</t>
  </si>
  <si>
    <t>Bronze_15_0_DOM</t>
  </si>
  <si>
    <t>Bronze_20_0_DOM</t>
  </si>
  <si>
    <t>Bronze_100_0_DOM</t>
  </si>
  <si>
    <t xml:space="preserve">Sur devis </t>
  </si>
  <si>
    <t>Bronze_150_0_DOM</t>
  </si>
  <si>
    <t>Bronze_200_0_DOM</t>
  </si>
  <si>
    <t>Bronze_300_0_DOM</t>
  </si>
  <si>
    <t>Platinum MAN_10_0_DOM</t>
  </si>
  <si>
    <t>Platinum MAN_100_0_DOM</t>
  </si>
  <si>
    <t>Platinum MAN_50_0_DOM</t>
  </si>
  <si>
    <t>Silver_10_10_DOM</t>
  </si>
  <si>
    <t>Silver_15_15_DOM</t>
  </si>
  <si>
    <t>Silver_20_20_DOM</t>
  </si>
  <si>
    <t>Silver_30_30_DOM</t>
  </si>
  <si>
    <t>Silver_50_50_DOM</t>
  </si>
  <si>
    <t>Gold_1_1_DOM</t>
  </si>
  <si>
    <t>Gold_2_2_DOM</t>
  </si>
  <si>
    <t>Gold_4_4_DOM</t>
  </si>
  <si>
    <t>Gold_6_6_DOM</t>
  </si>
  <si>
    <t>Gold_10_10_DOM</t>
  </si>
  <si>
    <t>Gold_15_15_DOM</t>
  </si>
  <si>
    <t>Gold_20_20_DOM</t>
  </si>
  <si>
    <t>Gold_25_25_DOM</t>
  </si>
  <si>
    <t>Gold_30_30_DOM</t>
  </si>
  <si>
    <t>Gold_50_50_DOM</t>
  </si>
  <si>
    <t>Gold_100_100_DOM</t>
  </si>
  <si>
    <t>Gold_2_1_DOM</t>
  </si>
  <si>
    <t>Gold_4_1_DOM</t>
  </si>
  <si>
    <t>Gold_4_2_DOM</t>
  </si>
  <si>
    <t>Gold_6_2_DOM</t>
  </si>
  <si>
    <t>Gold_10_2_DOM</t>
  </si>
  <si>
    <t>Gold_20_6_DOM</t>
  </si>
  <si>
    <t>Gold_30_8_DOM</t>
  </si>
  <si>
    <t>Platinum_1_1</t>
  </si>
  <si>
    <t>Platinum_1_1_DOM</t>
  </si>
  <si>
    <t>Platinum_2_2</t>
  </si>
  <si>
    <t>Platinum_2_2_DOM</t>
  </si>
  <si>
    <t>Platinum_4_4</t>
  </si>
  <si>
    <t>Platinum_4_4_DOM</t>
  </si>
  <si>
    <t>Platinum_10_10</t>
  </si>
  <si>
    <t>Platinum_10_10_DOM</t>
  </si>
  <si>
    <t>Platinum_50_50_DOM</t>
  </si>
  <si>
    <t>Platinum_100_100_DOM</t>
  </si>
  <si>
    <t>A corriger à 66 depuis 1an</t>
  </si>
  <si>
    <t>A corriger à 36 depuis 1an</t>
  </si>
  <si>
    <t>trouver le fastupgrade - dans la facture c'est les prix 50 qui sont facturés</t>
  </si>
  <si>
    <t xml:space="preserve">Résiliation </t>
  </si>
  <si>
    <t>à corriger à 0 depuis 1 an</t>
  </si>
  <si>
    <t>date de demande client</t>
  </si>
  <si>
    <t>type de demande - ou date de résiliation</t>
  </si>
  <si>
    <t>Upgrade mono accès de 20 à 50M, 900 canaux  avec changement de routeur</t>
  </si>
  <si>
    <t xml:space="preserve">upgrade de 20 à 50M (Serv 0024530766 ) changement routeur 
</t>
  </si>
  <si>
    <t>Upgrade mono accès de 30 à 50M, 900 canaux  avec changement de routeur</t>
  </si>
  <si>
    <t xml:space="preserve">Changement de routeur </t>
  </si>
  <si>
    <t xml:space="preserve">DROM </t>
  </si>
  <si>
    <t xml:space="preserve">à corriger depuis 1 an car on n'a pas la date </t>
  </si>
  <si>
    <t>Sophie regrade les canaux =&gt; c'est ok</t>
  </si>
  <si>
    <t xml:space="preserve">Sophie regrade les canaux =&gt; c'est ok </t>
  </si>
  <si>
    <t xml:space="preserve">prix de l'offre non trouvé demander à Sophie - canaux à facturer =&gt; prix de l'offre et des canaux à corriger depuis 1 an </t>
  </si>
  <si>
    <t>prix de l'offre non trouvé demander à Sophie =&gt; corrigé en faveur du client</t>
  </si>
  <si>
    <t>prix de l'offre non trouvé demander à Sophie =&gt; corrigé en aveur du client</t>
  </si>
  <si>
    <t>prix de l'offre non trouvé demander à Sophie =&gt; c'est ok</t>
  </si>
  <si>
    <t>GTR à corriger depuis quand</t>
  </si>
  <si>
    <t>trouver le fastupgrade car c'est en 50 depuis novembre 2023 -  j'ai corrigé dans le suivi prix ok</t>
  </si>
  <si>
    <t>Retrait VRF + PS-IP le 10/02/2027</t>
  </si>
  <si>
    <t>Platinum_Man_20_0</t>
  </si>
  <si>
    <t>2176686</t>
  </si>
  <si>
    <t>AP</t>
  </si>
  <si>
    <t>AQ</t>
  </si>
  <si>
    <t>AR</t>
  </si>
  <si>
    <t>BL</t>
  </si>
  <si>
    <t>BN</t>
  </si>
  <si>
    <t>L</t>
  </si>
  <si>
    <t>200 Mb/s</t>
  </si>
  <si>
    <t>30 Mb/s</t>
  </si>
  <si>
    <t>160 Mb/s</t>
  </si>
  <si>
    <t>10 Mb/s</t>
  </si>
  <si>
    <t>6 Mb/s</t>
  </si>
  <si>
    <t>6 Gbits/s</t>
  </si>
  <si>
    <t>100 Mb/s</t>
  </si>
  <si>
    <t>50 Mb/s</t>
  </si>
  <si>
    <t>20 Mb/s</t>
  </si>
  <si>
    <t>300 Mbits/s</t>
  </si>
  <si>
    <t>2 Mb/s</t>
  </si>
  <si>
    <t>1 Mb/s</t>
  </si>
  <si>
    <t>4 Mb/s</t>
  </si>
  <si>
    <t>15 Mb/s</t>
  </si>
  <si>
    <t>2 Gbits/s</t>
  </si>
  <si>
    <t>1 Gbits/s</t>
  </si>
  <si>
    <t>400 Mbits/s</t>
  </si>
  <si>
    <t>600 Mb/s</t>
  </si>
  <si>
    <t>500 Mb/s</t>
  </si>
  <si>
    <t>19 BD JULES CARTERET</t>
  </si>
  <si>
    <t>700 Mb/s</t>
  </si>
  <si>
    <t>25 BD JULES CARTERET</t>
  </si>
  <si>
    <t>2 D301</t>
  </si>
  <si>
    <t>0026080706</t>
  </si>
  <si>
    <t>0026080709</t>
  </si>
  <si>
    <t>577 VIALE DI SUVALE</t>
  </si>
  <si>
    <t>0026080710</t>
  </si>
  <si>
    <t>AU</t>
  </si>
  <si>
    <t>AI</t>
  </si>
  <si>
    <t>AZ</t>
  </si>
  <si>
    <t>BA</t>
  </si>
  <si>
    <t>MODIFPROD-CHANGEMENT CODE MODULE SATIN  FARREL MADA  ANULC-ANNULATION SUITE DEMANDE CDP  FARREL MADA</t>
  </si>
  <si>
    <t xml:space="preserve">UPGRADE A 100M   MODIFICATION CANAUX VOIX  EF 26086078  GC2 MN      </t>
  </si>
  <si>
    <t>RESILIATION SUITE EFORCE 26129387-SCM FRED Résiliation totale (sans qualification)</t>
  </si>
  <si>
    <t xml:space="preserve">UPGRADE A 50M  MODIF NB DE CANAUX VOIX  CHANGEMENT DE ROUTEUR  CHANGEMENT INTERLOCUTEUR SITE  EF 26084672  GC2 MN      </t>
  </si>
  <si>
    <t>SUPPRESSION SUBVPN CLASSIQUE ET MODIF SUBVPN PERENNE QUI PASSE A 50M  EF 26073597  GC2 MN  &lt;0024953946   RESILIATION USAGE SUB VPN CLASSIQUE (SUBCLA01) - SUPPRESSION SUR DEMANDE DU CLIENT   EF 26073597  GC2 MN  RESILIATION TOTALE (SANS QUALIFICATION)&gt;</t>
  </si>
  <si>
    <t xml:space="preserve">-FAST UPGRADE. ÉLIGIBILITE TESTEE AUTOMATIQUEMENT (PAS DE FICHIER CREOL).   - REFERENCE SWAN T601174517  - DDP A ROUTER VERS SPN   </t>
  </si>
  <si>
    <t xml:space="preserve"> -FAST UPGRADE. ÉLIGIBILITE TESTEE AUTOMATIQUEMENT (PAS DE FICHIER CREOL).   - REFERENCE SWAN T602171102  - DDP A ROUTER VERS SPN  </t>
  </si>
  <si>
    <t xml:space="preserve">-FAST UPGRADE. ÉLIGIBILITE TESTEE AUTOMATIQUEMENT (PAS DE FICHIER CREOL).   - REFERENCE SWAN T601202316  - DDP A ROUTER VERS SPN </t>
  </si>
  <si>
    <t>UPGRADE A 50M  MODIF NB DE CANAUX VOIX  CHANGEMENT DE ROUTEUR  CHANGEMENT INTERLOCUTEUR SITE     EF 26081835  GC2 MN</t>
  </si>
  <si>
    <t>RESIL SUR DEMANDE RSC, AUTRE ACCES CREE EN PARALLELE POUR CE SITE VOIR SCE 0025446854  GC2 TP  EF 26137437 Résiliation totale (sans qualification)</t>
  </si>
  <si>
    <t xml:space="preserve">-FAST UPGRADE. ÉLIGIBILITE TESTEE AUTOMATIQUEMENT (PAS DE FICHIER CREOL).   - REFERENCE SWAN T601177063  - DDP A ROUTER VERS SPN   </t>
  </si>
  <si>
    <t xml:space="preserve">FAST UPGRADE. ÉLIGIBILITE TESTEE AUTOMATIQUEMENT (PAS DE FICHIER CREOL).   - REFERENCE SWAN T602210574  - DDP A ROUTER VERS SPN </t>
  </si>
  <si>
    <t>CREATION DE SITE CORPORATE 4M AVEC CANAUX VOIX  SITE A FIBRER  EF 26062899  GC2 MN  &lt;0026080709   CREATION USAGE INTRANET&gt;  &lt;0026080710   CREATION USAGE VOIX&gt;</t>
  </si>
  <si>
    <t>CHANGEMENT DE NOM DE SITE DE 20PROP011AOG VERS 20PROP011AOS  EF 26137437  GC2 TP</t>
  </si>
  <si>
    <t>UPGRADE A 50M   MODIF CANAUX VOIX   MODIF ROUTEUR   MODIF INTERLOUCTEUR SITE      EF 26141386  GC2 MN</t>
  </si>
  <si>
    <t>-FAST UPGRADE. ÉLIGIBILITE TESTEE AUTOMATIQUEMENT (PAS DE FICHIER CREOL).   - REFERENCE SWAN T602210652  - DDP A ROUTER VERS SPN</t>
  </si>
  <si>
    <t>CHANGEMENT DE ROUTEUR  CHANGEMENT INTERLOCUTEUR SITE  EF 26141177  GC2 MN</t>
  </si>
  <si>
    <t>CHANGEMENT DE ROUTEUR ET CHANGEMENT D¿INTERLOCUTEUR SITE  EF 26141147  GC2 MN</t>
  </si>
  <si>
    <t>UPGRADE A 50M  MODIF NB DE CANAUX VOIX  CHANGEMENT DE ROUTEUR  CHANGEMENT INTERLOCUTEUR SITE  EF 26141262  GC2 MN</t>
  </si>
  <si>
    <t>MODIF GTR  24H/24 - 7J/7 EFORCE 26141494-SCM FRED</t>
  </si>
  <si>
    <t xml:space="preserve">"UPGRADE A 50M   MODIF CANAUX VOIX   MODIF ROUTEUR   MODIF INTERLOCUTEUR SITE  EF 26141420  GC2 MN     </t>
  </si>
  <si>
    <t>N° de commande 2026</t>
  </si>
  <si>
    <t>Référence facture</t>
  </si>
  <si>
    <t>RIN5 -  mars 2026</t>
  </si>
  <si>
    <t>N° de compte de facturation</t>
  </si>
  <si>
    <t>2 sites</t>
  </si>
  <si>
    <t>Date début période facturée</t>
  </si>
  <si>
    <t>Date fin période facturée</t>
  </si>
  <si>
    <t>RUN mars 2026</t>
  </si>
  <si>
    <t>Total (€ HT)</t>
  </si>
  <si>
    <t>Montant abonnement offre</t>
  </si>
  <si>
    <t>Montant abonnement chassis</t>
  </si>
  <si>
    <t>Montant abonnement cartes interface</t>
  </si>
  <si>
    <t>Montant canaux voix supplémentaires</t>
  </si>
  <si>
    <t>Montant GTR S1 (plage de support 24h/24 7j/7)</t>
  </si>
  <si>
    <t>Cockpit sécurité</t>
  </si>
  <si>
    <t>Niche sécurité</t>
  </si>
  <si>
    <t xml:space="preserve">SIEM Exploitation </t>
  </si>
  <si>
    <t>Platinum_Man_2000_0</t>
  </si>
  <si>
    <t>Platinum_Man_100_0</t>
  </si>
  <si>
    <t>Platinum_Man_1000_0</t>
  </si>
  <si>
    <r>
      <t>38GREN011AO</t>
    </r>
    <r>
      <rPr>
        <sz val="12"/>
        <rFont val="Calibri"/>
        <family val="2"/>
      </rPr>
      <t>B</t>
    </r>
  </si>
  <si>
    <t xml:space="preserve">Vague 3 </t>
  </si>
  <si>
    <t>Platinum_Man_2_0</t>
  </si>
  <si>
    <t>Platinum_Man_30_0</t>
  </si>
  <si>
    <t>Platinum_Man_4_0</t>
  </si>
  <si>
    <t>Platinum_Man_10_0</t>
  </si>
  <si>
    <t>Gold_20_20 </t>
  </si>
  <si>
    <t>Silver20_20</t>
  </si>
  <si>
    <t>Vérification coût Abonnement offre</t>
  </si>
  <si>
    <t>Vérification coût Abonnement Chassis</t>
  </si>
  <si>
    <t>Vérification coût Cartes interface</t>
  </si>
  <si>
    <t>Vérification coût canaux voix supplémentaire</t>
  </si>
  <si>
    <t>GTRS1 (Coût Plage de support 24h/24 7j/7)</t>
  </si>
  <si>
    <t>Vérification GTRS1 (Coût Plage de support 24h/24 7j/7)2</t>
  </si>
  <si>
    <t>canaux de satin</t>
  </si>
  <si>
    <t>débit de satin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</si>
</sst>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6" formatCode="#,##0\ &quot;€&quot;;[Red]\-#,##0\ &quot;€&quot;"/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_ * #,##0_ ;_ * \(#,##0\)_ ;_ * &quot;-&quot;??_ ;_ @_ 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0000000"/>
    <numFmt numFmtId="169" formatCode="#,##0\ &quot;€&quot;"/>
    <numFmt numFmtId="170" formatCode="_-* #,##0\ [$€-40C]_-;\-* #,##0\ [$€-40C]_-;_-* &quot;-&quot;??\ [$€-40C]_-;_-@_-"/>
    <numFmt numFmtId="171" formatCode="_-* #,##0\ &quot;€&quot;_-;\-* #,##0\ &quot;€&quot;_-;_-* &quot;-&quot;??\ &quot;€&quot;_-;_-@_-"/>
    <numFmt numFmtId="172" formatCode="#,##0.00\ _€"/>
    <numFmt numFmtId="173" formatCode="#,##0.00\ _F"/>
    <numFmt numFmtId="174" formatCode="#,##0.00\ &quot;€&quot;"/>
    <numFmt numFmtId="175" formatCode="_-* #,##0.00\ &quot;€&quot;_-;\-* #,##0.00\ &quot;€&quot;_-;_-* &quot;-&quot;\ &quot;€&quot;_-;_-@_-"/>
    <numFmt numFmtId="176" formatCode="_-* #,##0.00\ [$€-40C]_-;\-* #,##0.00\ [$€-40C]_-;_-* &quot;-&quot;??\ [$€-40C]_-;_-@_-"/>
    <numFmt numFmtId="177" formatCode="&quot;€&quot;#,##0_);\(&quot;€&quot;#,##0\)"/>
    <numFmt numFmtId="178" formatCode="_(&quot;€&quot;* #,##0_);_(&quot;€&quot;* \(#,##0\);_(&quot;€&quot;* &quot;-&quot;_);_(@_)"/>
    <numFmt numFmtId="179" formatCode="dd\/mm\/yyyy"/>
    <numFmt numFmtId="180" formatCode="d/m/yy;@"/>
    <numFmt numFmtId="181" formatCode="_-* #,##0\ _€_-;\-* #,##0\ _€_-;_-* &quot;-&quot;??\ _€_-;_-@_-"/>
    <numFmt numFmtId="182" formatCode="#,##0\ _€"/>
    <numFmt numFmtId="183" formatCode="_-* #,##0.00\ [$€-1]_-;\-* #,##0.00\ [$€-1]_-;_-* &quot;-&quot;??\ [$€-1]_-"/>
    <numFmt numFmtId="184" formatCode="#,##0.0\ &quot;€&quot;;\-#,##0.0\ &quot;€&quot;"/>
    <numFmt numFmtId="185" formatCode="#,##0.0\ _€"/>
    <numFmt numFmtId="186" formatCode="#,##0.00\ \€"/>
  </numFmts>
  <fonts count="10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Times New Roman"/>
      <family val="1"/>
    </font>
    <font>
      <sz val="9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sz val="10"/>
      <name val="Arial"/>
      <family val="2"/>
    </font>
    <font>
      <b/>
      <sz val="8"/>
      <name val="Arial"/>
      <family val="2"/>
    </font>
    <font>
      <b/>
      <sz val="10"/>
      <color indexed="52"/>
      <name val="Arial"/>
      <family val="2"/>
    </font>
    <font>
      <sz val="10"/>
      <color indexed="62"/>
      <name val="Arial"/>
      <family val="2"/>
    </font>
    <font>
      <b/>
      <sz val="10"/>
      <color indexed="63"/>
      <name val="Arial"/>
      <family val="2"/>
    </font>
    <font>
      <b/>
      <sz val="10"/>
      <color indexed="8"/>
      <name val="Arial"/>
      <family val="2"/>
    </font>
    <font>
      <sz val="11"/>
      <name val="Calibri"/>
      <family val="2"/>
      <scheme val="minor"/>
    </font>
    <font>
      <u/>
      <sz val="8.8000000000000007"/>
      <color theme="10"/>
      <name val="Calibri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Arial"/>
      <family val="2"/>
    </font>
    <font>
      <b/>
      <sz val="11"/>
      <name val="Calibri"/>
      <family val="2"/>
    </font>
    <font>
      <sz val="12"/>
      <name val="Arial"/>
      <family val="2"/>
    </font>
    <font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4"/>
      <name val="Arial"/>
      <family val="2"/>
    </font>
    <font>
      <b/>
      <sz val="14"/>
      <name val="Calibri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 tint="-0.499984740745262"/>
      <name val="Calibri"/>
      <family val="2"/>
    </font>
    <font>
      <sz val="12"/>
      <color theme="1"/>
      <name val="Calibri"/>
      <family val="2"/>
    </font>
    <font>
      <sz val="12"/>
      <color rgb="FF000000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2"/>
      <color indexed="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8"/>
      <color theme="3"/>
      <name val="Cambria"/>
      <family val="2"/>
    </font>
    <font>
      <sz val="18"/>
      <color theme="3"/>
      <name val="Cambria"/>
      <family val="2"/>
      <scheme val="major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1"/>
      <color rgb="FF002060"/>
      <name val="Calibri"/>
      <family val="2"/>
    </font>
    <font>
      <sz val="12"/>
      <color rgb="FF002060"/>
      <name val="Calibri"/>
      <family val="2"/>
    </font>
    <font>
      <sz val="8"/>
      <name val="Calibri"/>
      <family val="2"/>
      <scheme val="minor"/>
    </font>
    <font>
      <sz val="12"/>
      <color rgb="FF242424"/>
      <name val="Calibri"/>
      <family val="2"/>
      <scheme val="minor"/>
    </font>
    <font>
      <b/>
      <sz val="12"/>
      <color rgb="FFFF0000"/>
      <name val="Calibri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1"/>
      <color rgb="FF000000"/>
      <name val="Calibri"/>
      <family val="2"/>
    </font>
    <font>
      <u/>
      <sz val="10"/>
      <name val="Arial"/>
      <family val="2"/>
    </font>
    <font>
      <sz val="10"/>
      <color rgb="FFFF0000"/>
      <name val="Arial"/>
      <family val="2"/>
    </font>
    <font>
      <sz val="12"/>
      <color rgb="FFFF0000"/>
      <name val="Calibri"/>
      <family val="2"/>
    </font>
    <font>
      <sz val="11"/>
      <name val="Aptos"/>
      <family val="2"/>
    </font>
    <font>
      <sz val="14"/>
      <color theme="1"/>
      <name val="Calibri"/>
      <family val="2"/>
      <scheme val="minor"/>
    </font>
    <font>
      <sz val="11"/>
      <color rgb="FF000000"/>
      <name val="Aptos Narrow"/>
      <family val="2"/>
    </font>
    <font>
      <sz val="10"/>
      <color theme="1"/>
      <name val="Helvetica 55 Roman"/>
      <family val="2"/>
    </font>
    <font>
      <sz val="6"/>
      <color rgb="FF000000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b/>
      <sz val="9"/>
      <color rgb="FF363636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52"/>
      <name val="Arial"/>
      <family val="2"/>
    </font>
    <font>
      <sz val="10"/>
      <color indexed="20"/>
      <name val="Arial"/>
      <family val="2"/>
    </font>
    <font>
      <sz val="10"/>
      <color indexed="60"/>
      <name val="Arial"/>
      <family val="2"/>
    </font>
    <font>
      <sz val="10"/>
      <color indexed="17"/>
      <name val="Arial"/>
      <family val="2"/>
    </font>
    <font>
      <i/>
      <sz val="10"/>
      <color indexed="23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8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Aptos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b/>
      <sz val="9"/>
      <color theme="1"/>
      <name val="Arial"/>
      <family val="2"/>
    </font>
    <font>
      <sz val="12"/>
      <color rgb="FFFF0000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66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6DF8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175B9"/>
        <bgColor rgb="FFFFFFFF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8C8"/>
        <bgColor indexed="64"/>
      </patternFill>
    </fill>
    <fill>
      <patternFill patternType="solid">
        <fgColor rgb="FFFFFFFF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ACAD9"/>
      </left>
      <right style="thin">
        <color rgb="FFCACAD9"/>
      </right>
      <top style="thin">
        <color rgb="FFCACAD9"/>
      </top>
      <bottom style="thin">
        <color rgb="FFCACAD9"/>
      </bottom>
      <diagonal/>
    </border>
    <border>
      <left style="thin">
        <color rgb="FFCAC9D9"/>
      </left>
      <right style="thin">
        <color rgb="FFCAC9D9"/>
      </right>
      <top style="thin">
        <color rgb="FFCAC9D9"/>
      </top>
      <bottom style="thin">
        <color rgb="FFCAC9D9"/>
      </bottom>
      <diagonal/>
    </border>
    <border>
      <left style="thin">
        <color rgb="FFCAC9D9"/>
      </left>
      <right style="thin">
        <color rgb="FFCAC9D9"/>
      </right>
      <top style="thin">
        <color rgb="FFCAC9D9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CACAD9"/>
      </left>
      <right style="thin">
        <color rgb="FFCACAD9"/>
      </right>
      <top/>
      <bottom style="thin">
        <color rgb="FFCACAD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3772">
    <xf numFmtId="0" fontId="0" fillId="0" borderId="0"/>
    <xf numFmtId="0" fontId="3" fillId="0" borderId="0"/>
    <xf numFmtId="0" fontId="4" fillId="0" borderId="0">
      <alignment vertical="center" wrapText="1"/>
    </xf>
    <xf numFmtId="0" fontId="6" fillId="0" borderId="0" applyNumberFormat="0" applyFill="0" applyBorder="0" applyAlignment="0" applyProtection="0">
      <alignment vertical="top"/>
      <protection locked="0"/>
    </xf>
    <xf numFmtId="44" fontId="5" fillId="0" borderId="0" applyFont="0" applyFill="0" applyBorder="0" applyAlignment="0" applyProtection="0"/>
    <xf numFmtId="0" fontId="1" fillId="0" borderId="0"/>
    <xf numFmtId="0" fontId="7" fillId="0" borderId="0"/>
    <xf numFmtId="0" fontId="7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" fillId="0" borderId="0">
      <alignment vertical="center" wrapText="1"/>
    </xf>
    <xf numFmtId="0" fontId="8" fillId="0" borderId="0">
      <alignment vertical="center"/>
    </xf>
    <xf numFmtId="0" fontId="4" fillId="0" borderId="0">
      <alignment vertical="center" wrapText="1"/>
    </xf>
    <xf numFmtId="0" fontId="4" fillId="0" borderId="0">
      <alignment vertical="center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165" fontId="8" fillId="0" borderId="0"/>
    <xf numFmtId="165" fontId="8" fillId="0" borderId="0"/>
    <xf numFmtId="0" fontId="10" fillId="4" borderId="8" applyNumberFormat="0" applyAlignment="0" applyProtection="0"/>
    <xf numFmtId="0" fontId="10" fillId="4" borderId="8" applyNumberFormat="0" applyAlignment="0" applyProtection="0"/>
    <xf numFmtId="0" fontId="10" fillId="4" borderId="8" applyNumberFormat="0" applyAlignment="0" applyProtection="0"/>
    <xf numFmtId="0" fontId="10" fillId="4" borderId="8" applyNumberFormat="0" applyAlignment="0" applyProtection="0"/>
    <xf numFmtId="0" fontId="10" fillId="4" borderId="8" applyNumberFormat="0" applyAlignment="0" applyProtection="0"/>
    <xf numFmtId="0" fontId="10" fillId="4" borderId="8" applyNumberFormat="0" applyAlignment="0" applyProtection="0"/>
    <xf numFmtId="0" fontId="10" fillId="4" borderId="8" applyNumberFormat="0" applyAlignment="0" applyProtection="0"/>
    <xf numFmtId="0" fontId="10" fillId="4" borderId="8" applyNumberFormat="0" applyAlignment="0" applyProtection="0"/>
    <xf numFmtId="0" fontId="10" fillId="4" borderId="8" applyNumberFormat="0" applyAlignment="0" applyProtection="0"/>
    <xf numFmtId="0" fontId="8" fillId="5" borderId="9" applyNumberFormat="0" applyFont="0" applyAlignment="0" applyProtection="0"/>
    <xf numFmtId="0" fontId="8" fillId="5" borderId="9" applyNumberFormat="0" applyFont="0" applyAlignment="0" applyProtection="0"/>
    <xf numFmtId="0" fontId="8" fillId="5" borderId="9" applyNumberFormat="0" applyFont="0" applyAlignment="0" applyProtection="0"/>
    <xf numFmtId="0" fontId="8" fillId="5" borderId="9" applyNumberFormat="0" applyFont="0" applyAlignment="0" applyProtection="0"/>
    <xf numFmtId="0" fontId="8" fillId="5" borderId="9" applyNumberFormat="0" applyFont="0" applyAlignment="0" applyProtection="0"/>
    <xf numFmtId="0" fontId="11" fillId="6" borderId="8" applyNumberFormat="0" applyAlignment="0" applyProtection="0"/>
    <xf numFmtId="0" fontId="11" fillId="6" borderId="8" applyNumberFormat="0" applyAlignment="0" applyProtection="0"/>
    <xf numFmtId="0" fontId="11" fillId="6" borderId="8" applyNumberFormat="0" applyAlignment="0" applyProtection="0"/>
    <xf numFmtId="0" fontId="11" fillId="6" borderId="8" applyNumberFormat="0" applyAlignment="0" applyProtection="0"/>
    <xf numFmtId="0" fontId="11" fillId="6" borderId="8" applyNumberFormat="0" applyAlignment="0" applyProtection="0"/>
    <xf numFmtId="0" fontId="11" fillId="6" borderId="8" applyNumberFormat="0" applyAlignment="0" applyProtection="0"/>
    <xf numFmtId="0" fontId="11" fillId="6" borderId="8" applyNumberFormat="0" applyAlignment="0" applyProtection="0"/>
    <xf numFmtId="0" fontId="11" fillId="6" borderId="8" applyNumberFormat="0" applyAlignment="0" applyProtection="0"/>
    <xf numFmtId="0" fontId="11" fillId="6" borderId="8" applyNumberFormat="0" applyAlignment="0" applyProtection="0"/>
    <xf numFmtId="166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5" fontId="8" fillId="0" borderId="0"/>
    <xf numFmtId="168" fontId="9" fillId="0" borderId="3" applyBorder="0">
      <alignment horizontal="center" vertical="center"/>
      <protection locked="0"/>
    </xf>
    <xf numFmtId="168" fontId="9" fillId="0" borderId="3" applyBorder="0">
      <alignment horizontal="center" vertical="center"/>
      <protection locked="0"/>
    </xf>
    <xf numFmtId="168" fontId="9" fillId="0" borderId="3" applyBorder="0">
      <alignment horizontal="center" vertical="center"/>
      <protection locked="0"/>
    </xf>
    <xf numFmtId="168" fontId="9" fillId="0" borderId="3" applyBorder="0">
      <alignment horizontal="center" vertical="center"/>
      <protection locked="0"/>
    </xf>
    <xf numFmtId="168" fontId="9" fillId="0" borderId="3" applyBorder="0">
      <alignment horizontal="center" vertical="center"/>
      <protection locked="0"/>
    </xf>
    <xf numFmtId="168" fontId="9" fillId="0" borderId="3" applyBorder="0">
      <alignment horizontal="center" vertical="center"/>
      <protection locked="0"/>
    </xf>
    <xf numFmtId="168" fontId="9" fillId="0" borderId="3" applyBorder="0">
      <alignment horizontal="center" vertical="center"/>
      <protection locked="0"/>
    </xf>
    <xf numFmtId="168" fontId="9" fillId="0" borderId="3" applyBorder="0">
      <alignment horizontal="center" vertical="center"/>
      <protection locked="0"/>
    </xf>
    <xf numFmtId="0" fontId="12" fillId="4" borderId="10" applyNumberFormat="0" applyAlignment="0" applyProtection="0"/>
    <xf numFmtId="0" fontId="12" fillId="4" borderId="10" applyNumberFormat="0" applyAlignment="0" applyProtection="0"/>
    <xf numFmtId="0" fontId="12" fillId="4" borderId="10" applyNumberFormat="0" applyAlignment="0" applyProtection="0"/>
    <xf numFmtId="0" fontId="12" fillId="4" borderId="10" applyNumberFormat="0" applyAlignment="0" applyProtection="0"/>
    <xf numFmtId="0" fontId="12" fillId="4" borderId="10" applyNumberFormat="0" applyAlignment="0" applyProtection="0"/>
    <xf numFmtId="0" fontId="12" fillId="4" borderId="10" applyNumberFormat="0" applyAlignment="0" applyProtection="0"/>
    <xf numFmtId="0" fontId="8" fillId="0" borderId="0"/>
    <xf numFmtId="0" fontId="13" fillId="0" borderId="11" applyNumberFormat="0" applyFill="0" applyAlignment="0" applyProtection="0"/>
    <xf numFmtId="0" fontId="13" fillId="0" borderId="11" applyNumberFormat="0" applyFill="0" applyAlignment="0" applyProtection="0"/>
    <xf numFmtId="0" fontId="13" fillId="0" borderId="11" applyNumberFormat="0" applyFill="0" applyAlignment="0" applyProtection="0"/>
    <xf numFmtId="0" fontId="13" fillId="0" borderId="11" applyNumberFormat="0" applyFill="0" applyAlignment="0" applyProtection="0"/>
    <xf numFmtId="0" fontId="13" fillId="0" borderId="11" applyNumberFormat="0" applyFill="0" applyAlignment="0" applyProtection="0"/>
    <xf numFmtId="0" fontId="13" fillId="0" borderId="11" applyNumberFormat="0" applyFill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/>
    <xf numFmtId="168" fontId="9" fillId="0" borderId="12" applyBorder="0">
      <alignment horizontal="center" vertical="center"/>
      <protection locked="0"/>
    </xf>
    <xf numFmtId="0" fontId="11" fillId="6" borderId="13" applyNumberFormat="0" applyAlignment="0" applyProtection="0"/>
    <xf numFmtId="168" fontId="9" fillId="0" borderId="12" applyBorder="0">
      <alignment horizontal="center" vertical="center"/>
      <protection locked="0"/>
    </xf>
    <xf numFmtId="168" fontId="9" fillId="0" borderId="12" applyBorder="0">
      <alignment horizontal="center" vertical="center"/>
      <protection locked="0"/>
    </xf>
    <xf numFmtId="168" fontId="9" fillId="0" borderId="12" applyBorder="0">
      <alignment horizontal="center" vertical="center"/>
      <protection locked="0"/>
    </xf>
    <xf numFmtId="168" fontId="9" fillId="0" borderId="12" applyBorder="0">
      <alignment horizontal="center" vertical="center"/>
      <protection locked="0"/>
    </xf>
    <xf numFmtId="0" fontId="11" fillId="6" borderId="13" applyNumberFormat="0" applyAlignment="0" applyProtection="0"/>
    <xf numFmtId="0" fontId="10" fillId="4" borderId="13" applyNumberFormat="0" applyAlignment="0" applyProtection="0"/>
    <xf numFmtId="0" fontId="10" fillId="4" borderId="13" applyNumberFormat="0" applyAlignment="0" applyProtection="0"/>
    <xf numFmtId="0" fontId="8" fillId="5" borderId="14" applyNumberFormat="0" applyFont="0" applyAlignment="0" applyProtection="0"/>
    <xf numFmtId="0" fontId="8" fillId="5" borderId="14" applyNumberFormat="0" applyFont="0" applyAlignment="0" applyProtection="0"/>
    <xf numFmtId="0" fontId="8" fillId="5" borderId="14" applyNumberFormat="0" applyFont="0" applyAlignment="0" applyProtection="0"/>
    <xf numFmtId="0" fontId="8" fillId="5" borderId="14" applyNumberFormat="0" applyFont="0" applyAlignment="0" applyProtection="0"/>
    <xf numFmtId="0" fontId="8" fillId="5" borderId="14" applyNumberFormat="0" applyFont="0" applyAlignment="0" applyProtection="0"/>
    <xf numFmtId="0" fontId="11" fillId="6" borderId="13" applyNumberFormat="0" applyAlignment="0" applyProtection="0"/>
    <xf numFmtId="0" fontId="11" fillId="6" borderId="13" applyNumberFormat="0" applyAlignment="0" applyProtection="0"/>
    <xf numFmtId="0" fontId="11" fillId="6" borderId="13" applyNumberFormat="0" applyAlignment="0" applyProtection="0"/>
    <xf numFmtId="0" fontId="11" fillId="6" borderId="13" applyNumberFormat="0" applyAlignment="0" applyProtection="0"/>
    <xf numFmtId="0" fontId="11" fillId="6" borderId="13" applyNumberFormat="0" applyAlignment="0" applyProtection="0"/>
    <xf numFmtId="0" fontId="11" fillId="6" borderId="13" applyNumberFormat="0" applyAlignment="0" applyProtection="0"/>
    <xf numFmtId="0" fontId="11" fillId="6" borderId="13" applyNumberFormat="0" applyAlignment="0" applyProtection="0"/>
    <xf numFmtId="168" fontId="9" fillId="0" borderId="12" applyBorder="0">
      <alignment horizontal="center" vertical="center"/>
      <protection locked="0"/>
    </xf>
    <xf numFmtId="168" fontId="9" fillId="0" borderId="12" applyBorder="0">
      <alignment horizontal="center" vertical="center"/>
      <protection locked="0"/>
    </xf>
    <xf numFmtId="168" fontId="9" fillId="0" borderId="12" applyBorder="0">
      <alignment horizontal="center" vertical="center"/>
      <protection locked="0"/>
    </xf>
    <xf numFmtId="0" fontId="12" fillId="4" borderId="15" applyNumberFormat="0" applyAlignment="0" applyProtection="0"/>
    <xf numFmtId="0" fontId="12" fillId="4" borderId="15" applyNumberFormat="0" applyAlignment="0" applyProtection="0"/>
    <xf numFmtId="0" fontId="12" fillId="4" borderId="15" applyNumberFormat="0" applyAlignment="0" applyProtection="0"/>
    <xf numFmtId="0" fontId="12" fillId="4" borderId="15" applyNumberFormat="0" applyAlignment="0" applyProtection="0"/>
    <xf numFmtId="0" fontId="12" fillId="4" borderId="15" applyNumberFormat="0" applyAlignment="0" applyProtection="0"/>
    <xf numFmtId="0" fontId="13" fillId="0" borderId="16" applyNumberFormat="0" applyFill="0" applyAlignment="0" applyProtection="0"/>
    <xf numFmtId="0" fontId="10" fillId="4" borderId="13" applyNumberFormat="0" applyAlignment="0" applyProtection="0"/>
    <xf numFmtId="0" fontId="10" fillId="4" borderId="13" applyNumberFormat="0" applyAlignment="0" applyProtection="0"/>
    <xf numFmtId="0" fontId="10" fillId="4" borderId="13" applyNumberFormat="0" applyAlignment="0" applyProtection="0"/>
    <xf numFmtId="0" fontId="10" fillId="4" borderId="13" applyNumberFormat="0" applyAlignment="0" applyProtection="0"/>
    <xf numFmtId="0" fontId="10" fillId="4" borderId="13" applyNumberFormat="0" applyAlignment="0" applyProtection="0"/>
    <xf numFmtId="0" fontId="10" fillId="4" borderId="13" applyNumberFormat="0" applyAlignment="0" applyProtection="0"/>
    <xf numFmtId="0" fontId="12" fillId="4" borderId="15" applyNumberFormat="0" applyAlignment="0" applyProtection="0"/>
    <xf numFmtId="0" fontId="13" fillId="0" borderId="16" applyNumberFormat="0" applyFill="0" applyAlignment="0" applyProtection="0"/>
    <xf numFmtId="0" fontId="10" fillId="4" borderId="13" applyNumberFormat="0" applyAlignment="0" applyProtection="0"/>
    <xf numFmtId="0" fontId="13" fillId="0" borderId="16" applyNumberFormat="0" applyFill="0" applyAlignment="0" applyProtection="0"/>
    <xf numFmtId="0" fontId="13" fillId="0" borderId="16" applyNumberFormat="0" applyFill="0" applyAlignment="0" applyProtection="0"/>
    <xf numFmtId="0" fontId="13" fillId="0" borderId="16" applyNumberFormat="0" applyFill="0" applyAlignment="0" applyProtection="0"/>
    <xf numFmtId="0" fontId="13" fillId="0" borderId="16" applyNumberFormat="0" applyFill="0" applyAlignment="0" applyProtection="0"/>
    <xf numFmtId="0" fontId="10" fillId="4" borderId="18" applyNumberFormat="0" applyAlignment="0" applyProtection="0"/>
    <xf numFmtId="0" fontId="10" fillId="4" borderId="18" applyNumberFormat="0" applyAlignment="0" applyProtection="0"/>
    <xf numFmtId="0" fontId="10" fillId="4" borderId="18" applyNumberFormat="0" applyAlignment="0" applyProtection="0"/>
    <xf numFmtId="0" fontId="10" fillId="4" borderId="18" applyNumberFormat="0" applyAlignment="0" applyProtection="0"/>
    <xf numFmtId="0" fontId="10" fillId="4" borderId="18" applyNumberFormat="0" applyAlignment="0" applyProtection="0"/>
    <xf numFmtId="0" fontId="10" fillId="4" borderId="18" applyNumberFormat="0" applyAlignment="0" applyProtection="0"/>
    <xf numFmtId="0" fontId="10" fillId="4" borderId="18" applyNumberFormat="0" applyAlignment="0" applyProtection="0"/>
    <xf numFmtId="0" fontId="10" fillId="4" borderId="18" applyNumberFormat="0" applyAlignment="0" applyProtection="0"/>
    <xf numFmtId="0" fontId="10" fillId="4" borderId="18" applyNumberFormat="0" applyAlignment="0" applyProtection="0"/>
    <xf numFmtId="0" fontId="8" fillId="5" borderId="19" applyNumberFormat="0" applyFont="0" applyAlignment="0" applyProtection="0"/>
    <xf numFmtId="0" fontId="8" fillId="5" borderId="19" applyNumberFormat="0" applyFont="0" applyAlignment="0" applyProtection="0"/>
    <xf numFmtId="0" fontId="8" fillId="5" borderId="19" applyNumberFormat="0" applyFont="0" applyAlignment="0" applyProtection="0"/>
    <xf numFmtId="0" fontId="8" fillId="5" borderId="19" applyNumberFormat="0" applyFont="0" applyAlignment="0" applyProtection="0"/>
    <xf numFmtId="0" fontId="8" fillId="5" borderId="19" applyNumberFormat="0" applyFont="0" applyAlignment="0" applyProtection="0"/>
    <xf numFmtId="0" fontId="11" fillId="6" borderId="18" applyNumberFormat="0" applyAlignment="0" applyProtection="0"/>
    <xf numFmtId="0" fontId="11" fillId="6" borderId="18" applyNumberFormat="0" applyAlignment="0" applyProtection="0"/>
    <xf numFmtId="0" fontId="11" fillId="6" borderId="18" applyNumberFormat="0" applyAlignment="0" applyProtection="0"/>
    <xf numFmtId="0" fontId="11" fillId="6" borderId="18" applyNumberFormat="0" applyAlignment="0" applyProtection="0"/>
    <xf numFmtId="0" fontId="11" fillId="6" borderId="18" applyNumberFormat="0" applyAlignment="0" applyProtection="0"/>
    <xf numFmtId="0" fontId="11" fillId="6" borderId="18" applyNumberFormat="0" applyAlignment="0" applyProtection="0"/>
    <xf numFmtId="0" fontId="11" fillId="6" borderId="18" applyNumberFormat="0" applyAlignment="0" applyProtection="0"/>
    <xf numFmtId="0" fontId="11" fillId="6" borderId="18" applyNumberFormat="0" applyAlignment="0" applyProtection="0"/>
    <xf numFmtId="0" fontId="11" fillId="6" borderId="18" applyNumberFormat="0" applyAlignment="0" applyProtection="0"/>
    <xf numFmtId="168" fontId="9" fillId="0" borderId="17" applyBorder="0">
      <alignment horizontal="center" vertical="center"/>
      <protection locked="0"/>
    </xf>
    <xf numFmtId="168" fontId="9" fillId="0" borderId="17" applyBorder="0">
      <alignment horizontal="center" vertical="center"/>
      <protection locked="0"/>
    </xf>
    <xf numFmtId="168" fontId="9" fillId="0" borderId="17" applyBorder="0">
      <alignment horizontal="center" vertical="center"/>
      <protection locked="0"/>
    </xf>
    <xf numFmtId="168" fontId="9" fillId="0" borderId="17" applyBorder="0">
      <alignment horizontal="center" vertical="center"/>
      <protection locked="0"/>
    </xf>
    <xf numFmtId="168" fontId="9" fillId="0" borderId="17" applyBorder="0">
      <alignment horizontal="center" vertical="center"/>
      <protection locked="0"/>
    </xf>
    <xf numFmtId="168" fontId="9" fillId="0" borderId="17" applyBorder="0">
      <alignment horizontal="center" vertical="center"/>
      <protection locked="0"/>
    </xf>
    <xf numFmtId="168" fontId="9" fillId="0" borderId="17" applyBorder="0">
      <alignment horizontal="center" vertical="center"/>
      <protection locked="0"/>
    </xf>
    <xf numFmtId="168" fontId="9" fillId="0" borderId="17" applyBorder="0">
      <alignment horizontal="center" vertical="center"/>
      <protection locked="0"/>
    </xf>
    <xf numFmtId="0" fontId="12" fillId="4" borderId="20" applyNumberFormat="0" applyAlignment="0" applyProtection="0"/>
    <xf numFmtId="0" fontId="12" fillId="4" borderId="20" applyNumberFormat="0" applyAlignment="0" applyProtection="0"/>
    <xf numFmtId="0" fontId="12" fillId="4" borderId="20" applyNumberFormat="0" applyAlignment="0" applyProtection="0"/>
    <xf numFmtId="0" fontId="12" fillId="4" borderId="20" applyNumberFormat="0" applyAlignment="0" applyProtection="0"/>
    <xf numFmtId="0" fontId="12" fillId="4" borderId="20" applyNumberFormat="0" applyAlignment="0" applyProtection="0"/>
    <xf numFmtId="0" fontId="12" fillId="4" borderId="20" applyNumberFormat="0" applyAlignment="0" applyProtection="0"/>
    <xf numFmtId="0" fontId="13" fillId="0" borderId="21" applyNumberFormat="0" applyFill="0" applyAlignment="0" applyProtection="0"/>
    <xf numFmtId="0" fontId="13" fillId="0" borderId="21" applyNumberFormat="0" applyFill="0" applyAlignment="0" applyProtection="0"/>
    <xf numFmtId="0" fontId="13" fillId="0" borderId="21" applyNumberFormat="0" applyFill="0" applyAlignment="0" applyProtection="0"/>
    <xf numFmtId="0" fontId="13" fillId="0" borderId="21" applyNumberFormat="0" applyFill="0" applyAlignment="0" applyProtection="0"/>
    <xf numFmtId="0" fontId="13" fillId="0" borderId="21" applyNumberFormat="0" applyFill="0" applyAlignment="0" applyProtection="0"/>
    <xf numFmtId="0" fontId="13" fillId="0" borderId="21" applyNumberFormat="0" applyFill="0" applyAlignment="0" applyProtection="0"/>
    <xf numFmtId="0" fontId="2" fillId="0" borderId="0"/>
    <xf numFmtId="0" fontId="8" fillId="0" borderId="0"/>
    <xf numFmtId="0" fontId="8" fillId="0" borderId="0"/>
    <xf numFmtId="44" fontId="1" fillId="0" borderId="0" applyFont="0" applyFill="0" applyBorder="0" applyAlignment="0" applyProtection="0"/>
    <xf numFmtId="0" fontId="27" fillId="0" borderId="0"/>
    <xf numFmtId="44" fontId="8" fillId="0" borderId="0" applyFont="0" applyFill="0" applyBorder="0" applyAlignment="0" applyProtection="0"/>
    <xf numFmtId="0" fontId="8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5" fillId="28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5" fillId="29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5" fillId="3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5" fillId="31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5" fillId="32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5" fillId="6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5" fillId="33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5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5" fillId="35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5" fillId="3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5" fillId="33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5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38" fillId="37" borderId="0" applyNumberFormat="0" applyBorder="0" applyAlignment="0" applyProtection="0"/>
    <xf numFmtId="0" fontId="38" fillId="34" borderId="0" applyNumberFormat="0" applyBorder="0" applyAlignment="0" applyProtection="0"/>
    <xf numFmtId="0" fontId="38" fillId="35" borderId="0" applyNumberFormat="0" applyBorder="0" applyAlignment="0" applyProtection="0"/>
    <xf numFmtId="0" fontId="38" fillId="38" borderId="0" applyNumberFormat="0" applyBorder="0" applyAlignment="0" applyProtection="0"/>
    <xf numFmtId="0" fontId="38" fillId="39" borderId="0" applyNumberFormat="0" applyBorder="0" applyAlignment="0" applyProtection="0"/>
    <xf numFmtId="0" fontId="38" fillId="40" borderId="0" applyNumberFormat="0" applyBorder="0" applyAlignment="0" applyProtection="0"/>
    <xf numFmtId="0" fontId="38" fillId="41" borderId="0" applyNumberFormat="0" applyBorder="0" applyAlignment="0" applyProtection="0"/>
    <xf numFmtId="0" fontId="38" fillId="42" borderId="0" applyNumberFormat="0" applyBorder="0" applyAlignment="0" applyProtection="0"/>
    <xf numFmtId="0" fontId="38" fillId="43" borderId="0" applyNumberFormat="0" applyBorder="0" applyAlignment="0" applyProtection="0"/>
    <xf numFmtId="0" fontId="38" fillId="38" borderId="0" applyNumberFormat="0" applyBorder="0" applyAlignment="0" applyProtection="0"/>
    <xf numFmtId="0" fontId="38" fillId="39" borderId="0" applyNumberFormat="0" applyBorder="0" applyAlignment="0" applyProtection="0"/>
    <xf numFmtId="0" fontId="38" fillId="44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0" fillId="4" borderId="27" applyNumberFormat="0" applyAlignment="0" applyProtection="0"/>
    <xf numFmtId="0" fontId="41" fillId="0" borderId="28" applyNumberFormat="0" applyFill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1" fillId="10" borderId="24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8" fillId="5" borderId="29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5" fillId="10" borderId="24" applyNumberFormat="0" applyFont="0" applyAlignment="0" applyProtection="0"/>
    <xf numFmtId="0" fontId="5" fillId="10" borderId="24" applyNumberFormat="0" applyFont="0" applyAlignment="0" applyProtection="0"/>
    <xf numFmtId="0" fontId="1" fillId="10" borderId="24" applyNumberFormat="0" applyFon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42" fillId="6" borderId="27" applyNumberFormat="0" applyAlignment="0" applyProtection="0"/>
    <xf numFmtId="0" fontId="3" fillId="0" borderId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3" fillId="29" borderId="0" applyNumberFormat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4" fillId="45" borderId="0" applyNumberFormat="0" applyBorder="0" applyAlignment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1" fillId="0" borderId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Fill="0" applyProtection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Fill="0" applyProtection="0"/>
    <xf numFmtId="0" fontId="45" fillId="0" borderId="0" applyFill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1" fillId="0" borderId="0"/>
    <xf numFmtId="0" fontId="1" fillId="0" borderId="0"/>
    <xf numFmtId="0" fontId="45" fillId="0" borderId="0" applyFill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Fill="0" applyProtection="0"/>
    <xf numFmtId="0" fontId="8" fillId="0" borderId="0"/>
    <xf numFmtId="0" fontId="8" fillId="0" borderId="0"/>
    <xf numFmtId="0" fontId="1" fillId="0" borderId="0"/>
    <xf numFmtId="0" fontId="1" fillId="0" borderId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6" fillId="0" borderId="0"/>
    <xf numFmtId="0" fontId="1" fillId="0" borderId="0"/>
    <xf numFmtId="0" fontId="33" fillId="0" borderId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8" fillId="0" borderId="0"/>
    <xf numFmtId="0" fontId="1" fillId="0" borderId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0" fontId="45" fillId="0" borderId="0" applyFill="0" applyProtection="0"/>
    <xf numFmtId="9" fontId="8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8" fillId="30" borderId="0" applyNumberFormat="0" applyBorder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49" fillId="4" borderId="30" applyNumberFormat="0" applyAlignment="0" applyProtection="0"/>
    <xf numFmtId="0" fontId="3" fillId="0" borderId="0" applyFill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54" fillId="0" borderId="31" applyNumberFormat="0" applyFill="0" applyAlignment="0" applyProtection="0"/>
    <xf numFmtId="0" fontId="55" fillId="0" borderId="32" applyNumberFormat="0" applyFill="0" applyAlignment="0" applyProtection="0"/>
    <xf numFmtId="0" fontId="56" fillId="0" borderId="33" applyNumberFormat="0" applyFill="0" applyAlignment="0" applyProtection="0"/>
    <xf numFmtId="0" fontId="56" fillId="0" borderId="0" applyNumberFormat="0" applyFill="0" applyBorder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7" fillId="0" borderId="34" applyNumberFormat="0" applyFill="0" applyAlignment="0" applyProtection="0"/>
    <xf numFmtId="0" fontId="58" fillId="46" borderId="35" applyNumberFormat="0" applyAlignment="0" applyProtection="0"/>
    <xf numFmtId="0" fontId="17" fillId="0" borderId="0" applyNumberFormat="0" applyFill="0" applyBorder="0" applyAlignment="0" applyProtection="0"/>
    <xf numFmtId="0" fontId="59" fillId="0" borderId="0"/>
    <xf numFmtId="0" fontId="74" fillId="0" borderId="0"/>
    <xf numFmtId="44" fontId="74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79" fillId="0" borderId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45" fillId="30" borderId="0" applyNumberFormat="0" applyBorder="0" applyAlignment="0" applyProtection="0"/>
    <xf numFmtId="0" fontId="45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6" borderId="0" applyNumberFormat="0" applyBorder="0" applyAlignment="0" applyProtection="0"/>
    <xf numFmtId="0" fontId="45" fillId="33" borderId="0" applyNumberFormat="0" applyBorder="0" applyAlignment="0" applyProtection="0"/>
    <xf numFmtId="0" fontId="45" fillId="34" borderId="0" applyNumberFormat="0" applyBorder="0" applyAlignment="0" applyProtection="0"/>
    <xf numFmtId="0" fontId="45" fillId="35" borderId="0" applyNumberFormat="0" applyBorder="0" applyAlignment="0" applyProtection="0"/>
    <xf numFmtId="0" fontId="45" fillId="31" borderId="0" applyNumberFormat="0" applyBorder="0" applyAlignment="0" applyProtection="0"/>
    <xf numFmtId="0" fontId="45" fillId="33" borderId="0" applyNumberFormat="0" applyBorder="0" applyAlignment="0" applyProtection="0"/>
    <xf numFmtId="0" fontId="45" fillId="36" borderId="0" applyNumberFormat="0" applyBorder="0" applyAlignment="0" applyProtection="0"/>
    <xf numFmtId="0" fontId="81" fillId="37" borderId="0" applyNumberFormat="0" applyBorder="0" applyAlignment="0" applyProtection="0"/>
    <xf numFmtId="0" fontId="81" fillId="34" borderId="0" applyNumberFormat="0" applyBorder="0" applyAlignment="0" applyProtection="0"/>
    <xf numFmtId="0" fontId="81" fillId="35" borderId="0" applyNumberFormat="0" applyBorder="0" applyAlignment="0" applyProtection="0"/>
    <xf numFmtId="0" fontId="81" fillId="38" borderId="0" applyNumberFormat="0" applyBorder="0" applyAlignment="0" applyProtection="0"/>
    <xf numFmtId="0" fontId="81" fillId="39" borderId="0" applyNumberFormat="0" applyBorder="0" applyAlignment="0" applyProtection="0"/>
    <xf numFmtId="0" fontId="81" fillId="40" borderId="0" applyNumberFormat="0" applyBorder="0" applyAlignment="0" applyProtection="0"/>
    <xf numFmtId="0" fontId="81" fillId="41" borderId="0" applyNumberFormat="0" applyBorder="0" applyAlignment="0" applyProtection="0"/>
    <xf numFmtId="0" fontId="81" fillId="42" borderId="0" applyNumberFormat="0" applyBorder="0" applyAlignment="0" applyProtection="0"/>
    <xf numFmtId="0" fontId="81" fillId="43" borderId="0" applyNumberFormat="0" applyBorder="0" applyAlignment="0" applyProtection="0"/>
    <xf numFmtId="0" fontId="81" fillId="38" borderId="0" applyNumberFormat="0" applyBorder="0" applyAlignment="0" applyProtection="0"/>
    <xf numFmtId="0" fontId="81" fillId="39" borderId="0" applyNumberFormat="0" applyBorder="0" applyAlignment="0" applyProtection="0"/>
    <xf numFmtId="0" fontId="81" fillId="44" borderId="0" applyNumberFormat="0" applyBorder="0" applyAlignment="0" applyProtection="0"/>
    <xf numFmtId="0" fontId="82" fillId="0" borderId="0" applyNumberFormat="0" applyFill="0" applyBorder="0" applyAlignment="0" applyProtection="0"/>
    <xf numFmtId="0" fontId="10" fillId="4" borderId="44" applyNumberFormat="0" applyAlignment="0" applyProtection="0"/>
    <xf numFmtId="0" fontId="83" fillId="0" borderId="28" applyNumberFormat="0" applyFill="0" applyAlignment="0" applyProtection="0"/>
    <xf numFmtId="0" fontId="8" fillId="5" borderId="45" applyNumberFormat="0" applyFont="0" applyAlignment="0" applyProtection="0"/>
    <xf numFmtId="0" fontId="11" fillId="6" borderId="44" applyNumberFormat="0" applyAlignment="0" applyProtection="0"/>
    <xf numFmtId="44" fontId="8" fillId="0" borderId="0" applyFont="0" applyFill="0" applyBorder="0" applyAlignment="0" applyProtection="0"/>
    <xf numFmtId="0" fontId="84" fillId="29" borderId="0" applyNumberFormat="0" applyBorder="0" applyAlignment="0" applyProtection="0"/>
    <xf numFmtId="0" fontId="85" fillId="45" borderId="0" applyNumberFormat="0" applyBorder="0" applyAlignment="0" applyProtection="0"/>
    <xf numFmtId="0" fontId="86" fillId="30" borderId="0" applyNumberFormat="0" applyBorder="0" applyAlignment="0" applyProtection="0"/>
    <xf numFmtId="0" fontId="12" fillId="4" borderId="46" applyNumberFormat="0" applyAlignment="0" applyProtection="0"/>
    <xf numFmtId="0" fontId="87" fillId="0" borderId="0" applyNumberFormat="0" applyFill="0" applyBorder="0" applyAlignment="0" applyProtection="0"/>
    <xf numFmtId="0" fontId="88" fillId="0" borderId="31" applyNumberFormat="0" applyFill="0" applyAlignment="0" applyProtection="0"/>
    <xf numFmtId="0" fontId="89" fillId="0" borderId="32" applyNumberFormat="0" applyFill="0" applyAlignment="0" applyProtection="0"/>
    <xf numFmtId="0" fontId="90" fillId="0" borderId="33" applyNumberFormat="0" applyFill="0" applyAlignment="0" applyProtection="0"/>
    <xf numFmtId="0" fontId="90" fillId="0" borderId="0" applyNumberFormat="0" applyFill="0" applyBorder="0" applyAlignment="0" applyProtection="0"/>
    <xf numFmtId="0" fontId="13" fillId="0" borderId="47" applyNumberFormat="0" applyFill="0" applyAlignment="0" applyProtection="0"/>
    <xf numFmtId="0" fontId="80" fillId="46" borderId="35" applyNumberFormat="0" applyAlignment="0" applyProtection="0"/>
    <xf numFmtId="168" fontId="9" fillId="0" borderId="48" applyBorder="0">
      <alignment horizontal="center" vertical="center"/>
      <protection locked="0"/>
    </xf>
    <xf numFmtId="43" fontId="8" fillId="0" borderId="0" applyFont="0" applyFill="0" applyBorder="0" applyAlignment="0" applyProtection="0"/>
    <xf numFmtId="0" fontId="13" fillId="0" borderId="47" applyNumberFormat="0" applyFill="0" applyAlignment="0" applyProtection="0"/>
    <xf numFmtId="0" fontId="12" fillId="4" borderId="46" applyNumberFormat="0" applyAlignment="0" applyProtection="0"/>
    <xf numFmtId="0" fontId="11" fillId="6" borderId="44" applyNumberFormat="0" applyAlignment="0" applyProtection="0"/>
    <xf numFmtId="0" fontId="8" fillId="5" borderId="45" applyNumberFormat="0" applyFont="0" applyAlignment="0" applyProtection="0"/>
    <xf numFmtId="0" fontId="10" fillId="4" borderId="44" applyNumberFormat="0" applyAlignment="0" applyProtection="0"/>
    <xf numFmtId="0" fontId="10" fillId="4" borderId="44" applyNumberFormat="0" applyAlignment="0" applyProtection="0"/>
    <xf numFmtId="0" fontId="11" fillId="6" borderId="44" applyNumberFormat="0" applyAlignment="0" applyProtection="0"/>
    <xf numFmtId="168" fontId="9" fillId="0" borderId="39" applyBorder="0">
      <alignment horizontal="center" vertical="center"/>
      <protection locked="0"/>
    </xf>
    <xf numFmtId="0" fontId="12" fillId="4" borderId="46" applyNumberFormat="0" applyAlignment="0" applyProtection="0"/>
    <xf numFmtId="0" fontId="10" fillId="4" borderId="44" applyNumberFormat="0" applyAlignment="0" applyProtection="0"/>
    <xf numFmtId="0" fontId="8" fillId="5" borderId="45" applyNumberFormat="0" applyFont="0" applyAlignment="0" applyProtection="0"/>
    <xf numFmtId="0" fontId="11" fillId="6" borderId="44" applyNumberFormat="0" applyAlignment="0" applyProtection="0"/>
    <xf numFmtId="0" fontId="12" fillId="4" borderId="46" applyNumberFormat="0" applyAlignment="0" applyProtection="0"/>
    <xf numFmtId="0" fontId="13" fillId="0" borderId="47" applyNumberFormat="0" applyFill="0" applyAlignment="0" applyProtection="0"/>
    <xf numFmtId="168" fontId="9" fillId="0" borderId="48" applyBorder="0">
      <alignment horizontal="center" vertical="center"/>
      <protection locked="0"/>
    </xf>
    <xf numFmtId="0" fontId="13" fillId="0" borderId="47" applyNumberFormat="0" applyFill="0" applyAlignment="0" applyProtection="0"/>
    <xf numFmtId="0" fontId="12" fillId="4" borderId="46" applyNumberFormat="0" applyAlignment="0" applyProtection="0"/>
    <xf numFmtId="0" fontId="11" fillId="6" borderId="44" applyNumberFormat="0" applyAlignment="0" applyProtection="0"/>
    <xf numFmtId="0" fontId="8" fillId="5" borderId="45" applyNumberFormat="0" applyFont="0" applyAlignment="0" applyProtection="0"/>
    <xf numFmtId="0" fontId="10" fillId="4" borderId="44" applyNumberFormat="0" applyAlignment="0" applyProtection="0"/>
    <xf numFmtId="0" fontId="10" fillId="4" borderId="44" applyNumberFormat="0" applyAlignment="0" applyProtection="0"/>
    <xf numFmtId="0" fontId="11" fillId="6" borderId="44" applyNumberFormat="0" applyAlignment="0" applyProtection="0"/>
    <xf numFmtId="168" fontId="9" fillId="0" borderId="39" applyBorder="0">
      <alignment horizontal="center" vertical="center"/>
      <protection locked="0"/>
    </xf>
    <xf numFmtId="0" fontId="13" fillId="0" borderId="47" applyNumberFormat="0" applyFill="0" applyAlignment="0" applyProtection="0"/>
    <xf numFmtId="168" fontId="9" fillId="0" borderId="48" applyBorder="0">
      <alignment horizontal="center" vertical="center"/>
      <protection locked="0"/>
    </xf>
    <xf numFmtId="0" fontId="13" fillId="0" borderId="47" applyNumberFormat="0" applyFill="0" applyAlignment="0" applyProtection="0"/>
    <xf numFmtId="0" fontId="12" fillId="4" borderId="46" applyNumberFormat="0" applyAlignment="0" applyProtection="0"/>
    <xf numFmtId="0" fontId="11" fillId="6" borderId="44" applyNumberFormat="0" applyAlignment="0" applyProtection="0"/>
    <xf numFmtId="0" fontId="8" fillId="5" borderId="45" applyNumberFormat="0" applyFont="0" applyAlignment="0" applyProtection="0"/>
    <xf numFmtId="0" fontId="10" fillId="4" borderId="44" applyNumberFormat="0" applyAlignment="0" applyProtection="0"/>
    <xf numFmtId="0" fontId="10" fillId="4" borderId="44" applyNumberFormat="0" applyAlignment="0" applyProtection="0"/>
    <xf numFmtId="0" fontId="11" fillId="6" borderId="44" applyNumberFormat="0" applyAlignment="0" applyProtection="0"/>
    <xf numFmtId="168" fontId="9" fillId="0" borderId="48" applyBorder="0">
      <alignment horizontal="center" vertical="center"/>
      <protection locked="0"/>
    </xf>
    <xf numFmtId="168" fontId="9" fillId="0" borderId="39" applyBorder="0">
      <alignment horizontal="center" vertical="center"/>
      <protection locked="0"/>
    </xf>
    <xf numFmtId="0" fontId="13" fillId="0" borderId="47" applyNumberFormat="0" applyFill="0" applyAlignment="0" applyProtection="0"/>
    <xf numFmtId="0" fontId="12" fillId="4" borderId="46" applyNumberFormat="0" applyAlignment="0" applyProtection="0"/>
    <xf numFmtId="0" fontId="11" fillId="6" borderId="44" applyNumberFormat="0" applyAlignment="0" applyProtection="0"/>
    <xf numFmtId="0" fontId="8" fillId="5" borderId="45" applyNumberFormat="0" applyFont="0" applyAlignment="0" applyProtection="0"/>
    <xf numFmtId="0" fontId="10" fillId="4" borderId="44" applyNumberFormat="0" applyAlignment="0" applyProtection="0"/>
    <xf numFmtId="0" fontId="10" fillId="4" borderId="44" applyNumberFormat="0" applyAlignment="0" applyProtection="0"/>
    <xf numFmtId="0" fontId="11" fillId="6" borderId="44" applyNumberFormat="0" applyAlignment="0" applyProtection="0"/>
    <xf numFmtId="168" fontId="9" fillId="0" borderId="39" applyBorder="0">
      <alignment horizontal="center" vertical="center"/>
      <protection locked="0"/>
    </xf>
    <xf numFmtId="0" fontId="8" fillId="0" borderId="0"/>
    <xf numFmtId="0" fontId="8" fillId="0" borderId="0"/>
    <xf numFmtId="0" fontId="8" fillId="0" borderId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6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6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1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1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0" fontId="38" fillId="37" borderId="0" applyNumberFormat="0" applyBorder="0" applyAlignment="0" applyProtection="0"/>
    <xf numFmtId="0" fontId="38" fillId="34" borderId="0" applyNumberFormat="0" applyBorder="0" applyAlignment="0" applyProtection="0"/>
    <xf numFmtId="0" fontId="38" fillId="35" borderId="0" applyNumberFormat="0" applyBorder="0" applyAlignment="0" applyProtection="0"/>
    <xf numFmtId="0" fontId="38" fillId="38" borderId="0" applyNumberFormat="0" applyBorder="0" applyAlignment="0" applyProtection="0"/>
    <xf numFmtId="0" fontId="38" fillId="39" borderId="0" applyNumberFormat="0" applyBorder="0" applyAlignment="0" applyProtection="0"/>
    <xf numFmtId="0" fontId="38" fillId="40" borderId="0" applyNumberFormat="0" applyBorder="0" applyAlignment="0" applyProtection="0"/>
    <xf numFmtId="0" fontId="38" fillId="37" borderId="0" applyNumberFormat="0" applyBorder="0" applyAlignment="0" applyProtection="0"/>
    <xf numFmtId="0" fontId="38" fillId="34" borderId="0" applyNumberFormat="0" applyBorder="0" applyAlignment="0" applyProtection="0"/>
    <xf numFmtId="0" fontId="38" fillId="35" borderId="0" applyNumberFormat="0" applyBorder="0" applyAlignment="0" applyProtection="0"/>
    <xf numFmtId="0" fontId="38" fillId="38" borderId="0" applyNumberFormat="0" applyBorder="0" applyAlignment="0" applyProtection="0"/>
    <xf numFmtId="0" fontId="38" fillId="39" borderId="0" applyNumberFormat="0" applyBorder="0" applyAlignment="0" applyProtection="0"/>
    <xf numFmtId="0" fontId="38" fillId="40" borderId="0" applyNumberFormat="0" applyBorder="0" applyAlignment="0" applyProtection="0"/>
    <xf numFmtId="0" fontId="39" fillId="0" borderId="0" applyNumberFormat="0" applyFill="0" applyBorder="0" applyAlignment="0" applyProtection="0"/>
    <xf numFmtId="0" fontId="43" fillId="29" borderId="0" applyNumberFormat="0" applyBorder="0" applyAlignment="0" applyProtection="0"/>
    <xf numFmtId="0" fontId="40" fillId="4" borderId="44" applyNumberFormat="0" applyAlignment="0" applyProtection="0"/>
    <xf numFmtId="0" fontId="40" fillId="4" borderId="44" applyNumberFormat="0" applyAlignment="0" applyProtection="0"/>
    <xf numFmtId="0" fontId="40" fillId="4" borderId="44" applyNumberFormat="0" applyAlignment="0" applyProtection="0"/>
    <xf numFmtId="0" fontId="41" fillId="0" borderId="28" applyNumberFormat="0" applyFill="0" applyAlignment="0" applyProtection="0"/>
    <xf numFmtId="0" fontId="58" fillId="46" borderId="35" applyNumberFormat="0" applyAlignment="0" applyProtection="0"/>
    <xf numFmtId="0" fontId="8" fillId="5" borderId="45" applyNumberFormat="0" applyFont="0" applyAlignment="0" applyProtection="0"/>
    <xf numFmtId="0" fontId="42" fillId="6" borderId="44" applyNumberFormat="0" applyAlignment="0" applyProtection="0"/>
    <xf numFmtId="0" fontId="42" fillId="6" borderId="44" applyNumberFormat="0" applyAlignment="0" applyProtection="0"/>
    <xf numFmtId="44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8" fillId="30" borderId="0" applyNumberFormat="0" applyBorder="0" applyAlignment="0" applyProtection="0"/>
    <xf numFmtId="0" fontId="54" fillId="0" borderId="31" applyNumberFormat="0" applyFill="0" applyAlignment="0" applyProtection="0"/>
    <xf numFmtId="0" fontId="55" fillId="0" borderId="32" applyNumberFormat="0" applyFill="0" applyAlignment="0" applyProtection="0"/>
    <xf numFmtId="0" fontId="56" fillId="0" borderId="33" applyNumberFormat="0" applyFill="0" applyAlignment="0" applyProtection="0"/>
    <xf numFmtId="0" fontId="56" fillId="0" borderId="0" applyNumberFormat="0" applyFill="0" applyBorder="0" applyAlignment="0" applyProtection="0"/>
    <xf numFmtId="0" fontId="42" fillId="6" borderId="44" applyNumberFormat="0" applyAlignment="0" applyProtection="0"/>
    <xf numFmtId="0" fontId="43" fillId="29" borderId="0" applyNumberFormat="0" applyBorder="0" applyAlignment="0" applyProtection="0"/>
    <xf numFmtId="0" fontId="41" fillId="0" borderId="28" applyNumberFormat="0" applyFill="0" applyAlignment="0" applyProtection="0"/>
    <xf numFmtId="16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44" fillId="45" borderId="0" applyNumberFormat="0" applyBorder="0" applyAlignment="0" applyProtection="0"/>
    <xf numFmtId="0" fontId="44" fillId="45" borderId="0" applyNumberFormat="0" applyBorder="0" applyAlignment="0" applyProtection="0"/>
    <xf numFmtId="0" fontId="2" fillId="0" borderId="0"/>
    <xf numFmtId="0" fontId="8" fillId="5" borderId="45" applyNumberFormat="0" applyFont="0" applyAlignment="0" applyProtection="0"/>
    <xf numFmtId="0" fontId="49" fillId="4" borderId="46" applyNumberFormat="0" applyAlignment="0" applyProtection="0"/>
    <xf numFmtId="0" fontId="48" fillId="30" borderId="0" applyNumberFormat="0" applyBorder="0" applyAlignment="0" applyProtection="0"/>
    <xf numFmtId="0" fontId="49" fillId="4" borderId="46" applyNumberFormat="0" applyAlignment="0" applyProtection="0"/>
    <xf numFmtId="0" fontId="49" fillId="4" borderId="46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4" fillId="0" borderId="31" applyNumberFormat="0" applyFill="0" applyAlignment="0" applyProtection="0"/>
    <xf numFmtId="0" fontId="55" fillId="0" borderId="32" applyNumberFormat="0" applyFill="0" applyAlignment="0" applyProtection="0"/>
    <xf numFmtId="0" fontId="56" fillId="0" borderId="33" applyNumberFormat="0" applyFill="0" applyAlignment="0" applyProtection="0"/>
    <xf numFmtId="0" fontId="56" fillId="0" borderId="0" applyNumberFormat="0" applyFill="0" applyBorder="0" applyAlignment="0" applyProtection="0"/>
    <xf numFmtId="0" fontId="57" fillId="0" borderId="47" applyNumberFormat="0" applyFill="0" applyAlignment="0" applyProtection="0"/>
    <xf numFmtId="0" fontId="58" fillId="46" borderId="35" applyNumberFormat="0" applyAlignment="0" applyProtection="0"/>
    <xf numFmtId="0" fontId="39" fillId="0" borderId="0" applyNumberFormat="0" applyFill="0" applyBorder="0" applyAlignment="0" applyProtection="0"/>
    <xf numFmtId="0" fontId="8" fillId="0" borderId="0"/>
    <xf numFmtId="0" fontId="46" fillId="0" borderId="0"/>
    <xf numFmtId="0" fontId="17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5" fillId="28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2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6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5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3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0" fontId="5" fillId="36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1" borderId="0" applyNumberFormat="0" applyBorder="0" applyAlignment="0" applyProtection="0"/>
    <xf numFmtId="0" fontId="5" fillId="33" borderId="0" applyNumberFormat="0" applyBorder="0" applyAlignment="0" applyProtection="0"/>
    <xf numFmtId="0" fontId="5" fillId="36" borderId="0" applyNumberFormat="0" applyBorder="0" applyAlignment="0" applyProtection="0"/>
    <xf numFmtId="165" fontId="8" fillId="0" borderId="0"/>
    <xf numFmtId="165" fontId="8" fillId="0" borderId="0"/>
    <xf numFmtId="0" fontId="8" fillId="5" borderId="45" applyNumberFormat="0" applyFont="0" applyAlignment="0" applyProtection="0"/>
    <xf numFmtId="0" fontId="8" fillId="5" borderId="45" applyNumberFormat="0" applyFont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5" fontId="8" fillId="0" borderId="0"/>
    <xf numFmtId="0" fontId="8" fillId="0" borderId="0"/>
    <xf numFmtId="165" fontId="8" fillId="0" borderId="0"/>
    <xf numFmtId="0" fontId="8" fillId="5" borderId="45" applyNumberFormat="0" applyFont="0" applyAlignment="0" applyProtection="0"/>
    <xf numFmtId="165" fontId="8" fillId="0" borderId="0"/>
    <xf numFmtId="165" fontId="8" fillId="0" borderId="0"/>
    <xf numFmtId="0" fontId="4" fillId="0" borderId="0">
      <alignment vertical="center" wrapText="1"/>
    </xf>
    <xf numFmtId="0" fontId="8" fillId="0" borderId="0">
      <alignment vertical="center"/>
    </xf>
    <xf numFmtId="0" fontId="4" fillId="0" borderId="0">
      <alignment vertical="center" wrapText="1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1" fillId="0" borderId="0"/>
    <xf numFmtId="0" fontId="1" fillId="0" borderId="0"/>
    <xf numFmtId="0" fontId="46" fillId="0" borderId="0"/>
    <xf numFmtId="44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</cellStyleXfs>
  <cellXfs count="1100">
    <xf numFmtId="0" fontId="0" fillId="0" borderId="0" xfId="0"/>
    <xf numFmtId="0" fontId="28" fillId="0" borderId="0" xfId="0" applyFont="1" applyAlignment="1">
      <alignment horizontal="center"/>
    </xf>
    <xf numFmtId="14" fontId="28" fillId="0" borderId="0" xfId="0" applyNumberFormat="1" applyFont="1" applyAlignment="1">
      <alignment horizontal="center" vertical="center"/>
    </xf>
    <xf numFmtId="173" fontId="28" fillId="7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28" fillId="0" borderId="0" xfId="0" applyFont="1"/>
    <xf numFmtId="0" fontId="28" fillId="0" borderId="0" xfId="0" applyFont="1" applyAlignment="1" applyProtection="1">
      <alignment horizontal="center" vertical="center"/>
      <protection locked="0"/>
    </xf>
    <xf numFmtId="172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center" vertical="center"/>
      <protection locked="0" hidden="1"/>
    </xf>
    <xf numFmtId="0" fontId="28" fillId="0" borderId="0" xfId="0" applyFont="1" applyAlignment="1" applyProtection="1">
      <alignment horizontal="center" vertical="center"/>
      <protection hidden="1"/>
    </xf>
    <xf numFmtId="14" fontId="28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right" vertical="center"/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23" fillId="2" borderId="0" xfId="0" applyFont="1" applyFill="1" applyAlignment="1" applyProtection="1">
      <alignment horizontal="center" vertical="center"/>
      <protection locked="0"/>
    </xf>
    <xf numFmtId="0" fontId="29" fillId="2" borderId="0" xfId="0" applyFont="1" applyFill="1" applyAlignment="1" applyProtection="1">
      <alignment horizontal="right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4" fontId="21" fillId="0" borderId="0" xfId="0" applyNumberFormat="1" applyFont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1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right" vertical="center"/>
    </xf>
    <xf numFmtId="14" fontId="29" fillId="0" borderId="0" xfId="0" applyNumberFormat="1" applyFont="1" applyAlignment="1">
      <alignment horizontal="center" vertical="center"/>
    </xf>
    <xf numFmtId="172" fontId="28" fillId="0" borderId="0" xfId="0" applyNumberFormat="1" applyFont="1" applyAlignment="1" applyProtection="1">
      <alignment horizontal="center" vertical="center"/>
      <protection locked="0" hidden="1"/>
    </xf>
    <xf numFmtId="173" fontId="28" fillId="0" borderId="0" xfId="0" applyNumberFormat="1" applyFont="1" applyAlignment="1" applyProtection="1">
      <alignment horizontal="center" vertical="center"/>
      <protection locked="0" hidden="1"/>
    </xf>
    <xf numFmtId="0" fontId="28" fillId="0" borderId="0" xfId="0" applyFont="1" applyAlignment="1">
      <alignment horizontal="center" vertical="center"/>
    </xf>
    <xf numFmtId="0" fontId="31" fillId="25" borderId="26" xfId="0" applyFont="1" applyFill="1" applyBorder="1" applyAlignment="1">
      <alignment horizontal="center" vertical="center"/>
    </xf>
    <xf numFmtId="4" fontId="31" fillId="25" borderId="26" xfId="0" applyNumberFormat="1" applyFont="1" applyFill="1" applyBorder="1" applyAlignment="1">
      <alignment horizontal="center" vertical="center"/>
    </xf>
    <xf numFmtId="4" fontId="31" fillId="25" borderId="1" xfId="0" applyNumberFormat="1" applyFont="1" applyFill="1" applyBorder="1" applyAlignment="1">
      <alignment horizontal="center" vertical="center"/>
    </xf>
    <xf numFmtId="0" fontId="28" fillId="26" borderId="25" xfId="0" applyFont="1" applyFill="1" applyBorder="1" applyAlignment="1">
      <alignment horizontal="center" vertical="center" wrapText="1"/>
    </xf>
    <xf numFmtId="0" fontId="28" fillId="26" borderId="6" xfId="0" applyFont="1" applyFill="1" applyBorder="1" applyAlignment="1">
      <alignment horizontal="center" vertical="center" wrapText="1"/>
    </xf>
    <xf numFmtId="14" fontId="28" fillId="26" borderId="7" xfId="0" applyNumberFormat="1" applyFont="1" applyFill="1" applyBorder="1" applyAlignment="1">
      <alignment horizontal="center" vertical="center" wrapText="1"/>
    </xf>
    <xf numFmtId="173" fontId="28" fillId="0" borderId="0" xfId="0" applyNumberFormat="1" applyFont="1" applyAlignment="1" applyProtection="1">
      <alignment horizontal="center" vertical="center"/>
      <protection hidden="1"/>
    </xf>
    <xf numFmtId="0" fontId="29" fillId="0" borderId="0" xfId="0" applyFont="1" applyAlignment="1">
      <alignment horizontal="center"/>
    </xf>
    <xf numFmtId="0" fontId="64" fillId="0" borderId="0" xfId="0" applyFont="1" applyAlignment="1" applyProtection="1">
      <alignment horizontal="right" vertical="center"/>
      <protection locked="0"/>
    </xf>
    <xf numFmtId="0" fontId="29" fillId="0" borderId="0" xfId="0" quotePrefix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29" fillId="0" borderId="0" xfId="0" applyFont="1" applyAlignment="1">
      <alignment horizontal="left"/>
    </xf>
    <xf numFmtId="49" fontId="78" fillId="55" borderId="37" xfId="0" applyNumberFormat="1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28" fillId="26" borderId="49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8" fillId="0" borderId="49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0" fillId="0" borderId="49" xfId="0" applyBorder="1"/>
    <xf numFmtId="0" fontId="0" fillId="56" borderId="49" xfId="0" applyFill="1" applyBorder="1" applyAlignment="1">
      <alignment horizontal="left" vertical="top" wrapText="1"/>
    </xf>
    <xf numFmtId="0" fontId="14" fillId="56" borderId="49" xfId="0" applyFont="1" applyFill="1" applyBorder="1" applyAlignment="1">
      <alignment horizontal="left" vertical="top"/>
    </xf>
    <xf numFmtId="0" fontId="14" fillId="56" borderId="49" xfId="0" applyFont="1" applyFill="1" applyBorder="1" applyAlignment="1">
      <alignment horizontal="left" vertical="top" wrapText="1"/>
    </xf>
    <xf numFmtId="170" fontId="14" fillId="56" borderId="49" xfId="0" applyNumberFormat="1" applyFont="1" applyFill="1" applyBorder="1" applyAlignment="1">
      <alignment horizontal="left" vertical="top"/>
    </xf>
    <xf numFmtId="176" fontId="14" fillId="56" borderId="49" xfId="0" applyNumberFormat="1" applyFont="1" applyFill="1" applyBorder="1" applyAlignment="1">
      <alignment horizontal="left" vertical="top"/>
    </xf>
    <xf numFmtId="176" fontId="65" fillId="56" borderId="49" xfId="0" applyNumberFormat="1" applyFont="1" applyFill="1" applyBorder="1" applyAlignment="1">
      <alignment horizontal="left" vertical="top"/>
    </xf>
    <xf numFmtId="170" fontId="0" fillId="56" borderId="49" xfId="0" applyNumberFormat="1" applyFill="1" applyBorder="1" applyAlignment="1">
      <alignment horizontal="left" vertical="top" wrapText="1"/>
    </xf>
    <xf numFmtId="171" fontId="0" fillId="56" borderId="49" xfId="156" applyNumberFormat="1" applyFont="1" applyFill="1" applyBorder="1" applyAlignment="1">
      <alignment horizontal="left" vertical="top"/>
    </xf>
    <xf numFmtId="0" fontId="0" fillId="56" borderId="49" xfId="0" applyFill="1" applyBorder="1" applyAlignment="1">
      <alignment horizontal="left" vertical="top"/>
    </xf>
    <xf numFmtId="171" fontId="0" fillId="56" borderId="49" xfId="156" applyNumberFormat="1" applyFont="1" applyFill="1" applyBorder="1" applyAlignment="1">
      <alignment horizontal="left" vertical="top" wrapText="1"/>
    </xf>
    <xf numFmtId="176" fontId="0" fillId="56" borderId="49" xfId="0" applyNumberFormat="1" applyFill="1" applyBorder="1" applyAlignment="1">
      <alignment horizontal="left" vertical="top" wrapText="1"/>
    </xf>
    <xf numFmtId="170" fontId="65" fillId="56" borderId="49" xfId="0" applyNumberFormat="1" applyFont="1" applyFill="1" applyBorder="1" applyAlignment="1">
      <alignment horizontal="left" vertical="top"/>
    </xf>
    <xf numFmtId="176" fontId="0" fillId="56" borderId="49" xfId="0" applyNumberFormat="1" applyFill="1" applyBorder="1" applyAlignment="1">
      <alignment horizontal="left" vertical="top"/>
    </xf>
    <xf numFmtId="176" fontId="26" fillId="56" borderId="49" xfId="0" applyNumberFormat="1" applyFont="1" applyFill="1" applyBorder="1" applyAlignment="1">
      <alignment horizontal="left" vertical="top"/>
    </xf>
    <xf numFmtId="0" fontId="25" fillId="48" borderId="49" xfId="0" applyFont="1" applyFill="1" applyBorder="1" applyAlignment="1">
      <alignment horizontal="left" vertical="top" wrapText="1"/>
    </xf>
    <xf numFmtId="0" fontId="25" fillId="48" borderId="49" xfId="0" applyFont="1" applyFill="1" applyBorder="1" applyAlignment="1">
      <alignment horizontal="left" vertical="top"/>
    </xf>
    <xf numFmtId="0" fontId="25" fillId="56" borderId="49" xfId="0" applyFont="1" applyFill="1" applyBorder="1" applyAlignment="1">
      <alignment horizontal="left" vertical="top" wrapText="1"/>
    </xf>
    <xf numFmtId="0" fontId="0" fillId="54" borderId="0" xfId="0" applyFill="1" applyAlignment="1">
      <alignment horizontal="left" vertical="top"/>
    </xf>
    <xf numFmtId="0" fontId="92" fillId="2" borderId="0" xfId="0" applyFont="1" applyFill="1" applyAlignment="1">
      <alignment vertical="center"/>
    </xf>
    <xf numFmtId="0" fontId="92" fillId="3" borderId="49" xfId="0" applyFont="1" applyFill="1" applyBorder="1" applyAlignment="1">
      <alignment horizontal="center" vertical="center"/>
    </xf>
    <xf numFmtId="0" fontId="92" fillId="3" borderId="49" xfId="0" applyFont="1" applyFill="1" applyBorder="1" applyAlignment="1">
      <alignment horizontal="center" vertical="center" wrapText="1"/>
    </xf>
    <xf numFmtId="0" fontId="93" fillId="58" borderId="49" xfId="0" applyFont="1" applyFill="1" applyBorder="1" applyAlignment="1">
      <alignment vertical="center"/>
    </xf>
    <xf numFmtId="0" fontId="93" fillId="59" borderId="49" xfId="0" applyFont="1" applyFill="1" applyBorder="1" applyAlignment="1">
      <alignment vertical="center"/>
    </xf>
    <xf numFmtId="44" fontId="93" fillId="60" borderId="49" xfId="3760" applyFont="1" applyFill="1" applyBorder="1" applyAlignment="1" applyProtection="1">
      <alignment vertical="center"/>
      <protection locked="0"/>
    </xf>
    <xf numFmtId="0" fontId="93" fillId="61" borderId="49" xfId="0" applyFont="1" applyFill="1" applyBorder="1" applyAlignment="1">
      <alignment vertical="center"/>
    </xf>
    <xf numFmtId="0" fontId="93" fillId="49" borderId="49" xfId="0" applyFont="1" applyFill="1" applyBorder="1" applyAlignment="1">
      <alignment vertical="center"/>
    </xf>
    <xf numFmtId="0" fontId="93" fillId="48" borderId="49" xfId="0" applyFont="1" applyFill="1" applyBorder="1" applyAlignment="1">
      <alignment vertical="center"/>
    </xf>
    <xf numFmtId="0" fontId="93" fillId="62" borderId="49" xfId="0" applyFont="1" applyFill="1" applyBorder="1" applyAlignment="1">
      <alignment vertical="center"/>
    </xf>
    <xf numFmtId="0" fontId="93" fillId="62" borderId="57" xfId="0" applyFont="1" applyFill="1" applyBorder="1" applyAlignment="1">
      <alignment vertical="center"/>
    </xf>
    <xf numFmtId="0" fontId="93" fillId="0" borderId="0" xfId="0" applyFont="1" applyAlignment="1">
      <alignment vertical="center"/>
    </xf>
    <xf numFmtId="0" fontId="93" fillId="0" borderId="49" xfId="0" applyFont="1" applyBorder="1" applyAlignment="1">
      <alignment vertical="center"/>
    </xf>
    <xf numFmtId="185" fontId="94" fillId="50" borderId="49" xfId="0" applyNumberFormat="1" applyFont="1" applyFill="1" applyBorder="1" applyAlignment="1">
      <alignment horizontal="center" vertical="center"/>
    </xf>
    <xf numFmtId="185" fontId="93" fillId="50" borderId="49" xfId="0" applyNumberFormat="1" applyFont="1" applyFill="1" applyBorder="1" applyAlignment="1">
      <alignment horizontal="center" vertical="center"/>
    </xf>
    <xf numFmtId="185" fontId="93" fillId="0" borderId="49" xfId="0" applyNumberFormat="1" applyFont="1" applyBorder="1" applyAlignment="1">
      <alignment horizontal="center" vertical="center"/>
    </xf>
    <xf numFmtId="185" fontId="93" fillId="2" borderId="49" xfId="0" applyNumberFormat="1" applyFont="1" applyFill="1" applyBorder="1" applyAlignment="1">
      <alignment horizontal="center" vertical="center"/>
    </xf>
    <xf numFmtId="185" fontId="93" fillId="60" borderId="49" xfId="0" applyNumberFormat="1" applyFont="1" applyFill="1" applyBorder="1" applyAlignment="1">
      <alignment horizontal="center" vertical="center"/>
    </xf>
    <xf numFmtId="185" fontId="93" fillId="49" borderId="49" xfId="0" applyNumberFormat="1" applyFont="1" applyFill="1" applyBorder="1" applyAlignment="1">
      <alignment horizontal="center" vertical="center"/>
    </xf>
    <xf numFmtId="185" fontId="93" fillId="62" borderId="49" xfId="0" applyNumberFormat="1" applyFont="1" applyFill="1" applyBorder="1" applyAlignment="1">
      <alignment horizontal="center" vertical="center"/>
    </xf>
    <xf numFmtId="185" fontId="94" fillId="62" borderId="49" xfId="0" applyNumberFormat="1" applyFont="1" applyFill="1" applyBorder="1" applyAlignment="1">
      <alignment horizontal="center" vertical="center"/>
    </xf>
    <xf numFmtId="185" fontId="94" fillId="0" borderId="49" xfId="0" applyNumberFormat="1" applyFont="1" applyBorder="1" applyAlignment="1">
      <alignment horizontal="center" vertical="center"/>
    </xf>
    <xf numFmtId="0" fontId="93" fillId="52" borderId="49" xfId="0" applyFont="1" applyFill="1" applyBorder="1" applyAlignment="1">
      <alignment vertical="center"/>
    </xf>
    <xf numFmtId="185" fontId="93" fillId="47" borderId="49" xfId="0" applyNumberFormat="1" applyFont="1" applyFill="1" applyBorder="1" applyAlignment="1">
      <alignment horizontal="center" vertical="center"/>
    </xf>
    <xf numFmtId="0" fontId="93" fillId="52" borderId="57" xfId="0" applyFont="1" applyFill="1" applyBorder="1" applyAlignment="1">
      <alignment vertical="center"/>
    </xf>
    <xf numFmtId="0" fontId="93" fillId="0" borderId="57" xfId="0" applyFont="1" applyBorder="1" applyAlignment="1">
      <alignment vertical="center"/>
    </xf>
    <xf numFmtId="185" fontId="93" fillId="47" borderId="57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96" fillId="0" borderId="0" xfId="0" applyFont="1" applyAlignment="1">
      <alignment vertical="center" wrapText="1"/>
    </xf>
    <xf numFmtId="9" fontId="8" fillId="0" borderId="0" xfId="0" applyNumberFormat="1" applyFont="1" applyAlignment="1">
      <alignment vertical="center" wrapText="1"/>
    </xf>
    <xf numFmtId="8" fontId="8" fillId="0" borderId="0" xfId="0" applyNumberFormat="1" applyFont="1" applyAlignment="1">
      <alignment vertical="center" wrapText="1"/>
    </xf>
    <xf numFmtId="3" fontId="8" fillId="0" borderId="0" xfId="0" applyNumberFormat="1" applyFont="1" applyAlignment="1">
      <alignment vertical="center" wrapText="1"/>
    </xf>
    <xf numFmtId="1" fontId="92" fillId="2" borderId="0" xfId="0" applyNumberFormat="1" applyFont="1" applyFill="1" applyAlignment="1">
      <alignment vertical="center"/>
    </xf>
    <xf numFmtId="1" fontId="92" fillId="2" borderId="0" xfId="0" applyNumberFormat="1" applyFont="1" applyFill="1" applyAlignment="1">
      <alignment horizontal="right" vertical="center"/>
    </xf>
    <xf numFmtId="1" fontId="93" fillId="2" borderId="0" xfId="0" applyNumberFormat="1" applyFont="1" applyFill="1" applyAlignment="1">
      <alignment vertical="center"/>
    </xf>
    <xf numFmtId="1" fontId="92" fillId="3" borderId="49" xfId="0" applyNumberFormat="1" applyFont="1" applyFill="1" applyBorder="1" applyAlignment="1">
      <alignment horizontal="center" vertical="center" wrapText="1"/>
    </xf>
    <xf numFmtId="1" fontId="93" fillId="2" borderId="49" xfId="3562" applyNumberFormat="1" applyFont="1" applyFill="1" applyBorder="1" applyAlignment="1" applyProtection="1">
      <alignment horizontal="center" vertical="center"/>
      <protection locked="0"/>
    </xf>
    <xf numFmtId="1" fontId="93" fillId="50" borderId="49" xfId="3760" applyNumberFormat="1" applyFont="1" applyFill="1" applyBorder="1" applyAlignment="1" applyProtection="1">
      <alignment horizontal="center" vertical="center"/>
      <protection locked="0"/>
    </xf>
    <xf numFmtId="1" fontId="93" fillId="2" borderId="49" xfId="3760" applyNumberFormat="1" applyFont="1" applyFill="1" applyBorder="1" applyAlignment="1" applyProtection="1">
      <alignment horizontal="center" vertical="center"/>
      <protection locked="0"/>
    </xf>
    <xf numFmtId="1" fontId="93" fillId="0" borderId="49" xfId="3760" applyNumberFormat="1" applyFont="1" applyFill="1" applyBorder="1" applyAlignment="1" applyProtection="1">
      <alignment horizontal="center" vertical="center"/>
      <protection locked="0"/>
    </xf>
    <xf numFmtId="1" fontId="93" fillId="8" borderId="49" xfId="3760" applyNumberFormat="1" applyFont="1" applyFill="1" applyBorder="1" applyAlignment="1" applyProtection="1">
      <alignment horizontal="center" vertical="center"/>
      <protection locked="0"/>
    </xf>
    <xf numFmtId="1" fontId="93" fillId="8" borderId="50" xfId="3760" applyNumberFormat="1" applyFont="1" applyFill="1" applyBorder="1" applyAlignment="1" applyProtection="1">
      <alignment horizontal="center" vertical="center"/>
      <protection locked="0"/>
    </xf>
    <xf numFmtId="1" fontId="93" fillId="0" borderId="50" xfId="3760" applyNumberFormat="1" applyFont="1" applyFill="1" applyBorder="1" applyAlignment="1" applyProtection="1">
      <alignment horizontal="center" vertical="center"/>
      <protection locked="0"/>
    </xf>
    <xf numFmtId="1" fontId="93" fillId="0" borderId="49" xfId="3760" applyNumberFormat="1" applyFont="1" applyFill="1" applyBorder="1" applyAlignment="1" applyProtection="1">
      <alignment horizontal="right" vertical="center"/>
      <protection locked="0"/>
    </xf>
    <xf numFmtId="1" fontId="93" fillId="8" borderId="49" xfId="3760" applyNumberFormat="1" applyFont="1" applyFill="1" applyBorder="1" applyAlignment="1" applyProtection="1">
      <alignment horizontal="right" vertical="center"/>
      <protection locked="0"/>
    </xf>
    <xf numFmtId="1" fontId="93" fillId="49" borderId="49" xfId="3760" applyNumberFormat="1" applyFont="1" applyFill="1" applyBorder="1" applyAlignment="1" applyProtection="1">
      <alignment horizontal="center" vertical="center"/>
      <protection locked="0"/>
    </xf>
    <xf numFmtId="1" fontId="93" fillId="49" borderId="52" xfId="3760" applyNumberFormat="1" applyFont="1" applyFill="1" applyBorder="1" applyAlignment="1" applyProtection="1">
      <alignment horizontal="center" vertical="center"/>
      <protection locked="0"/>
    </xf>
    <xf numFmtId="1" fontId="93" fillId="0" borderId="52" xfId="3760" applyNumberFormat="1" applyFont="1" applyFill="1" applyBorder="1" applyAlignment="1" applyProtection="1">
      <alignment horizontal="center" vertical="center"/>
      <protection locked="0"/>
    </xf>
    <xf numFmtId="1" fontId="93" fillId="62" borderId="49" xfId="3760" applyNumberFormat="1" applyFont="1" applyFill="1" applyBorder="1" applyAlignment="1" applyProtection="1">
      <alignment horizontal="center" vertical="center"/>
      <protection locked="0"/>
    </xf>
    <xf numFmtId="1" fontId="20" fillId="0" borderId="49" xfId="3760" applyNumberFormat="1" applyFont="1" applyFill="1" applyBorder="1" applyAlignment="1" applyProtection="1">
      <alignment horizontal="center" vertical="center"/>
      <protection locked="0"/>
    </xf>
    <xf numFmtId="1" fontId="20" fillId="62" borderId="49" xfId="3760" applyNumberFormat="1" applyFont="1" applyFill="1" applyBorder="1" applyAlignment="1" applyProtection="1">
      <alignment horizontal="center" vertical="center"/>
      <protection locked="0"/>
    </xf>
    <xf numFmtId="1" fontId="20" fillId="62" borderId="52" xfId="3760" applyNumberFormat="1" applyFont="1" applyFill="1" applyBorder="1" applyAlignment="1" applyProtection="1">
      <alignment horizontal="center" vertical="center"/>
      <protection locked="0"/>
    </xf>
    <xf numFmtId="1" fontId="20" fillId="0" borderId="52" xfId="3760" applyNumberFormat="1" applyFont="1" applyFill="1" applyBorder="1" applyAlignment="1" applyProtection="1">
      <alignment horizontal="center" vertical="center"/>
      <protection locked="0"/>
    </xf>
    <xf numFmtId="1" fontId="20" fillId="62" borderId="57" xfId="3760" applyNumberFormat="1" applyFont="1" applyFill="1" applyBorder="1" applyAlignment="1" applyProtection="1">
      <alignment horizontal="center" vertical="center"/>
      <protection locked="0"/>
    </xf>
    <xf numFmtId="1" fontId="93" fillId="2" borderId="0" xfId="0" applyNumberFormat="1" applyFont="1" applyFill="1" applyAlignment="1">
      <alignment horizontal="center" vertical="center"/>
    </xf>
    <xf numFmtId="1" fontId="93" fillId="0" borderId="0" xfId="0" applyNumberFormat="1" applyFont="1" applyAlignment="1">
      <alignment vertical="center"/>
    </xf>
    <xf numFmtId="1" fontId="93" fillId="0" borderId="0" xfId="0" applyNumberFormat="1" applyFont="1" applyAlignment="1">
      <alignment horizontal="right" vertical="center"/>
    </xf>
    <xf numFmtId="185" fontId="93" fillId="2" borderId="51" xfId="0" applyNumberFormat="1" applyFont="1" applyFill="1" applyBorder="1" applyAlignment="1">
      <alignment horizontal="center" vertical="center"/>
    </xf>
    <xf numFmtId="185" fontId="94" fillId="0" borderId="52" xfId="0" applyNumberFormat="1" applyFont="1" applyBorder="1" applyAlignment="1">
      <alignment horizontal="center" vertical="center"/>
    </xf>
    <xf numFmtId="185" fontId="94" fillId="0" borderId="50" xfId="0" applyNumberFormat="1" applyFont="1" applyBorder="1" applyAlignment="1">
      <alignment horizontal="center" vertical="center"/>
    </xf>
    <xf numFmtId="14" fontId="0" fillId="50" borderId="49" xfId="0" applyNumberFormat="1" applyFill="1" applyBorder="1" applyAlignment="1">
      <alignment horizontal="left" vertical="top" wrapText="1"/>
    </xf>
    <xf numFmtId="1" fontId="94" fillId="0" borderId="49" xfId="3562" applyNumberFormat="1" applyFont="1" applyFill="1" applyBorder="1" applyAlignment="1" applyProtection="1">
      <alignment horizontal="center" vertical="top"/>
      <protection locked="0"/>
    </xf>
    <xf numFmtId="1" fontId="94" fillId="50" borderId="49" xfId="3562" applyNumberFormat="1" applyFont="1" applyFill="1" applyBorder="1" applyAlignment="1" applyProtection="1">
      <alignment horizontal="center" vertical="top"/>
      <protection locked="0"/>
    </xf>
    <xf numFmtId="1" fontId="93" fillId="2" borderId="49" xfId="3562" applyNumberFormat="1" applyFont="1" applyFill="1" applyBorder="1" applyAlignment="1" applyProtection="1">
      <alignment horizontal="center" vertical="top"/>
      <protection locked="0"/>
    </xf>
    <xf numFmtId="1" fontId="93" fillId="50" borderId="49" xfId="3760" applyNumberFormat="1" applyFont="1" applyFill="1" applyBorder="1" applyAlignment="1" applyProtection="1">
      <alignment horizontal="center" vertical="top"/>
      <protection locked="0"/>
    </xf>
    <xf numFmtId="1" fontId="93" fillId="0" borderId="49" xfId="3760" applyNumberFormat="1" applyFont="1" applyFill="1" applyBorder="1" applyAlignment="1" applyProtection="1">
      <alignment horizontal="center" vertical="top"/>
      <protection locked="0"/>
    </xf>
    <xf numFmtId="1" fontId="93" fillId="2" borderId="49" xfId="3760" applyNumberFormat="1" applyFont="1" applyFill="1" applyBorder="1" applyAlignment="1" applyProtection="1">
      <alignment horizontal="center" vertical="top"/>
      <protection locked="0"/>
    </xf>
    <xf numFmtId="1" fontId="95" fillId="0" borderId="49" xfId="3760" applyNumberFormat="1" applyFont="1" applyFill="1" applyBorder="1" applyAlignment="1" applyProtection="1">
      <alignment horizontal="center" vertical="top"/>
      <protection locked="0"/>
    </xf>
    <xf numFmtId="1" fontId="94" fillId="8" borderId="49" xfId="3562" applyNumberFormat="1" applyFont="1" applyFill="1" applyBorder="1" applyAlignment="1" applyProtection="1">
      <alignment horizontal="center" vertical="top"/>
      <protection locked="0"/>
    </xf>
    <xf numFmtId="1" fontId="93" fillId="8" borderId="49" xfId="3760" applyNumberFormat="1" applyFont="1" applyFill="1" applyBorder="1" applyAlignment="1" applyProtection="1">
      <alignment horizontal="center" vertical="top"/>
      <protection locked="0"/>
    </xf>
    <xf numFmtId="1" fontId="95" fillId="8" borderId="49" xfId="3760" applyNumberFormat="1" applyFont="1" applyFill="1" applyBorder="1" applyAlignment="1" applyProtection="1">
      <alignment horizontal="center" vertical="top"/>
      <protection locked="0"/>
    </xf>
    <xf numFmtId="1" fontId="94" fillId="49" borderId="49" xfId="3562" applyNumberFormat="1" applyFont="1" applyFill="1" applyBorder="1" applyAlignment="1" applyProtection="1">
      <alignment horizontal="center" vertical="top"/>
      <protection locked="0"/>
    </xf>
    <xf numFmtId="1" fontId="94" fillId="49" borderId="49" xfId="3760" applyNumberFormat="1" applyFont="1" applyFill="1" applyBorder="1" applyAlignment="1" applyProtection="1">
      <alignment horizontal="center" vertical="top"/>
      <protection locked="0"/>
    </xf>
    <xf numFmtId="1" fontId="93" fillId="49" borderId="49" xfId="3760" applyNumberFormat="1" applyFont="1" applyFill="1" applyBorder="1" applyAlignment="1" applyProtection="1">
      <alignment horizontal="center" vertical="top"/>
      <protection locked="0"/>
    </xf>
    <xf numFmtId="1" fontId="94" fillId="0" borderId="49" xfId="3760" applyNumberFormat="1" applyFont="1" applyFill="1" applyBorder="1" applyAlignment="1" applyProtection="1">
      <alignment horizontal="center" vertical="top"/>
      <protection locked="0"/>
    </xf>
    <xf numFmtId="1" fontId="94" fillId="62" borderId="49" xfId="3760" applyNumberFormat="1" applyFont="1" applyFill="1" applyBorder="1" applyAlignment="1" applyProtection="1">
      <alignment horizontal="center" vertical="top"/>
      <protection locked="0"/>
    </xf>
    <xf numFmtId="1" fontId="93" fillId="62" borderId="49" xfId="3760" applyNumberFormat="1" applyFont="1" applyFill="1" applyBorder="1" applyAlignment="1" applyProtection="1">
      <alignment horizontal="center" vertical="top"/>
      <protection locked="0"/>
    </xf>
    <xf numFmtId="1" fontId="20" fillId="0" borderId="49" xfId="3760" applyNumberFormat="1" applyFont="1" applyFill="1" applyBorder="1" applyAlignment="1" applyProtection="1">
      <alignment horizontal="center" vertical="top"/>
      <protection locked="0"/>
    </xf>
    <xf numFmtId="1" fontId="20" fillId="62" borderId="49" xfId="3760" applyNumberFormat="1" applyFont="1" applyFill="1" applyBorder="1" applyAlignment="1" applyProtection="1">
      <alignment horizontal="center" vertical="top"/>
      <protection locked="0"/>
    </xf>
    <xf numFmtId="1" fontId="95" fillId="2" borderId="49" xfId="3760" applyNumberFormat="1" applyFont="1" applyFill="1" applyBorder="1" applyAlignment="1" applyProtection="1">
      <alignment horizontal="center" vertical="top"/>
      <protection locked="0"/>
    </xf>
    <xf numFmtId="1" fontId="95" fillId="62" borderId="49" xfId="3760" applyNumberFormat="1" applyFont="1" applyFill="1" applyBorder="1" applyAlignment="1" applyProtection="1">
      <alignment horizontal="center" vertical="top"/>
      <protection locked="0"/>
    </xf>
    <xf numFmtId="0" fontId="92" fillId="2" borderId="0" xfId="0" applyFont="1" applyFill="1" applyAlignment="1">
      <alignment vertical="top"/>
    </xf>
    <xf numFmtId="1" fontId="92" fillId="2" borderId="0" xfId="0" applyNumberFormat="1" applyFont="1" applyFill="1" applyAlignment="1">
      <alignment vertical="top"/>
    </xf>
    <xf numFmtId="1" fontId="92" fillId="2" borderId="0" xfId="0" applyNumberFormat="1" applyFont="1" applyFill="1" applyAlignment="1">
      <alignment horizontal="right" vertical="top"/>
    </xf>
    <xf numFmtId="1" fontId="93" fillId="2" borderId="0" xfId="0" applyNumberFormat="1" applyFont="1" applyFill="1" applyAlignment="1">
      <alignment vertical="top"/>
    </xf>
    <xf numFmtId="0" fontId="92" fillId="3" borderId="49" xfId="0" applyFont="1" applyFill="1" applyBorder="1" applyAlignment="1">
      <alignment horizontal="center" vertical="top"/>
    </xf>
    <xf numFmtId="0" fontId="92" fillId="3" borderId="49" xfId="0" applyFont="1" applyFill="1" applyBorder="1" applyAlignment="1">
      <alignment horizontal="center" vertical="top" wrapText="1"/>
    </xf>
    <xf numFmtId="1" fontId="92" fillId="3" borderId="49" xfId="0" applyNumberFormat="1" applyFont="1" applyFill="1" applyBorder="1" applyAlignment="1">
      <alignment horizontal="center" vertical="top" wrapText="1"/>
    </xf>
    <xf numFmtId="0" fontId="93" fillId="58" borderId="49" xfId="0" applyFont="1" applyFill="1" applyBorder="1" applyAlignment="1">
      <alignment vertical="top"/>
    </xf>
    <xf numFmtId="0" fontId="93" fillId="59" borderId="49" xfId="0" applyFont="1" applyFill="1" applyBorder="1" applyAlignment="1">
      <alignment vertical="top"/>
    </xf>
    <xf numFmtId="44" fontId="93" fillId="60" borderId="49" xfId="3760" applyFont="1" applyFill="1" applyBorder="1" applyAlignment="1" applyProtection="1">
      <alignment vertical="top"/>
      <protection locked="0"/>
    </xf>
    <xf numFmtId="0" fontId="93" fillId="61" borderId="49" xfId="0" applyFont="1" applyFill="1" applyBorder="1" applyAlignment="1">
      <alignment vertical="top"/>
    </xf>
    <xf numFmtId="0" fontId="93" fillId="49" borderId="49" xfId="0" applyFont="1" applyFill="1" applyBorder="1" applyAlignment="1">
      <alignment vertical="top"/>
    </xf>
    <xf numFmtId="0" fontId="93" fillId="48" borderId="49" xfId="0" applyFont="1" applyFill="1" applyBorder="1" applyAlignment="1">
      <alignment vertical="top"/>
    </xf>
    <xf numFmtId="0" fontId="93" fillId="62" borderId="49" xfId="0" applyFont="1" applyFill="1" applyBorder="1" applyAlignment="1">
      <alignment vertical="top"/>
    </xf>
    <xf numFmtId="0" fontId="93" fillId="62" borderId="57" xfId="0" applyFont="1" applyFill="1" applyBorder="1" applyAlignment="1">
      <alignment vertical="top"/>
    </xf>
    <xf numFmtId="0" fontId="93" fillId="0" borderId="0" xfId="0" applyFont="1" applyAlignment="1">
      <alignment vertical="top"/>
    </xf>
    <xf numFmtId="1" fontId="93" fillId="0" borderId="0" xfId="0" applyNumberFormat="1" applyFont="1" applyAlignment="1">
      <alignment horizontal="right" vertical="top"/>
    </xf>
    <xf numFmtId="1" fontId="93" fillId="0" borderId="0" xfId="0" applyNumberFormat="1" applyFont="1" applyAlignment="1">
      <alignment vertical="top"/>
    </xf>
    <xf numFmtId="0" fontId="25" fillId="0" borderId="0" xfId="0" applyFont="1" applyAlignment="1">
      <alignment horizontal="center" vertical="center" wrapText="1"/>
    </xf>
    <xf numFmtId="0" fontId="92" fillId="2" borderId="0" xfId="0" applyFont="1" applyFill="1" applyAlignment="1">
      <alignment horizontal="center" vertical="center"/>
    </xf>
    <xf numFmtId="0" fontId="93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85" fontId="94" fillId="0" borderId="49" xfId="0" quotePrefix="1" applyNumberFormat="1" applyFont="1" applyBorder="1" applyAlignment="1">
      <alignment horizontal="center" vertical="center"/>
    </xf>
    <xf numFmtId="182" fontId="94" fillId="0" borderId="52" xfId="0" applyNumberFormat="1" applyFont="1" applyBorder="1" applyAlignment="1">
      <alignment horizontal="center" vertical="center"/>
    </xf>
    <xf numFmtId="1" fontId="94" fillId="0" borderId="49" xfId="0" quotePrefix="1" applyNumberFormat="1" applyFont="1" applyBorder="1" applyAlignment="1">
      <alignment horizontal="center" vertical="center"/>
    </xf>
    <xf numFmtId="1" fontId="93" fillId="50" borderId="49" xfId="0" applyNumberFormat="1" applyFont="1" applyFill="1" applyBorder="1" applyAlignment="1">
      <alignment horizontal="center" vertical="center"/>
    </xf>
    <xf numFmtId="1" fontId="93" fillId="0" borderId="49" xfId="0" applyNumberFormat="1" applyFont="1" applyBorder="1" applyAlignment="1">
      <alignment horizontal="center" vertical="center"/>
    </xf>
    <xf numFmtId="1" fontId="93" fillId="49" borderId="49" xfId="0" applyNumberFormat="1" applyFont="1" applyFill="1" applyBorder="1" applyAlignment="1">
      <alignment horizontal="center" vertical="center"/>
    </xf>
    <xf numFmtId="1" fontId="94" fillId="62" borderId="49" xfId="0" applyNumberFormat="1" applyFont="1" applyFill="1" applyBorder="1" applyAlignment="1">
      <alignment horizontal="center" vertical="center"/>
    </xf>
    <xf numFmtId="1" fontId="94" fillId="0" borderId="49" xfId="0" applyNumberFormat="1" applyFont="1" applyBorder="1" applyAlignment="1">
      <alignment horizontal="center" vertical="center"/>
    </xf>
    <xf numFmtId="1" fontId="93" fillId="62" borderId="49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82" fontId="94" fillId="0" borderId="52" xfId="0" quotePrefix="1" applyNumberFormat="1" applyFont="1" applyBorder="1" applyAlignment="1">
      <alignment horizontal="center" vertical="center"/>
    </xf>
    <xf numFmtId="182" fontId="94" fillId="50" borderId="52" xfId="0" applyNumberFormat="1" applyFont="1" applyFill="1" applyBorder="1" applyAlignment="1">
      <alignment horizontal="center" vertical="center"/>
    </xf>
    <xf numFmtId="182" fontId="93" fillId="0" borderId="52" xfId="0" applyNumberFormat="1" applyFont="1" applyBorder="1" applyAlignment="1">
      <alignment horizontal="center" vertical="center"/>
    </xf>
    <xf numFmtId="182" fontId="93" fillId="50" borderId="52" xfId="0" applyNumberFormat="1" applyFont="1" applyFill="1" applyBorder="1" applyAlignment="1">
      <alignment horizontal="center" vertical="center"/>
    </xf>
    <xf numFmtId="182" fontId="93" fillId="2" borderId="52" xfId="0" applyNumberFormat="1" applyFont="1" applyFill="1" applyBorder="1" applyAlignment="1">
      <alignment horizontal="center" vertical="center"/>
    </xf>
    <xf numFmtId="182" fontId="93" fillId="60" borderId="52" xfId="0" applyNumberFormat="1" applyFont="1" applyFill="1" applyBorder="1" applyAlignment="1">
      <alignment horizontal="center" vertical="center"/>
    </xf>
    <xf numFmtId="182" fontId="93" fillId="49" borderId="52" xfId="0" applyNumberFormat="1" applyFont="1" applyFill="1" applyBorder="1" applyAlignment="1">
      <alignment horizontal="center" vertical="center"/>
    </xf>
    <xf numFmtId="182" fontId="94" fillId="62" borderId="52" xfId="0" applyNumberFormat="1" applyFont="1" applyFill="1" applyBorder="1" applyAlignment="1">
      <alignment horizontal="center" vertical="center"/>
    </xf>
    <xf numFmtId="182" fontId="93" fillId="62" borderId="52" xfId="0" applyNumberFormat="1" applyFont="1" applyFill="1" applyBorder="1" applyAlignment="1">
      <alignment horizontal="center" vertical="center"/>
    </xf>
    <xf numFmtId="182" fontId="93" fillId="47" borderId="52" xfId="0" applyNumberFormat="1" applyFont="1" applyFill="1" applyBorder="1" applyAlignment="1">
      <alignment horizontal="center" vertical="center"/>
    </xf>
    <xf numFmtId="182" fontId="93" fillId="47" borderId="59" xfId="0" applyNumberFormat="1" applyFont="1" applyFill="1" applyBorder="1" applyAlignment="1">
      <alignment horizontal="center" vertical="center"/>
    </xf>
    <xf numFmtId="1" fontId="93" fillId="2" borderId="49" xfId="0" applyNumberFormat="1" applyFont="1" applyFill="1" applyBorder="1" applyAlignment="1">
      <alignment horizontal="center" vertical="center"/>
    </xf>
    <xf numFmtId="0" fontId="96" fillId="0" borderId="49" xfId="0" applyFont="1" applyBorder="1" applyAlignment="1">
      <alignment vertical="center" wrapText="1"/>
    </xf>
    <xf numFmtId="9" fontId="8" fillId="0" borderId="49" xfId="0" applyNumberFormat="1" applyFont="1" applyBorder="1" applyAlignment="1">
      <alignment vertical="center" wrapText="1"/>
    </xf>
    <xf numFmtId="6" fontId="8" fillId="0" borderId="49" xfId="0" applyNumberFormat="1" applyFont="1" applyBorder="1" applyAlignment="1">
      <alignment vertical="center" wrapText="1"/>
    </xf>
    <xf numFmtId="3" fontId="8" fillId="0" borderId="49" xfId="0" applyNumberFormat="1" applyFont="1" applyBorder="1" applyAlignment="1">
      <alignment vertical="center" wrapText="1"/>
    </xf>
    <xf numFmtId="0" fontId="65" fillId="56" borderId="49" xfId="0" applyFont="1" applyFill="1" applyBorder="1" applyAlignment="1">
      <alignment horizontal="left" vertical="top"/>
    </xf>
    <xf numFmtId="0" fontId="65" fillId="56" borderId="49" xfId="0" applyFont="1" applyFill="1" applyBorder="1" applyAlignment="1">
      <alignment horizontal="left" vertical="top" wrapText="1"/>
    </xf>
    <xf numFmtId="0" fontId="25" fillId="56" borderId="49" xfId="0" applyFont="1" applyFill="1" applyBorder="1" applyAlignment="1">
      <alignment horizontal="left" vertical="top"/>
    </xf>
    <xf numFmtId="0" fontId="0" fillId="0" borderId="49" xfId="0" applyBorder="1" applyAlignment="1">
      <alignment horizontal="left" vertical="top"/>
    </xf>
    <xf numFmtId="173" fontId="0" fillId="51" borderId="0" xfId="0" applyNumberFormat="1" applyFill="1" applyAlignment="1">
      <alignment horizontal="center"/>
    </xf>
    <xf numFmtId="0" fontId="0" fillId="51" borderId="0" xfId="0" applyFill="1"/>
    <xf numFmtId="173" fontId="0" fillId="0" borderId="0" xfId="0" applyNumberFormat="1"/>
    <xf numFmtId="170" fontId="0" fillId="0" borderId="0" xfId="0" applyNumberFormat="1"/>
    <xf numFmtId="180" fontId="0" fillId="0" borderId="0" xfId="0" applyNumberFormat="1"/>
    <xf numFmtId="0" fontId="25" fillId="51" borderId="0" xfId="0" applyFont="1" applyFill="1" applyAlignment="1">
      <alignment horizontal="center" vertical="center" wrapText="1"/>
    </xf>
    <xf numFmtId="0" fontId="96" fillId="51" borderId="49" xfId="0" applyFont="1" applyFill="1" applyBorder="1" applyAlignment="1">
      <alignment vertical="center" wrapText="1"/>
    </xf>
    <xf numFmtId="0" fontId="0" fillId="63" borderId="0" xfId="0" applyFill="1" applyAlignment="1">
      <alignment horizontal="left" vertical="top"/>
    </xf>
    <xf numFmtId="0" fontId="65" fillId="8" borderId="49" xfId="0" applyFont="1" applyFill="1" applyBorder="1" applyAlignment="1">
      <alignment horizontal="center" vertical="center" wrapText="1"/>
    </xf>
    <xf numFmtId="0" fontId="62" fillId="49" borderId="49" xfId="0" applyFont="1" applyFill="1" applyBorder="1" applyAlignment="1">
      <alignment horizontal="center" vertical="center" wrapText="1"/>
    </xf>
    <xf numFmtId="0" fontId="14" fillId="49" borderId="49" xfId="0" applyFont="1" applyFill="1" applyBorder="1" applyAlignment="1">
      <alignment horizontal="center" vertical="center" wrapText="1"/>
    </xf>
    <xf numFmtId="0" fontId="65" fillId="23" borderId="49" xfId="0" applyFont="1" applyFill="1" applyBorder="1" applyAlignment="1">
      <alignment horizontal="center" vertical="center" wrapText="1"/>
    </xf>
    <xf numFmtId="14" fontId="0" fillId="0" borderId="49" xfId="0" applyNumberFormat="1" applyBorder="1" applyAlignment="1">
      <alignment horizontal="left" vertical="top" wrapText="1"/>
    </xf>
    <xf numFmtId="14" fontId="0" fillId="0" borderId="49" xfId="0" applyNumberFormat="1" applyBorder="1" applyAlignment="1">
      <alignment horizontal="left" vertical="top"/>
    </xf>
    <xf numFmtId="173" fontId="0" fillId="50" borderId="0" xfId="0" applyNumberFormat="1" applyFill="1" applyAlignment="1">
      <alignment horizontal="center"/>
    </xf>
    <xf numFmtId="0" fontId="20" fillId="0" borderId="49" xfId="0" applyFont="1" applyBorder="1" applyAlignment="1">
      <alignment horizontal="left" vertical="top"/>
    </xf>
    <xf numFmtId="170" fontId="20" fillId="0" borderId="49" xfId="0" applyNumberFormat="1" applyFont="1" applyBorder="1" applyAlignment="1">
      <alignment horizontal="left" vertical="top"/>
    </xf>
    <xf numFmtId="170" fontId="9" fillId="0" borderId="49" xfId="0" applyNumberFormat="1" applyFont="1" applyBorder="1" applyAlignment="1">
      <alignment horizontal="left" vertical="top"/>
    </xf>
    <xf numFmtId="1" fontId="0" fillId="0" borderId="49" xfId="0" applyNumberFormat="1" applyBorder="1" applyAlignment="1">
      <alignment horizontal="left" vertical="top"/>
    </xf>
    <xf numFmtId="173" fontId="28" fillId="7" borderId="0" xfId="0" applyNumberFormat="1" applyFont="1" applyFill="1" applyAlignment="1" applyProtection="1">
      <alignment horizontal="left" vertical="top" wrapText="1"/>
      <protection locked="0" hidden="1"/>
    </xf>
    <xf numFmtId="0" fontId="65" fillId="8" borderId="0" xfId="0" applyFont="1" applyFill="1" applyAlignment="1">
      <alignment horizontal="left" vertical="top" wrapText="1"/>
    </xf>
    <xf numFmtId="0" fontId="62" fillId="49" borderId="0" xfId="0" applyFont="1" applyFill="1" applyAlignment="1">
      <alignment horizontal="left" vertical="top" wrapText="1"/>
    </xf>
    <xf numFmtId="0" fontId="14" fillId="49" borderId="0" xfId="0" applyFont="1" applyFill="1" applyAlignment="1">
      <alignment horizontal="left" vertical="top" wrapText="1"/>
    </xf>
    <xf numFmtId="0" fontId="65" fillId="23" borderId="0" xfId="0" applyFont="1" applyFill="1" applyAlignment="1">
      <alignment horizontal="left" vertical="top" wrapText="1"/>
    </xf>
    <xf numFmtId="0" fontId="65" fillId="51" borderId="0" xfId="0" applyFont="1" applyFill="1" applyAlignment="1">
      <alignment horizontal="left" vertical="top" wrapText="1"/>
    </xf>
    <xf numFmtId="173" fontId="28" fillId="50" borderId="0" xfId="0" applyNumberFormat="1" applyFont="1" applyFill="1" applyAlignment="1" applyProtection="1">
      <alignment horizontal="left" vertical="top" wrapText="1"/>
      <protection locked="0" hidden="1"/>
    </xf>
    <xf numFmtId="173" fontId="28" fillId="48" borderId="0" xfId="0" applyNumberFormat="1" applyFont="1" applyFill="1" applyAlignment="1" applyProtection="1">
      <alignment horizontal="left" vertical="top" wrapText="1"/>
      <protection locked="0" hidden="1"/>
    </xf>
    <xf numFmtId="1" fontId="28" fillId="51" borderId="0" xfId="0" applyNumberFormat="1" applyFont="1" applyFill="1" applyAlignment="1" applyProtection="1">
      <alignment horizontal="left" vertical="top" wrapText="1"/>
      <protection locked="0" hidden="1"/>
    </xf>
    <xf numFmtId="173" fontId="70" fillId="51" borderId="0" xfId="0" applyNumberFormat="1" applyFont="1" applyFill="1" applyAlignment="1" applyProtection="1">
      <alignment horizontal="left" vertical="top" wrapText="1"/>
      <protection locked="0" hidden="1"/>
    </xf>
    <xf numFmtId="14" fontId="65" fillId="8" borderId="4" xfId="0" applyNumberFormat="1" applyFont="1" applyFill="1" applyBorder="1" applyAlignment="1" applyProtection="1">
      <alignment horizontal="left" vertical="top" wrapText="1"/>
      <protection locked="0" hidden="1"/>
    </xf>
    <xf numFmtId="0" fontId="0" fillId="0" borderId="0" xfId="0" quotePrefix="1" applyAlignment="1">
      <alignment horizontal="left" vertical="top" wrapText="1"/>
    </xf>
    <xf numFmtId="173" fontId="70" fillId="48" borderId="0" xfId="0" applyNumberFormat="1" applyFont="1" applyFill="1" applyAlignment="1" applyProtection="1">
      <alignment horizontal="left" vertical="top" wrapText="1"/>
      <protection locked="0" hidden="1"/>
    </xf>
    <xf numFmtId="0" fontId="98" fillId="0" borderId="49" xfId="0" applyFont="1" applyBorder="1" applyAlignment="1">
      <alignment horizontal="left" vertical="top" wrapText="1"/>
    </xf>
    <xf numFmtId="173" fontId="0" fillId="50" borderId="0" xfId="0" applyNumberFormat="1" applyFill="1" applyAlignment="1">
      <alignment horizontal="center"/>
    </xf>
    <xf numFmtId="0" fontId="20" fillId="0" borderId="49" xfId="0" applyFont="1" applyBorder="1" applyAlignment="1">
      <alignment horizontal="left" vertical="top" wrapText="1"/>
    </xf>
    <xf numFmtId="170" fontId="20" fillId="2" borderId="49" xfId="0" applyNumberFormat="1" applyFont="1" applyFill="1" applyBorder="1" applyAlignment="1">
      <alignment horizontal="left" vertical="top"/>
    </xf>
    <xf numFmtId="0" fontId="0" fillId="50" borderId="0" xfId="0" applyNumberFormat="1" applyFill="1" applyAlignment="1">
      <alignment horizontal="center"/>
    </xf>
    <xf numFmtId="0" fontId="70" fillId="48" borderId="0" xfId="0" applyNumberFormat="1" applyFont="1" applyFill="1" applyAlignment="1" applyProtection="1">
      <alignment horizontal="left" vertical="top" wrapText="1"/>
      <protection locked="0" hidden="1"/>
    </xf>
    <xf numFmtId="0" fontId="0" fillId="0" borderId="0" xfId="0" applyNumberFormat="1"/>
    <xf numFmtId="0" fontId="96" fillId="0" borderId="49" xfId="0" applyFont="1" applyBorder="1" applyAlignment="1">
      <alignment vertical="center" wrapText="1"/>
    </xf>
    <xf numFmtId="0" fontId="96" fillId="51" borderId="49" xfId="0" applyFont="1" applyFill="1" applyBorder="1" applyAlignment="1">
      <alignment vertical="center" wrapText="1"/>
    </xf>
    <xf numFmtId="0" fontId="0" fillId="0" borderId="0" xfId="0" applyFill="1" applyAlignment="1">
      <alignment horizontal="left" vertical="top"/>
    </xf>
    <xf numFmtId="0" fontId="25" fillId="0" borderId="0" xfId="0" applyFont="1"/>
    <xf numFmtId="9" fontId="96" fillId="0" borderId="49" xfId="0" applyNumberFormat="1" applyFont="1" applyBorder="1" applyAlignment="1">
      <alignment vertical="center" wrapText="1"/>
    </xf>
    <xf numFmtId="6" fontId="96" fillId="0" borderId="49" xfId="0" applyNumberFormat="1" applyFont="1" applyBorder="1" applyAlignment="1">
      <alignment vertical="center" wrapText="1"/>
    </xf>
    <xf numFmtId="173" fontId="0" fillId="50" borderId="0" xfId="0" applyNumberFormat="1" applyFill="1" applyAlignment="1">
      <alignment horizontal="center"/>
    </xf>
    <xf numFmtId="0" fontId="31" fillId="24" borderId="23" xfId="0" applyFont="1" applyFill="1" applyBorder="1" applyAlignment="1" applyProtection="1">
      <alignment horizontal="center" vertical="center"/>
      <protection locked="0"/>
    </xf>
    <xf numFmtId="0" fontId="31" fillId="24" borderId="5" xfId="0" applyFont="1" applyFill="1" applyBorder="1" applyAlignment="1" applyProtection="1">
      <alignment horizontal="center" vertical="center"/>
      <protection locked="0"/>
    </xf>
    <xf numFmtId="0" fontId="31" fillId="24" borderId="22" xfId="0" applyFont="1" applyFill="1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left" vertical="top"/>
    </xf>
    <xf numFmtId="0" fontId="0" fillId="0" borderId="0" xfId="0" applyFill="1"/>
    <xf numFmtId="0" fontId="0" fillId="0" borderId="0" xfId="0" applyFont="1" applyFill="1" applyAlignment="1">
      <alignment horizontal="left" vertical="top" wrapText="1"/>
    </xf>
    <xf numFmtId="14" fontId="0" fillId="0" borderId="0" xfId="0" applyNumberFormat="1" applyFont="1" applyFill="1" applyAlignment="1">
      <alignment horizontal="left" vertical="top" wrapText="1"/>
    </xf>
    <xf numFmtId="0" fontId="0" fillId="0" borderId="0" xfId="0" applyFont="1" applyFill="1" applyAlignment="1">
      <alignment horizontal="left" vertical="top"/>
    </xf>
    <xf numFmtId="180" fontId="0" fillId="0" borderId="0" xfId="0" applyNumberFormat="1" applyFont="1" applyFill="1" applyAlignment="1">
      <alignment horizontal="left" vertical="top"/>
    </xf>
    <xf numFmtId="170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/>
    <xf numFmtId="0" fontId="0" fillId="0" borderId="0" xfId="0" applyFont="1" applyFill="1" applyAlignment="1">
      <alignment horizontal="left"/>
    </xf>
    <xf numFmtId="14" fontId="0" fillId="0" borderId="0" xfId="0" applyNumberFormat="1" applyFont="1" applyFill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0" fillId="0" borderId="0" xfId="0" quotePrefix="1" applyFont="1" applyFill="1" applyAlignment="1">
      <alignment horizontal="left" vertical="top"/>
    </xf>
    <xf numFmtId="1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vertical="center" wrapText="1"/>
    </xf>
    <xf numFmtId="14" fontId="25" fillId="0" borderId="0" xfId="0" applyNumberFormat="1" applyFont="1" applyFill="1" applyAlignment="1">
      <alignment horizontal="left" vertical="top" wrapText="1"/>
    </xf>
    <xf numFmtId="14" fontId="25" fillId="0" borderId="0" xfId="0" applyNumberFormat="1" applyFont="1" applyFill="1" applyAlignment="1">
      <alignment horizontal="left" vertical="top"/>
    </xf>
    <xf numFmtId="171" fontId="1" fillId="0" borderId="0" xfId="156" applyNumberFormat="1" applyFont="1" applyFill="1" applyBorder="1" applyAlignment="1">
      <alignment horizontal="left" vertical="top"/>
    </xf>
    <xf numFmtId="1" fontId="1" fillId="0" borderId="0" xfId="156" applyNumberFormat="1" applyFont="1" applyFill="1" applyBorder="1" applyAlignment="1">
      <alignment horizontal="left" vertical="top"/>
    </xf>
    <xf numFmtId="0" fontId="1" fillId="0" borderId="0" xfId="156" applyNumberFormat="1" applyFont="1" applyFill="1" applyBorder="1" applyAlignment="1">
      <alignment horizontal="left" vertical="top"/>
    </xf>
    <xf numFmtId="44" fontId="1" fillId="0" borderId="0" xfId="156" applyFont="1" applyFill="1" applyBorder="1" applyAlignment="1">
      <alignment horizontal="left" vertical="top"/>
    </xf>
    <xf numFmtId="181" fontId="1" fillId="0" borderId="0" xfId="3518" applyNumberFormat="1" applyFont="1" applyFill="1" applyBorder="1" applyAlignment="1">
      <alignment horizontal="center" vertical="center"/>
    </xf>
    <xf numFmtId="0" fontId="33" fillId="0" borderId="0" xfId="0" applyFont="1" applyFill="1" applyAlignment="1">
      <alignment horizontal="left" vertical="top"/>
    </xf>
    <xf numFmtId="173" fontId="1" fillId="0" borderId="0" xfId="156" applyNumberFormat="1" applyFont="1" applyFill="1" applyBorder="1" applyAlignment="1">
      <alignment horizontal="left" vertical="top"/>
    </xf>
    <xf numFmtId="0" fontId="25" fillId="63" borderId="49" xfId="0" applyFont="1" applyFill="1" applyBorder="1" applyAlignment="1">
      <alignment horizontal="left" vertical="top" wrapText="1"/>
    </xf>
    <xf numFmtId="14" fontId="0" fillId="63" borderId="49" xfId="0" applyNumberFormat="1" applyFill="1" applyBorder="1" applyAlignment="1">
      <alignment horizontal="left" vertical="top" wrapText="1"/>
    </xf>
    <xf numFmtId="0" fontId="0" fillId="63" borderId="49" xfId="0" applyFill="1" applyBorder="1" applyAlignment="1">
      <alignment horizontal="left" vertical="top"/>
    </xf>
    <xf numFmtId="0" fontId="25" fillId="63" borderId="49" xfId="0" applyFont="1" applyFill="1" applyBorder="1" applyAlignment="1">
      <alignment horizontal="left" vertical="top"/>
    </xf>
    <xf numFmtId="171" fontId="0" fillId="63" borderId="49" xfId="156" applyNumberFormat="1" applyFont="1" applyFill="1" applyBorder="1" applyAlignment="1">
      <alignment horizontal="left" vertical="top"/>
    </xf>
    <xf numFmtId="176" fontId="0" fillId="63" borderId="49" xfId="0" applyNumberFormat="1" applyFill="1" applyBorder="1" applyAlignment="1">
      <alignment horizontal="left" vertical="top"/>
    </xf>
    <xf numFmtId="176" fontId="26" fillId="63" borderId="49" xfId="0" applyNumberFormat="1" applyFont="1" applyFill="1" applyBorder="1" applyAlignment="1">
      <alignment horizontal="left" vertical="top"/>
    </xf>
    <xf numFmtId="176" fontId="0" fillId="63" borderId="49" xfId="0" applyNumberFormat="1" applyFill="1" applyBorder="1" applyAlignment="1">
      <alignment horizontal="left" vertical="top" wrapText="1"/>
    </xf>
    <xf numFmtId="170" fontId="0" fillId="63" borderId="49" xfId="0" applyNumberFormat="1" applyFill="1" applyBorder="1" applyAlignment="1">
      <alignment horizontal="left" vertical="top" wrapText="1"/>
    </xf>
    <xf numFmtId="0" fontId="0" fillId="63" borderId="49" xfId="0" applyFill="1" applyBorder="1" applyAlignment="1">
      <alignment horizontal="left" vertical="top" wrapText="1"/>
    </xf>
    <xf numFmtId="171" fontId="0" fillId="63" borderId="49" xfId="156" applyNumberFormat="1" applyFont="1" applyFill="1" applyBorder="1" applyAlignment="1">
      <alignment horizontal="left" vertical="top" wrapText="1"/>
    </xf>
    <xf numFmtId="0" fontId="14" fillId="63" borderId="49" xfId="0" applyFont="1" applyFill="1" applyBorder="1" applyAlignment="1">
      <alignment horizontal="left" vertical="top"/>
    </xf>
    <xf numFmtId="0" fontId="65" fillId="63" borderId="49" xfId="0" applyFont="1" applyFill="1" applyBorder="1" applyAlignment="1">
      <alignment horizontal="left" vertical="top"/>
    </xf>
    <xf numFmtId="170" fontId="14" fillId="63" borderId="49" xfId="0" applyNumberFormat="1" applyFont="1" applyFill="1" applyBorder="1" applyAlignment="1">
      <alignment horizontal="left" vertical="top"/>
    </xf>
    <xf numFmtId="176" fontId="14" fillId="63" borderId="49" xfId="0" applyNumberFormat="1" applyFont="1" applyFill="1" applyBorder="1" applyAlignment="1">
      <alignment horizontal="left" vertical="top"/>
    </xf>
    <xf numFmtId="176" fontId="65" fillId="63" borderId="49" xfId="0" applyNumberFormat="1" applyFont="1" applyFill="1" applyBorder="1" applyAlignment="1">
      <alignment horizontal="left" vertical="top"/>
    </xf>
    <xf numFmtId="1" fontId="0" fillId="63" borderId="49" xfId="0" applyNumberFormat="1" applyFill="1" applyBorder="1" applyAlignment="1">
      <alignment horizontal="left" vertical="top"/>
    </xf>
    <xf numFmtId="14" fontId="0" fillId="63" borderId="49" xfId="0" applyNumberFormat="1" applyFill="1" applyBorder="1" applyAlignment="1">
      <alignment horizontal="left" vertical="top"/>
    </xf>
    <xf numFmtId="0" fontId="20" fillId="63" borderId="49" xfId="0" applyFont="1" applyFill="1" applyBorder="1" applyAlignment="1">
      <alignment horizontal="left" vertical="top"/>
    </xf>
    <xf numFmtId="0" fontId="20" fillId="63" borderId="49" xfId="0" applyFont="1" applyFill="1" applyBorder="1" applyAlignment="1">
      <alignment horizontal="left" vertical="top" wrapText="1"/>
    </xf>
    <xf numFmtId="170" fontId="20" fillId="63" borderId="49" xfId="0" applyNumberFormat="1" applyFont="1" applyFill="1" applyBorder="1" applyAlignment="1">
      <alignment horizontal="left" vertical="top"/>
    </xf>
    <xf numFmtId="170" fontId="9" fillId="63" borderId="49" xfId="0" applyNumberFormat="1" applyFont="1" applyFill="1" applyBorder="1" applyAlignment="1">
      <alignment horizontal="left" vertical="top"/>
    </xf>
    <xf numFmtId="14" fontId="99" fillId="63" borderId="49" xfId="0" applyNumberFormat="1" applyFont="1" applyFill="1" applyBorder="1" applyAlignment="1">
      <alignment vertical="center"/>
    </xf>
    <xf numFmtId="0" fontId="14" fillId="0" borderId="0" xfId="0" applyFont="1" applyFill="1"/>
    <xf numFmtId="0" fontId="65" fillId="55" borderId="49" xfId="0" applyFont="1" applyFill="1" applyBorder="1" applyAlignment="1">
      <alignment horizontal="center" vertical="center" wrapText="1"/>
    </xf>
    <xf numFmtId="0" fontId="0" fillId="63" borderId="49" xfId="0" applyFill="1" applyBorder="1" applyAlignment="1">
      <alignment vertical="center"/>
    </xf>
    <xf numFmtId="0" fontId="0" fillId="63" borderId="49" xfId="0" applyFill="1" applyBorder="1" applyAlignment="1">
      <alignment vertical="center" wrapText="1"/>
    </xf>
    <xf numFmtId="171" fontId="0" fillId="63" borderId="49" xfId="156" applyNumberFormat="1" applyFont="1" applyFill="1" applyBorder="1" applyAlignment="1">
      <alignment vertical="center" wrapText="1"/>
    </xf>
    <xf numFmtId="170" fontId="0" fillId="63" borderId="49" xfId="0" applyNumberFormat="1" applyFill="1" applyBorder="1" applyAlignment="1">
      <alignment vertical="center" wrapText="1"/>
    </xf>
    <xf numFmtId="176" fontId="0" fillId="63" borderId="49" xfId="0" applyNumberFormat="1" applyFill="1" applyBorder="1" applyAlignment="1">
      <alignment vertical="center" wrapText="1"/>
    </xf>
    <xf numFmtId="0" fontId="0" fillId="63" borderId="49" xfId="0" applyFont="1" applyFill="1" applyBorder="1" applyAlignment="1">
      <alignment horizontal="left" vertical="top" wrapText="1"/>
    </xf>
    <xf numFmtId="0" fontId="0" fillId="63" borderId="49" xfId="0" applyFont="1" applyFill="1" applyBorder="1" applyAlignment="1">
      <alignment horizontal="left" vertical="top"/>
    </xf>
    <xf numFmtId="171" fontId="1" fillId="63" borderId="49" xfId="156" applyNumberFormat="1" applyFont="1" applyFill="1" applyBorder="1" applyAlignment="1">
      <alignment horizontal="left" vertical="top" wrapText="1"/>
    </xf>
    <xf numFmtId="170" fontId="0" fillId="63" borderId="49" xfId="0" applyNumberFormat="1" applyFont="1" applyFill="1" applyBorder="1" applyAlignment="1">
      <alignment horizontal="left" vertical="top"/>
    </xf>
    <xf numFmtId="170" fontId="0" fillId="63" borderId="49" xfId="0" applyNumberFormat="1" applyFont="1" applyFill="1" applyBorder="1" applyAlignment="1">
      <alignment horizontal="left" vertical="top" wrapText="1"/>
    </xf>
    <xf numFmtId="176" fontId="0" fillId="63" borderId="49" xfId="0" applyNumberFormat="1" applyFont="1" applyFill="1" applyBorder="1" applyAlignment="1">
      <alignment horizontal="left" vertical="top" wrapText="1"/>
    </xf>
    <xf numFmtId="49" fontId="66" fillId="0" borderId="0" xfId="0" applyNumberFormat="1" applyFont="1" applyFill="1" applyBorder="1" applyAlignment="1">
      <alignment horizontal="left" vertical="top"/>
    </xf>
    <xf numFmtId="179" fontId="66" fillId="0" borderId="0" xfId="0" applyNumberFormat="1" applyFont="1" applyFill="1" applyBorder="1" applyAlignment="1">
      <alignment horizontal="left" vertical="top"/>
    </xf>
    <xf numFmtId="0" fontId="66" fillId="0" borderId="0" xfId="0" applyFont="1" applyFill="1" applyAlignment="1">
      <alignment horizontal="left" vertical="top"/>
    </xf>
    <xf numFmtId="0" fontId="65" fillId="48" borderId="49" xfId="0" applyFont="1" applyFill="1" applyBorder="1" applyAlignment="1">
      <alignment horizontal="left" vertical="top" wrapText="1"/>
    </xf>
    <xf numFmtId="0" fontId="65" fillId="50" borderId="49" xfId="0" applyFont="1" applyFill="1" applyBorder="1" applyAlignment="1">
      <alignment horizontal="left" vertical="top" wrapText="1"/>
    </xf>
    <xf numFmtId="0" fontId="65" fillId="8" borderId="49" xfId="0" applyFont="1" applyFill="1" applyBorder="1" applyAlignment="1">
      <alignment horizontal="left" vertical="top" wrapText="1"/>
    </xf>
    <xf numFmtId="0" fontId="91" fillId="49" borderId="49" xfId="0" applyFont="1" applyFill="1" applyBorder="1" applyAlignment="1">
      <alignment horizontal="left" vertical="top" wrapText="1"/>
    </xf>
    <xf numFmtId="0" fontId="65" fillId="49" borderId="49" xfId="0" applyFont="1" applyFill="1" applyBorder="1" applyAlignment="1">
      <alignment horizontal="left" vertical="top" wrapText="1"/>
    </xf>
    <xf numFmtId="0" fontId="65" fillId="23" borderId="49" xfId="0" applyFont="1" applyFill="1" applyBorder="1" applyAlignment="1">
      <alignment horizontal="left" vertical="top" wrapText="1"/>
    </xf>
    <xf numFmtId="0" fontId="65" fillId="47" borderId="49" xfId="0" applyFont="1" applyFill="1" applyBorder="1" applyAlignment="1">
      <alignment horizontal="left" vertical="top" wrapText="1"/>
    </xf>
    <xf numFmtId="0" fontId="65" fillId="53" borderId="49" xfId="0" applyFont="1" applyFill="1" applyBorder="1" applyAlignment="1">
      <alignment horizontal="left" vertical="top" wrapText="1"/>
    </xf>
    <xf numFmtId="0" fontId="25" fillId="0" borderId="49" xfId="0" applyFont="1" applyBorder="1" applyAlignment="1">
      <alignment horizontal="left" vertical="top"/>
    </xf>
    <xf numFmtId="0" fontId="25" fillId="0" borderId="0" xfId="0" applyFont="1" applyAlignment="1">
      <alignment horizontal="left" vertical="top"/>
    </xf>
    <xf numFmtId="0" fontId="25" fillId="23" borderId="49" xfId="0" applyFont="1" applyFill="1" applyBorder="1" applyAlignment="1">
      <alignment horizontal="left" vertical="top" wrapText="1"/>
    </xf>
    <xf numFmtId="0" fontId="25" fillId="55" borderId="49" xfId="0" applyFont="1" applyFill="1" applyBorder="1" applyAlignment="1">
      <alignment horizontal="left" vertical="top" wrapText="1"/>
    </xf>
    <xf numFmtId="0" fontId="66" fillId="0" borderId="0" xfId="0" applyNumberFormat="1" applyFont="1" applyFill="1" applyBorder="1" applyAlignment="1">
      <alignment horizontal="left" vertical="top"/>
    </xf>
    <xf numFmtId="0" fontId="78" fillId="51" borderId="37" xfId="0" applyNumberFormat="1" applyFont="1" applyFill="1" applyBorder="1" applyAlignment="1">
      <alignment horizontal="left" vertical="top" wrapText="1"/>
    </xf>
    <xf numFmtId="49" fontId="100" fillId="64" borderId="41" xfId="0" applyNumberFormat="1" applyFont="1" applyFill="1" applyBorder="1" applyAlignment="1">
      <alignment horizontal="left" vertical="top"/>
    </xf>
    <xf numFmtId="49" fontId="76" fillId="64" borderId="41" xfId="0" applyNumberFormat="1" applyFont="1" applyFill="1" applyBorder="1" applyAlignment="1">
      <alignment horizontal="left" vertical="top"/>
    </xf>
    <xf numFmtId="49" fontId="76" fillId="64" borderId="62" xfId="0" applyNumberFormat="1" applyFont="1" applyFill="1" applyBorder="1" applyAlignment="1">
      <alignment horizontal="left" vertical="top"/>
    </xf>
    <xf numFmtId="0" fontId="75" fillId="0" borderId="0" xfId="0" applyFont="1" applyFill="1" applyAlignment="1">
      <alignment horizontal="left" vertical="top"/>
    </xf>
    <xf numFmtId="49" fontId="66" fillId="59" borderId="0" xfId="0" applyNumberFormat="1" applyFont="1" applyFill="1" applyBorder="1" applyAlignment="1">
      <alignment horizontal="left" vertical="top"/>
    </xf>
    <xf numFmtId="179" fontId="66" fillId="54" borderId="0" xfId="0" applyNumberFormat="1" applyFont="1" applyFill="1" applyBorder="1" applyAlignment="1">
      <alignment horizontal="left" vertical="top"/>
    </xf>
    <xf numFmtId="179" fontId="66" fillId="59" borderId="0" xfId="0" applyNumberFormat="1" applyFont="1" applyFill="1" applyBorder="1" applyAlignment="1">
      <alignment horizontal="left" vertical="top"/>
    </xf>
    <xf numFmtId="49" fontId="66" fillId="54" borderId="23" xfId="0" applyNumberFormat="1" applyFont="1" applyFill="1" applyBorder="1" applyAlignment="1">
      <alignment horizontal="left" vertical="top"/>
    </xf>
    <xf numFmtId="49" fontId="66" fillId="54" borderId="22" xfId="0" applyNumberFormat="1" applyFont="1" applyFill="1" applyBorder="1" applyAlignment="1">
      <alignment horizontal="left" vertical="top"/>
    </xf>
    <xf numFmtId="49" fontId="66" fillId="54" borderId="5" xfId="0" applyNumberFormat="1" applyFont="1" applyFill="1" applyBorder="1" applyAlignment="1">
      <alignment horizontal="left" vertical="top"/>
    </xf>
    <xf numFmtId="49" fontId="66" fillId="59" borderId="23" xfId="0" applyNumberFormat="1" applyFont="1" applyFill="1" applyBorder="1" applyAlignment="1">
      <alignment horizontal="left" vertical="top"/>
    </xf>
    <xf numFmtId="49" fontId="66" fillId="59" borderId="22" xfId="0" applyNumberFormat="1" applyFont="1" applyFill="1" applyBorder="1" applyAlignment="1">
      <alignment horizontal="left" vertical="top"/>
    </xf>
    <xf numFmtId="49" fontId="66" fillId="59" borderId="5" xfId="0" applyNumberFormat="1" applyFont="1" applyFill="1" applyBorder="1" applyAlignment="1">
      <alignment horizontal="left" vertical="top"/>
    </xf>
    <xf numFmtId="49" fontId="102" fillId="54" borderId="0" xfId="0" applyNumberFormat="1" applyFont="1" applyFill="1" applyBorder="1" applyAlignment="1">
      <alignment horizontal="left" vertical="top"/>
    </xf>
    <xf numFmtId="49" fontId="66" fillId="54" borderId="0" xfId="0" applyNumberFormat="1" applyFont="1" applyFill="1" applyBorder="1" applyAlignment="1">
      <alignment horizontal="left" vertical="top"/>
    </xf>
    <xf numFmtId="179" fontId="66" fillId="0" borderId="42" xfId="0" applyNumberFormat="1" applyFont="1" applyFill="1" applyBorder="1" applyAlignment="1">
      <alignment horizontal="left" vertical="top"/>
    </xf>
    <xf numFmtId="179" fontId="66" fillId="0" borderId="43" xfId="0" applyNumberFormat="1" applyFont="1" applyFill="1" applyBorder="1" applyAlignment="1">
      <alignment horizontal="left" vertical="top"/>
    </xf>
    <xf numFmtId="49" fontId="101" fillId="0" borderId="42" xfId="0" applyNumberFormat="1" applyFont="1" applyFill="1" applyBorder="1" applyAlignment="1">
      <alignment horizontal="left" vertical="top"/>
    </xf>
    <xf numFmtId="179" fontId="77" fillId="0" borderId="42" xfId="0" applyNumberFormat="1" applyFont="1" applyFill="1" applyBorder="1" applyAlignment="1">
      <alignment horizontal="left" vertical="top"/>
    </xf>
    <xf numFmtId="49" fontId="77" fillId="0" borderId="42" xfId="0" applyNumberFormat="1" applyFont="1" applyFill="1" applyBorder="1" applyAlignment="1">
      <alignment horizontal="left" vertical="top"/>
    </xf>
    <xf numFmtId="0" fontId="66" fillId="0" borderId="42" xfId="0" applyNumberFormat="1" applyFont="1" applyFill="1" applyBorder="1" applyAlignment="1">
      <alignment horizontal="left" vertical="top"/>
    </xf>
    <xf numFmtId="0" fontId="77" fillId="0" borderId="42" xfId="0" applyFont="1" applyFill="1" applyBorder="1" applyAlignment="1">
      <alignment horizontal="left" vertical="top"/>
    </xf>
    <xf numFmtId="49" fontId="66" fillId="58" borderId="42" xfId="0" applyNumberFormat="1" applyFont="1" applyFill="1" applyBorder="1" applyAlignment="1">
      <alignment horizontal="left" vertical="top"/>
    </xf>
    <xf numFmtId="49" fontId="66" fillId="58" borderId="43" xfId="0" applyNumberFormat="1" applyFont="1" applyFill="1" applyBorder="1" applyAlignment="1">
      <alignment horizontal="left" vertical="top"/>
    </xf>
    <xf numFmtId="179" fontId="66" fillId="58" borderId="42" xfId="0" applyNumberFormat="1" applyFont="1" applyFill="1" applyBorder="1" applyAlignment="1">
      <alignment horizontal="left" vertical="top"/>
    </xf>
    <xf numFmtId="179" fontId="66" fillId="58" borderId="43" xfId="0" applyNumberFormat="1" applyFont="1" applyFill="1" applyBorder="1" applyAlignment="1">
      <alignment horizontal="left" vertical="top"/>
    </xf>
    <xf numFmtId="49" fontId="77" fillId="48" borderId="42" xfId="0" applyNumberFormat="1" applyFont="1" applyFill="1" applyBorder="1" applyAlignment="1">
      <alignment horizontal="left" vertical="top"/>
    </xf>
    <xf numFmtId="173" fontId="31" fillId="25" borderId="26" xfId="0" applyNumberFormat="1" applyFont="1" applyFill="1" applyBorder="1" applyAlignment="1">
      <alignment horizontal="center" vertical="center"/>
    </xf>
    <xf numFmtId="0" fontId="28" fillId="26" borderId="63" xfId="0" applyFont="1" applyFill="1" applyBorder="1" applyAlignment="1">
      <alignment horizontal="center" vertical="center" wrapText="1"/>
    </xf>
    <xf numFmtId="0" fontId="28" fillId="26" borderId="26" xfId="0" applyFont="1" applyFill="1" applyBorder="1" applyAlignment="1">
      <alignment horizontal="center" vertical="center" wrapText="1"/>
    </xf>
    <xf numFmtId="173" fontId="28" fillId="7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32" fillId="0" borderId="49" xfId="0" applyFont="1" applyBorder="1" applyAlignment="1">
      <alignment horizontal="center" vertical="top"/>
    </xf>
    <xf numFmtId="0" fontId="32" fillId="0" borderId="49" xfId="0" applyFont="1" applyBorder="1" applyAlignment="1">
      <alignment horizontal="left" vertical="top"/>
    </xf>
    <xf numFmtId="0" fontId="33" fillId="0" borderId="52" xfId="0" applyFont="1" applyBorder="1" applyAlignment="1">
      <alignment vertical="top"/>
    </xf>
    <xf numFmtId="171" fontId="33" fillId="0" borderId="37" xfId="156" applyNumberFormat="1" applyFont="1" applyFill="1" applyBorder="1" applyAlignment="1">
      <alignment horizontal="center" vertical="top"/>
    </xf>
    <xf numFmtId="171" fontId="33" fillId="3" borderId="37" xfId="156" applyNumberFormat="1" applyFont="1" applyFill="1" applyBorder="1" applyAlignment="1">
      <alignment horizontal="right" vertical="top"/>
    </xf>
    <xf numFmtId="171" fontId="33" fillId="2" borderId="37" xfId="156" applyNumberFormat="1" applyFont="1" applyFill="1" applyBorder="1" applyAlignment="1">
      <alignment horizontal="center" vertical="top"/>
    </xf>
    <xf numFmtId="171" fontId="33" fillId="48" borderId="37" xfId="156" applyNumberFormat="1" applyFont="1" applyFill="1" applyBorder="1" applyAlignment="1">
      <alignment horizontal="center" vertical="top"/>
    </xf>
    <xf numFmtId="171" fontId="33" fillId="3" borderId="49" xfId="156" applyNumberFormat="1" applyFont="1" applyFill="1" applyBorder="1" applyAlignment="1" applyProtection="1">
      <alignment horizontal="right" vertical="top"/>
      <protection hidden="1"/>
    </xf>
    <xf numFmtId="171" fontId="33" fillId="0" borderId="37" xfId="156" applyNumberFormat="1" applyFont="1" applyFill="1" applyBorder="1" applyAlignment="1" applyProtection="1">
      <alignment horizontal="right" vertical="top"/>
      <protection hidden="1"/>
    </xf>
    <xf numFmtId="0" fontId="33" fillId="0" borderId="37" xfId="0" applyFont="1" applyBorder="1" applyAlignment="1">
      <alignment horizontal="left" vertical="top"/>
    </xf>
    <xf numFmtId="172" fontId="33" fillId="0" borderId="49" xfId="0" applyNumberFormat="1" applyFont="1" applyBorder="1" applyAlignment="1" applyProtection="1">
      <alignment horizontal="center" vertical="top"/>
      <protection hidden="1"/>
    </xf>
    <xf numFmtId="14" fontId="33" fillId="0" borderId="37" xfId="0" applyNumberFormat="1" applyFont="1" applyBorder="1" applyAlignment="1">
      <alignment horizontal="center" vertical="top"/>
    </xf>
    <xf numFmtId="0" fontId="32" fillId="0" borderId="0" xfId="0" applyFont="1" applyAlignment="1">
      <alignment vertical="top"/>
    </xf>
    <xf numFmtId="0" fontId="28" fillId="0" borderId="0" xfId="0" applyFont="1" applyAlignment="1">
      <alignment vertical="top"/>
    </xf>
    <xf numFmtId="171" fontId="33" fillId="0" borderId="37" xfId="156" applyNumberFormat="1" applyFont="1" applyBorder="1" applyAlignment="1">
      <alignment horizontal="right" vertical="top"/>
    </xf>
    <xf numFmtId="171" fontId="33" fillId="2" borderId="37" xfId="156" applyNumberFormat="1" applyFont="1" applyFill="1" applyBorder="1" applyAlignment="1">
      <alignment horizontal="right" vertical="top"/>
    </xf>
    <xf numFmtId="171" fontId="33" fillId="27" borderId="37" xfId="156" applyNumberFormat="1" applyFont="1" applyFill="1" applyBorder="1" applyAlignment="1">
      <alignment horizontal="right" vertical="top"/>
    </xf>
    <xf numFmtId="14" fontId="32" fillId="0" borderId="0" xfId="0" applyNumberFormat="1" applyFont="1" applyAlignment="1">
      <alignment horizontal="center" vertical="top"/>
    </xf>
    <xf numFmtId="0" fontId="28" fillId="0" borderId="0" xfId="0" applyFont="1" applyAlignment="1">
      <alignment horizontal="center" vertical="top"/>
    </xf>
    <xf numFmtId="166" fontId="28" fillId="0" borderId="0" xfId="0" applyNumberFormat="1" applyFont="1" applyAlignment="1">
      <alignment horizontal="center" vertical="top"/>
    </xf>
    <xf numFmtId="166" fontId="28" fillId="0" borderId="0" xfId="0" applyNumberFormat="1" applyFont="1" applyAlignment="1">
      <alignment vertical="top"/>
    </xf>
    <xf numFmtId="0" fontId="33" fillId="0" borderId="55" xfId="0" applyFont="1" applyBorder="1" applyAlignment="1">
      <alignment vertical="top"/>
    </xf>
    <xf numFmtId="171" fontId="33" fillId="3" borderId="37" xfId="156" applyNumberFormat="1" applyFont="1" applyFill="1" applyBorder="1" applyAlignment="1" applyProtection="1">
      <alignment horizontal="right" vertical="top"/>
      <protection hidden="1"/>
    </xf>
    <xf numFmtId="0" fontId="28" fillId="48" borderId="49" xfId="0" applyFont="1" applyFill="1" applyBorder="1" applyAlignment="1">
      <alignment horizontal="left" vertical="top"/>
    </xf>
    <xf numFmtId="0" fontId="32" fillId="48" borderId="49" xfId="0" applyFont="1" applyFill="1" applyBorder="1" applyAlignment="1">
      <alignment vertical="top"/>
    </xf>
    <xf numFmtId="169" fontId="32" fillId="48" borderId="49" xfId="0" applyNumberFormat="1" applyFont="1" applyFill="1" applyBorder="1" applyAlignment="1">
      <alignment horizontal="right" vertical="top"/>
    </xf>
    <xf numFmtId="171" fontId="33" fillId="0" borderId="50" xfId="156" applyNumberFormat="1" applyFont="1" applyFill="1" applyBorder="1" applyAlignment="1">
      <alignment vertical="top"/>
    </xf>
    <xf numFmtId="0" fontId="8" fillId="0" borderId="49" xfId="0" applyFont="1" applyBorder="1" applyAlignment="1">
      <alignment horizontal="left" vertical="top"/>
    </xf>
    <xf numFmtId="171" fontId="33" fillId="0" borderId="49" xfId="156" applyNumberFormat="1" applyFont="1" applyFill="1" applyBorder="1" applyAlignment="1">
      <alignment vertical="top"/>
    </xf>
    <xf numFmtId="171" fontId="33" fillId="27" borderId="49" xfId="156" applyNumberFormat="1" applyFont="1" applyFill="1" applyBorder="1" applyAlignment="1">
      <alignment vertical="top"/>
    </xf>
    <xf numFmtId="171" fontId="33" fillId="0" borderId="37" xfId="156" applyNumberFormat="1" applyFont="1" applyFill="1" applyBorder="1" applyAlignment="1">
      <alignment vertical="top"/>
    </xf>
    <xf numFmtId="171" fontId="33" fillId="2" borderId="37" xfId="156" applyNumberFormat="1" applyFont="1" applyFill="1" applyBorder="1" applyAlignment="1">
      <alignment vertical="top"/>
    </xf>
    <xf numFmtId="171" fontId="33" fillId="27" borderId="37" xfId="156" applyNumberFormat="1" applyFont="1" applyFill="1" applyBorder="1" applyAlignment="1">
      <alignment vertical="top"/>
    </xf>
    <xf numFmtId="171" fontId="33" fillId="0" borderId="37" xfId="156" applyNumberFormat="1" applyFont="1" applyBorder="1" applyAlignment="1">
      <alignment vertical="top"/>
    </xf>
    <xf numFmtId="171" fontId="32" fillId="2" borderId="49" xfId="156" applyNumberFormat="1" applyFont="1" applyFill="1" applyBorder="1" applyAlignment="1" applyProtection="1">
      <alignment horizontal="right" vertical="top"/>
      <protection locked="0"/>
    </xf>
    <xf numFmtId="171" fontId="33" fillId="0" borderId="37" xfId="156" applyNumberFormat="1" applyFont="1" applyFill="1" applyBorder="1" applyAlignment="1" applyProtection="1">
      <alignment horizontal="center" vertical="top"/>
      <protection locked="0" hidden="1"/>
    </xf>
    <xf numFmtId="171" fontId="33" fillId="0" borderId="49" xfId="156" applyNumberFormat="1" applyFont="1" applyFill="1" applyBorder="1" applyAlignment="1" applyProtection="1">
      <alignment horizontal="center" vertical="top"/>
      <protection locked="0" hidden="1"/>
    </xf>
    <xf numFmtId="171" fontId="33" fillId="3" borderId="49" xfId="156" applyNumberFormat="1" applyFont="1" applyFill="1" applyBorder="1" applyAlignment="1">
      <alignment horizontal="center" vertical="top"/>
    </xf>
    <xf numFmtId="171" fontId="33" fillId="3" borderId="49" xfId="156" applyNumberFormat="1" applyFont="1" applyFill="1" applyBorder="1" applyAlignment="1" applyProtection="1">
      <alignment horizontal="center" vertical="top"/>
      <protection locked="0" hidden="1"/>
    </xf>
    <xf numFmtId="14" fontId="28" fillId="0" borderId="0" xfId="0" applyNumberFormat="1" applyFont="1" applyAlignment="1">
      <alignment horizontal="center" vertical="top"/>
    </xf>
    <xf numFmtId="44" fontId="28" fillId="0" borderId="0" xfId="156" applyFont="1" applyFill="1" applyAlignment="1">
      <alignment horizontal="center" vertical="top"/>
    </xf>
    <xf numFmtId="0" fontId="28" fillId="51" borderId="49" xfId="0" applyFont="1" applyFill="1" applyBorder="1" applyAlignment="1">
      <alignment horizontal="left" vertical="top"/>
    </xf>
    <xf numFmtId="0" fontId="32" fillId="0" borderId="36" xfId="0" applyFont="1" applyBorder="1" applyAlignment="1">
      <alignment vertical="top"/>
    </xf>
    <xf numFmtId="171" fontId="33" fillId="2" borderId="49" xfId="156" applyNumberFormat="1" applyFont="1" applyFill="1" applyBorder="1" applyAlignment="1">
      <alignment vertical="top"/>
    </xf>
    <xf numFmtId="171" fontId="33" fillId="2" borderId="50" xfId="156" applyNumberFormat="1" applyFont="1" applyFill="1" applyBorder="1" applyAlignment="1">
      <alignment vertical="top"/>
    </xf>
    <xf numFmtId="171" fontId="33" fillId="3" borderId="37" xfId="156" applyNumberFormat="1" applyFont="1" applyFill="1" applyBorder="1" applyAlignment="1">
      <alignment horizontal="center" vertical="top"/>
    </xf>
    <xf numFmtId="0" fontId="33" fillId="0" borderId="49" xfId="0" applyFont="1" applyBorder="1" applyAlignment="1">
      <alignment horizontal="left" vertical="top"/>
    </xf>
    <xf numFmtId="0" fontId="32" fillId="9" borderId="49" xfId="0" applyFont="1" applyFill="1" applyBorder="1" applyAlignment="1">
      <alignment horizontal="center" vertical="top"/>
    </xf>
    <xf numFmtId="0" fontId="32" fillId="9" borderId="49" xfId="0" applyFont="1" applyFill="1" applyBorder="1" applyAlignment="1">
      <alignment horizontal="left" vertical="top"/>
    </xf>
    <xf numFmtId="0" fontId="32" fillId="9" borderId="55" xfId="0" applyFont="1" applyFill="1" applyBorder="1" applyAlignment="1">
      <alignment horizontal="left" vertical="top"/>
    </xf>
    <xf numFmtId="171" fontId="33" fillId="9" borderId="37" xfId="156" applyNumberFormat="1" applyFont="1" applyFill="1" applyBorder="1" applyAlignment="1">
      <alignment vertical="top"/>
    </xf>
    <xf numFmtId="171" fontId="33" fillId="3" borderId="37" xfId="156" applyNumberFormat="1" applyFont="1" applyFill="1" applyBorder="1" applyAlignment="1">
      <alignment vertical="top"/>
    </xf>
    <xf numFmtId="171" fontId="32" fillId="0" borderId="37" xfId="156" applyNumberFormat="1" applyFont="1" applyBorder="1" applyAlignment="1">
      <alignment horizontal="right" vertical="top"/>
    </xf>
    <xf numFmtId="171" fontId="33" fillId="0" borderId="49" xfId="156" applyNumberFormat="1" applyFont="1" applyFill="1" applyBorder="1" applyAlignment="1" applyProtection="1">
      <alignment horizontal="right" vertical="top"/>
      <protection hidden="1"/>
    </xf>
    <xf numFmtId="171" fontId="33" fillId="27" borderId="37" xfId="156" applyNumberFormat="1" applyFont="1" applyFill="1" applyBorder="1" applyAlignment="1">
      <alignment horizontal="center" vertical="top"/>
    </xf>
    <xf numFmtId="171" fontId="33" fillId="27" borderId="49" xfId="156" applyNumberFormat="1" applyFont="1" applyFill="1" applyBorder="1" applyAlignment="1" applyProtection="1">
      <alignment horizontal="right" vertical="top"/>
      <protection hidden="1"/>
    </xf>
    <xf numFmtId="0" fontId="32" fillId="0" borderId="49" xfId="0" applyFont="1" applyBorder="1" applyAlignment="1">
      <alignment vertical="top"/>
    </xf>
    <xf numFmtId="0" fontId="33" fillId="2" borderId="49" xfId="0" applyFont="1" applyFill="1" applyBorder="1" applyAlignment="1">
      <alignment horizontal="left" vertical="top"/>
    </xf>
    <xf numFmtId="169" fontId="33" fillId="2" borderId="49" xfId="0" applyNumberFormat="1" applyFont="1" applyFill="1" applyBorder="1" applyAlignment="1">
      <alignment horizontal="right" vertical="top"/>
    </xf>
    <xf numFmtId="171" fontId="33" fillId="2" borderId="38" xfId="156" applyNumberFormat="1" applyFont="1" applyFill="1" applyBorder="1" applyAlignment="1">
      <alignment vertical="top"/>
    </xf>
    <xf numFmtId="0" fontId="32" fillId="0" borderId="49" xfId="0" applyFont="1" applyBorder="1" applyAlignment="1">
      <alignment vertical="top" wrapText="1"/>
    </xf>
    <xf numFmtId="0" fontId="32" fillId="2" borderId="49" xfId="0" applyFont="1" applyFill="1" applyBorder="1" applyAlignment="1" applyProtection="1">
      <alignment horizontal="left" vertical="top"/>
      <protection locked="0"/>
    </xf>
    <xf numFmtId="0" fontId="32" fillId="2" borderId="36" xfId="0" applyFont="1" applyFill="1" applyBorder="1" applyAlignment="1" applyProtection="1">
      <alignment horizontal="left" vertical="top"/>
      <protection locked="0"/>
    </xf>
    <xf numFmtId="169" fontId="32" fillId="2" borderId="66" xfId="0" applyNumberFormat="1" applyFont="1" applyFill="1" applyBorder="1" applyAlignment="1" applyProtection="1">
      <alignment horizontal="right" vertical="top"/>
      <protection locked="0"/>
    </xf>
    <xf numFmtId="169" fontId="32" fillId="2" borderId="37" xfId="0" applyNumberFormat="1" applyFont="1" applyFill="1" applyBorder="1" applyAlignment="1" applyProtection="1">
      <alignment horizontal="right" vertical="top"/>
      <protection locked="0"/>
    </xf>
    <xf numFmtId="169" fontId="32" fillId="2" borderId="67" xfId="0" applyNumberFormat="1" applyFont="1" applyFill="1" applyBorder="1" applyAlignment="1" applyProtection="1">
      <alignment horizontal="right" vertical="top"/>
      <protection locked="0"/>
    </xf>
    <xf numFmtId="169" fontId="28" fillId="2" borderId="50" xfId="0" applyNumberFormat="1" applyFont="1" applyFill="1" applyBorder="1" applyAlignment="1">
      <alignment vertical="top"/>
    </xf>
    <xf numFmtId="169" fontId="28" fillId="2" borderId="49" xfId="0" applyNumberFormat="1" applyFont="1" applyFill="1" applyBorder="1" applyAlignment="1">
      <alignment vertical="top"/>
    </xf>
    <xf numFmtId="169" fontId="28" fillId="27" borderId="49" xfId="0" applyNumberFormat="1" applyFont="1" applyFill="1" applyBorder="1" applyAlignment="1">
      <alignment vertical="top"/>
    </xf>
    <xf numFmtId="171" fontId="32" fillId="2" borderId="37" xfId="156" applyNumberFormat="1" applyFont="1" applyFill="1" applyBorder="1" applyAlignment="1" applyProtection="1">
      <alignment horizontal="right" vertical="top"/>
      <protection locked="0"/>
    </xf>
    <xf numFmtId="171" fontId="32" fillId="0" borderId="37" xfId="156" applyNumberFormat="1" applyFont="1" applyBorder="1" applyAlignment="1" applyProtection="1">
      <alignment horizontal="right" vertical="top"/>
      <protection locked="0"/>
    </xf>
    <xf numFmtId="171" fontId="32" fillId="3" borderId="37" xfId="156" applyNumberFormat="1" applyFont="1" applyFill="1" applyBorder="1" applyAlignment="1" applyProtection="1">
      <alignment horizontal="right" vertical="top"/>
      <protection locked="0"/>
    </xf>
    <xf numFmtId="171" fontId="32" fillId="3" borderId="49" xfId="156" applyNumberFormat="1" applyFont="1" applyFill="1" applyBorder="1" applyAlignment="1" applyProtection="1">
      <alignment horizontal="center" vertical="top"/>
      <protection locked="0" hidden="1"/>
    </xf>
    <xf numFmtId="172" fontId="32" fillId="3" borderId="49" xfId="0" applyNumberFormat="1" applyFont="1" applyFill="1" applyBorder="1" applyAlignment="1" applyProtection="1">
      <alignment horizontal="center" vertical="top"/>
      <protection locked="0" hidden="1"/>
    </xf>
    <xf numFmtId="171" fontId="33" fillId="27" borderId="49" xfId="156" applyNumberFormat="1" applyFont="1" applyFill="1" applyBorder="1" applyAlignment="1">
      <alignment horizontal="center" vertical="top"/>
    </xf>
    <xf numFmtId="173" fontId="32" fillId="0" borderId="49" xfId="0" applyNumberFormat="1" applyFont="1" applyBorder="1" applyAlignment="1" applyProtection="1">
      <alignment horizontal="left" vertical="top"/>
      <protection hidden="1"/>
    </xf>
    <xf numFmtId="169" fontId="33" fillId="0" borderId="2" xfId="0" applyNumberFormat="1" applyFont="1" applyBorder="1" applyAlignment="1">
      <alignment horizontal="right" vertical="top"/>
    </xf>
    <xf numFmtId="169" fontId="33" fillId="0" borderId="49" xfId="0" applyNumberFormat="1" applyFont="1" applyBorder="1" applyAlignment="1">
      <alignment horizontal="right" vertical="top"/>
    </xf>
    <xf numFmtId="169" fontId="33" fillId="0" borderId="64" xfId="0" applyNumberFormat="1" applyFont="1" applyBorder="1" applyAlignment="1">
      <alignment horizontal="right" vertical="top"/>
    </xf>
    <xf numFmtId="169" fontId="28" fillId="0" borderId="49" xfId="0" applyNumberFormat="1" applyFont="1" applyBorder="1" applyAlignment="1">
      <alignment vertical="top"/>
    </xf>
    <xf numFmtId="0" fontId="32" fillId="9" borderId="52" xfId="0" applyFont="1" applyFill="1" applyBorder="1" applyAlignment="1" applyProtection="1">
      <alignment horizontal="left" vertical="top"/>
      <protection locked="0"/>
    </xf>
    <xf numFmtId="171" fontId="32" fillId="0" borderId="49" xfId="156" applyNumberFormat="1" applyFont="1" applyFill="1" applyBorder="1" applyAlignment="1" applyProtection="1">
      <alignment horizontal="center" vertical="top"/>
      <protection locked="0" hidden="1"/>
    </xf>
    <xf numFmtId="0" fontId="33" fillId="2" borderId="52" xfId="0" applyFont="1" applyFill="1" applyBorder="1" applyAlignment="1">
      <alignment vertical="top"/>
    </xf>
    <xf numFmtId="169" fontId="33" fillId="2" borderId="2" xfId="0" applyNumberFormat="1" applyFont="1" applyFill="1" applyBorder="1" applyAlignment="1">
      <alignment horizontal="right" vertical="top"/>
    </xf>
    <xf numFmtId="169" fontId="33" fillId="2" borderId="64" xfId="0" applyNumberFormat="1" applyFont="1" applyFill="1" applyBorder="1" applyAlignment="1">
      <alignment horizontal="right" vertical="top"/>
    </xf>
    <xf numFmtId="14" fontId="32" fillId="0" borderId="49" xfId="0" applyNumberFormat="1" applyFont="1" applyBorder="1" applyAlignment="1">
      <alignment horizontal="center" vertical="top"/>
    </xf>
    <xf numFmtId="14" fontId="28" fillId="0" borderId="49" xfId="0" applyNumberFormat="1" applyFont="1" applyBorder="1" applyAlignment="1">
      <alignment horizontal="center" vertical="top"/>
    </xf>
    <xf numFmtId="0" fontId="33" fillId="9" borderId="52" xfId="0" applyFont="1" applyFill="1" applyBorder="1" applyAlignment="1">
      <alignment vertical="top"/>
    </xf>
    <xf numFmtId="44" fontId="28" fillId="0" borderId="49" xfId="156" applyFont="1" applyFill="1" applyBorder="1" applyAlignment="1">
      <alignment horizontal="center" vertical="top"/>
    </xf>
    <xf numFmtId="0" fontId="32" fillId="0" borderId="52" xfId="0" applyFont="1" applyBorder="1" applyAlignment="1">
      <alignment vertical="top"/>
    </xf>
    <xf numFmtId="169" fontId="32" fillId="0" borderId="2" xfId="0" applyNumberFormat="1" applyFont="1" applyBorder="1" applyAlignment="1">
      <alignment horizontal="right" vertical="top"/>
    </xf>
    <xf numFmtId="169" fontId="32" fillId="0" borderId="49" xfId="0" applyNumberFormat="1" applyFont="1" applyBorder="1" applyAlignment="1">
      <alignment horizontal="right" vertical="top"/>
    </xf>
    <xf numFmtId="169" fontId="32" fillId="0" borderId="64" xfId="0" applyNumberFormat="1" applyFont="1" applyBorder="1" applyAlignment="1">
      <alignment horizontal="right" vertical="top"/>
    </xf>
    <xf numFmtId="0" fontId="32" fillId="2" borderId="52" xfId="0" applyFont="1" applyFill="1" applyBorder="1" applyAlignment="1" applyProtection="1">
      <alignment horizontal="left" vertical="top"/>
      <protection locked="0"/>
    </xf>
    <xf numFmtId="169" fontId="32" fillId="2" borderId="2" xfId="0" applyNumberFormat="1" applyFont="1" applyFill="1" applyBorder="1" applyAlignment="1" applyProtection="1">
      <alignment horizontal="right" vertical="top"/>
      <protection locked="0"/>
    </xf>
    <xf numFmtId="169" fontId="32" fillId="2" borderId="49" xfId="0" applyNumberFormat="1" applyFont="1" applyFill="1" applyBorder="1" applyAlignment="1" applyProtection="1">
      <alignment horizontal="right" vertical="top"/>
      <protection locked="0"/>
    </xf>
    <xf numFmtId="169" fontId="32" fillId="2" borderId="64" xfId="0" applyNumberFormat="1" applyFont="1" applyFill="1" applyBorder="1" applyAlignment="1" applyProtection="1">
      <alignment horizontal="right" vertical="top"/>
      <protection locked="0"/>
    </xf>
    <xf numFmtId="171" fontId="32" fillId="3" borderId="4" xfId="156" applyNumberFormat="1" applyFont="1" applyFill="1" applyBorder="1" applyAlignment="1" applyProtection="1">
      <alignment horizontal="right" vertical="top"/>
      <protection locked="0"/>
    </xf>
    <xf numFmtId="171" fontId="32" fillId="0" borderId="4" xfId="156" applyNumberFormat="1" applyFont="1" applyBorder="1" applyAlignment="1" applyProtection="1">
      <alignment horizontal="right" vertical="top"/>
      <protection locked="0"/>
    </xf>
    <xf numFmtId="171" fontId="33" fillId="0" borderId="4" xfId="156" applyNumberFormat="1" applyFont="1" applyFill="1" applyBorder="1" applyAlignment="1">
      <alignment horizontal="center" vertical="top"/>
    </xf>
    <xf numFmtId="171" fontId="32" fillId="3" borderId="51" xfId="156" applyNumberFormat="1" applyFont="1" applyFill="1" applyBorder="1" applyAlignment="1" applyProtection="1">
      <alignment horizontal="center" vertical="top"/>
      <protection locked="0" hidden="1"/>
    </xf>
    <xf numFmtId="171" fontId="33" fillId="9" borderId="37" xfId="156" applyNumberFormat="1" applyFont="1" applyFill="1" applyBorder="1" applyAlignment="1">
      <alignment horizontal="right" vertical="top"/>
    </xf>
    <xf numFmtId="171" fontId="32" fillId="0" borderId="49" xfId="156" applyNumberFormat="1" applyFont="1" applyBorder="1" applyAlignment="1" applyProtection="1">
      <alignment horizontal="right" vertical="top"/>
      <protection locked="0"/>
    </xf>
    <xf numFmtId="171" fontId="32" fillId="27" borderId="49" xfId="156" applyNumberFormat="1" applyFont="1" applyFill="1" applyBorder="1" applyAlignment="1" applyProtection="1">
      <alignment horizontal="right" vertical="top"/>
      <protection locked="0"/>
    </xf>
    <xf numFmtId="171" fontId="32" fillId="3" borderId="49" xfId="156" applyNumberFormat="1" applyFont="1" applyFill="1" applyBorder="1" applyAlignment="1" applyProtection="1">
      <alignment horizontal="right" vertical="top"/>
      <protection locked="0"/>
    </xf>
    <xf numFmtId="171" fontId="33" fillId="0" borderId="49" xfId="156" applyNumberFormat="1" applyFont="1" applyFill="1" applyBorder="1" applyAlignment="1">
      <alignment horizontal="center" vertical="top"/>
    </xf>
    <xf numFmtId="14" fontId="28" fillId="0" borderId="0" xfId="156" applyNumberFormat="1" applyFont="1" applyFill="1" applyAlignment="1">
      <alignment horizontal="center" vertical="top"/>
    </xf>
    <xf numFmtId="2" fontId="28" fillId="0" borderId="0" xfId="0" applyNumberFormat="1" applyFont="1" applyAlignment="1">
      <alignment vertical="top"/>
    </xf>
    <xf numFmtId="171" fontId="32" fillId="27" borderId="37" xfId="156" applyNumberFormat="1" applyFont="1" applyFill="1" applyBorder="1" applyAlignment="1" applyProtection="1">
      <alignment horizontal="right" vertical="top"/>
      <protection locked="0"/>
    </xf>
    <xf numFmtId="173" fontId="32" fillId="0" borderId="50" xfId="0" applyNumberFormat="1" applyFont="1" applyBorder="1" applyAlignment="1" applyProtection="1">
      <alignment horizontal="left" vertical="top"/>
      <protection hidden="1"/>
    </xf>
    <xf numFmtId="14" fontId="28" fillId="0" borderId="0" xfId="0" applyNumberFormat="1" applyFont="1" applyAlignment="1">
      <alignment vertical="top"/>
    </xf>
    <xf numFmtId="0" fontId="32" fillId="0" borderId="49" xfId="0" applyFont="1" applyBorder="1" applyAlignment="1" applyProtection="1">
      <alignment horizontal="left" vertical="top"/>
      <protection locked="0"/>
    </xf>
    <xf numFmtId="0" fontId="32" fillId="0" borderId="52" xfId="0" applyFont="1" applyBorder="1" applyAlignment="1" applyProtection="1">
      <alignment horizontal="left" vertical="top"/>
      <protection locked="0"/>
    </xf>
    <xf numFmtId="169" fontId="32" fillId="0" borderId="2" xfId="0" applyNumberFormat="1" applyFont="1" applyBorder="1" applyAlignment="1" applyProtection="1">
      <alignment horizontal="right" vertical="top"/>
      <protection locked="0"/>
    </xf>
    <xf numFmtId="169" fontId="32" fillId="0" borderId="49" xfId="0" applyNumberFormat="1" applyFont="1" applyBorder="1" applyAlignment="1" applyProtection="1">
      <alignment horizontal="right" vertical="top"/>
      <protection locked="0"/>
    </xf>
    <xf numFmtId="169" fontId="32" fillId="0" borderId="64" xfId="0" applyNumberFormat="1" applyFont="1" applyBorder="1" applyAlignment="1" applyProtection="1">
      <alignment horizontal="right" vertical="top"/>
      <protection locked="0"/>
    </xf>
    <xf numFmtId="0" fontId="0" fillId="0" borderId="49" xfId="0" applyBorder="1" applyAlignment="1">
      <alignment horizontal="left" vertical="top" wrapText="1"/>
    </xf>
    <xf numFmtId="0" fontId="32" fillId="9" borderId="52" xfId="0" applyFont="1" applyFill="1" applyBorder="1" applyAlignment="1">
      <alignment vertical="top"/>
    </xf>
    <xf numFmtId="171" fontId="33" fillId="0" borderId="37" xfId="156" applyNumberFormat="1" applyFont="1" applyFill="1" applyBorder="1" applyAlignment="1">
      <alignment horizontal="right" vertical="top"/>
    </xf>
    <xf numFmtId="0" fontId="33" fillId="0" borderId="50" xfId="0" applyFont="1" applyBorder="1" applyAlignment="1">
      <alignment horizontal="left" vertical="top"/>
    </xf>
    <xf numFmtId="169" fontId="33" fillId="0" borderId="56" xfId="0" applyNumberFormat="1" applyFont="1" applyBorder="1" applyAlignment="1">
      <alignment horizontal="right" vertical="top"/>
    </xf>
    <xf numFmtId="169" fontId="33" fillId="0" borderId="51" xfId="0" applyNumberFormat="1" applyFont="1" applyBorder="1" applyAlignment="1">
      <alignment horizontal="right" vertical="top"/>
    </xf>
    <xf numFmtId="169" fontId="33" fillId="0" borderId="65" xfId="0" applyNumberFormat="1" applyFont="1" applyBorder="1" applyAlignment="1">
      <alignment horizontal="right" vertical="top"/>
    </xf>
    <xf numFmtId="171" fontId="32" fillId="0" borderId="37" xfId="156" applyNumberFormat="1" applyFont="1" applyFill="1" applyBorder="1" applyAlignment="1">
      <alignment vertical="top"/>
    </xf>
    <xf numFmtId="171" fontId="32" fillId="27" borderId="37" xfId="156" applyNumberFormat="1" applyFont="1" applyFill="1" applyBorder="1" applyAlignment="1">
      <alignment vertical="top"/>
    </xf>
    <xf numFmtId="171" fontId="32" fillId="0" borderId="37" xfId="156" applyNumberFormat="1" applyFont="1" applyFill="1" applyBorder="1" applyAlignment="1">
      <alignment horizontal="right" vertical="top"/>
    </xf>
    <xf numFmtId="171" fontId="32" fillId="27" borderId="37" xfId="156" applyNumberFormat="1" applyFont="1" applyFill="1" applyBorder="1" applyAlignment="1">
      <alignment horizontal="right" vertical="top"/>
    </xf>
    <xf numFmtId="0" fontId="32" fillId="27" borderId="36" xfId="0" applyFont="1" applyFill="1" applyBorder="1" applyAlignment="1">
      <alignment vertical="top"/>
    </xf>
    <xf numFmtId="169" fontId="33" fillId="27" borderId="49" xfId="0" applyNumberFormat="1" applyFont="1" applyFill="1" applyBorder="1" applyAlignment="1">
      <alignment horizontal="right" vertical="top"/>
    </xf>
    <xf numFmtId="0" fontId="33" fillId="27" borderId="52" xfId="0" applyFont="1" applyFill="1" applyBorder="1" applyAlignment="1">
      <alignment vertical="top"/>
    </xf>
    <xf numFmtId="171" fontId="32" fillId="2" borderId="37" xfId="156" applyNumberFormat="1" applyFont="1" applyFill="1" applyBorder="1" applyAlignment="1">
      <alignment vertical="top"/>
    </xf>
    <xf numFmtId="14" fontId="28" fillId="2" borderId="49" xfId="0" applyNumberFormat="1" applyFont="1" applyFill="1" applyBorder="1" applyAlignment="1">
      <alignment horizontal="center" vertical="top"/>
    </xf>
    <xf numFmtId="171" fontId="33" fillId="0" borderId="49" xfId="156" applyNumberFormat="1" applyFont="1" applyFill="1" applyBorder="1" applyAlignment="1">
      <alignment horizontal="right" vertical="top"/>
    </xf>
    <xf numFmtId="0" fontId="33" fillId="9" borderId="55" xfId="0" applyFont="1" applyFill="1" applyBorder="1" applyAlignment="1">
      <alignment vertical="top"/>
    </xf>
    <xf numFmtId="14" fontId="71" fillId="9" borderId="49" xfId="0" applyNumberFormat="1" applyFont="1" applyFill="1" applyBorder="1" applyAlignment="1">
      <alignment vertical="top"/>
    </xf>
    <xf numFmtId="0" fontId="103" fillId="0" borderId="49" xfId="0" applyFont="1" applyBorder="1" applyAlignment="1">
      <alignment horizontal="left" vertical="top"/>
    </xf>
    <xf numFmtId="0" fontId="33" fillId="0" borderId="36" xfId="0" applyFont="1" applyBorder="1" applyAlignment="1">
      <alignment vertical="top"/>
    </xf>
    <xf numFmtId="169" fontId="33" fillId="0" borderId="66" xfId="0" applyNumberFormat="1" applyFont="1" applyBorder="1" applyAlignment="1">
      <alignment horizontal="right" vertical="top"/>
    </xf>
    <xf numFmtId="169" fontId="33" fillId="0" borderId="37" xfId="0" applyNumberFormat="1" applyFont="1" applyBorder="1" applyAlignment="1">
      <alignment horizontal="right" vertical="top"/>
    </xf>
    <xf numFmtId="169" fontId="33" fillId="0" borderId="67" xfId="0" applyNumberFormat="1" applyFont="1" applyBorder="1" applyAlignment="1">
      <alignment horizontal="right" vertical="top"/>
    </xf>
    <xf numFmtId="0" fontId="34" fillId="0" borderId="49" xfId="0" applyFont="1" applyBorder="1" applyAlignment="1">
      <alignment vertical="top" wrapText="1"/>
    </xf>
    <xf numFmtId="0" fontId="73" fillId="0" borderId="49" xfId="0" applyFont="1" applyBorder="1" applyAlignment="1">
      <alignment horizontal="left" vertical="top"/>
    </xf>
    <xf numFmtId="172" fontId="32" fillId="3" borderId="49" xfId="0" applyNumberFormat="1" applyFont="1" applyFill="1" applyBorder="1" applyAlignment="1" applyProtection="1">
      <alignment horizontal="center" vertical="top"/>
      <protection locked="0"/>
    </xf>
    <xf numFmtId="171" fontId="32" fillId="3" borderId="36" xfId="156" applyNumberFormat="1" applyFont="1" applyFill="1" applyBorder="1" applyAlignment="1" applyProtection="1">
      <alignment horizontal="right" vertical="top"/>
      <protection locked="0"/>
    </xf>
    <xf numFmtId="171" fontId="32" fillId="0" borderId="36" xfId="156" applyNumberFormat="1" applyFont="1" applyBorder="1" applyAlignment="1" applyProtection="1">
      <alignment horizontal="right" vertical="top"/>
      <protection locked="0"/>
    </xf>
    <xf numFmtId="172" fontId="32" fillId="3" borderId="37" xfId="0" applyNumberFormat="1" applyFont="1" applyFill="1" applyBorder="1" applyAlignment="1" applyProtection="1">
      <alignment horizontal="center" vertical="top"/>
      <protection locked="0"/>
    </xf>
    <xf numFmtId="171" fontId="32" fillId="27" borderId="49" xfId="156" applyNumberFormat="1" applyFont="1" applyFill="1" applyBorder="1" applyAlignment="1" applyProtection="1">
      <alignment horizontal="center" vertical="top"/>
      <protection locked="0" hidden="1"/>
    </xf>
    <xf numFmtId="0" fontId="32" fillId="0" borderId="55" xfId="0" applyFont="1" applyBorder="1" applyAlignment="1" applyProtection="1">
      <alignment horizontal="left" vertical="top"/>
      <protection locked="0"/>
    </xf>
    <xf numFmtId="169" fontId="32" fillId="0" borderId="56" xfId="0" applyNumberFormat="1" applyFont="1" applyBorder="1" applyAlignment="1" applyProtection="1">
      <alignment horizontal="right" vertical="top"/>
      <protection locked="0"/>
    </xf>
    <xf numFmtId="169" fontId="32" fillId="0" borderId="51" xfId="0" applyNumberFormat="1" applyFont="1" applyBorder="1" applyAlignment="1" applyProtection="1">
      <alignment horizontal="right" vertical="top"/>
      <protection locked="0"/>
    </xf>
    <xf numFmtId="169" fontId="32" fillId="0" borderId="65" xfId="0" applyNumberFormat="1" applyFont="1" applyBorder="1" applyAlignment="1" applyProtection="1">
      <alignment horizontal="right" vertical="top"/>
      <protection locked="0"/>
    </xf>
    <xf numFmtId="0" fontId="28" fillId="27" borderId="49" xfId="0" applyFont="1" applyFill="1" applyBorder="1" applyAlignment="1">
      <alignment horizontal="left" vertical="top"/>
    </xf>
    <xf numFmtId="0" fontId="32" fillId="27" borderId="36" xfId="0" applyFont="1" applyFill="1" applyBorder="1" applyAlignment="1" applyProtection="1">
      <alignment horizontal="left" vertical="top"/>
      <protection locked="0"/>
    </xf>
    <xf numFmtId="169" fontId="32" fillId="27" borderId="66" xfId="0" applyNumberFormat="1" applyFont="1" applyFill="1" applyBorder="1" applyAlignment="1" applyProtection="1">
      <alignment horizontal="right" vertical="top"/>
      <protection locked="0"/>
    </xf>
    <xf numFmtId="169" fontId="32" fillId="0" borderId="37" xfId="0" applyNumberFormat="1" applyFont="1" applyBorder="1" applyAlignment="1" applyProtection="1">
      <alignment horizontal="right" vertical="top"/>
      <protection locked="0"/>
    </xf>
    <xf numFmtId="169" fontId="32" fillId="27" borderId="37" xfId="0" applyNumberFormat="1" applyFont="1" applyFill="1" applyBorder="1" applyAlignment="1" applyProtection="1">
      <alignment horizontal="right" vertical="top"/>
      <protection locked="0"/>
    </xf>
    <xf numFmtId="169" fontId="32" fillId="0" borderId="67" xfId="0" applyNumberFormat="1" applyFont="1" applyBorder="1" applyAlignment="1" applyProtection="1">
      <alignment horizontal="right" vertical="top"/>
      <protection locked="0"/>
    </xf>
    <xf numFmtId="169" fontId="28" fillId="9" borderId="49" xfId="0" applyNumberFormat="1" applyFont="1" applyFill="1" applyBorder="1" applyAlignment="1">
      <alignment vertical="top"/>
    </xf>
    <xf numFmtId="171" fontId="33" fillId="3" borderId="49" xfId="156" applyNumberFormat="1" applyFont="1" applyFill="1" applyBorder="1" applyAlignment="1">
      <alignment horizontal="right" vertical="top"/>
    </xf>
    <xf numFmtId="171" fontId="33" fillId="9" borderId="49" xfId="156" applyNumberFormat="1" applyFont="1" applyFill="1" applyBorder="1" applyAlignment="1">
      <alignment horizontal="right" vertical="top"/>
    </xf>
    <xf numFmtId="169" fontId="28" fillId="9" borderId="50" xfId="0" applyNumberFormat="1" applyFont="1" applyFill="1" applyBorder="1" applyAlignment="1">
      <alignment vertical="top"/>
    </xf>
    <xf numFmtId="14" fontId="28" fillId="2" borderId="49" xfId="0" applyNumberFormat="1" applyFont="1" applyFill="1" applyBorder="1" applyAlignment="1">
      <alignment vertical="top"/>
    </xf>
    <xf numFmtId="169" fontId="28" fillId="0" borderId="49" xfId="0" applyNumberFormat="1" applyFont="1" applyBorder="1" applyAlignment="1" applyProtection="1">
      <alignment horizontal="right" vertical="top"/>
      <protection locked="0"/>
    </xf>
    <xf numFmtId="169" fontId="28" fillId="27" borderId="49" xfId="0" applyNumberFormat="1" applyFont="1" applyFill="1" applyBorder="1" applyAlignment="1" applyProtection="1">
      <alignment horizontal="right" vertical="top"/>
      <protection locked="0"/>
    </xf>
    <xf numFmtId="14" fontId="28" fillId="0" borderId="49" xfId="0" applyNumberFormat="1" applyFont="1" applyBorder="1" applyAlignment="1">
      <alignment vertical="top"/>
    </xf>
    <xf numFmtId="0" fontId="32" fillId="0" borderId="36" xfId="0" applyFont="1" applyBorder="1" applyAlignment="1" applyProtection="1">
      <alignment horizontal="left" vertical="top"/>
      <protection locked="0"/>
    </xf>
    <xf numFmtId="169" fontId="32" fillId="0" borderId="66" xfId="0" applyNumberFormat="1" applyFont="1" applyBorder="1" applyAlignment="1" applyProtection="1">
      <alignment horizontal="right" vertical="top"/>
      <protection locked="0"/>
    </xf>
    <xf numFmtId="0" fontId="32" fillId="9" borderId="52" xfId="0" applyFont="1" applyFill="1" applyBorder="1" applyAlignment="1" applyProtection="1">
      <alignment horizontal="left" vertical="top" wrapText="1"/>
      <protection locked="0"/>
    </xf>
    <xf numFmtId="171" fontId="32" fillId="3" borderId="37" xfId="156" applyNumberFormat="1" applyFont="1" applyFill="1" applyBorder="1" applyAlignment="1" applyProtection="1">
      <alignment horizontal="right" vertical="top" wrapText="1"/>
      <protection locked="0"/>
    </xf>
    <xf numFmtId="171" fontId="32" fillId="0" borderId="37" xfId="156" applyNumberFormat="1" applyFont="1" applyBorder="1" applyAlignment="1" applyProtection="1">
      <alignment horizontal="right" vertical="top" wrapText="1"/>
      <protection locked="0"/>
    </xf>
    <xf numFmtId="0" fontId="32" fillId="0" borderId="55" xfId="0" applyFont="1" applyBorder="1" applyAlignment="1">
      <alignment vertical="top"/>
    </xf>
    <xf numFmtId="169" fontId="33" fillId="48" borderId="49" xfId="0" applyNumberFormat="1" applyFont="1" applyFill="1" applyBorder="1" applyAlignment="1">
      <alignment horizontal="right" vertical="top"/>
    </xf>
    <xf numFmtId="0" fontId="28" fillId="0" borderId="49" xfId="0" applyFont="1" applyBorder="1" applyAlignment="1">
      <alignment horizontal="center" vertical="top"/>
    </xf>
    <xf numFmtId="166" fontId="28" fillId="0" borderId="49" xfId="0" applyNumberFormat="1" applyFont="1" applyBorder="1" applyAlignment="1">
      <alignment horizontal="center" vertical="top"/>
    </xf>
    <xf numFmtId="0" fontId="32" fillId="27" borderId="52" xfId="0" applyFont="1" applyFill="1" applyBorder="1" applyAlignment="1" applyProtection="1">
      <alignment horizontal="left" vertical="top"/>
      <protection locked="0"/>
    </xf>
    <xf numFmtId="169" fontId="32" fillId="27" borderId="2" xfId="0" applyNumberFormat="1" applyFont="1" applyFill="1" applyBorder="1" applyAlignment="1" applyProtection="1">
      <alignment horizontal="right" vertical="top"/>
      <protection locked="0"/>
    </xf>
    <xf numFmtId="169" fontId="32" fillId="27" borderId="49" xfId="0" applyNumberFormat="1" applyFont="1" applyFill="1" applyBorder="1" applyAlignment="1" applyProtection="1">
      <alignment horizontal="right" vertical="top"/>
      <protection locked="0"/>
    </xf>
    <xf numFmtId="44" fontId="28" fillId="0" borderId="0" xfId="156" applyFont="1" applyAlignment="1">
      <alignment horizontal="center" vertical="top"/>
    </xf>
    <xf numFmtId="171" fontId="32" fillId="3" borderId="37" xfId="156" applyNumberFormat="1" applyFont="1" applyFill="1" applyBorder="1" applyAlignment="1">
      <alignment horizontal="right" vertical="top"/>
    </xf>
    <xf numFmtId="0" fontId="33" fillId="0" borderId="52" xfId="0" applyFont="1" applyBorder="1" applyAlignment="1" applyProtection="1">
      <alignment horizontal="left" vertical="top"/>
      <protection locked="0"/>
    </xf>
    <xf numFmtId="169" fontId="33" fillId="0" borderId="2" xfId="0" applyNumberFormat="1" applyFont="1" applyBorder="1" applyAlignment="1" applyProtection="1">
      <alignment horizontal="right" vertical="top"/>
      <protection locked="0"/>
    </xf>
    <xf numFmtId="169" fontId="33" fillId="0" borderId="49" xfId="0" applyNumberFormat="1" applyFont="1" applyBorder="1" applyAlignment="1" applyProtection="1">
      <alignment horizontal="right" vertical="top"/>
      <protection locked="0"/>
    </xf>
    <xf numFmtId="169" fontId="33" fillId="0" borderId="64" xfId="0" applyNumberFormat="1" applyFont="1" applyBorder="1" applyAlignment="1" applyProtection="1">
      <alignment horizontal="right" vertical="top"/>
      <protection locked="0"/>
    </xf>
    <xf numFmtId="171" fontId="32" fillId="3" borderId="37" xfId="156" applyNumberFormat="1" applyFont="1" applyFill="1" applyBorder="1" applyAlignment="1" applyProtection="1">
      <alignment horizontal="center" vertical="top"/>
      <protection locked="0" hidden="1"/>
    </xf>
    <xf numFmtId="0" fontId="32" fillId="2" borderId="55" xfId="0" applyFont="1" applyFill="1" applyBorder="1" applyAlignment="1" applyProtection="1">
      <alignment horizontal="left" vertical="top"/>
      <protection locked="0"/>
    </xf>
    <xf numFmtId="169" fontId="32" fillId="2" borderId="56" xfId="0" applyNumberFormat="1" applyFont="1" applyFill="1" applyBorder="1" applyAlignment="1" applyProtection="1">
      <alignment horizontal="right" vertical="top"/>
      <protection locked="0"/>
    </xf>
    <xf numFmtId="169" fontId="32" fillId="2" borderId="51" xfId="0" applyNumberFormat="1" applyFont="1" applyFill="1" applyBorder="1" applyAlignment="1" applyProtection="1">
      <alignment horizontal="right" vertical="top"/>
      <protection locked="0"/>
    </xf>
    <xf numFmtId="169" fontId="32" fillId="2" borderId="65" xfId="0" applyNumberFormat="1" applyFont="1" applyFill="1" applyBorder="1" applyAlignment="1" applyProtection="1">
      <alignment horizontal="right" vertical="top"/>
      <protection locked="0"/>
    </xf>
    <xf numFmtId="0" fontId="32" fillId="27" borderId="49" xfId="0" applyFont="1" applyFill="1" applyBorder="1" applyAlignment="1">
      <alignment vertical="top"/>
    </xf>
    <xf numFmtId="169" fontId="32" fillId="48" borderId="49" xfId="0" applyNumberFormat="1" applyFont="1" applyFill="1" applyBorder="1" applyAlignment="1" applyProtection="1">
      <alignment horizontal="right" vertical="top"/>
      <protection locked="0"/>
    </xf>
    <xf numFmtId="0" fontId="32" fillId="2" borderId="70" xfId="0" applyFont="1" applyFill="1" applyBorder="1" applyAlignment="1" applyProtection="1">
      <alignment horizontal="left" vertical="top"/>
      <protection locked="0"/>
    </xf>
    <xf numFmtId="169" fontId="32" fillId="2" borderId="71" xfId="0" applyNumberFormat="1" applyFont="1" applyFill="1" applyBorder="1" applyAlignment="1" applyProtection="1">
      <alignment horizontal="right" vertical="top"/>
      <protection locked="0"/>
    </xf>
    <xf numFmtId="169" fontId="32" fillId="2" borderId="4" xfId="0" applyNumberFormat="1" applyFont="1" applyFill="1" applyBorder="1" applyAlignment="1" applyProtection="1">
      <alignment horizontal="right" vertical="top"/>
      <protection locked="0"/>
    </xf>
    <xf numFmtId="169" fontId="32" fillId="2" borderId="72" xfId="0" applyNumberFormat="1" applyFont="1" applyFill="1" applyBorder="1" applyAlignment="1" applyProtection="1">
      <alignment horizontal="right" vertical="top"/>
      <protection locked="0"/>
    </xf>
    <xf numFmtId="0" fontId="32" fillId="9" borderId="36" xfId="0" applyFont="1" applyFill="1" applyBorder="1" applyAlignment="1" applyProtection="1">
      <alignment horizontal="left" vertical="top"/>
      <protection locked="0"/>
    </xf>
    <xf numFmtId="171" fontId="32" fillId="0" borderId="37" xfId="156" applyNumberFormat="1" applyFont="1" applyFill="1" applyBorder="1" applyAlignment="1" applyProtection="1">
      <alignment horizontal="right" vertical="top"/>
      <protection locked="0"/>
    </xf>
    <xf numFmtId="14" fontId="28" fillId="0" borderId="51" xfId="0" applyNumberFormat="1" applyFont="1" applyBorder="1" applyAlignment="1">
      <alignment vertical="top"/>
    </xf>
    <xf numFmtId="0" fontId="67" fillId="0" borderId="49" xfId="0" applyFont="1" applyBorder="1" applyAlignment="1">
      <alignment horizontal="left" vertical="top"/>
    </xf>
    <xf numFmtId="0" fontId="28" fillId="0" borderId="49" xfId="0" applyFont="1" applyBorder="1" applyAlignment="1">
      <alignment vertical="top"/>
    </xf>
    <xf numFmtId="44" fontId="28" fillId="0" borderId="49" xfId="156" applyFont="1" applyBorder="1" applyAlignment="1">
      <alignment horizontal="center" vertical="top"/>
    </xf>
    <xf numFmtId="14" fontId="32" fillId="0" borderId="52" xfId="0" applyNumberFormat="1" applyFont="1" applyBorder="1" applyAlignment="1">
      <alignment horizontal="center" vertical="top"/>
    </xf>
    <xf numFmtId="14" fontId="28" fillId="0" borderId="37" xfId="0" applyNumberFormat="1" applyFont="1" applyBorder="1" applyAlignment="1">
      <alignment vertical="top"/>
    </xf>
    <xf numFmtId="0" fontId="28" fillId="0" borderId="37" xfId="0" applyFont="1" applyBorder="1" applyAlignment="1">
      <alignment horizontal="center" vertical="top"/>
    </xf>
    <xf numFmtId="166" fontId="28" fillId="0" borderId="37" xfId="0" applyNumberFormat="1" applyFont="1" applyBorder="1" applyAlignment="1">
      <alignment horizontal="center" vertical="top"/>
    </xf>
    <xf numFmtId="44" fontId="28" fillId="0" borderId="37" xfId="156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32" fillId="48" borderId="49" xfId="0" applyFont="1" applyFill="1" applyBorder="1" applyAlignment="1" applyProtection="1">
      <alignment horizontal="left" vertical="top"/>
      <protection locked="0"/>
    </xf>
    <xf numFmtId="14" fontId="32" fillId="0" borderId="49" xfId="0" applyNumberFormat="1" applyFont="1" applyBorder="1" applyAlignment="1">
      <alignment horizontal="right" vertical="top"/>
    </xf>
    <xf numFmtId="14" fontId="28" fillId="0" borderId="49" xfId="0" applyNumberFormat="1" applyFont="1" applyBorder="1" applyAlignment="1">
      <alignment horizontal="right" vertical="top"/>
    </xf>
    <xf numFmtId="171" fontId="35" fillId="3" borderId="49" xfId="0" applyNumberFormat="1" applyFont="1" applyFill="1" applyBorder="1" applyAlignment="1" applyProtection="1">
      <alignment horizontal="center" vertical="top"/>
      <protection locked="0"/>
    </xf>
    <xf numFmtId="171" fontId="28" fillId="2" borderId="49" xfId="156" applyNumberFormat="1" applyFont="1" applyFill="1" applyBorder="1" applyAlignment="1" applyProtection="1">
      <alignment horizontal="center" vertical="top"/>
      <protection locked="0"/>
    </xf>
    <xf numFmtId="171" fontId="28" fillId="27" borderId="49" xfId="156" applyNumberFormat="1" applyFont="1" applyFill="1" applyBorder="1" applyAlignment="1" applyProtection="1">
      <alignment horizontal="center" vertical="top"/>
      <protection locked="0"/>
    </xf>
    <xf numFmtId="0" fontId="35" fillId="3" borderId="49" xfId="0" applyFont="1" applyFill="1" applyBorder="1" applyAlignment="1" applyProtection="1">
      <alignment horizontal="center" vertical="top"/>
      <protection locked="0"/>
    </xf>
    <xf numFmtId="0" fontId="28" fillId="3" borderId="49" xfId="0" applyFont="1" applyFill="1" applyBorder="1" applyAlignment="1" applyProtection="1">
      <alignment horizontal="center" vertical="top"/>
      <protection locked="0"/>
    </xf>
    <xf numFmtId="172" fontId="28" fillId="3" borderId="49" xfId="0" applyNumberFormat="1" applyFont="1" applyFill="1" applyBorder="1" applyAlignment="1" applyProtection="1">
      <alignment horizontal="center" vertical="top"/>
      <protection locked="0"/>
    </xf>
    <xf numFmtId="172" fontId="28" fillId="3" borderId="49" xfId="0" applyNumberFormat="1" applyFont="1" applyFill="1" applyBorder="1" applyAlignment="1" applyProtection="1">
      <alignment horizontal="center" vertical="top"/>
      <protection locked="0" hidden="1"/>
    </xf>
    <xf numFmtId="171" fontId="28" fillId="2" borderId="49" xfId="0" applyNumberFormat="1" applyFont="1" applyFill="1" applyBorder="1" applyAlignment="1" applyProtection="1">
      <alignment horizontal="center" vertical="top"/>
      <protection locked="0"/>
    </xf>
    <xf numFmtId="171" fontId="28" fillId="27" borderId="49" xfId="0" applyNumberFormat="1" applyFont="1" applyFill="1" applyBorder="1" applyAlignment="1" applyProtection="1">
      <alignment horizontal="center" vertical="top"/>
      <protection locked="0"/>
    </xf>
    <xf numFmtId="166" fontId="35" fillId="3" borderId="49" xfId="0" applyNumberFormat="1" applyFont="1" applyFill="1" applyBorder="1" applyAlignment="1" applyProtection="1">
      <alignment horizontal="center" vertical="top"/>
      <protection locked="0"/>
    </xf>
    <xf numFmtId="171" fontId="33" fillId="9" borderId="52" xfId="156" applyNumberFormat="1" applyFont="1" applyFill="1" applyBorder="1" applyAlignment="1">
      <alignment vertical="top"/>
    </xf>
    <xf numFmtId="14" fontId="33" fillId="0" borderId="49" xfId="0" applyNumberFormat="1" applyFont="1" applyBorder="1" applyAlignment="1">
      <alignment horizontal="center" vertical="top"/>
    </xf>
    <xf numFmtId="0" fontId="32" fillId="0" borderId="0" xfId="0" applyFont="1" applyAlignment="1" applyProtection="1">
      <alignment horizontal="left" vertical="top"/>
      <protection locked="0"/>
    </xf>
    <xf numFmtId="0" fontId="28" fillId="0" borderId="0" xfId="0" applyFont="1" applyAlignment="1" applyProtection="1">
      <alignment horizontal="center" vertical="top"/>
      <protection locked="0"/>
    </xf>
    <xf numFmtId="172" fontId="28" fillId="0" borderId="0" xfId="0" applyNumberFormat="1" applyFont="1" applyAlignment="1" applyProtection="1">
      <alignment horizontal="center" vertical="top"/>
      <protection locked="0"/>
    </xf>
    <xf numFmtId="172" fontId="28" fillId="0" borderId="0" xfId="0" applyNumberFormat="1" applyFont="1" applyAlignment="1" applyProtection="1">
      <alignment horizontal="center" vertical="top"/>
      <protection locked="0" hidden="1"/>
    </xf>
    <xf numFmtId="173" fontId="32" fillId="0" borderId="0" xfId="0" applyNumberFormat="1" applyFont="1" applyAlignment="1" applyProtection="1">
      <alignment horizontal="left" vertical="top"/>
      <protection hidden="1"/>
    </xf>
    <xf numFmtId="172" fontId="33" fillId="0" borderId="0" xfId="0" applyNumberFormat="1" applyFont="1" applyAlignment="1" applyProtection="1">
      <alignment horizontal="center" vertical="top"/>
      <protection hidden="1"/>
    </xf>
    <xf numFmtId="14" fontId="33" fillId="0" borderId="0" xfId="0" applyNumberFormat="1" applyFont="1" applyAlignment="1">
      <alignment horizontal="center" vertical="top"/>
    </xf>
    <xf numFmtId="0" fontId="32" fillId="0" borderId="0" xfId="0" applyFont="1" applyAlignment="1">
      <alignment horizontal="center" vertical="top"/>
    </xf>
    <xf numFmtId="171" fontId="28" fillId="0" borderId="0" xfId="156" applyNumberFormat="1" applyFont="1" applyFill="1" applyBorder="1" applyAlignment="1" applyProtection="1">
      <alignment horizontal="center" vertical="top"/>
      <protection locked="0"/>
    </xf>
    <xf numFmtId="166" fontId="35" fillId="0" borderId="0" xfId="0" applyNumberFormat="1" applyFont="1" applyAlignment="1" applyProtection="1">
      <alignment horizontal="center" vertical="top"/>
      <protection locked="0"/>
    </xf>
    <xf numFmtId="0" fontId="35" fillId="0" borderId="0" xfId="0" applyFont="1" applyAlignment="1" applyProtection="1">
      <alignment horizontal="center" vertical="top"/>
      <protection locked="0"/>
    </xf>
    <xf numFmtId="14" fontId="33" fillId="0" borderId="38" xfId="0" applyNumberFormat="1" applyFont="1" applyBorder="1" applyAlignment="1">
      <alignment horizontal="center" vertical="top"/>
    </xf>
    <xf numFmtId="0" fontId="28" fillId="0" borderId="49" xfId="0" applyFont="1" applyBorder="1" applyAlignment="1" applyProtection="1">
      <alignment horizontal="center" vertical="top"/>
      <protection locked="0"/>
    </xf>
    <xf numFmtId="172" fontId="28" fillId="0" borderId="49" xfId="0" applyNumberFormat="1" applyFont="1" applyBorder="1" applyAlignment="1" applyProtection="1">
      <alignment horizontal="center" vertical="top"/>
      <protection locked="0"/>
    </xf>
    <xf numFmtId="172" fontId="28" fillId="0" borderId="49" xfId="0" applyNumberFormat="1" applyFont="1" applyBorder="1" applyAlignment="1" applyProtection="1">
      <alignment horizontal="center" vertical="top"/>
      <protection locked="0" hidden="1"/>
    </xf>
    <xf numFmtId="171" fontId="35" fillId="2" borderId="49" xfId="0" applyNumberFormat="1" applyFont="1" applyFill="1" applyBorder="1" applyAlignment="1" applyProtection="1">
      <alignment horizontal="center" vertical="top"/>
      <protection locked="0"/>
    </xf>
    <xf numFmtId="14" fontId="32" fillId="0" borderId="49" xfId="0" applyNumberFormat="1" applyFont="1" applyBorder="1" applyAlignment="1" applyProtection="1">
      <alignment horizontal="right" vertical="top"/>
      <protection locked="0"/>
    </xf>
    <xf numFmtId="171" fontId="36" fillId="2" borderId="49" xfId="0" applyNumberFormat="1" applyFont="1" applyFill="1" applyBorder="1" applyAlignment="1" applyProtection="1">
      <alignment horizontal="center" vertical="top"/>
      <protection locked="0"/>
    </xf>
    <xf numFmtId="14" fontId="32" fillId="27" borderId="0" xfId="0" applyNumberFormat="1" applyFont="1" applyFill="1" applyAlignment="1" applyProtection="1">
      <alignment horizontal="left" vertical="top"/>
      <protection locked="0"/>
    </xf>
    <xf numFmtId="0" fontId="28" fillId="2" borderId="49" xfId="0" applyFont="1" applyFill="1" applyBorder="1" applyAlignment="1">
      <alignment horizontal="left" vertical="top"/>
    </xf>
    <xf numFmtId="0" fontId="28" fillId="2" borderId="52" xfId="0" applyFont="1" applyFill="1" applyBorder="1" applyAlignment="1">
      <alignment vertical="top"/>
    </xf>
    <xf numFmtId="169" fontId="28" fillId="2" borderId="2" xfId="0" applyNumberFormat="1" applyFont="1" applyFill="1" applyBorder="1" applyAlignment="1">
      <alignment horizontal="right" vertical="top"/>
    </xf>
    <xf numFmtId="169" fontId="28" fillId="2" borderId="49" xfId="0" applyNumberFormat="1" applyFont="1" applyFill="1" applyBorder="1" applyAlignment="1">
      <alignment horizontal="right" vertical="top"/>
    </xf>
    <xf numFmtId="169" fontId="28" fillId="2" borderId="64" xfId="0" applyNumberFormat="1" applyFont="1" applyFill="1" applyBorder="1" applyAlignment="1">
      <alignment horizontal="right" vertical="top"/>
    </xf>
    <xf numFmtId="44" fontId="28" fillId="2" borderId="49" xfId="156" applyFont="1" applyFill="1" applyBorder="1" applyAlignment="1">
      <alignment horizontal="center" vertical="top"/>
    </xf>
    <xf numFmtId="169" fontId="28" fillId="3" borderId="49" xfId="0" applyNumberFormat="1" applyFont="1" applyFill="1" applyBorder="1" applyAlignment="1" applyProtection="1">
      <alignment horizontal="right" vertical="top"/>
      <protection locked="0"/>
    </xf>
    <xf numFmtId="173" fontId="28" fillId="0" borderId="49" xfId="0" applyNumberFormat="1" applyFont="1" applyBorder="1" applyAlignment="1" applyProtection="1">
      <alignment horizontal="left" vertical="top"/>
      <protection hidden="1"/>
    </xf>
    <xf numFmtId="14" fontId="28" fillId="2" borderId="49" xfId="0" applyNumberFormat="1" applyFont="1" applyFill="1" applyBorder="1" applyAlignment="1" applyProtection="1">
      <alignment horizontal="center" vertical="top"/>
      <protection locked="0"/>
    </xf>
    <xf numFmtId="0" fontId="28" fillId="0" borderId="49" xfId="0" applyFont="1" applyBorder="1" applyAlignment="1">
      <alignment horizontal="left" vertical="top"/>
    </xf>
    <xf numFmtId="0" fontId="28" fillId="0" borderId="52" xfId="0" applyFont="1" applyBorder="1" applyAlignment="1">
      <alignment vertical="top"/>
    </xf>
    <xf numFmtId="169" fontId="28" fillId="0" borderId="2" xfId="0" applyNumberFormat="1" applyFont="1" applyBorder="1" applyAlignment="1">
      <alignment horizontal="right" vertical="top"/>
    </xf>
    <xf numFmtId="169" fontId="28" fillId="0" borderId="49" xfId="0" applyNumberFormat="1" applyFont="1" applyBorder="1" applyAlignment="1">
      <alignment horizontal="right" vertical="top"/>
    </xf>
    <xf numFmtId="169" fontId="28" fillId="0" borderId="64" xfId="0" applyNumberFormat="1" applyFont="1" applyBorder="1" applyAlignment="1">
      <alignment horizontal="right" vertical="top"/>
    </xf>
    <xf numFmtId="0" fontId="28" fillId="9" borderId="52" xfId="0" applyFont="1" applyFill="1" applyBorder="1" applyAlignment="1">
      <alignment vertical="top"/>
    </xf>
    <xf numFmtId="166" fontId="28" fillId="2" borderId="49" xfId="0" applyNumberFormat="1" applyFont="1" applyFill="1" applyBorder="1" applyAlignment="1" applyProtection="1">
      <alignment horizontal="center" vertical="top"/>
      <protection locked="0"/>
    </xf>
    <xf numFmtId="177" fontId="33" fillId="9" borderId="37" xfId="156" applyNumberFormat="1" applyFont="1" applyFill="1" applyBorder="1" applyAlignment="1">
      <alignment vertical="top"/>
    </xf>
    <xf numFmtId="14" fontId="28" fillId="0" borderId="49" xfId="0" applyNumberFormat="1" applyFont="1" applyBorder="1" applyAlignment="1" applyProtection="1">
      <alignment horizontal="center" vertical="top"/>
      <protection locked="0"/>
    </xf>
    <xf numFmtId="44" fontId="28" fillId="2" borderId="51" xfId="156" applyFont="1" applyFill="1" applyBorder="1" applyAlignment="1">
      <alignment horizontal="center" vertical="top"/>
    </xf>
    <xf numFmtId="0" fontId="28" fillId="3" borderId="51" xfId="0" applyFont="1" applyFill="1" applyBorder="1" applyAlignment="1" applyProtection="1">
      <alignment horizontal="center" vertical="top"/>
      <protection locked="0"/>
    </xf>
    <xf numFmtId="172" fontId="28" fillId="3" borderId="51" xfId="0" applyNumberFormat="1" applyFont="1" applyFill="1" applyBorder="1" applyAlignment="1" applyProtection="1">
      <alignment horizontal="center" vertical="top"/>
      <protection locked="0"/>
    </xf>
    <xf numFmtId="172" fontId="28" fillId="3" borderId="51" xfId="0" applyNumberFormat="1" applyFont="1" applyFill="1" applyBorder="1" applyAlignment="1" applyProtection="1">
      <alignment horizontal="center" vertical="top"/>
      <protection locked="0" hidden="1"/>
    </xf>
    <xf numFmtId="0" fontId="28" fillId="0" borderId="51" xfId="0" applyFont="1" applyBorder="1" applyAlignment="1">
      <alignment vertical="top"/>
    </xf>
    <xf numFmtId="0" fontId="28" fillId="0" borderId="51" xfId="0" applyFont="1" applyBorder="1" applyAlignment="1" applyProtection="1">
      <alignment horizontal="center" vertical="top"/>
      <protection locked="0"/>
    </xf>
    <xf numFmtId="14" fontId="28" fillId="0" borderId="51" xfId="0" applyNumberFormat="1" applyFont="1" applyBorder="1" applyAlignment="1" applyProtection="1">
      <alignment horizontal="center" vertical="top"/>
      <protection locked="0"/>
    </xf>
    <xf numFmtId="0" fontId="37" fillId="9" borderId="52" xfId="0" applyFont="1" applyFill="1" applyBorder="1" applyAlignment="1">
      <alignment vertical="top"/>
    </xf>
    <xf numFmtId="0" fontId="37" fillId="0" borderId="49" xfId="0" applyFont="1" applyBorder="1" applyAlignment="1">
      <alignment vertical="top"/>
    </xf>
    <xf numFmtId="166" fontId="28" fillId="0" borderId="49" xfId="0" applyNumberFormat="1" applyFont="1" applyBorder="1" applyAlignment="1">
      <alignment vertical="top"/>
    </xf>
    <xf numFmtId="0" fontId="37" fillId="0" borderId="49" xfId="0" applyFont="1" applyBorder="1" applyAlignment="1">
      <alignment horizontal="left" vertical="top"/>
    </xf>
    <xf numFmtId="0" fontId="37" fillId="0" borderId="52" xfId="0" applyFont="1" applyBorder="1" applyAlignment="1">
      <alignment vertical="top"/>
    </xf>
    <xf numFmtId="169" fontId="37" fillId="0" borderId="2" xfId="0" applyNumberFormat="1" applyFont="1" applyBorder="1" applyAlignment="1">
      <alignment horizontal="right" vertical="top"/>
    </xf>
    <xf numFmtId="169" fontId="37" fillId="0" borderId="49" xfId="0" applyNumberFormat="1" applyFont="1" applyBorder="1" applyAlignment="1">
      <alignment horizontal="right" vertical="top"/>
    </xf>
    <xf numFmtId="169" fontId="37" fillId="0" borderId="64" xfId="0" applyNumberFormat="1" applyFont="1" applyBorder="1" applyAlignment="1">
      <alignment horizontal="right" vertical="top"/>
    </xf>
    <xf numFmtId="171" fontId="33" fillId="2" borderId="49" xfId="156" applyNumberFormat="1" applyFont="1" applyFill="1" applyBorder="1" applyAlignment="1">
      <alignment horizontal="right" vertical="top"/>
    </xf>
    <xf numFmtId="0" fontId="37" fillId="2" borderId="49" xfId="0" applyFont="1" applyFill="1" applyBorder="1" applyAlignment="1">
      <alignment horizontal="left" vertical="top"/>
    </xf>
    <xf numFmtId="0" fontId="37" fillId="2" borderId="52" xfId="0" applyFont="1" applyFill="1" applyBorder="1" applyAlignment="1">
      <alignment vertical="top"/>
    </xf>
    <xf numFmtId="169" fontId="37" fillId="2" borderId="2" xfId="0" applyNumberFormat="1" applyFont="1" applyFill="1" applyBorder="1" applyAlignment="1">
      <alignment horizontal="right" vertical="top"/>
    </xf>
    <xf numFmtId="169" fontId="37" fillId="2" borderId="49" xfId="0" applyNumberFormat="1" applyFont="1" applyFill="1" applyBorder="1" applyAlignment="1">
      <alignment horizontal="right" vertical="top"/>
    </xf>
    <xf numFmtId="169" fontId="37" fillId="2" borderId="64" xfId="0" applyNumberFormat="1" applyFont="1" applyFill="1" applyBorder="1" applyAlignment="1">
      <alignment horizontal="right" vertical="top"/>
    </xf>
    <xf numFmtId="0" fontId="28" fillId="9" borderId="49" xfId="0" applyFont="1" applyFill="1" applyBorder="1" applyAlignment="1">
      <alignment horizontal="center" vertical="top"/>
    </xf>
    <xf numFmtId="169" fontId="28" fillId="9" borderId="2" xfId="0" applyNumberFormat="1" applyFont="1" applyFill="1" applyBorder="1" applyAlignment="1">
      <alignment horizontal="right" vertical="top"/>
    </xf>
    <xf numFmtId="169" fontId="28" fillId="9" borderId="49" xfId="0" applyNumberFormat="1" applyFont="1" applyFill="1" applyBorder="1" applyAlignment="1">
      <alignment horizontal="right" vertical="top"/>
    </xf>
    <xf numFmtId="169" fontId="28" fillId="9" borderId="64" xfId="0" applyNumberFormat="1" applyFont="1" applyFill="1" applyBorder="1" applyAlignment="1">
      <alignment horizontal="right" vertical="top"/>
    </xf>
    <xf numFmtId="0" fontId="32" fillId="2" borderId="49" xfId="0" applyFont="1" applyFill="1" applyBorder="1" applyAlignment="1">
      <alignment horizontal="left" vertical="top"/>
    </xf>
    <xf numFmtId="0" fontId="28" fillId="0" borderId="55" xfId="0" applyFont="1" applyBorder="1" applyAlignment="1">
      <alignment vertical="top"/>
    </xf>
    <xf numFmtId="169" fontId="28" fillId="0" borderId="56" xfId="0" applyNumberFormat="1" applyFont="1" applyBorder="1" applyAlignment="1">
      <alignment horizontal="right" vertical="top"/>
    </xf>
    <xf numFmtId="169" fontId="28" fillId="0" borderId="51" xfId="0" applyNumberFormat="1" applyFont="1" applyBorder="1" applyAlignment="1">
      <alignment horizontal="right" vertical="top"/>
    </xf>
    <xf numFmtId="169" fontId="28" fillId="0" borderId="65" xfId="0" applyNumberFormat="1" applyFont="1" applyBorder="1" applyAlignment="1">
      <alignment horizontal="right" vertical="top"/>
    </xf>
    <xf numFmtId="169" fontId="37" fillId="48" borderId="49" xfId="0" applyNumberFormat="1" applyFont="1" applyFill="1" applyBorder="1" applyAlignment="1">
      <alignment horizontal="right" vertical="top"/>
    </xf>
    <xf numFmtId="0" fontId="37" fillId="0" borderId="36" xfId="0" applyFont="1" applyBorder="1" applyAlignment="1">
      <alignment vertical="top"/>
    </xf>
    <xf numFmtId="169" fontId="37" fillId="0" borderId="66" xfId="0" applyNumberFormat="1" applyFont="1" applyBorder="1" applyAlignment="1">
      <alignment horizontal="right" vertical="top"/>
    </xf>
    <xf numFmtId="169" fontId="37" fillId="0" borderId="37" xfId="0" applyNumberFormat="1" applyFont="1" applyBorder="1" applyAlignment="1">
      <alignment horizontal="right" vertical="top"/>
    </xf>
    <xf numFmtId="169" fontId="37" fillId="0" borderId="67" xfId="0" applyNumberFormat="1" applyFont="1" applyBorder="1" applyAlignment="1">
      <alignment horizontal="right" vertical="top"/>
    </xf>
    <xf numFmtId="171" fontId="28" fillId="2" borderId="49" xfId="0" applyNumberFormat="1" applyFont="1" applyFill="1" applyBorder="1" applyAlignment="1">
      <alignment vertical="top"/>
    </xf>
    <xf numFmtId="171" fontId="28" fillId="27" borderId="49" xfId="0" applyNumberFormat="1" applyFont="1" applyFill="1" applyBorder="1" applyAlignment="1">
      <alignment vertical="top"/>
    </xf>
    <xf numFmtId="171" fontId="28" fillId="2" borderId="37" xfId="0" applyNumberFormat="1" applyFont="1" applyFill="1" applyBorder="1" applyAlignment="1">
      <alignment vertical="top"/>
    </xf>
    <xf numFmtId="171" fontId="28" fillId="27" borderId="37" xfId="0" applyNumberFormat="1" applyFont="1" applyFill="1" applyBorder="1" applyAlignment="1">
      <alignment vertical="top"/>
    </xf>
    <xf numFmtId="171" fontId="28" fillId="9" borderId="49" xfId="0" applyNumberFormat="1" applyFont="1" applyFill="1" applyBorder="1" applyAlignment="1">
      <alignment vertical="top"/>
    </xf>
    <xf numFmtId="0" fontId="28" fillId="9" borderId="49" xfId="0" applyFont="1" applyFill="1" applyBorder="1" applyAlignment="1" applyProtection="1">
      <alignment horizontal="center" vertical="top"/>
      <protection locked="0"/>
    </xf>
    <xf numFmtId="0" fontId="28" fillId="47" borderId="0" xfId="0" applyFont="1" applyFill="1" applyAlignment="1">
      <alignment vertical="top"/>
    </xf>
    <xf numFmtId="171" fontId="28" fillId="0" borderId="49" xfId="0" applyNumberFormat="1" applyFont="1" applyBorder="1" applyAlignment="1">
      <alignment vertical="top"/>
    </xf>
    <xf numFmtId="169" fontId="28" fillId="2" borderId="49" xfId="0" applyNumberFormat="1" applyFont="1" applyFill="1" applyBorder="1" applyAlignment="1" applyProtection="1">
      <alignment horizontal="right" vertical="top"/>
      <protection locked="0"/>
    </xf>
    <xf numFmtId="169" fontId="28" fillId="0" borderId="51" xfId="0" applyNumberFormat="1" applyFont="1" applyBorder="1" applyAlignment="1" applyProtection="1">
      <alignment horizontal="right" vertical="top"/>
      <protection locked="0"/>
    </xf>
    <xf numFmtId="169" fontId="28" fillId="3" borderId="51" xfId="0" applyNumberFormat="1" applyFont="1" applyFill="1" applyBorder="1" applyAlignment="1" applyProtection="1">
      <alignment horizontal="right" vertical="top"/>
      <protection locked="0"/>
    </xf>
    <xf numFmtId="169" fontId="28" fillId="3" borderId="37" xfId="0" applyNumberFormat="1" applyFont="1" applyFill="1" applyBorder="1" applyAlignment="1" applyProtection="1">
      <alignment horizontal="right" vertical="top"/>
      <protection locked="0"/>
    </xf>
    <xf numFmtId="169" fontId="28" fillId="2" borderId="50" xfId="0" applyNumberFormat="1" applyFont="1" applyFill="1" applyBorder="1" applyAlignment="1" applyProtection="1">
      <alignment horizontal="right" vertical="top"/>
      <protection locked="0"/>
    </xf>
    <xf numFmtId="169" fontId="28" fillId="9" borderId="49" xfId="0" applyNumberFormat="1" applyFont="1" applyFill="1" applyBorder="1" applyAlignment="1" applyProtection="1">
      <alignment horizontal="right" vertical="top"/>
      <protection locked="0"/>
    </xf>
    <xf numFmtId="0" fontId="28" fillId="0" borderId="52" xfId="0" applyFont="1" applyBorder="1" applyAlignment="1" applyProtection="1">
      <alignment horizontal="left" vertical="top"/>
      <protection locked="0"/>
    </xf>
    <xf numFmtId="169" fontId="28" fillId="0" borderId="2" xfId="0" applyNumberFormat="1" applyFont="1" applyBorder="1" applyAlignment="1" applyProtection="1">
      <alignment horizontal="right" vertical="top"/>
      <protection locked="0"/>
    </xf>
    <xf numFmtId="169" fontId="28" fillId="0" borderId="64" xfId="0" applyNumberFormat="1" applyFont="1" applyBorder="1" applyAlignment="1" applyProtection="1">
      <alignment horizontal="right" vertical="top"/>
      <protection locked="0"/>
    </xf>
    <xf numFmtId="169" fontId="28" fillId="0" borderId="50" xfId="0" applyNumberFormat="1" applyFont="1" applyBorder="1" applyAlignment="1" applyProtection="1">
      <alignment horizontal="right" vertical="top"/>
      <protection locked="0"/>
    </xf>
    <xf numFmtId="174" fontId="28" fillId="0" borderId="49" xfId="0" applyNumberFormat="1" applyFont="1" applyBorder="1" applyAlignment="1">
      <alignment vertical="top"/>
    </xf>
    <xf numFmtId="1" fontId="28" fillId="47" borderId="0" xfId="0" applyNumberFormat="1" applyFont="1" applyFill="1" applyAlignment="1">
      <alignment vertical="top"/>
    </xf>
    <xf numFmtId="0" fontId="36" fillId="0" borderId="52" xfId="0" applyFont="1" applyBorder="1" applyAlignment="1">
      <alignment vertical="top"/>
    </xf>
    <xf numFmtId="169" fontId="36" fillId="0" borderId="2" xfId="0" applyNumberFormat="1" applyFont="1" applyBorder="1" applyAlignment="1">
      <alignment horizontal="right" vertical="top"/>
    </xf>
    <xf numFmtId="169" fontId="36" fillId="0" borderId="49" xfId="0" applyNumberFormat="1" applyFont="1" applyBorder="1" applyAlignment="1">
      <alignment horizontal="right" vertical="top"/>
    </xf>
    <xf numFmtId="169" fontId="36" fillId="0" borderId="64" xfId="0" applyNumberFormat="1" applyFont="1" applyBorder="1" applyAlignment="1">
      <alignment horizontal="right" vertical="top"/>
    </xf>
    <xf numFmtId="0" fontId="28" fillId="2" borderId="55" xfId="0" applyFont="1" applyFill="1" applyBorder="1" applyAlignment="1">
      <alignment vertical="top"/>
    </xf>
    <xf numFmtId="169" fontId="28" fillId="2" borderId="56" xfId="0" applyNumberFormat="1" applyFont="1" applyFill="1" applyBorder="1" applyAlignment="1">
      <alignment horizontal="right" vertical="top"/>
    </xf>
    <xf numFmtId="169" fontId="28" fillId="2" borderId="51" xfId="0" applyNumberFormat="1" applyFont="1" applyFill="1" applyBorder="1" applyAlignment="1">
      <alignment horizontal="right" vertical="top"/>
    </xf>
    <xf numFmtId="169" fontId="28" fillId="2" borderId="65" xfId="0" applyNumberFormat="1" applyFont="1" applyFill="1" applyBorder="1" applyAlignment="1">
      <alignment horizontal="right" vertical="top"/>
    </xf>
    <xf numFmtId="0" fontId="28" fillId="2" borderId="36" xfId="0" applyFont="1" applyFill="1" applyBorder="1" applyAlignment="1">
      <alignment vertical="top"/>
    </xf>
    <xf numFmtId="169" fontId="28" fillId="2" borderId="66" xfId="0" applyNumberFormat="1" applyFont="1" applyFill="1" applyBorder="1" applyAlignment="1">
      <alignment horizontal="right" vertical="top"/>
    </xf>
    <xf numFmtId="169" fontId="28" fillId="2" borderId="37" xfId="0" applyNumberFormat="1" applyFont="1" applyFill="1" applyBorder="1" applyAlignment="1">
      <alignment horizontal="right" vertical="top"/>
    </xf>
    <xf numFmtId="169" fontId="28" fillId="2" borderId="67" xfId="0" applyNumberFormat="1" applyFont="1" applyFill="1" applyBorder="1" applyAlignment="1">
      <alignment horizontal="right" vertical="top"/>
    </xf>
    <xf numFmtId="169" fontId="28" fillId="52" borderId="49" xfId="0" applyNumberFormat="1" applyFont="1" applyFill="1" applyBorder="1" applyAlignment="1" applyProtection="1">
      <alignment horizontal="right" vertical="top"/>
      <protection locked="0"/>
    </xf>
    <xf numFmtId="0" fontId="28" fillId="9" borderId="36" xfId="0" applyFont="1" applyFill="1" applyBorder="1" applyAlignment="1">
      <alignment vertical="top"/>
    </xf>
    <xf numFmtId="169" fontId="28" fillId="0" borderId="37" xfId="0" applyNumberFormat="1" applyFont="1" applyBorder="1" applyAlignment="1" applyProtection="1">
      <alignment horizontal="right" vertical="top"/>
      <protection locked="0"/>
    </xf>
    <xf numFmtId="0" fontId="28" fillId="0" borderId="49" xfId="0" applyFont="1" applyBorder="1" applyAlignment="1" applyProtection="1">
      <alignment horizontal="left" vertical="top"/>
      <protection locked="0"/>
    </xf>
    <xf numFmtId="0" fontId="28" fillId="2" borderId="49" xfId="0" applyFont="1" applyFill="1" applyBorder="1" applyAlignment="1" applyProtection="1">
      <alignment horizontal="left" vertical="top"/>
      <protection locked="0"/>
    </xf>
    <xf numFmtId="174" fontId="28" fillId="27" borderId="49" xfId="0" applyNumberFormat="1" applyFont="1" applyFill="1" applyBorder="1" applyAlignment="1">
      <alignment vertical="top"/>
    </xf>
    <xf numFmtId="0" fontId="28" fillId="0" borderId="55" xfId="0" applyFont="1" applyBorder="1" applyAlignment="1" applyProtection="1">
      <alignment horizontal="left" vertical="top"/>
      <protection locked="0"/>
    </xf>
    <xf numFmtId="169" fontId="28" fillId="0" borderId="56" xfId="0" applyNumberFormat="1" applyFont="1" applyBorder="1" applyAlignment="1" applyProtection="1">
      <alignment horizontal="right" vertical="top"/>
      <protection locked="0"/>
    </xf>
    <xf numFmtId="169" fontId="28" fillId="0" borderId="65" xfId="0" applyNumberFormat="1" applyFont="1" applyBorder="1" applyAlignment="1" applyProtection="1">
      <alignment horizontal="right" vertical="top"/>
      <protection locked="0"/>
    </xf>
    <xf numFmtId="0" fontId="28" fillId="9" borderId="36" xfId="0" applyFont="1" applyFill="1" applyBorder="1" applyAlignment="1" applyProtection="1">
      <alignment horizontal="left" vertical="top"/>
      <protection locked="0"/>
    </xf>
    <xf numFmtId="0" fontId="28" fillId="27" borderId="49" xfId="0" applyFont="1" applyFill="1" applyBorder="1" applyAlignment="1" applyProtection="1">
      <alignment horizontal="left" vertical="top"/>
      <protection locked="0"/>
    </xf>
    <xf numFmtId="0" fontId="28" fillId="2" borderId="49" xfId="0" applyFont="1" applyFill="1" applyBorder="1" applyAlignment="1" applyProtection="1">
      <alignment horizontal="center" vertical="top"/>
      <protection locked="0"/>
    </xf>
    <xf numFmtId="0" fontId="28" fillId="27" borderId="49" xfId="0" applyFont="1" applyFill="1" applyBorder="1" applyAlignment="1" applyProtection="1">
      <alignment horizontal="center" vertical="top"/>
      <protection locked="0"/>
    </xf>
    <xf numFmtId="0" fontId="28" fillId="2" borderId="55" xfId="0" applyFont="1" applyFill="1" applyBorder="1" applyAlignment="1" applyProtection="1">
      <alignment horizontal="left" vertical="top"/>
      <protection locked="0"/>
    </xf>
    <xf numFmtId="169" fontId="28" fillId="2" borderId="56" xfId="0" applyNumberFormat="1" applyFont="1" applyFill="1" applyBorder="1" applyAlignment="1" applyProtection="1">
      <alignment horizontal="right" vertical="top"/>
      <protection locked="0"/>
    </xf>
    <xf numFmtId="169" fontId="28" fillId="2" borderId="51" xfId="0" applyNumberFormat="1" applyFont="1" applyFill="1" applyBorder="1" applyAlignment="1" applyProtection="1">
      <alignment horizontal="right" vertical="top"/>
      <protection locked="0"/>
    </xf>
    <xf numFmtId="169" fontId="28" fillId="2" borderId="65" xfId="0" applyNumberFormat="1" applyFont="1" applyFill="1" applyBorder="1" applyAlignment="1" applyProtection="1">
      <alignment horizontal="right" vertical="top"/>
      <protection locked="0"/>
    </xf>
    <xf numFmtId="0" fontId="28" fillId="0" borderId="36" xfId="0" applyFont="1" applyBorder="1" applyAlignment="1" applyProtection="1">
      <alignment horizontal="left" vertical="top"/>
      <protection locked="0"/>
    </xf>
    <xf numFmtId="169" fontId="28" fillId="0" borderId="66" xfId="0" applyNumberFormat="1" applyFont="1" applyBorder="1" applyAlignment="1" applyProtection="1">
      <alignment horizontal="right" vertical="top"/>
      <protection locked="0"/>
    </xf>
    <xf numFmtId="169" fontId="28" fillId="0" borderId="67" xfId="0" applyNumberFormat="1" applyFont="1" applyBorder="1" applyAlignment="1" applyProtection="1">
      <alignment horizontal="right" vertical="top"/>
      <protection locked="0"/>
    </xf>
    <xf numFmtId="0" fontId="28" fillId="9" borderId="52" xfId="0" applyFont="1" applyFill="1" applyBorder="1" applyAlignment="1" applyProtection="1">
      <alignment horizontal="left" vertical="top"/>
      <protection locked="0"/>
    </xf>
    <xf numFmtId="0" fontId="28" fillId="9" borderId="49" xfId="0" applyFont="1" applyFill="1" applyBorder="1" applyAlignment="1">
      <alignment horizontal="left" vertical="top"/>
    </xf>
    <xf numFmtId="174" fontId="28" fillId="0" borderId="49" xfId="0" applyNumberFormat="1" applyFont="1" applyBorder="1" applyAlignment="1">
      <alignment horizontal="right" vertical="top"/>
    </xf>
    <xf numFmtId="14" fontId="28" fillId="3" borderId="49" xfId="0" applyNumberFormat="1" applyFont="1" applyFill="1" applyBorder="1" applyAlignment="1" applyProtection="1">
      <alignment horizontal="center" vertical="top"/>
      <protection locked="0"/>
    </xf>
    <xf numFmtId="0" fontId="28" fillId="27" borderId="49" xfId="0" applyFont="1" applyFill="1" applyBorder="1" applyAlignment="1">
      <alignment vertical="top"/>
    </xf>
    <xf numFmtId="0" fontId="28" fillId="2" borderId="49" xfId="0" applyFont="1" applyFill="1" applyBorder="1" applyAlignment="1">
      <alignment vertical="top"/>
    </xf>
    <xf numFmtId="0" fontId="22" fillId="0" borderId="49" xfId="0" applyFont="1" applyBorder="1" applyAlignment="1">
      <alignment horizontal="left" vertical="top"/>
    </xf>
    <xf numFmtId="0" fontId="22" fillId="0" borderId="49" xfId="0" applyFont="1" applyBorder="1" applyAlignment="1">
      <alignment vertical="top"/>
    </xf>
    <xf numFmtId="0" fontId="28" fillId="9" borderId="55" xfId="0" applyFont="1" applyFill="1" applyBorder="1" applyAlignment="1">
      <alignment vertical="top"/>
    </xf>
    <xf numFmtId="174" fontId="28" fillId="0" borderId="51" xfId="0" applyNumberFormat="1" applyFont="1" applyBorder="1" applyAlignment="1">
      <alignment vertical="top"/>
    </xf>
    <xf numFmtId="0" fontId="28" fillId="0" borderId="36" xfId="0" applyFont="1" applyBorder="1" applyAlignment="1">
      <alignment vertical="top"/>
    </xf>
    <xf numFmtId="169" fontId="28" fillId="0" borderId="66" xfId="0" applyNumberFormat="1" applyFont="1" applyBorder="1" applyAlignment="1">
      <alignment horizontal="right" vertical="top"/>
    </xf>
    <xf numFmtId="169" fontId="28" fillId="0" borderId="37" xfId="0" applyNumberFormat="1" applyFont="1" applyBorder="1" applyAlignment="1">
      <alignment horizontal="right" vertical="top"/>
    </xf>
    <xf numFmtId="169" fontId="28" fillId="0" borderId="67" xfId="0" applyNumberFormat="1" applyFont="1" applyBorder="1" applyAlignment="1">
      <alignment horizontal="right" vertical="top"/>
    </xf>
    <xf numFmtId="169" fontId="28" fillId="27" borderId="50" xfId="0" applyNumberFormat="1" applyFont="1" applyFill="1" applyBorder="1" applyAlignment="1" applyProtection="1">
      <alignment horizontal="right" vertical="top"/>
      <protection locked="0"/>
    </xf>
    <xf numFmtId="14" fontId="28" fillId="27" borderId="49" xfId="0" applyNumberFormat="1" applyFont="1" applyFill="1" applyBorder="1" applyAlignment="1" applyProtection="1">
      <alignment horizontal="center" vertical="top"/>
      <protection locked="0"/>
    </xf>
    <xf numFmtId="169" fontId="28" fillId="9" borderId="50" xfId="0" applyNumberFormat="1" applyFont="1" applyFill="1" applyBorder="1" applyAlignment="1" applyProtection="1">
      <alignment horizontal="right" vertical="top"/>
      <protection locked="0"/>
    </xf>
    <xf numFmtId="14" fontId="28" fillId="9" borderId="49" xfId="0" applyNumberFormat="1" applyFont="1" applyFill="1" applyBorder="1" applyAlignment="1" applyProtection="1">
      <alignment horizontal="center" vertical="top"/>
      <protection locked="0"/>
    </xf>
    <xf numFmtId="0" fontId="32" fillId="2" borderId="49" xfId="0" applyFont="1" applyFill="1" applyBorder="1" applyAlignment="1">
      <alignment vertical="top"/>
    </xf>
    <xf numFmtId="169" fontId="28" fillId="52" borderId="50" xfId="0" applyNumberFormat="1" applyFont="1" applyFill="1" applyBorder="1" applyAlignment="1" applyProtection="1">
      <alignment horizontal="right" vertical="top"/>
      <protection locked="0"/>
    </xf>
    <xf numFmtId="169" fontId="28" fillId="2" borderId="54" xfId="0" applyNumberFormat="1" applyFont="1" applyFill="1" applyBorder="1" applyAlignment="1" applyProtection="1">
      <alignment horizontal="right" vertical="top"/>
      <protection locked="0"/>
    </xf>
    <xf numFmtId="0" fontId="28" fillId="2" borderId="51" xfId="0" applyFont="1" applyFill="1" applyBorder="1" applyAlignment="1" applyProtection="1">
      <alignment horizontal="center" vertical="top"/>
      <protection locked="0"/>
    </xf>
    <xf numFmtId="169" fontId="28" fillId="27" borderId="54" xfId="0" applyNumberFormat="1" applyFont="1" applyFill="1" applyBorder="1" applyAlignment="1" applyProtection="1">
      <alignment horizontal="right" vertical="top"/>
      <protection locked="0"/>
    </xf>
    <xf numFmtId="0" fontId="28" fillId="27" borderId="51" xfId="0" applyFont="1" applyFill="1" applyBorder="1" applyAlignment="1" applyProtection="1">
      <alignment horizontal="center" vertical="top"/>
      <protection locked="0"/>
    </xf>
    <xf numFmtId="14" fontId="28" fillId="27" borderId="55" xfId="0" applyNumberFormat="1" applyFont="1" applyFill="1" applyBorder="1" applyAlignment="1" applyProtection="1">
      <alignment horizontal="center" vertical="top"/>
      <protection locked="0"/>
    </xf>
    <xf numFmtId="0" fontId="32" fillId="2" borderId="49" xfId="0" applyFont="1" applyFill="1" applyBorder="1" applyAlignment="1">
      <alignment vertical="top" wrapText="1"/>
    </xf>
    <xf numFmtId="169" fontId="28" fillId="2" borderId="0" xfId="0" applyNumberFormat="1" applyFont="1" applyFill="1" applyAlignment="1" applyProtection="1">
      <alignment horizontal="right" vertical="top"/>
      <protection locked="0"/>
    </xf>
    <xf numFmtId="169" fontId="28" fillId="27" borderId="0" xfId="0" applyNumberFormat="1" applyFont="1" applyFill="1" applyAlignment="1" applyProtection="1">
      <alignment horizontal="right" vertical="top"/>
      <protection locked="0"/>
    </xf>
    <xf numFmtId="178" fontId="28" fillId="0" borderId="49" xfId="0" applyNumberFormat="1" applyFont="1" applyBorder="1" applyAlignment="1">
      <alignment horizontal="right" vertical="top"/>
    </xf>
    <xf numFmtId="178" fontId="28" fillId="27" borderId="49" xfId="0" applyNumberFormat="1" applyFont="1" applyFill="1" applyBorder="1" applyAlignment="1">
      <alignment horizontal="right" vertical="top"/>
    </xf>
    <xf numFmtId="178" fontId="28" fillId="2" borderId="49" xfId="0" applyNumberFormat="1" applyFont="1" applyFill="1" applyBorder="1" applyAlignment="1">
      <alignment horizontal="right" vertical="top"/>
    </xf>
    <xf numFmtId="175" fontId="28" fillId="0" borderId="49" xfId="0" applyNumberFormat="1" applyFont="1" applyBorder="1" applyAlignment="1">
      <alignment vertical="top"/>
    </xf>
    <xf numFmtId="169" fontId="28" fillId="2" borderId="51" xfId="0" applyNumberFormat="1" applyFont="1" applyFill="1" applyBorder="1" applyAlignment="1">
      <alignment vertical="top"/>
    </xf>
    <xf numFmtId="14" fontId="28" fillId="2" borderId="51" xfId="0" applyNumberFormat="1" applyFont="1" applyFill="1" applyBorder="1" applyAlignment="1" applyProtection="1">
      <alignment horizontal="center" vertical="top"/>
      <protection locked="0"/>
    </xf>
    <xf numFmtId="169" fontId="28" fillId="27" borderId="51" xfId="0" applyNumberFormat="1" applyFont="1" applyFill="1" applyBorder="1" applyAlignment="1">
      <alignment vertical="top"/>
    </xf>
    <xf numFmtId="14" fontId="28" fillId="27" borderId="51" xfId="0" applyNumberFormat="1" applyFont="1" applyFill="1" applyBorder="1" applyAlignment="1" applyProtection="1">
      <alignment horizontal="center" vertical="top"/>
      <protection locked="0"/>
    </xf>
    <xf numFmtId="0" fontId="28" fillId="2" borderId="51" xfId="0" applyFont="1" applyFill="1" applyBorder="1" applyAlignment="1">
      <alignment vertical="top"/>
    </xf>
    <xf numFmtId="0" fontId="28" fillId="0" borderId="51" xfId="0" applyFont="1" applyBorder="1" applyAlignment="1">
      <alignment horizontal="center" vertical="top"/>
    </xf>
    <xf numFmtId="166" fontId="28" fillId="0" borderId="51" xfId="0" applyNumberFormat="1" applyFont="1" applyBorder="1" applyAlignment="1">
      <alignment vertical="top"/>
    </xf>
    <xf numFmtId="0" fontId="32" fillId="9" borderId="52" xfId="0" applyFont="1" applyFill="1" applyBorder="1" applyAlignment="1">
      <alignment horizontal="left" vertical="top"/>
    </xf>
    <xf numFmtId="169" fontId="32" fillId="9" borderId="49" xfId="0" applyNumberFormat="1" applyFont="1" applyFill="1" applyBorder="1" applyAlignment="1" applyProtection="1">
      <alignment horizontal="center" vertical="top"/>
      <protection locked="0"/>
    </xf>
    <xf numFmtId="169" fontId="32" fillId="2" borderId="49" xfId="0" applyNumberFormat="1" applyFont="1" applyFill="1" applyBorder="1" applyAlignment="1" applyProtection="1">
      <alignment horizontal="center" vertical="top"/>
      <protection locked="0"/>
    </xf>
    <xf numFmtId="169" fontId="32" fillId="27" borderId="49" xfId="0" applyNumberFormat="1" applyFont="1" applyFill="1" applyBorder="1" applyAlignment="1" applyProtection="1">
      <alignment horizontal="center" vertical="top"/>
      <protection locked="0"/>
    </xf>
    <xf numFmtId="0" fontId="32" fillId="2" borderId="52" xfId="0" applyFont="1" applyFill="1" applyBorder="1" applyAlignment="1">
      <alignment vertical="top"/>
    </xf>
    <xf numFmtId="169" fontId="32" fillId="2" borderId="2" xfId="0" applyNumberFormat="1" applyFont="1" applyFill="1" applyBorder="1" applyAlignment="1">
      <alignment horizontal="right" vertical="top"/>
    </xf>
    <xf numFmtId="169" fontId="32" fillId="2" borderId="49" xfId="0" applyNumberFormat="1" applyFont="1" applyFill="1" applyBorder="1" applyAlignment="1">
      <alignment horizontal="right" vertical="top"/>
    </xf>
    <xf numFmtId="169" fontId="32" fillId="2" borderId="64" xfId="0" applyNumberFormat="1" applyFont="1" applyFill="1" applyBorder="1" applyAlignment="1">
      <alignment horizontal="right" vertical="top"/>
    </xf>
    <xf numFmtId="0" fontId="32" fillId="27" borderId="52" xfId="0" applyFont="1" applyFill="1" applyBorder="1" applyAlignment="1">
      <alignment vertical="top"/>
    </xf>
    <xf numFmtId="169" fontId="32" fillId="27" borderId="2" xfId="0" applyNumberFormat="1" applyFont="1" applyFill="1" applyBorder="1" applyAlignment="1">
      <alignment horizontal="right" vertical="top"/>
    </xf>
    <xf numFmtId="169" fontId="32" fillId="27" borderId="49" xfId="0" applyNumberFormat="1" applyFont="1" applyFill="1" applyBorder="1" applyAlignment="1">
      <alignment horizontal="right" vertical="top"/>
    </xf>
    <xf numFmtId="169" fontId="32" fillId="2" borderId="49" xfId="156" applyNumberFormat="1" applyFont="1" applyFill="1" applyBorder="1" applyAlignment="1">
      <alignment horizontal="right" vertical="top"/>
    </xf>
    <xf numFmtId="169" fontId="32" fillId="27" borderId="49" xfId="156" applyNumberFormat="1" applyFont="1" applyFill="1" applyBorder="1" applyAlignment="1">
      <alignment horizontal="right" vertical="top"/>
    </xf>
    <xf numFmtId="169" fontId="32" fillId="9" borderId="49" xfId="0" applyNumberFormat="1" applyFont="1" applyFill="1" applyBorder="1" applyAlignment="1" applyProtection="1">
      <alignment horizontal="right" vertical="top"/>
      <protection locked="0"/>
    </xf>
    <xf numFmtId="169" fontId="28" fillId="0" borderId="51" xfId="0" applyNumberFormat="1" applyFont="1" applyBorder="1" applyAlignment="1">
      <alignment vertical="top"/>
    </xf>
    <xf numFmtId="169" fontId="28" fillId="27" borderId="51" xfId="0" applyNumberFormat="1" applyFont="1" applyFill="1" applyBorder="1" applyAlignment="1" applyProtection="1">
      <alignment horizontal="right" vertical="top"/>
      <protection locked="0"/>
    </xf>
    <xf numFmtId="0" fontId="28" fillId="9" borderId="37" xfId="0" applyFont="1" applyFill="1" applyBorder="1" applyAlignment="1" applyProtection="1">
      <alignment horizontal="center" vertical="top"/>
      <protection locked="0"/>
    </xf>
    <xf numFmtId="0" fontId="28" fillId="2" borderId="37" xfId="0" applyFont="1" applyFill="1" applyBorder="1" applyAlignment="1" applyProtection="1">
      <alignment horizontal="center" vertical="top"/>
      <protection locked="0"/>
    </xf>
    <xf numFmtId="0" fontId="28" fillId="27" borderId="37" xfId="0" applyFont="1" applyFill="1" applyBorder="1" applyAlignment="1" applyProtection="1">
      <alignment horizontal="center" vertical="top"/>
      <protection locked="0"/>
    </xf>
    <xf numFmtId="14" fontId="28" fillId="2" borderId="37" xfId="0" applyNumberFormat="1" applyFont="1" applyFill="1" applyBorder="1" applyAlignment="1" applyProtection="1">
      <alignment horizontal="center" vertical="top"/>
      <protection locked="0"/>
    </xf>
    <xf numFmtId="0" fontId="32" fillId="2" borderId="49" xfId="0" applyFont="1" applyFill="1" applyBorder="1" applyAlignment="1" applyProtection="1">
      <alignment horizontal="center" vertical="top"/>
      <protection locked="0"/>
    </xf>
    <xf numFmtId="0" fontId="32" fillId="27" borderId="49" xfId="0" applyFont="1" applyFill="1" applyBorder="1" applyAlignment="1" applyProtection="1">
      <alignment horizontal="center" vertical="top"/>
      <protection locked="0"/>
    </xf>
    <xf numFmtId="0" fontId="28" fillId="2" borderId="49" xfId="0" applyFont="1" applyFill="1" applyBorder="1" applyAlignment="1">
      <alignment vertical="top" wrapText="1"/>
    </xf>
    <xf numFmtId="0" fontId="32" fillId="0" borderId="49" xfId="0" applyFont="1" applyBorder="1" applyAlignment="1" applyProtection="1">
      <alignment horizontal="center" vertical="top"/>
      <protection locked="0"/>
    </xf>
    <xf numFmtId="172" fontId="32" fillId="0" borderId="49" xfId="0" applyNumberFormat="1" applyFont="1" applyBorder="1" applyAlignment="1" applyProtection="1">
      <alignment horizontal="center" vertical="top"/>
      <protection locked="0"/>
    </xf>
    <xf numFmtId="172" fontId="32" fillId="0" borderId="49" xfId="0" applyNumberFormat="1" applyFont="1" applyBorder="1" applyAlignment="1" applyProtection="1">
      <alignment horizontal="center" vertical="top"/>
      <protection locked="0" hidden="1"/>
    </xf>
    <xf numFmtId="174" fontId="28" fillId="2" borderId="49" xfId="0" applyNumberFormat="1" applyFont="1" applyFill="1" applyBorder="1" applyAlignment="1" applyProtection="1">
      <alignment horizontal="center" vertical="top"/>
      <protection locked="0"/>
    </xf>
    <xf numFmtId="174" fontId="28" fillId="27" borderId="49" xfId="0" applyNumberFormat="1" applyFont="1" applyFill="1" applyBorder="1" applyAlignment="1" applyProtection="1">
      <alignment horizontal="center" vertical="top"/>
      <protection locked="0"/>
    </xf>
    <xf numFmtId="169" fontId="32" fillId="0" borderId="66" xfId="0" applyNumberFormat="1" applyFont="1" applyBorder="1" applyAlignment="1">
      <alignment horizontal="right" vertical="top"/>
    </xf>
    <xf numFmtId="169" fontId="32" fillId="0" borderId="37" xfId="0" applyNumberFormat="1" applyFont="1" applyBorder="1" applyAlignment="1">
      <alignment horizontal="right" vertical="top"/>
    </xf>
    <xf numFmtId="169" fontId="32" fillId="0" borderId="67" xfId="0" applyNumberFormat="1" applyFont="1" applyBorder="1" applyAlignment="1">
      <alignment horizontal="right" vertical="top"/>
    </xf>
    <xf numFmtId="169" fontId="61" fillId="2" borderId="49" xfId="0" applyNumberFormat="1" applyFont="1" applyFill="1" applyBorder="1" applyAlignment="1">
      <alignment horizontal="right" vertical="top"/>
    </xf>
    <xf numFmtId="0" fontId="60" fillId="2" borderId="49" xfId="0" applyFont="1" applyFill="1" applyBorder="1" applyAlignment="1">
      <alignment vertical="top"/>
    </xf>
    <xf numFmtId="169" fontId="61" fillId="27" borderId="49" xfId="0" applyNumberFormat="1" applyFont="1" applyFill="1" applyBorder="1" applyAlignment="1">
      <alignment horizontal="right" vertical="top"/>
    </xf>
    <xf numFmtId="0" fontId="60" fillId="27" borderId="49" xfId="0" applyFont="1" applyFill="1" applyBorder="1" applyAlignment="1">
      <alignment vertical="top"/>
    </xf>
    <xf numFmtId="0" fontId="32" fillId="0" borderId="2" xfId="0" applyFont="1" applyBorder="1" applyAlignment="1">
      <alignment vertical="top"/>
    </xf>
    <xf numFmtId="0" fontId="32" fillId="0" borderId="56" xfId="0" applyFont="1" applyBorder="1" applyAlignment="1">
      <alignment vertical="top"/>
    </xf>
    <xf numFmtId="171" fontId="33" fillId="3" borderId="49" xfId="156" applyNumberFormat="1" applyFont="1" applyFill="1" applyBorder="1" applyAlignment="1">
      <alignment vertical="top"/>
    </xf>
    <xf numFmtId="169" fontId="28" fillId="2" borderId="38" xfId="0" applyNumberFormat="1" applyFont="1" applyFill="1" applyBorder="1" applyAlignment="1" applyProtection="1">
      <alignment horizontal="right" vertical="top"/>
      <protection locked="0"/>
    </xf>
    <xf numFmtId="169" fontId="28" fillId="2" borderId="37" xfId="0" applyNumberFormat="1" applyFont="1" applyFill="1" applyBorder="1" applyAlignment="1" applyProtection="1">
      <alignment horizontal="right" vertical="top"/>
      <protection locked="0"/>
    </xf>
    <xf numFmtId="171" fontId="28" fillId="2" borderId="49" xfId="156" applyNumberFormat="1" applyFont="1" applyFill="1" applyBorder="1" applyAlignment="1">
      <alignment horizontal="center" vertical="top"/>
    </xf>
    <xf numFmtId="171" fontId="28" fillId="27" borderId="49" xfId="156" applyNumberFormat="1" applyFont="1" applyFill="1" applyBorder="1" applyAlignment="1">
      <alignment horizontal="center" vertical="top"/>
    </xf>
    <xf numFmtId="171" fontId="28" fillId="2" borderId="51" xfId="156" applyNumberFormat="1" applyFont="1" applyFill="1" applyBorder="1" applyAlignment="1">
      <alignment horizontal="center" vertical="top"/>
    </xf>
    <xf numFmtId="171" fontId="28" fillId="27" borderId="51" xfId="156" applyNumberFormat="1" applyFont="1" applyFill="1" applyBorder="1" applyAlignment="1">
      <alignment horizontal="center" vertical="top"/>
    </xf>
    <xf numFmtId="0" fontId="63" fillId="0" borderId="51" xfId="0" applyFont="1" applyBorder="1" applyAlignment="1">
      <alignment vertical="top"/>
    </xf>
    <xf numFmtId="166" fontId="28" fillId="0" borderId="51" xfId="0" applyNumberFormat="1" applyFont="1" applyBorder="1" applyAlignment="1">
      <alignment horizontal="center" vertical="top"/>
    </xf>
    <xf numFmtId="44" fontId="28" fillId="0" borderId="51" xfId="156" applyFont="1" applyBorder="1" applyAlignment="1">
      <alignment horizontal="center" vertical="top"/>
    </xf>
    <xf numFmtId="0" fontId="28" fillId="0" borderId="70" xfId="0" applyFont="1" applyBorder="1" applyAlignment="1" applyProtection="1">
      <alignment horizontal="left" vertical="top"/>
      <protection locked="0"/>
    </xf>
    <xf numFmtId="169" fontId="28" fillId="0" borderId="71" xfId="0" applyNumberFormat="1" applyFont="1" applyBorder="1" applyAlignment="1" applyProtection="1">
      <alignment horizontal="right" vertical="top"/>
      <protection locked="0"/>
    </xf>
    <xf numFmtId="169" fontId="28" fillId="0" borderId="4" xfId="0" applyNumberFormat="1" applyFont="1" applyBorder="1" applyAlignment="1" applyProtection="1">
      <alignment horizontal="right" vertical="top"/>
      <protection locked="0"/>
    </xf>
    <xf numFmtId="169" fontId="28" fillId="0" borderId="72" xfId="0" applyNumberFormat="1" applyFont="1" applyBorder="1" applyAlignment="1" applyProtection="1">
      <alignment horizontal="right" vertical="top"/>
      <protection locked="0"/>
    </xf>
    <xf numFmtId="169" fontId="28" fillId="0" borderId="50" xfId="0" quotePrefix="1" applyNumberFormat="1" applyFont="1" applyBorder="1" applyAlignment="1" applyProtection="1">
      <alignment horizontal="right" vertical="top"/>
      <protection locked="0"/>
    </xf>
    <xf numFmtId="169" fontId="28" fillId="0" borderId="49" xfId="0" quotePrefix="1" applyNumberFormat="1" applyFont="1" applyBorder="1" applyAlignment="1" applyProtection="1">
      <alignment horizontal="right" vertical="top"/>
      <protection locked="0"/>
    </xf>
    <xf numFmtId="169" fontId="28" fillId="27" borderId="49" xfId="0" quotePrefix="1" applyNumberFormat="1" applyFont="1" applyFill="1" applyBorder="1" applyAlignment="1" applyProtection="1">
      <alignment horizontal="right" vertical="top"/>
      <protection locked="0"/>
    </xf>
    <xf numFmtId="169" fontId="28" fillId="48" borderId="49" xfId="0" applyNumberFormat="1" applyFont="1" applyFill="1" applyBorder="1" applyAlignment="1" applyProtection="1">
      <alignment horizontal="right" vertical="top"/>
      <protection locked="0"/>
    </xf>
    <xf numFmtId="169" fontId="28" fillId="0" borderId="52" xfId="0" applyNumberFormat="1" applyFont="1" applyBorder="1" applyAlignment="1" applyProtection="1">
      <alignment vertical="top"/>
      <protection locked="0"/>
    </xf>
    <xf numFmtId="169" fontId="28" fillId="27" borderId="49" xfId="0" applyNumberFormat="1" applyFont="1" applyFill="1" applyBorder="1" applyAlignment="1" applyProtection="1">
      <alignment vertical="top"/>
      <protection locked="0"/>
    </xf>
    <xf numFmtId="169" fontId="28" fillId="27" borderId="52" xfId="0" applyNumberFormat="1" applyFont="1" applyFill="1" applyBorder="1" applyAlignment="1" applyProtection="1">
      <alignment vertical="top"/>
      <protection locked="0"/>
    </xf>
    <xf numFmtId="169" fontId="28" fillId="0" borderId="49" xfId="0" applyNumberFormat="1" applyFont="1" applyBorder="1" applyAlignment="1" applyProtection="1">
      <alignment vertical="top"/>
      <protection locked="0"/>
    </xf>
    <xf numFmtId="0" fontId="28" fillId="0" borderId="51" xfId="0" applyFont="1" applyBorder="1" applyAlignment="1" applyProtection="1">
      <alignment horizontal="left" vertical="top"/>
      <protection locked="0"/>
    </xf>
    <xf numFmtId="173" fontId="28" fillId="0" borderId="51" xfId="0" applyNumberFormat="1" applyFont="1" applyBorder="1" applyAlignment="1" applyProtection="1">
      <alignment horizontal="left" vertical="top"/>
      <protection hidden="1"/>
    </xf>
    <xf numFmtId="173" fontId="28" fillId="0" borderId="49" xfId="0" applyNumberFormat="1" applyFont="1" applyBorder="1" applyAlignment="1" applyProtection="1">
      <alignment horizontal="center" vertical="top"/>
      <protection hidden="1"/>
    </xf>
    <xf numFmtId="14" fontId="0" fillId="0" borderId="49" xfId="0" applyNumberFormat="1" applyBorder="1" applyAlignment="1">
      <alignment horizontal="center" vertical="top"/>
    </xf>
    <xf numFmtId="14" fontId="8" fillId="0" borderId="49" xfId="0" applyNumberFormat="1" applyFont="1" applyBorder="1" applyAlignment="1">
      <alignment horizontal="center" vertical="top"/>
    </xf>
    <xf numFmtId="169" fontId="28" fillId="48" borderId="2" xfId="0" applyNumberFormat="1" applyFont="1" applyFill="1" applyBorder="1" applyAlignment="1" applyProtection="1">
      <alignment horizontal="right" vertical="top"/>
      <protection locked="0"/>
    </xf>
    <xf numFmtId="173" fontId="28" fillId="0" borderId="0" xfId="0" applyNumberFormat="1" applyFont="1" applyAlignment="1" applyProtection="1">
      <alignment horizontal="center" vertical="top"/>
      <protection hidden="1"/>
    </xf>
    <xf numFmtId="14" fontId="28" fillId="0" borderId="0" xfId="0" applyNumberFormat="1" applyFont="1" applyAlignment="1" applyProtection="1">
      <alignment horizontal="center" vertical="top"/>
      <protection locked="0"/>
    </xf>
    <xf numFmtId="0" fontId="36" fillId="0" borderId="52" xfId="0" applyFont="1" applyBorder="1" applyAlignment="1" applyProtection="1">
      <alignment horizontal="left" vertical="top"/>
      <protection locked="0"/>
    </xf>
    <xf numFmtId="169" fontId="36" fillId="0" borderId="2" xfId="0" applyNumberFormat="1" applyFont="1" applyBorder="1" applyAlignment="1" applyProtection="1">
      <alignment horizontal="right" vertical="top"/>
      <protection locked="0"/>
    </xf>
    <xf numFmtId="169" fontId="36" fillId="0" borderId="49" xfId="0" applyNumberFormat="1" applyFont="1" applyBorder="1" applyAlignment="1" applyProtection="1">
      <alignment horizontal="right" vertical="top"/>
      <protection locked="0"/>
    </xf>
    <xf numFmtId="169" fontId="36" fillId="0" borderId="64" xfId="0" applyNumberFormat="1" applyFont="1" applyBorder="1" applyAlignment="1" applyProtection="1">
      <alignment horizontal="right" vertical="top"/>
      <protection locked="0"/>
    </xf>
    <xf numFmtId="0" fontId="70" fillId="0" borderId="0" xfId="0" applyFont="1" applyAlignment="1" applyProtection="1">
      <alignment horizontal="center" vertical="top"/>
      <protection locked="0"/>
    </xf>
    <xf numFmtId="169" fontId="28" fillId="0" borderId="73" xfId="0" applyNumberFormat="1" applyFont="1" applyBorder="1" applyAlignment="1" applyProtection="1">
      <alignment horizontal="right" vertical="top"/>
      <protection locked="0"/>
    </xf>
    <xf numFmtId="169" fontId="28" fillId="0" borderId="57" xfId="0" applyNumberFormat="1" applyFont="1" applyBorder="1" applyAlignment="1" applyProtection="1">
      <alignment horizontal="right" vertical="top"/>
      <protection locked="0"/>
    </xf>
    <xf numFmtId="169" fontId="28" fillId="0" borderId="74" xfId="0" applyNumberFormat="1" applyFont="1" applyBorder="1" applyAlignment="1" applyProtection="1">
      <alignment horizontal="right" vertical="top"/>
      <protection locked="0"/>
    </xf>
    <xf numFmtId="0" fontId="28" fillId="0" borderId="0" xfId="0" applyFont="1" applyAlignment="1">
      <alignment horizontal="left"/>
    </xf>
    <xf numFmtId="0" fontId="28" fillId="0" borderId="0" xfId="0" applyFont="1" applyAlignment="1" applyProtection="1">
      <alignment horizontal="left" vertical="center"/>
      <protection locked="0"/>
    </xf>
    <xf numFmtId="0" fontId="25" fillId="51" borderId="0" xfId="0" applyFont="1" applyFill="1" applyAlignment="1">
      <alignment horizontal="right" vertical="center" wrapText="1"/>
    </xf>
    <xf numFmtId="0" fontId="65" fillId="51" borderId="0" xfId="0" applyFont="1" applyFill="1" applyAlignment="1">
      <alignment horizontal="right" vertical="top" wrapText="1"/>
    </xf>
    <xf numFmtId="173" fontId="0" fillId="0" borderId="0" xfId="0" applyNumberFormat="1" applyAlignment="1">
      <alignment horizontal="right"/>
    </xf>
    <xf numFmtId="0" fontId="65" fillId="51" borderId="0" xfId="0" applyFont="1" applyFill="1" applyAlignment="1">
      <alignment horizontal="center" vertical="top" wrapText="1"/>
    </xf>
    <xf numFmtId="173" fontId="0" fillId="0" borderId="0" xfId="0" applyNumberFormat="1" applyAlignment="1">
      <alignment horizontal="center"/>
    </xf>
    <xf numFmtId="169" fontId="1" fillId="0" borderId="0" xfId="156" applyNumberFormat="1" applyFont="1" applyFill="1" applyBorder="1" applyAlignment="1">
      <alignment horizontal="right" vertical="top"/>
    </xf>
    <xf numFmtId="169" fontId="0" fillId="0" borderId="0" xfId="0" applyNumberFormat="1" applyAlignment="1">
      <alignment horizontal="right"/>
    </xf>
    <xf numFmtId="169" fontId="1" fillId="0" borderId="0" xfId="156" applyNumberFormat="1" applyFont="1" applyFill="1" applyBorder="1" applyAlignment="1">
      <alignment horizontal="right" vertical="top" wrapText="1"/>
    </xf>
    <xf numFmtId="169" fontId="0" fillId="0" borderId="0" xfId="0" applyNumberFormat="1" applyFont="1" applyFill="1" applyAlignment="1">
      <alignment horizontal="right" vertical="top" wrapText="1"/>
    </xf>
    <xf numFmtId="169" fontId="0" fillId="0" borderId="0" xfId="0" applyNumberFormat="1" applyFont="1" applyFill="1" applyAlignment="1">
      <alignment horizontal="right" vertical="top"/>
    </xf>
    <xf numFmtId="169" fontId="26" fillId="0" borderId="0" xfId="0" applyNumberFormat="1" applyFont="1" applyFill="1" applyAlignment="1">
      <alignment horizontal="right" vertical="top"/>
    </xf>
    <xf numFmtId="169" fontId="2" fillId="0" borderId="0" xfId="3519" applyNumberFormat="1" applyFont="1" applyFill="1" applyAlignment="1">
      <alignment horizontal="right" vertical="center"/>
    </xf>
    <xf numFmtId="169" fontId="33" fillId="3" borderId="37" xfId="156" applyNumberFormat="1" applyFont="1" applyFill="1" applyBorder="1" applyAlignment="1">
      <alignment horizontal="right" vertical="top"/>
    </xf>
    <xf numFmtId="169" fontId="33" fillId="0" borderId="38" xfId="156" applyNumberFormat="1" applyFont="1" applyBorder="1" applyAlignment="1">
      <alignment horizontal="right" vertical="top"/>
    </xf>
    <xf numFmtId="169" fontId="33" fillId="0" borderId="37" xfId="156" applyNumberFormat="1" applyFont="1" applyBorder="1" applyAlignment="1">
      <alignment horizontal="right" vertical="top"/>
    </xf>
    <xf numFmtId="169" fontId="33" fillId="2" borderId="38" xfId="156" applyNumberFormat="1" applyFont="1" applyFill="1" applyBorder="1" applyAlignment="1">
      <alignment horizontal="right" vertical="top"/>
    </xf>
    <xf numFmtId="169" fontId="33" fillId="2" borderId="37" xfId="156" applyNumberFormat="1" applyFont="1" applyFill="1" applyBorder="1" applyAlignment="1">
      <alignment horizontal="right" vertical="top"/>
    </xf>
    <xf numFmtId="169" fontId="0" fillId="0" borderId="49" xfId="0" applyNumberFormat="1" applyBorder="1" applyAlignment="1">
      <alignment horizontal="right" vertical="top" wrapText="1"/>
    </xf>
    <xf numFmtId="169" fontId="33" fillId="9" borderId="37" xfId="156" applyNumberFormat="1" applyFont="1" applyFill="1" applyBorder="1" applyAlignment="1">
      <alignment horizontal="right" vertical="top"/>
    </xf>
    <xf numFmtId="169" fontId="32" fillId="9" borderId="37" xfId="156" applyNumberFormat="1" applyFont="1" applyFill="1" applyBorder="1" applyAlignment="1">
      <alignment horizontal="right" vertical="top"/>
    </xf>
    <xf numFmtId="169" fontId="33" fillId="0" borderId="37" xfId="156" applyNumberFormat="1" applyFont="1" applyFill="1" applyBorder="1" applyAlignment="1">
      <alignment horizontal="right" vertical="top"/>
    </xf>
    <xf numFmtId="169" fontId="33" fillId="3" borderId="4" xfId="156" applyNumberFormat="1" applyFont="1" applyFill="1" applyBorder="1" applyAlignment="1">
      <alignment horizontal="right" vertical="top"/>
    </xf>
    <xf numFmtId="169" fontId="33" fillId="0" borderId="49" xfId="156" applyNumberFormat="1" applyFont="1" applyFill="1" applyBorder="1" applyAlignment="1">
      <alignment horizontal="right" vertical="top"/>
    </xf>
    <xf numFmtId="169" fontId="33" fillId="27" borderId="49" xfId="156" applyNumberFormat="1" applyFont="1" applyFill="1" applyBorder="1" applyAlignment="1">
      <alignment horizontal="right" vertical="top"/>
    </xf>
    <xf numFmtId="169" fontId="33" fillId="3" borderId="49" xfId="156" applyNumberFormat="1" applyFont="1" applyFill="1" applyBorder="1" applyAlignment="1">
      <alignment horizontal="right" vertical="top"/>
    </xf>
    <xf numFmtId="169" fontId="0" fillId="65" borderId="49" xfId="0" applyNumberFormat="1" applyFill="1" applyBorder="1" applyAlignment="1">
      <alignment horizontal="right" vertical="top" wrapText="1"/>
    </xf>
    <xf numFmtId="169" fontId="33" fillId="0" borderId="38" xfId="156" applyNumberFormat="1" applyFont="1" applyFill="1" applyBorder="1" applyAlignment="1">
      <alignment horizontal="right" vertical="top"/>
    </xf>
    <xf numFmtId="169" fontId="33" fillId="27" borderId="37" xfId="156" applyNumberFormat="1" applyFont="1" applyFill="1" applyBorder="1" applyAlignment="1">
      <alignment horizontal="right" vertical="top"/>
    </xf>
    <xf numFmtId="169" fontId="0" fillId="48" borderId="49" xfId="0" applyNumberFormat="1" applyFill="1" applyBorder="1" applyAlignment="1">
      <alignment horizontal="right" vertical="top" wrapText="1"/>
    </xf>
    <xf numFmtId="169" fontId="28" fillId="0" borderId="50" xfId="0" applyNumberFormat="1" applyFont="1" applyBorder="1" applyAlignment="1">
      <alignment horizontal="right" vertical="top"/>
    </xf>
    <xf numFmtId="169" fontId="28" fillId="27" borderId="49" xfId="0" applyNumberFormat="1" applyFont="1" applyFill="1" applyBorder="1" applyAlignment="1">
      <alignment horizontal="right" vertical="top"/>
    </xf>
    <xf numFmtId="169" fontId="14" fillId="48" borderId="49" xfId="0" applyNumberFormat="1" applyFont="1" applyFill="1" applyBorder="1" applyAlignment="1">
      <alignment horizontal="right" vertical="top"/>
    </xf>
    <xf numFmtId="169" fontId="33" fillId="0" borderId="50" xfId="156" applyNumberFormat="1" applyFont="1" applyFill="1" applyBorder="1" applyAlignment="1">
      <alignment horizontal="right" vertical="top"/>
    </xf>
    <xf numFmtId="169" fontId="8" fillId="0" borderId="49" xfId="0" applyNumberFormat="1" applyFont="1" applyBorder="1" applyAlignment="1">
      <alignment horizontal="right" vertical="top"/>
    </xf>
    <xf numFmtId="169" fontId="33" fillId="2" borderId="49" xfId="156" applyNumberFormat="1" applyFont="1" applyFill="1" applyBorder="1" applyAlignment="1">
      <alignment horizontal="right" vertical="top"/>
    </xf>
    <xf numFmtId="169" fontId="32" fillId="9" borderId="56" xfId="0" applyNumberFormat="1" applyFont="1" applyFill="1" applyBorder="1" applyAlignment="1">
      <alignment horizontal="right" vertical="top"/>
    </xf>
    <xf numFmtId="169" fontId="32" fillId="9" borderId="51" xfId="0" applyNumberFormat="1" applyFont="1" applyFill="1" applyBorder="1" applyAlignment="1">
      <alignment horizontal="right" vertical="top"/>
    </xf>
    <xf numFmtId="169" fontId="32" fillId="9" borderId="65" xfId="0" applyNumberFormat="1" applyFont="1" applyFill="1" applyBorder="1" applyAlignment="1">
      <alignment horizontal="right" vertical="top"/>
    </xf>
    <xf numFmtId="169" fontId="33" fillId="9" borderId="38" xfId="156" applyNumberFormat="1" applyFont="1" applyFill="1" applyBorder="1" applyAlignment="1">
      <alignment horizontal="right" vertical="top"/>
    </xf>
    <xf numFmtId="169" fontId="14" fillId="65" borderId="49" xfId="0" applyNumberFormat="1" applyFont="1" applyFill="1" applyBorder="1" applyAlignment="1">
      <alignment horizontal="right" vertical="top"/>
    </xf>
    <xf numFmtId="169" fontId="28" fillId="2" borderId="50" xfId="0" applyNumberFormat="1" applyFont="1" applyFill="1" applyBorder="1" applyAlignment="1">
      <alignment horizontal="right" vertical="top"/>
    </xf>
    <xf numFmtId="169" fontId="32" fillId="9" borderId="2" xfId="0" applyNumberFormat="1" applyFont="1" applyFill="1" applyBorder="1" applyAlignment="1" applyProtection="1">
      <alignment horizontal="right" vertical="top"/>
      <protection locked="0"/>
    </xf>
    <xf numFmtId="169" fontId="32" fillId="9" borderId="64" xfId="0" applyNumberFormat="1" applyFont="1" applyFill="1" applyBorder="1" applyAlignment="1" applyProtection="1">
      <alignment horizontal="right" vertical="top"/>
      <protection locked="0"/>
    </xf>
    <xf numFmtId="169" fontId="33" fillId="48" borderId="38" xfId="156" applyNumberFormat="1" applyFont="1" applyFill="1" applyBorder="1" applyAlignment="1">
      <alignment horizontal="right" vertical="top"/>
    </xf>
    <xf numFmtId="169" fontId="33" fillId="48" borderId="37" xfId="156" applyNumberFormat="1" applyFont="1" applyFill="1" applyBorder="1" applyAlignment="1">
      <alignment horizontal="right" vertical="top"/>
    </xf>
    <xf numFmtId="169" fontId="33" fillId="9" borderId="2" xfId="0" applyNumberFormat="1" applyFont="1" applyFill="1" applyBorder="1" applyAlignment="1">
      <alignment horizontal="right" vertical="top"/>
    </xf>
    <xf numFmtId="169" fontId="33" fillId="9" borderId="49" xfId="0" applyNumberFormat="1" applyFont="1" applyFill="1" applyBorder="1" applyAlignment="1">
      <alignment horizontal="right" vertical="top"/>
    </xf>
    <xf numFmtId="169" fontId="33" fillId="9" borderId="64" xfId="0" applyNumberFormat="1" applyFont="1" applyFill="1" applyBorder="1" applyAlignment="1">
      <alignment horizontal="right" vertical="top"/>
    </xf>
    <xf numFmtId="169" fontId="32" fillId="9" borderId="2" xfId="0" applyNumberFormat="1" applyFont="1" applyFill="1" applyBorder="1" applyAlignment="1">
      <alignment horizontal="right" vertical="top"/>
    </xf>
    <xf numFmtId="169" fontId="32" fillId="9" borderId="49" xfId="0" applyNumberFormat="1" applyFont="1" applyFill="1" applyBorder="1" applyAlignment="1">
      <alignment horizontal="right" vertical="top"/>
    </xf>
    <xf numFmtId="169" fontId="32" fillId="9" borderId="64" xfId="0" applyNumberFormat="1" applyFont="1" applyFill="1" applyBorder="1" applyAlignment="1">
      <alignment horizontal="right" vertical="top"/>
    </xf>
    <xf numFmtId="169" fontId="28" fillId="27" borderId="50" xfId="0" applyNumberFormat="1" applyFont="1" applyFill="1" applyBorder="1" applyAlignment="1">
      <alignment horizontal="right" vertical="top"/>
    </xf>
    <xf numFmtId="169" fontId="14" fillId="2" borderId="49" xfId="0" applyNumberFormat="1" applyFont="1" applyFill="1" applyBorder="1" applyAlignment="1">
      <alignment horizontal="right" vertical="top"/>
    </xf>
    <xf numFmtId="169" fontId="14" fillId="0" borderId="49" xfId="0" applyNumberFormat="1" applyFont="1" applyBorder="1" applyAlignment="1">
      <alignment horizontal="right" vertical="top"/>
    </xf>
    <xf numFmtId="169" fontId="32" fillId="0" borderId="38" xfId="156" applyNumberFormat="1" applyFont="1" applyFill="1" applyBorder="1" applyAlignment="1">
      <alignment horizontal="right" vertical="top"/>
    </xf>
    <xf numFmtId="169" fontId="32" fillId="0" borderId="37" xfId="156" applyNumberFormat="1" applyFont="1" applyFill="1" applyBorder="1" applyAlignment="1">
      <alignment horizontal="right" vertical="top"/>
    </xf>
    <xf numFmtId="169" fontId="32" fillId="27" borderId="37" xfId="156" applyNumberFormat="1" applyFont="1" applyFill="1" applyBorder="1" applyAlignment="1">
      <alignment horizontal="right" vertical="top"/>
    </xf>
    <xf numFmtId="169" fontId="33" fillId="2" borderId="67" xfId="0" applyNumberFormat="1" applyFont="1" applyFill="1" applyBorder="1" applyAlignment="1">
      <alignment horizontal="right" vertical="top"/>
    </xf>
    <xf numFmtId="169" fontId="32" fillId="2" borderId="38" xfId="156" applyNumberFormat="1" applyFont="1" applyFill="1" applyBorder="1" applyAlignment="1">
      <alignment horizontal="right" vertical="top"/>
    </xf>
    <xf numFmtId="169" fontId="32" fillId="2" borderId="37" xfId="156" applyNumberFormat="1" applyFont="1" applyFill="1" applyBorder="1" applyAlignment="1">
      <alignment horizontal="right" vertical="top"/>
    </xf>
    <xf numFmtId="169" fontId="33" fillId="2" borderId="68" xfId="156" applyNumberFormat="1" applyFont="1" applyFill="1" applyBorder="1" applyAlignment="1">
      <alignment horizontal="right" vertical="top"/>
    </xf>
    <xf numFmtId="169" fontId="33" fillId="2" borderId="4" xfId="156" applyNumberFormat="1" applyFont="1" applyFill="1" applyBorder="1" applyAlignment="1">
      <alignment horizontal="right" vertical="top"/>
    </xf>
    <xf numFmtId="169" fontId="33" fillId="9" borderId="56" xfId="0" applyNumberFormat="1" applyFont="1" applyFill="1" applyBorder="1" applyAlignment="1">
      <alignment horizontal="right" vertical="top"/>
    </xf>
    <xf numFmtId="169" fontId="33" fillId="9" borderId="51" xfId="0" applyNumberFormat="1" applyFont="1" applyFill="1" applyBorder="1" applyAlignment="1">
      <alignment horizontal="right" vertical="top"/>
    </xf>
    <xf numFmtId="169" fontId="33" fillId="9" borderId="65" xfId="0" applyNumberFormat="1" applyFont="1" applyFill="1" applyBorder="1" applyAlignment="1">
      <alignment horizontal="right" vertical="top"/>
    </xf>
    <xf numFmtId="169" fontId="0" fillId="0" borderId="49" xfId="0" applyNumberFormat="1" applyBorder="1" applyAlignment="1">
      <alignment horizontal="right" vertical="top"/>
    </xf>
    <xf numFmtId="169" fontId="33" fillId="52" borderId="37" xfId="156" applyNumberFormat="1" applyFont="1" applyFill="1" applyBorder="1" applyAlignment="1">
      <alignment horizontal="right" vertical="top"/>
    </xf>
    <xf numFmtId="169" fontId="0" fillId="65" borderId="49" xfId="0" applyNumberFormat="1" applyFill="1" applyBorder="1" applyAlignment="1">
      <alignment horizontal="right" vertical="top"/>
    </xf>
    <xf numFmtId="169" fontId="33" fillId="0" borderId="68" xfId="156" applyNumberFormat="1" applyFont="1" applyFill="1" applyBorder="1" applyAlignment="1">
      <alignment horizontal="right" vertical="top"/>
    </xf>
    <xf numFmtId="169" fontId="33" fillId="0" borderId="4" xfId="156" applyNumberFormat="1" applyFont="1" applyFill="1" applyBorder="1" applyAlignment="1">
      <alignment horizontal="right" vertical="top"/>
    </xf>
    <xf numFmtId="169" fontId="32" fillId="9" borderId="2" xfId="0" applyNumberFormat="1" applyFont="1" applyFill="1" applyBorder="1" applyAlignment="1" applyProtection="1">
      <alignment horizontal="right" vertical="top" wrapText="1"/>
      <protection locked="0"/>
    </xf>
    <xf numFmtId="169" fontId="32" fillId="9" borderId="49" xfId="0" applyNumberFormat="1" applyFont="1" applyFill="1" applyBorder="1" applyAlignment="1" applyProtection="1">
      <alignment horizontal="right" vertical="top" wrapText="1"/>
      <protection locked="0"/>
    </xf>
    <xf numFmtId="169" fontId="32" fillId="9" borderId="64" xfId="0" applyNumberFormat="1" applyFont="1" applyFill="1" applyBorder="1" applyAlignment="1" applyProtection="1">
      <alignment horizontal="right" vertical="top" wrapText="1"/>
      <protection locked="0"/>
    </xf>
    <xf numFmtId="169" fontId="0" fillId="0" borderId="69" xfId="0" applyNumberFormat="1" applyBorder="1" applyAlignment="1">
      <alignment horizontal="right" vertical="top" wrapText="1"/>
    </xf>
    <xf numFmtId="169" fontId="33" fillId="27" borderId="38" xfId="156" applyNumberFormat="1" applyFont="1" applyFill="1" applyBorder="1" applyAlignment="1">
      <alignment horizontal="right" vertical="top"/>
    </xf>
    <xf numFmtId="169" fontId="0" fillId="48" borderId="49" xfId="0" applyNumberFormat="1" applyFill="1" applyBorder="1" applyAlignment="1">
      <alignment horizontal="right" vertical="top"/>
    </xf>
    <xf numFmtId="169" fontId="32" fillId="9" borderId="66" xfId="0" applyNumberFormat="1" applyFont="1" applyFill="1" applyBorder="1" applyAlignment="1" applyProtection="1">
      <alignment horizontal="right" vertical="top"/>
      <protection locked="0"/>
    </xf>
    <xf numFmtId="169" fontId="32" fillId="9" borderId="37" xfId="0" applyNumberFormat="1" applyFont="1" applyFill="1" applyBorder="1" applyAlignment="1" applyProtection="1">
      <alignment horizontal="right" vertical="top"/>
      <protection locked="0"/>
    </xf>
    <xf numFmtId="169" fontId="32" fillId="9" borderId="67" xfId="0" applyNumberFormat="1" applyFont="1" applyFill="1" applyBorder="1" applyAlignment="1" applyProtection="1">
      <alignment horizontal="right" vertical="top"/>
      <protection locked="0"/>
    </xf>
    <xf numFmtId="169" fontId="32" fillId="0" borderId="38" xfId="156" applyNumberFormat="1" applyFont="1" applyBorder="1" applyAlignment="1">
      <alignment horizontal="right" vertical="top"/>
    </xf>
    <xf numFmtId="169" fontId="32" fillId="0" borderId="37" xfId="156" applyNumberFormat="1" applyFont="1" applyBorder="1" applyAlignment="1">
      <alignment horizontal="right" vertical="top"/>
    </xf>
    <xf numFmtId="169" fontId="33" fillId="9" borderId="68" xfId="156" applyNumberFormat="1" applyFont="1" applyFill="1" applyBorder="1" applyAlignment="1">
      <alignment horizontal="right" vertical="top"/>
    </xf>
    <xf numFmtId="169" fontId="33" fillId="9" borderId="4" xfId="156" applyNumberFormat="1" applyFont="1" applyFill="1" applyBorder="1" applyAlignment="1">
      <alignment horizontal="right" vertical="top"/>
    </xf>
    <xf numFmtId="169" fontId="33" fillId="9" borderId="2" xfId="156" applyNumberFormat="1" applyFont="1" applyFill="1" applyBorder="1" applyAlignment="1">
      <alignment horizontal="right" vertical="top"/>
    </xf>
    <xf numFmtId="169" fontId="33" fillId="9" borderId="49" xfId="156" applyNumberFormat="1" applyFont="1" applyFill="1" applyBorder="1" applyAlignment="1">
      <alignment horizontal="right" vertical="top"/>
    </xf>
    <xf numFmtId="169" fontId="33" fillId="9" borderId="64" xfId="156" applyNumberFormat="1" applyFont="1" applyFill="1" applyBorder="1" applyAlignment="1">
      <alignment horizontal="right" vertical="top"/>
    </xf>
    <xf numFmtId="169" fontId="37" fillId="9" borderId="2" xfId="0" applyNumberFormat="1" applyFont="1" applyFill="1" applyBorder="1" applyAlignment="1">
      <alignment horizontal="right" vertical="top"/>
    </xf>
    <xf numFmtId="169" fontId="37" fillId="9" borderId="49" xfId="0" applyNumberFormat="1" applyFont="1" applyFill="1" applyBorder="1" applyAlignment="1">
      <alignment horizontal="right" vertical="top"/>
    </xf>
    <xf numFmtId="169" fontId="37" fillId="9" borderId="64" xfId="0" applyNumberFormat="1" applyFont="1" applyFill="1" applyBorder="1" applyAlignment="1">
      <alignment horizontal="right" vertical="top"/>
    </xf>
    <xf numFmtId="169" fontId="8" fillId="0" borderId="50" xfId="0" applyNumberFormat="1" applyFont="1" applyBorder="1" applyAlignment="1">
      <alignment horizontal="right" vertical="top"/>
    </xf>
    <xf numFmtId="169" fontId="8" fillId="27" borderId="49" xfId="0" applyNumberFormat="1" applyFont="1" applyFill="1" applyBorder="1" applyAlignment="1">
      <alignment horizontal="right" vertical="top"/>
    </xf>
    <xf numFmtId="169" fontId="0" fillId="27" borderId="49" xfId="0" applyNumberFormat="1" applyFill="1" applyBorder="1" applyAlignment="1">
      <alignment horizontal="right" vertical="top"/>
    </xf>
    <xf numFmtId="169" fontId="28" fillId="48" borderId="50" xfId="0" applyNumberFormat="1" applyFont="1" applyFill="1" applyBorder="1" applyAlignment="1">
      <alignment horizontal="right" vertical="top"/>
    </xf>
    <xf numFmtId="169" fontId="37" fillId="9" borderId="50" xfId="0" applyNumberFormat="1" applyFont="1" applyFill="1" applyBorder="1" applyAlignment="1">
      <alignment horizontal="right" vertical="top"/>
    </xf>
    <xf numFmtId="169" fontId="28" fillId="52" borderId="49" xfId="0" applyNumberFormat="1" applyFont="1" applyFill="1" applyBorder="1" applyAlignment="1">
      <alignment horizontal="right" vertical="top"/>
    </xf>
    <xf numFmtId="169" fontId="28" fillId="0" borderId="54" xfId="0" applyNumberFormat="1" applyFont="1" applyBorder="1" applyAlignment="1">
      <alignment horizontal="right" vertical="top"/>
    </xf>
    <xf numFmtId="169" fontId="28" fillId="2" borderId="38" xfId="0" applyNumberFormat="1" applyFont="1" applyFill="1" applyBorder="1" applyAlignment="1">
      <alignment horizontal="right" vertical="top"/>
    </xf>
    <xf numFmtId="169" fontId="32" fillId="0" borderId="49" xfId="156" applyNumberFormat="1" applyFont="1" applyFill="1" applyBorder="1" applyAlignment="1">
      <alignment horizontal="right" vertical="top"/>
    </xf>
    <xf numFmtId="169" fontId="28" fillId="9" borderId="66" xfId="0" applyNumberFormat="1" applyFont="1" applyFill="1" applyBorder="1" applyAlignment="1">
      <alignment horizontal="right" vertical="top"/>
    </xf>
    <xf numFmtId="169" fontId="28" fillId="9" borderId="37" xfId="0" applyNumberFormat="1" applyFont="1" applyFill="1" applyBorder="1" applyAlignment="1">
      <alignment horizontal="right" vertical="top"/>
    </xf>
    <xf numFmtId="169" fontId="28" fillId="9" borderId="67" xfId="0" applyNumberFormat="1" applyFont="1" applyFill="1" applyBorder="1" applyAlignment="1">
      <alignment horizontal="right" vertical="top"/>
    </xf>
    <xf numFmtId="169" fontId="0" fillId="0" borderId="50" xfId="0" applyNumberFormat="1" applyBorder="1" applyAlignment="1">
      <alignment horizontal="right" vertical="top" wrapText="1"/>
    </xf>
    <xf numFmtId="169" fontId="28" fillId="52" borderId="37" xfId="0" applyNumberFormat="1" applyFont="1" applyFill="1" applyBorder="1" applyAlignment="1">
      <alignment horizontal="right" vertical="top"/>
    </xf>
    <xf numFmtId="169" fontId="28" fillId="0" borderId="38" xfId="0" applyNumberFormat="1" applyFont="1" applyBorder="1" applyAlignment="1">
      <alignment horizontal="right" vertical="top"/>
    </xf>
    <xf numFmtId="169" fontId="28" fillId="9" borderId="66" xfId="0" applyNumberFormat="1" applyFont="1" applyFill="1" applyBorder="1" applyAlignment="1" applyProtection="1">
      <alignment horizontal="right" vertical="top"/>
      <protection locked="0"/>
    </xf>
    <xf numFmtId="169" fontId="28" fillId="9" borderId="37" xfId="0" applyNumberFormat="1" applyFont="1" applyFill="1" applyBorder="1" applyAlignment="1" applyProtection="1">
      <alignment horizontal="right" vertical="top"/>
      <protection locked="0"/>
    </xf>
    <xf numFmtId="169" fontId="28" fillId="9" borderId="67" xfId="0" applyNumberFormat="1" applyFont="1" applyFill="1" applyBorder="1" applyAlignment="1" applyProtection="1">
      <alignment horizontal="right" vertical="top"/>
      <protection locked="0"/>
    </xf>
    <xf numFmtId="169" fontId="26" fillId="0" borderId="49" xfId="0" applyNumberFormat="1" applyFont="1" applyBorder="1" applyAlignment="1">
      <alignment horizontal="right" vertical="top"/>
    </xf>
    <xf numFmtId="169" fontId="14" fillId="27" borderId="49" xfId="0" applyNumberFormat="1" applyFont="1" applyFill="1" applyBorder="1" applyAlignment="1">
      <alignment horizontal="right" vertical="top"/>
    </xf>
    <xf numFmtId="169" fontId="28" fillId="9" borderId="50" xfId="0" applyNumberFormat="1" applyFont="1" applyFill="1" applyBorder="1" applyAlignment="1">
      <alignment horizontal="right" vertical="top"/>
    </xf>
    <xf numFmtId="169" fontId="28" fillId="9" borderId="2" xfId="0" applyNumberFormat="1" applyFont="1" applyFill="1" applyBorder="1" applyAlignment="1" applyProtection="1">
      <alignment horizontal="right" vertical="top"/>
      <protection locked="0"/>
    </xf>
    <xf numFmtId="169" fontId="28" fillId="9" borderId="64" xfId="0" applyNumberFormat="1" applyFont="1" applyFill="1" applyBorder="1" applyAlignment="1" applyProtection="1">
      <alignment horizontal="right" vertical="top"/>
      <protection locked="0"/>
    </xf>
    <xf numFmtId="169" fontId="28" fillId="9" borderId="56" xfId="0" applyNumberFormat="1" applyFont="1" applyFill="1" applyBorder="1" applyAlignment="1">
      <alignment horizontal="right" vertical="top"/>
    </xf>
    <xf numFmtId="169" fontId="28" fillId="9" borderId="51" xfId="0" applyNumberFormat="1" applyFont="1" applyFill="1" applyBorder="1" applyAlignment="1">
      <alignment horizontal="right" vertical="top"/>
    </xf>
    <xf numFmtId="169" fontId="28" fillId="9" borderId="65" xfId="0" applyNumberFormat="1" applyFont="1" applyFill="1" applyBorder="1" applyAlignment="1">
      <alignment horizontal="right" vertical="top"/>
    </xf>
    <xf numFmtId="169" fontId="14" fillId="0" borderId="61" xfId="0" applyNumberFormat="1" applyFont="1" applyBorder="1" applyAlignment="1">
      <alignment horizontal="right" vertical="top"/>
    </xf>
    <xf numFmtId="169" fontId="14" fillId="0" borderId="69" xfId="0" applyNumberFormat="1" applyFont="1" applyBorder="1" applyAlignment="1">
      <alignment horizontal="right" vertical="top"/>
    </xf>
    <xf numFmtId="169" fontId="32" fillId="0" borderId="65" xfId="0" applyNumberFormat="1" applyFont="1" applyBorder="1" applyAlignment="1">
      <alignment horizontal="right" vertical="top"/>
    </xf>
    <xf numFmtId="169" fontId="32" fillId="2" borderId="50" xfId="156" applyNumberFormat="1" applyFont="1" applyFill="1" applyBorder="1" applyAlignment="1">
      <alignment horizontal="right" vertical="top"/>
    </xf>
    <xf numFmtId="169" fontId="28" fillId="2" borderId="50" xfId="156" applyNumberFormat="1" applyFont="1" applyFill="1" applyBorder="1" applyAlignment="1">
      <alignment horizontal="right" vertical="top"/>
    </xf>
    <xf numFmtId="169" fontId="28" fillId="2" borderId="49" xfId="156" applyNumberFormat="1" applyFont="1" applyFill="1" applyBorder="1" applyAlignment="1">
      <alignment horizontal="right" vertical="top"/>
    </xf>
    <xf numFmtId="169" fontId="28" fillId="0" borderId="54" xfId="156" applyNumberFormat="1" applyFont="1" applyFill="1" applyBorder="1" applyAlignment="1">
      <alignment horizontal="right" vertical="top"/>
    </xf>
    <xf numFmtId="169" fontId="28" fillId="0" borderId="51" xfId="156" applyNumberFormat="1" applyFont="1" applyFill="1" applyBorder="1" applyAlignment="1">
      <alignment horizontal="right" vertical="top"/>
    </xf>
    <xf numFmtId="169" fontId="28" fillId="52" borderId="51" xfId="156" applyNumberFormat="1" applyFont="1" applyFill="1" applyBorder="1" applyAlignment="1">
      <alignment horizontal="right" vertical="top"/>
    </xf>
    <xf numFmtId="169" fontId="28" fillId="2" borderId="51" xfId="156" applyNumberFormat="1" applyFont="1" applyFill="1" applyBorder="1" applyAlignment="1">
      <alignment horizontal="right" vertical="top"/>
    </xf>
    <xf numFmtId="169" fontId="28" fillId="0" borderId="52" xfId="0" applyNumberFormat="1" applyFont="1" applyBorder="1" applyAlignment="1" applyProtection="1">
      <alignment horizontal="right" vertical="top"/>
      <protection locked="0"/>
    </xf>
    <xf numFmtId="169" fontId="28" fillId="27" borderId="52" xfId="0" applyNumberFormat="1" applyFont="1" applyFill="1" applyBorder="1" applyAlignment="1" applyProtection="1">
      <alignment horizontal="right" vertical="top"/>
      <protection locked="0"/>
    </xf>
    <xf numFmtId="169" fontId="28" fillId="0" borderId="0" xfId="0" applyNumberFormat="1" applyFont="1" applyAlignment="1" applyProtection="1">
      <alignment horizontal="right" vertical="top"/>
      <protection locked="0"/>
    </xf>
    <xf numFmtId="169" fontId="68" fillId="0" borderId="37" xfId="0" applyNumberFormat="1" applyFont="1" applyBorder="1" applyAlignment="1">
      <alignment horizontal="right" vertical="top"/>
    </xf>
    <xf numFmtId="169" fontId="68" fillId="27" borderId="49" xfId="0" applyNumberFormat="1" applyFont="1" applyFill="1" applyBorder="1" applyAlignment="1">
      <alignment horizontal="right" vertical="top"/>
    </xf>
    <xf numFmtId="169" fontId="68" fillId="0" borderId="0" xfId="0" applyNumberFormat="1" applyFont="1" applyAlignment="1">
      <alignment horizontal="right" vertical="top"/>
    </xf>
    <xf numFmtId="169" fontId="32" fillId="48" borderId="50" xfId="156" applyNumberFormat="1" applyFont="1" applyFill="1" applyBorder="1" applyAlignment="1">
      <alignment horizontal="right" vertical="top"/>
    </xf>
    <xf numFmtId="169" fontId="8" fillId="0" borderId="37" xfId="0" applyNumberFormat="1" applyFont="1" applyBorder="1" applyAlignment="1">
      <alignment horizontal="right" vertical="top"/>
    </xf>
    <xf numFmtId="169" fontId="8" fillId="0" borderId="0" xfId="0" applyNumberFormat="1" applyFont="1" applyAlignment="1">
      <alignment horizontal="right" vertical="top"/>
    </xf>
    <xf numFmtId="169" fontId="33" fillId="0" borderId="54" xfId="156" applyNumberFormat="1" applyFont="1" applyFill="1" applyBorder="1" applyAlignment="1">
      <alignment horizontal="right" vertical="top"/>
    </xf>
    <xf numFmtId="169" fontId="8" fillId="0" borderId="51" xfId="0" applyNumberFormat="1" applyFont="1" applyBorder="1" applyAlignment="1">
      <alignment horizontal="right" vertical="top"/>
    </xf>
    <xf numFmtId="169" fontId="33" fillId="0" borderId="51" xfId="156" applyNumberFormat="1" applyFont="1" applyFill="1" applyBorder="1" applyAlignment="1">
      <alignment horizontal="right" vertical="top"/>
    </xf>
    <xf numFmtId="169" fontId="8" fillId="0" borderId="49" xfId="0" applyNumberFormat="1" applyFont="1" applyBorder="1" applyAlignment="1">
      <alignment horizontal="right" vertical="top" wrapText="1"/>
    </xf>
    <xf numFmtId="169" fontId="8" fillId="27" borderId="49" xfId="0" applyNumberFormat="1" applyFont="1" applyFill="1" applyBorder="1" applyAlignment="1">
      <alignment horizontal="right" vertical="top" wrapText="1"/>
    </xf>
    <xf numFmtId="169" fontId="8" fillId="9" borderId="49" xfId="0" applyNumberFormat="1" applyFont="1" applyFill="1" applyBorder="1" applyAlignment="1">
      <alignment horizontal="right" vertical="top" wrapText="1"/>
    </xf>
    <xf numFmtId="169" fontId="69" fillId="0" borderId="0" xfId="0" applyNumberFormat="1" applyFont="1" applyAlignment="1">
      <alignment horizontal="right" vertical="top"/>
    </xf>
    <xf numFmtId="169" fontId="70" fillId="0" borderId="0" xfId="0" applyNumberFormat="1" applyFont="1" applyAlignment="1" applyProtection="1">
      <alignment horizontal="right" vertical="top"/>
      <protection locked="0"/>
    </xf>
    <xf numFmtId="169" fontId="8" fillId="0" borderId="37" xfId="0" applyNumberFormat="1" applyFont="1" applyBorder="1" applyAlignment="1">
      <alignment horizontal="right" vertical="top" wrapText="1"/>
    </xf>
    <xf numFmtId="169" fontId="8" fillId="0" borderId="0" xfId="0" applyNumberFormat="1" applyFont="1" applyAlignment="1">
      <alignment horizontal="right" vertical="top" wrapText="1"/>
    </xf>
    <xf numFmtId="169" fontId="4" fillId="0" borderId="49" xfId="0" applyNumberFormat="1" applyFont="1" applyBorder="1" applyAlignment="1" applyProtection="1">
      <alignment horizontal="right" vertical="top" wrapText="1"/>
      <protection hidden="1"/>
    </xf>
    <xf numFmtId="169" fontId="4" fillId="0" borderId="37" xfId="0" applyNumberFormat="1" applyFont="1" applyBorder="1" applyAlignment="1" applyProtection="1">
      <alignment horizontal="right" vertical="top" wrapText="1"/>
      <protection hidden="1"/>
    </xf>
    <xf numFmtId="169" fontId="0" fillId="0" borderId="37" xfId="0" applyNumberFormat="1" applyBorder="1" applyAlignment="1">
      <alignment horizontal="right" vertical="top"/>
    </xf>
    <xf numFmtId="169" fontId="73" fillId="0" borderId="40" xfId="0" applyNumberFormat="1" applyFont="1" applyBorder="1" applyAlignment="1">
      <alignment horizontal="right" vertical="top" wrapText="1"/>
    </xf>
    <xf numFmtId="169" fontId="0" fillId="0" borderId="61" xfId="0" applyNumberFormat="1" applyBorder="1" applyAlignment="1">
      <alignment horizontal="right" vertical="top" wrapText="1"/>
    </xf>
    <xf numFmtId="169" fontId="28" fillId="0" borderId="0" xfId="0" applyNumberFormat="1" applyFont="1" applyAlignment="1" applyProtection="1">
      <alignment horizontal="right" vertical="center"/>
      <protection locked="0"/>
    </xf>
    <xf numFmtId="169" fontId="8" fillId="0" borderId="0" xfId="0" applyNumberFormat="1" applyFont="1" applyAlignment="1">
      <alignment horizontal="right"/>
    </xf>
    <xf numFmtId="186" fontId="0" fillId="0" borderId="0" xfId="0" applyNumberFormat="1" applyFont="1" applyFill="1" applyAlignment="1">
      <alignment horizontal="right" vertical="top" wrapText="1"/>
    </xf>
    <xf numFmtId="186" fontId="0" fillId="66" borderId="0" xfId="0" applyNumberFormat="1" applyFont="1" applyFill="1" applyAlignment="1">
      <alignment horizontal="right" vertical="top" wrapText="1"/>
    </xf>
    <xf numFmtId="186" fontId="1" fillId="66" borderId="0" xfId="156" applyNumberFormat="1" applyFont="1" applyFill="1" applyBorder="1" applyAlignment="1">
      <alignment horizontal="right" vertical="top"/>
    </xf>
    <xf numFmtId="186" fontId="1" fillId="0" borderId="0" xfId="156" applyNumberFormat="1" applyFont="1" applyFill="1" applyBorder="1" applyAlignment="1">
      <alignment horizontal="right" vertical="top"/>
    </xf>
    <xf numFmtId="1" fontId="0" fillId="50" borderId="0" xfId="0" applyNumberFormat="1" applyFill="1" applyAlignment="1">
      <alignment horizontal="center"/>
    </xf>
    <xf numFmtId="1" fontId="0" fillId="0" borderId="0" xfId="0" applyNumberFormat="1"/>
    <xf numFmtId="173" fontId="0" fillId="50" borderId="0" xfId="0" applyNumberFormat="1" applyFill="1" applyAlignment="1">
      <alignment horizontal="right"/>
    </xf>
    <xf numFmtId="171" fontId="1" fillId="0" borderId="0" xfId="156" applyNumberFormat="1" applyFont="1" applyFill="1" applyBorder="1" applyAlignment="1">
      <alignment horizontal="right" vertical="top"/>
    </xf>
    <xf numFmtId="7" fontId="1" fillId="0" borderId="0" xfId="156" applyNumberFormat="1" applyFont="1" applyFill="1" applyBorder="1" applyAlignment="1">
      <alignment horizontal="right" vertical="top"/>
    </xf>
    <xf numFmtId="173" fontId="1" fillId="0" borderId="0" xfId="156" applyNumberFormat="1" applyFont="1" applyFill="1" applyBorder="1" applyAlignment="1">
      <alignment horizontal="right" vertical="top"/>
    </xf>
    <xf numFmtId="0" fontId="96" fillId="51" borderId="49" xfId="0" applyFont="1" applyFill="1" applyBorder="1" applyAlignment="1">
      <alignment vertical="center"/>
    </xf>
    <xf numFmtId="0" fontId="96" fillId="0" borderId="49" xfId="0" applyFont="1" applyBorder="1" applyAlignment="1">
      <alignment vertical="center"/>
    </xf>
    <xf numFmtId="169" fontId="0" fillId="0" borderId="0" xfId="0" applyNumberFormat="1" applyFont="1" applyFill="1" applyAlignment="1">
      <alignment horizontal="right" vertical="center" wrapText="1"/>
    </xf>
    <xf numFmtId="0" fontId="0" fillId="48" borderId="0" xfId="0" applyFont="1" applyFill="1" applyAlignment="1">
      <alignment horizontal="left" vertical="top" wrapText="1"/>
    </xf>
    <xf numFmtId="0" fontId="0" fillId="48" borderId="0" xfId="0" applyFont="1" applyFill="1" applyAlignment="1">
      <alignment horizontal="left" vertical="top"/>
    </xf>
    <xf numFmtId="0" fontId="0" fillId="67" borderId="0" xfId="0" applyFont="1" applyFill="1" applyAlignment="1">
      <alignment horizontal="left" vertical="top" wrapText="1"/>
    </xf>
    <xf numFmtId="0" fontId="0" fillId="27" borderId="0" xfId="0" applyFont="1" applyFill="1" applyAlignment="1">
      <alignment horizontal="left" vertical="top" wrapText="1"/>
    </xf>
    <xf numFmtId="49" fontId="0" fillId="48" borderId="0" xfId="0" applyNumberFormat="1" applyFont="1" applyFill="1" applyAlignment="1">
      <alignment horizontal="left" vertical="top" wrapText="1"/>
    </xf>
    <xf numFmtId="0" fontId="0" fillId="67" borderId="0" xfId="0" applyFont="1" applyFill="1" applyAlignment="1">
      <alignment horizontal="left" vertical="top"/>
    </xf>
    <xf numFmtId="0" fontId="0" fillId="27" borderId="0" xfId="0" applyFont="1" applyFill="1" applyAlignment="1">
      <alignment horizontal="left" vertical="top"/>
    </xf>
    <xf numFmtId="49" fontId="0" fillId="50" borderId="0" xfId="0" applyNumberFormat="1" applyFill="1" applyAlignment="1">
      <alignment horizontal="center"/>
    </xf>
    <xf numFmtId="49" fontId="1" fillId="0" borderId="0" xfId="156" applyNumberFormat="1" applyFont="1" applyFill="1" applyBorder="1" applyAlignment="1">
      <alignment horizontal="left" vertical="top"/>
    </xf>
    <xf numFmtId="49" fontId="0" fillId="0" borderId="0" xfId="0" applyNumberFormat="1"/>
    <xf numFmtId="49" fontId="28" fillId="48" borderId="0" xfId="0" applyNumberFormat="1" applyFont="1" applyFill="1" applyAlignment="1" applyProtection="1">
      <alignment horizontal="center" vertical="top" wrapText="1"/>
      <protection locked="0" hidden="1"/>
    </xf>
    <xf numFmtId="0" fontId="0" fillId="0" borderId="0" xfId="0" applyFont="1" applyFill="1" applyBorder="1" applyAlignment="1">
      <alignment horizontal="left" vertical="top" wrapText="1"/>
    </xf>
    <xf numFmtId="0" fontId="0" fillId="0" borderId="49" xfId="0" applyFont="1" applyFill="1" applyBorder="1" applyAlignment="1">
      <alignment horizontal="left" vertical="top"/>
    </xf>
    <xf numFmtId="0" fontId="32" fillId="67" borderId="52" xfId="0" applyFont="1" applyFill="1" applyBorder="1" applyAlignment="1">
      <alignment vertical="top"/>
    </xf>
    <xf numFmtId="0" fontId="32" fillId="67" borderId="52" xfId="0" applyFont="1" applyFill="1" applyBorder="1" applyAlignment="1" applyProtection="1">
      <alignment horizontal="left" vertical="top"/>
      <protection locked="0"/>
    </xf>
    <xf numFmtId="0" fontId="37" fillId="67" borderId="52" xfId="0" applyFont="1" applyFill="1" applyBorder="1" applyAlignment="1">
      <alignment vertical="top"/>
    </xf>
    <xf numFmtId="0" fontId="0" fillId="2" borderId="0" xfId="0" applyFont="1" applyFill="1" applyAlignment="1">
      <alignment horizontal="left" vertical="top" wrapText="1"/>
    </xf>
    <xf numFmtId="0" fontId="28" fillId="67" borderId="52" xfId="0" applyFont="1" applyFill="1" applyBorder="1" applyAlignment="1">
      <alignment vertical="top"/>
    </xf>
    <xf numFmtId="0" fontId="32" fillId="67" borderId="55" xfId="0" applyFont="1" applyFill="1" applyBorder="1" applyAlignment="1">
      <alignment vertical="top"/>
    </xf>
    <xf numFmtId="0" fontId="28" fillId="67" borderId="52" xfId="0" applyFont="1" applyFill="1" applyBorder="1" applyAlignment="1" applyProtection="1">
      <alignment horizontal="left" vertical="top"/>
      <protection locked="0"/>
    </xf>
    <xf numFmtId="0" fontId="72" fillId="0" borderId="0" xfId="0" applyFont="1" applyAlignment="1">
      <alignment horizontal="center"/>
    </xf>
    <xf numFmtId="0" fontId="25" fillId="23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/>
    </xf>
    <xf numFmtId="0" fontId="31" fillId="24" borderId="23" xfId="0" applyFont="1" applyFill="1" applyBorder="1" applyAlignment="1" applyProtection="1">
      <alignment horizontal="center" vertical="center"/>
      <protection locked="0"/>
    </xf>
    <xf numFmtId="0" fontId="31" fillId="24" borderId="22" xfId="0" applyFont="1" applyFill="1" applyBorder="1" applyAlignment="1" applyProtection="1">
      <alignment horizontal="center" vertical="center"/>
      <protection locked="0"/>
    </xf>
    <xf numFmtId="0" fontId="31" fillId="24" borderId="5" xfId="0" applyFont="1" applyFill="1" applyBorder="1" applyAlignment="1" applyProtection="1">
      <alignment horizontal="center" vertical="center"/>
      <protection locked="0"/>
    </xf>
    <xf numFmtId="173" fontId="31" fillId="24" borderId="23" xfId="0" applyNumberFormat="1" applyFont="1" applyFill="1" applyBorder="1" applyAlignment="1" applyProtection="1">
      <alignment horizontal="center" wrapText="1"/>
      <protection hidden="1"/>
    </xf>
    <xf numFmtId="173" fontId="31" fillId="24" borderId="5" xfId="0" applyNumberFormat="1" applyFont="1" applyFill="1" applyBorder="1" applyAlignment="1" applyProtection="1">
      <alignment horizontal="center" wrapText="1"/>
      <protection hidden="1"/>
    </xf>
    <xf numFmtId="184" fontId="93" fillId="62" borderId="51" xfId="3760" applyNumberFormat="1" applyFont="1" applyFill="1" applyBorder="1" applyAlignment="1" applyProtection="1">
      <alignment horizontal="center" vertical="top"/>
      <protection locked="0"/>
    </xf>
    <xf numFmtId="184" fontId="93" fillId="62" borderId="4" xfId="3760" applyNumberFormat="1" applyFont="1" applyFill="1" applyBorder="1" applyAlignment="1" applyProtection="1">
      <alignment horizontal="center" vertical="top"/>
      <protection locked="0"/>
    </xf>
    <xf numFmtId="184" fontId="93" fillId="62" borderId="58" xfId="3760" applyNumberFormat="1" applyFont="1" applyFill="1" applyBorder="1" applyAlignment="1" applyProtection="1">
      <alignment horizontal="center" vertical="top"/>
      <protection locked="0"/>
    </xf>
    <xf numFmtId="184" fontId="93" fillId="49" borderId="51" xfId="3760" applyNumberFormat="1" applyFont="1" applyFill="1" applyBorder="1" applyAlignment="1" applyProtection="1">
      <alignment horizontal="center" vertical="top"/>
      <protection locked="0"/>
    </xf>
    <xf numFmtId="184" fontId="93" fillId="49" borderId="4" xfId="3760" applyNumberFormat="1" applyFont="1" applyFill="1" applyBorder="1" applyAlignment="1" applyProtection="1">
      <alignment horizontal="center" vertical="top"/>
      <protection locked="0"/>
    </xf>
    <xf numFmtId="184" fontId="93" fillId="49" borderId="37" xfId="3760" applyNumberFormat="1" applyFont="1" applyFill="1" applyBorder="1" applyAlignment="1" applyProtection="1">
      <alignment horizontal="center" vertical="top"/>
      <protection locked="0"/>
    </xf>
    <xf numFmtId="184" fontId="93" fillId="60" borderId="51" xfId="3760" applyNumberFormat="1" applyFont="1" applyFill="1" applyBorder="1" applyAlignment="1" applyProtection="1">
      <alignment horizontal="center" vertical="top"/>
      <protection locked="0"/>
    </xf>
    <xf numFmtId="184" fontId="93" fillId="60" borderId="4" xfId="3760" applyNumberFormat="1" applyFont="1" applyFill="1" applyBorder="1" applyAlignment="1" applyProtection="1">
      <alignment horizontal="center" vertical="top"/>
      <protection locked="0"/>
    </xf>
    <xf numFmtId="184" fontId="93" fillId="60" borderId="37" xfId="3760" applyNumberFormat="1" applyFont="1" applyFill="1" applyBorder="1" applyAlignment="1" applyProtection="1">
      <alignment horizontal="center" vertical="top"/>
      <protection locked="0"/>
    </xf>
    <xf numFmtId="44" fontId="95" fillId="60" borderId="51" xfId="3760" applyFont="1" applyFill="1" applyBorder="1" applyAlignment="1" applyProtection="1">
      <alignment horizontal="center" vertical="top"/>
      <protection locked="0"/>
    </xf>
    <xf numFmtId="44" fontId="95" fillId="60" borderId="37" xfId="3760" applyFont="1" applyFill="1" applyBorder="1" applyAlignment="1" applyProtection="1">
      <alignment horizontal="center" vertical="top"/>
      <protection locked="0"/>
    </xf>
    <xf numFmtId="0" fontId="0" fillId="57" borderId="0" xfId="0" applyFill="1" applyAlignment="1">
      <alignment horizontal="center" vertical="top"/>
    </xf>
    <xf numFmtId="184" fontId="93" fillId="50" borderId="51" xfId="3760" applyNumberFormat="1" applyFont="1" applyFill="1" applyBorder="1" applyAlignment="1" applyProtection="1">
      <alignment horizontal="center" vertical="top"/>
      <protection locked="0"/>
    </xf>
    <xf numFmtId="184" fontId="93" fillId="50" borderId="4" xfId="3760" applyNumberFormat="1" applyFont="1" applyFill="1" applyBorder="1" applyAlignment="1" applyProtection="1">
      <alignment horizontal="center" vertical="top"/>
      <protection locked="0"/>
    </xf>
    <xf numFmtId="184" fontId="93" fillId="50" borderId="37" xfId="3760" applyNumberFormat="1" applyFont="1" applyFill="1" applyBorder="1" applyAlignment="1" applyProtection="1">
      <alignment horizontal="center" vertical="top"/>
      <protection locked="0"/>
    </xf>
    <xf numFmtId="44" fontId="95" fillId="50" borderId="51" xfId="3760" applyFont="1" applyFill="1" applyBorder="1" applyAlignment="1" applyProtection="1">
      <alignment horizontal="center" vertical="top"/>
      <protection locked="0"/>
    </xf>
    <xf numFmtId="44" fontId="95" fillId="50" borderId="37" xfId="3760" applyFont="1" applyFill="1" applyBorder="1" applyAlignment="1" applyProtection="1">
      <alignment horizontal="center" vertical="top"/>
      <protection locked="0"/>
    </xf>
    <xf numFmtId="1" fontId="95" fillId="0" borderId="51" xfId="3760" applyNumberFormat="1" applyFont="1" applyFill="1" applyBorder="1" applyAlignment="1" applyProtection="1">
      <alignment horizontal="center" vertical="center"/>
      <protection locked="0"/>
    </xf>
    <xf numFmtId="1" fontId="95" fillId="0" borderId="4" xfId="3760" applyNumberFormat="1" applyFont="1" applyFill="1" applyBorder="1" applyAlignment="1" applyProtection="1">
      <alignment horizontal="center" vertical="center"/>
      <protection locked="0"/>
    </xf>
    <xf numFmtId="1" fontId="95" fillId="0" borderId="37" xfId="3760" applyNumberFormat="1" applyFont="1" applyFill="1" applyBorder="1" applyAlignment="1" applyProtection="1">
      <alignment horizontal="center" vertical="center"/>
      <protection locked="0"/>
    </xf>
    <xf numFmtId="1" fontId="93" fillId="8" borderId="52" xfId="3760" applyNumberFormat="1" applyFont="1" applyFill="1" applyBorder="1" applyAlignment="1" applyProtection="1">
      <alignment horizontal="center" vertical="center"/>
      <protection locked="0"/>
    </xf>
    <xf numFmtId="1" fontId="93" fillId="8" borderId="50" xfId="3760" applyNumberFormat="1" applyFont="1" applyFill="1" applyBorder="1" applyAlignment="1" applyProtection="1">
      <alignment horizontal="center" vertical="center"/>
      <protection locked="0"/>
    </xf>
    <xf numFmtId="1" fontId="93" fillId="0" borderId="52" xfId="3760" applyNumberFormat="1" applyFont="1" applyFill="1" applyBorder="1" applyAlignment="1" applyProtection="1">
      <alignment horizontal="center" vertical="center"/>
      <protection locked="0"/>
    </xf>
    <xf numFmtId="1" fontId="93" fillId="0" borderId="50" xfId="3760" applyNumberFormat="1" applyFont="1" applyFill="1" applyBorder="1" applyAlignment="1" applyProtection="1">
      <alignment horizontal="center" vertical="center"/>
      <protection locked="0"/>
    </xf>
    <xf numFmtId="1" fontId="93" fillId="49" borderId="52" xfId="3760" applyNumberFormat="1" applyFont="1" applyFill="1" applyBorder="1" applyAlignment="1" applyProtection="1">
      <alignment horizontal="center" vertical="center"/>
      <protection locked="0"/>
    </xf>
    <xf numFmtId="1" fontId="93" fillId="49" borderId="50" xfId="3760" applyNumberFormat="1" applyFont="1" applyFill="1" applyBorder="1" applyAlignment="1" applyProtection="1">
      <alignment horizontal="center" vertical="center"/>
      <protection locked="0"/>
    </xf>
    <xf numFmtId="1" fontId="94" fillId="49" borderId="52" xfId="3760" applyNumberFormat="1" applyFont="1" applyFill="1" applyBorder="1" applyAlignment="1" applyProtection="1">
      <alignment horizontal="center" vertical="center"/>
      <protection locked="0"/>
    </xf>
    <xf numFmtId="1" fontId="94" fillId="49" borderId="53" xfId="3760" applyNumberFormat="1" applyFont="1" applyFill="1" applyBorder="1" applyAlignment="1" applyProtection="1">
      <alignment horizontal="center" vertical="center"/>
      <protection locked="0"/>
    </xf>
    <xf numFmtId="44" fontId="95" fillId="50" borderId="51" xfId="3760" applyFont="1" applyFill="1" applyBorder="1" applyAlignment="1" applyProtection="1">
      <alignment horizontal="center" vertical="center"/>
      <protection locked="0"/>
    </xf>
    <xf numFmtId="44" fontId="95" fillId="50" borderId="37" xfId="3760" applyFont="1" applyFill="1" applyBorder="1" applyAlignment="1" applyProtection="1">
      <alignment horizontal="center" vertical="center"/>
      <protection locked="0"/>
    </xf>
    <xf numFmtId="0" fontId="0" fillId="57" borderId="0" xfId="0" applyFill="1" applyAlignment="1">
      <alignment horizontal="center"/>
    </xf>
    <xf numFmtId="184" fontId="93" fillId="50" borderId="51" xfId="3760" applyNumberFormat="1" applyFont="1" applyFill="1" applyBorder="1" applyAlignment="1" applyProtection="1">
      <alignment horizontal="center" vertical="center"/>
      <protection locked="0"/>
    </xf>
    <xf numFmtId="184" fontId="93" fillId="50" borderId="4" xfId="3760" applyNumberFormat="1" applyFont="1" applyFill="1" applyBorder="1" applyAlignment="1" applyProtection="1">
      <alignment horizontal="center" vertical="center"/>
      <protection locked="0"/>
    </xf>
    <xf numFmtId="184" fontId="93" fillId="50" borderId="37" xfId="3760" applyNumberFormat="1" applyFont="1" applyFill="1" applyBorder="1" applyAlignment="1" applyProtection="1">
      <alignment horizontal="center" vertical="center"/>
      <protection locked="0"/>
    </xf>
    <xf numFmtId="1" fontId="94" fillId="0" borderId="52" xfId="3562" applyNumberFormat="1" applyFont="1" applyFill="1" applyBorder="1" applyAlignment="1" applyProtection="1">
      <alignment horizontal="center" vertical="center"/>
      <protection locked="0"/>
    </xf>
    <xf numFmtId="1" fontId="94" fillId="0" borderId="53" xfId="3562" applyNumberFormat="1" applyFont="1" applyFill="1" applyBorder="1" applyAlignment="1" applyProtection="1">
      <alignment horizontal="center" vertical="center"/>
      <protection locked="0"/>
    </xf>
    <xf numFmtId="1" fontId="94" fillId="0" borderId="50" xfId="3562" applyNumberFormat="1" applyFont="1" applyFill="1" applyBorder="1" applyAlignment="1" applyProtection="1">
      <alignment horizontal="center" vertical="center"/>
      <protection locked="0"/>
    </xf>
    <xf numFmtId="1" fontId="94" fillId="50" borderId="52" xfId="3562" applyNumberFormat="1" applyFont="1" applyFill="1" applyBorder="1" applyAlignment="1" applyProtection="1">
      <alignment horizontal="center" vertical="center"/>
      <protection locked="0"/>
    </xf>
    <xf numFmtId="1" fontId="94" fillId="50" borderId="53" xfId="3562" applyNumberFormat="1" applyFont="1" applyFill="1" applyBorder="1" applyAlignment="1" applyProtection="1">
      <alignment horizontal="center" vertical="center"/>
      <protection locked="0"/>
    </xf>
    <xf numFmtId="1" fontId="94" fillId="50" borderId="50" xfId="3562" applyNumberFormat="1" applyFont="1" applyFill="1" applyBorder="1" applyAlignment="1" applyProtection="1">
      <alignment horizontal="center" vertical="center"/>
      <protection locked="0"/>
    </xf>
    <xf numFmtId="1" fontId="93" fillId="50" borderId="52" xfId="3760" applyNumberFormat="1" applyFont="1" applyFill="1" applyBorder="1" applyAlignment="1" applyProtection="1">
      <alignment horizontal="center" vertical="center"/>
      <protection locked="0"/>
    </xf>
    <xf numFmtId="1" fontId="93" fillId="50" borderId="50" xfId="3760" applyNumberFormat="1" applyFont="1" applyFill="1" applyBorder="1" applyAlignment="1" applyProtection="1">
      <alignment horizontal="center" vertical="center"/>
      <protection locked="0"/>
    </xf>
    <xf numFmtId="44" fontId="95" fillId="60" borderId="51" xfId="3760" applyFont="1" applyFill="1" applyBorder="1" applyAlignment="1" applyProtection="1">
      <alignment horizontal="center" vertical="center"/>
      <protection locked="0"/>
    </xf>
    <xf numFmtId="44" fontId="95" fillId="60" borderId="37" xfId="3760" applyFont="1" applyFill="1" applyBorder="1" applyAlignment="1" applyProtection="1">
      <alignment horizontal="center" vertical="center"/>
      <protection locked="0"/>
    </xf>
    <xf numFmtId="1" fontId="95" fillId="8" borderId="51" xfId="3760" applyNumberFormat="1" applyFont="1" applyFill="1" applyBorder="1" applyAlignment="1" applyProtection="1">
      <alignment horizontal="center" vertical="center"/>
      <protection locked="0"/>
    </xf>
    <xf numFmtId="1" fontId="95" fillId="8" borderId="37" xfId="3760" applyNumberFormat="1" applyFont="1" applyFill="1" applyBorder="1" applyAlignment="1" applyProtection="1">
      <alignment horizontal="center" vertical="center"/>
      <protection locked="0"/>
    </xf>
    <xf numFmtId="184" fontId="93" fillId="60" borderId="51" xfId="3760" applyNumberFormat="1" applyFont="1" applyFill="1" applyBorder="1" applyAlignment="1" applyProtection="1">
      <alignment horizontal="center" vertical="center"/>
      <protection locked="0"/>
    </xf>
    <xf numFmtId="184" fontId="93" fillId="60" borderId="4" xfId="3760" applyNumberFormat="1" applyFont="1" applyFill="1" applyBorder="1" applyAlignment="1" applyProtection="1">
      <alignment horizontal="center" vertical="center"/>
      <protection locked="0"/>
    </xf>
    <xf numFmtId="184" fontId="93" fillId="60" borderId="37" xfId="3760" applyNumberFormat="1" applyFont="1" applyFill="1" applyBorder="1" applyAlignment="1" applyProtection="1">
      <alignment horizontal="center" vertical="center"/>
      <protection locked="0"/>
    </xf>
    <xf numFmtId="1" fontId="94" fillId="8" borderId="52" xfId="3562" applyNumberFormat="1" applyFont="1" applyFill="1" applyBorder="1" applyAlignment="1" applyProtection="1">
      <alignment horizontal="center" vertical="center"/>
      <protection locked="0"/>
    </xf>
    <xf numFmtId="1" fontId="94" fillId="8" borderId="53" xfId="3562" applyNumberFormat="1" applyFont="1" applyFill="1" applyBorder="1" applyAlignment="1" applyProtection="1">
      <alignment horizontal="center" vertical="center"/>
      <protection locked="0"/>
    </xf>
    <xf numFmtId="1" fontId="94" fillId="8" borderId="50" xfId="3562" applyNumberFormat="1" applyFont="1" applyFill="1" applyBorder="1" applyAlignment="1" applyProtection="1">
      <alignment horizontal="center" vertical="center"/>
      <protection locked="0"/>
    </xf>
    <xf numFmtId="184" fontId="93" fillId="49" borderId="51" xfId="3760" applyNumberFormat="1" applyFont="1" applyFill="1" applyBorder="1" applyAlignment="1" applyProtection="1">
      <alignment horizontal="center" vertical="center"/>
      <protection locked="0"/>
    </xf>
    <xf numFmtId="184" fontId="93" fillId="49" borderId="4" xfId="3760" applyNumberFormat="1" applyFont="1" applyFill="1" applyBorder="1" applyAlignment="1" applyProtection="1">
      <alignment horizontal="center" vertical="center"/>
      <protection locked="0"/>
    </xf>
    <xf numFmtId="184" fontId="93" fillId="49" borderId="37" xfId="3760" applyNumberFormat="1" applyFont="1" applyFill="1" applyBorder="1" applyAlignment="1" applyProtection="1">
      <alignment horizontal="center" vertical="center"/>
      <protection locked="0"/>
    </xf>
    <xf numFmtId="1" fontId="94" fillId="49" borderId="52" xfId="3562" applyNumberFormat="1" applyFont="1" applyFill="1" applyBorder="1" applyAlignment="1" applyProtection="1">
      <alignment horizontal="center" vertical="center"/>
      <protection locked="0"/>
    </xf>
    <xf numFmtId="1" fontId="94" fillId="49" borderId="53" xfId="3562" applyNumberFormat="1" applyFont="1" applyFill="1" applyBorder="1" applyAlignment="1" applyProtection="1">
      <alignment horizontal="center" vertical="center"/>
      <protection locked="0"/>
    </xf>
    <xf numFmtId="1" fontId="94" fillId="49" borderId="50" xfId="3562" applyNumberFormat="1" applyFont="1" applyFill="1" applyBorder="1" applyAlignment="1" applyProtection="1">
      <alignment horizontal="center" vertical="center"/>
      <protection locked="0"/>
    </xf>
    <xf numFmtId="1" fontId="94" fillId="49" borderId="50" xfId="3760" applyNumberFormat="1" applyFont="1" applyFill="1" applyBorder="1" applyAlignment="1" applyProtection="1">
      <alignment horizontal="center" vertical="center"/>
      <protection locked="0"/>
    </xf>
    <xf numFmtId="1" fontId="94" fillId="0" borderId="52" xfId="3760" applyNumberFormat="1" applyFont="1" applyFill="1" applyBorder="1" applyAlignment="1" applyProtection="1">
      <alignment horizontal="center" vertical="center"/>
      <protection locked="0"/>
    </xf>
    <xf numFmtId="1" fontId="94" fillId="0" borderId="50" xfId="3760" applyNumberFormat="1" applyFont="1" applyFill="1" applyBorder="1" applyAlignment="1" applyProtection="1">
      <alignment horizontal="center" vertical="center"/>
      <protection locked="0"/>
    </xf>
    <xf numFmtId="184" fontId="93" fillId="62" borderId="51" xfId="3760" applyNumberFormat="1" applyFont="1" applyFill="1" applyBorder="1" applyAlignment="1" applyProtection="1">
      <alignment horizontal="center" vertical="center"/>
      <protection locked="0"/>
    </xf>
    <xf numFmtId="184" fontId="93" fillId="62" borderId="4" xfId="3760" applyNumberFormat="1" applyFont="1" applyFill="1" applyBorder="1" applyAlignment="1" applyProtection="1">
      <alignment horizontal="center" vertical="center"/>
      <protection locked="0"/>
    </xf>
    <xf numFmtId="184" fontId="93" fillId="62" borderId="58" xfId="3760" applyNumberFormat="1" applyFont="1" applyFill="1" applyBorder="1" applyAlignment="1" applyProtection="1">
      <alignment horizontal="center" vertical="center"/>
      <protection locked="0"/>
    </xf>
    <xf numFmtId="1" fontId="94" fillId="0" borderId="53" xfId="3760" applyNumberFormat="1" applyFont="1" applyFill="1" applyBorder="1" applyAlignment="1" applyProtection="1">
      <alignment horizontal="center" vertical="center"/>
      <protection locked="0"/>
    </xf>
    <xf numFmtId="1" fontId="94" fillId="62" borderId="52" xfId="3760" applyNumberFormat="1" applyFont="1" applyFill="1" applyBorder="1" applyAlignment="1" applyProtection="1">
      <alignment horizontal="center" vertical="center"/>
      <protection locked="0"/>
    </xf>
    <xf numFmtId="1" fontId="94" fillId="62" borderId="53" xfId="3760" applyNumberFormat="1" applyFont="1" applyFill="1" applyBorder="1" applyAlignment="1" applyProtection="1">
      <alignment horizontal="center" vertical="center"/>
      <protection locked="0"/>
    </xf>
    <xf numFmtId="1" fontId="94" fillId="62" borderId="50" xfId="3760" applyNumberFormat="1" applyFont="1" applyFill="1" applyBorder="1" applyAlignment="1" applyProtection="1">
      <alignment horizontal="center" vertical="center"/>
      <protection locked="0"/>
    </xf>
    <xf numFmtId="1" fontId="93" fillId="62" borderId="52" xfId="3760" applyNumberFormat="1" applyFont="1" applyFill="1" applyBorder="1" applyAlignment="1" applyProtection="1">
      <alignment horizontal="center" vertical="center"/>
      <protection locked="0"/>
    </xf>
    <xf numFmtId="1" fontId="93" fillId="62" borderId="50" xfId="3760" applyNumberFormat="1" applyFont="1" applyFill="1" applyBorder="1" applyAlignment="1" applyProtection="1">
      <alignment horizontal="center" vertical="center"/>
      <protection locked="0"/>
    </xf>
    <xf numFmtId="1" fontId="95" fillId="2" borderId="51" xfId="3760" applyNumberFormat="1" applyFont="1" applyFill="1" applyBorder="1" applyAlignment="1" applyProtection="1">
      <alignment horizontal="center" vertical="center"/>
      <protection locked="0"/>
    </xf>
    <xf numFmtId="1" fontId="95" fillId="2" borderId="4" xfId="3760" applyNumberFormat="1" applyFont="1" applyFill="1" applyBorder="1" applyAlignment="1" applyProtection="1">
      <alignment horizontal="center" vertical="center"/>
      <protection locked="0"/>
    </xf>
    <xf numFmtId="1" fontId="95" fillId="2" borderId="37" xfId="3760" applyNumberFormat="1" applyFont="1" applyFill="1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left" vertical="top"/>
    </xf>
    <xf numFmtId="0" fontId="98" fillId="0" borderId="51" xfId="0" applyFont="1" applyBorder="1" applyAlignment="1">
      <alignment horizontal="left" vertical="top" wrapText="1"/>
    </xf>
    <xf numFmtId="0" fontId="98" fillId="0" borderId="37" xfId="0" applyFont="1" applyBorder="1" applyAlignment="1">
      <alignment horizontal="left" vertical="top" wrapText="1"/>
    </xf>
    <xf numFmtId="0" fontId="98" fillId="0" borderId="51" xfId="0" applyFont="1" applyBorder="1" applyAlignment="1">
      <alignment horizontal="center" vertical="top" wrapText="1"/>
    </xf>
    <xf numFmtId="0" fontId="98" fillId="0" borderId="37" xfId="0" applyFont="1" applyBorder="1" applyAlignment="1">
      <alignment horizontal="center" vertical="top" wrapText="1"/>
    </xf>
    <xf numFmtId="1" fontId="93" fillId="62" borderId="59" xfId="3760" applyNumberFormat="1" applyFont="1" applyFill="1" applyBorder="1" applyAlignment="1" applyProtection="1">
      <alignment horizontal="center" vertical="center"/>
      <protection locked="0"/>
    </xf>
    <xf numFmtId="1" fontId="93" fillId="62" borderId="60" xfId="3760" applyNumberFormat="1" applyFont="1" applyFill="1" applyBorder="1" applyAlignment="1" applyProtection="1">
      <alignment horizontal="center" vertical="center"/>
      <protection locked="0"/>
    </xf>
    <xf numFmtId="1" fontId="95" fillId="62" borderId="51" xfId="3760" applyNumberFormat="1" applyFont="1" applyFill="1" applyBorder="1" applyAlignment="1" applyProtection="1">
      <alignment horizontal="center" vertical="center"/>
      <protection locked="0"/>
    </xf>
    <xf numFmtId="1" fontId="95" fillId="62" borderId="37" xfId="3760" applyNumberFormat="1" applyFont="1" applyFill="1" applyBorder="1" applyAlignment="1" applyProtection="1">
      <alignment horizontal="center" vertical="center"/>
      <protection locked="0"/>
    </xf>
    <xf numFmtId="184" fontId="93" fillId="47" borderId="51" xfId="3760" applyNumberFormat="1" applyFont="1" applyFill="1" applyBorder="1" applyAlignment="1" applyProtection="1">
      <alignment horizontal="center" vertical="center"/>
      <protection locked="0"/>
    </xf>
    <xf numFmtId="184" fontId="93" fillId="47" borderId="4" xfId="3760" applyNumberFormat="1" applyFont="1" applyFill="1" applyBorder="1" applyAlignment="1" applyProtection="1">
      <alignment horizontal="center" vertical="center"/>
      <protection locked="0"/>
    </xf>
    <xf numFmtId="184" fontId="93" fillId="47" borderId="58" xfId="3760" applyNumberFormat="1" applyFont="1" applyFill="1" applyBorder="1" applyAlignment="1" applyProtection="1">
      <alignment horizontal="center" vertical="center"/>
      <protection locked="0"/>
    </xf>
    <xf numFmtId="184" fontId="93" fillId="62" borderId="37" xfId="3760" applyNumberFormat="1" applyFont="1" applyFill="1" applyBorder="1" applyAlignment="1" applyProtection="1">
      <alignment horizontal="center" vertical="center"/>
      <protection locked="0"/>
    </xf>
    <xf numFmtId="185" fontId="93" fillId="2" borderId="51" xfId="0" applyNumberFormat="1" applyFont="1" applyFill="1" applyBorder="1" applyAlignment="1">
      <alignment horizontal="center" vertical="center"/>
    </xf>
    <xf numFmtId="185" fontId="93" fillId="2" borderId="37" xfId="0" applyNumberFormat="1" applyFont="1" applyFill="1" applyBorder="1" applyAlignment="1">
      <alignment horizontal="center" vertical="center"/>
    </xf>
    <xf numFmtId="0" fontId="9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6" fillId="0" borderId="49" xfId="0" applyFont="1" applyBorder="1" applyAlignment="1">
      <alignment vertical="center" wrapText="1"/>
    </xf>
    <xf numFmtId="0" fontId="8" fillId="0" borderId="49" xfId="0" applyFont="1" applyBorder="1" applyAlignment="1">
      <alignment vertical="center" wrapText="1"/>
    </xf>
    <xf numFmtId="0" fontId="96" fillId="51" borderId="49" xfId="0" applyFont="1" applyFill="1" applyBorder="1" applyAlignment="1">
      <alignment vertical="center" wrapText="1"/>
    </xf>
  </cellXfs>
  <cellStyles count="3772">
    <cellStyle name="%" xfId="1" xr:uid="{00000000-0005-0000-0000-000000000000}"/>
    <cellStyle name="% 2" xfId="10" xr:uid="{00000000-0005-0000-0000-000001000000}"/>
    <cellStyle name="% 2 2" xfId="159" xr:uid="{00000000-0005-0000-0000-000002000000}"/>
    <cellStyle name="% 2 2 2" xfId="3605" xr:uid="{C9094D8F-00E5-4958-B60F-DE39440E2810}"/>
    <cellStyle name="% 2 2 2 2" xfId="3693" xr:uid="{BEC61306-B231-49D9-8B5B-FD5BD07A71EA}"/>
    <cellStyle name="% 2 2 3" xfId="3694" xr:uid="{BF41E943-A201-416C-8AC0-185064D23998}"/>
    <cellStyle name="% 2 3" xfId="3695" xr:uid="{D1C86B01-A57A-4F58-A0E1-215A89F82187}"/>
    <cellStyle name="% 2 4" xfId="3751" xr:uid="{D8EFE3B0-A9C3-493C-9D5E-15EA79825235}"/>
    <cellStyle name="% 3" xfId="160" xr:uid="{00000000-0005-0000-0000-000003000000}"/>
    <cellStyle name="% 3 2" xfId="3607" xr:uid="{C420308B-41D1-465C-B83A-D439B16E0EE3}"/>
    <cellStyle name="% 3 2 2" xfId="3696" xr:uid="{3CD0A6FE-BCA1-4C81-9AF0-3CB35FB75519}"/>
    <cellStyle name="% 3 3" xfId="3690" xr:uid="{5953A461-297D-425A-A5FE-01446BED2919}"/>
    <cellStyle name="% 3 4" xfId="3606" xr:uid="{B1653902-A296-44C3-A4AB-0D792B16ECF5}"/>
    <cellStyle name="% 4" xfId="161" xr:uid="{00000000-0005-0000-0000-000004000000}"/>
    <cellStyle name="% 4 2" xfId="3750" xr:uid="{95C9FD8B-20BF-401D-A4F7-406D2E0FC174}"/>
    <cellStyle name="% 5" xfId="162" xr:uid="{00000000-0005-0000-0000-000005000000}"/>
    <cellStyle name="% 5 2" xfId="163" xr:uid="{00000000-0005-0000-0000-000006000000}"/>
    <cellStyle name="% 6" xfId="164" xr:uid="{00000000-0005-0000-0000-000007000000}"/>
    <cellStyle name="% 7" xfId="165" xr:uid="{00000000-0005-0000-0000-000008000000}"/>
    <cellStyle name="%_17LAROA2001A1" xfId="166" xr:uid="{00000000-0005-0000-0000-000009000000}"/>
    <cellStyle name="%_17LAROA2001A1 2" xfId="167" xr:uid="{00000000-0005-0000-0000-00000A000000}"/>
    <cellStyle name="%_18BOURA2001A1" xfId="168" xr:uid="{00000000-0005-0000-0000-00000B000000}"/>
    <cellStyle name="%_18BOURA2001A1 2" xfId="169" xr:uid="{00000000-0005-0000-0000-00000C000000}"/>
    <cellStyle name="%_20110127_BdC_initialisation_SCCR_février2011" xfId="3752" xr:uid="{659CD2C7-F156-4C97-B68D-905662EC07DC}"/>
    <cellStyle name="%_22LANNA3002A1" xfId="170" xr:uid="{00000000-0005-0000-0000-00000D000000}"/>
    <cellStyle name="%_22LANNA3002A1 2" xfId="171" xr:uid="{00000000-0005-0000-0000-00000E000000}"/>
    <cellStyle name="%_41BLOIA2001A1" xfId="172" xr:uid="{00000000-0005-0000-0000-00000F000000}"/>
    <cellStyle name="%_41BLOIA2001A1 2" xfId="173" xr:uid="{00000000-0005-0000-0000-000010000000}"/>
    <cellStyle name="%_44STHEA3001A1" xfId="174" xr:uid="{00000000-0005-0000-0000-000011000000}"/>
    <cellStyle name="%_44STHEA3001A1 2" xfId="175" xr:uid="{00000000-0005-0000-0000-000012000000}"/>
    <cellStyle name="%_44STNAA3001A1" xfId="176" xr:uid="{00000000-0005-0000-0000-000013000000}"/>
    <cellStyle name="%_44STNAA3001A1 2" xfId="177" xr:uid="{00000000-0005-0000-0000-000014000000}"/>
    <cellStyle name="%_45ORLEA2001A1" xfId="178" xr:uid="{00000000-0005-0000-0000-000015000000}"/>
    <cellStyle name="%_45ORLEA2001A1 2" xfId="179" xr:uid="{00000000-0005-0000-0000-000016000000}"/>
    <cellStyle name="%_49ANGEA2001A1" xfId="180" xr:uid="{00000000-0005-0000-0000-000017000000}"/>
    <cellStyle name="%_49ANGEA2001A1 2" xfId="181" xr:uid="{00000000-0005-0000-0000-000018000000}"/>
    <cellStyle name="%_49CHOLA3001A1" xfId="182" xr:uid="{00000000-0005-0000-0000-000019000000}"/>
    <cellStyle name="%_49CHOLA3001A1 2" xfId="183" xr:uid="{00000000-0005-0000-0000-00001A000000}"/>
    <cellStyle name="%_53LAVAA2001A1" xfId="184" xr:uid="{00000000-0005-0000-0000-00001B000000}"/>
    <cellStyle name="%_53LAVAA2001A1 2" xfId="185" xr:uid="{00000000-0005-0000-0000-00001C000000}"/>
    <cellStyle name="%_86POITA3001A1" xfId="186" xr:uid="{00000000-0005-0000-0000-00001D000000}"/>
    <cellStyle name="%_86POITA3001A1 2" xfId="187" xr:uid="{00000000-0005-0000-0000-00001E000000}"/>
    <cellStyle name="%_BdC business VPN  standard V7" xfId="11" xr:uid="{00000000-0005-0000-0000-00001F000000}"/>
    <cellStyle name="%_BdC business VPN  standard V7 2" xfId="3753" xr:uid="{99903E47-047C-4EBF-87C1-ABC8F550C67F}"/>
    <cellStyle name="%_BdC business VPN  standard V7_280110" xfId="3754" xr:uid="{4E90C814-85A8-4D4B-81E2-B4946FEB2BC6}"/>
    <cellStyle name="%_BdC business VPN  standard V7_version de travail 3" xfId="12" xr:uid="{00000000-0005-0000-0000-000020000000}"/>
    <cellStyle name="%_BdC business VPN  standard V7_version de travail 4" xfId="3755" xr:uid="{B2025DDF-EF3D-4F29-A4C1-68C493FF666A}"/>
    <cellStyle name="%_BdC business VPN  standard V7_version de travail 4 2" xfId="3756" xr:uid="{CABDF1F3-773A-4688-9E43-96CA80D1DCCF}"/>
    <cellStyle name="%_BdC_modification_SCCR_janvier2011" xfId="3757" xr:uid="{C49E8E19-88B6-42E8-B536-A6A55C657838}"/>
    <cellStyle name="%_Draft BdC BVPN V13.3 1012" xfId="13" xr:uid="{00000000-0005-0000-0000-000021000000}"/>
    <cellStyle name="%_IP" xfId="188" xr:uid="{00000000-0005-0000-0000-000022000000}"/>
    <cellStyle name="%_IP 2" xfId="189" xr:uid="{00000000-0005-0000-0000-000023000000}"/>
    <cellStyle name="%_Liste Site Commande Initiale RIN4-00" xfId="190" xr:uid="{00000000-0005-0000-0000-000024000000}"/>
    <cellStyle name="%_Liste Site Commande Initiale RIN4-00 2" xfId="191" xr:uid="{00000000-0005-0000-0000-000025000000}"/>
    <cellStyle name="%_Liste Site Commande Initiale RIN4-00 2 2" xfId="192" xr:uid="{00000000-0005-0000-0000-000026000000}"/>
    <cellStyle name="%_Liste Site Commande Initiale RIN4-00 3" xfId="193" xr:uid="{00000000-0005-0000-0000-000027000000}"/>
    <cellStyle name="%_Liste Site Commande Initiale RIN4-03" xfId="194" xr:uid="{00000000-0005-0000-0000-000028000000}"/>
    <cellStyle name="%_Liste Site Commande Initiale RIN4-03 2" xfId="195" xr:uid="{00000000-0005-0000-0000-000029000000}"/>
    <cellStyle name="%_Liste Site Commande Initiale RIN4-03 2 2" xfId="196" xr:uid="{00000000-0005-0000-0000-00002A000000}"/>
    <cellStyle name="%_Liste Site Commande Initiale RIN4-03 3" xfId="197" xr:uid="{00000000-0005-0000-0000-00002B000000}"/>
    <cellStyle name="%_Liste Site Commande Initiale RIN4-03 4" xfId="198" xr:uid="{00000000-0005-0000-0000-00002C000000}"/>
    <cellStyle name="%_Suivi 1_1" xfId="2" xr:uid="{00000000-0005-0000-0000-00002D000000}"/>
    <cellStyle name="_090311 BTIP BdC Annexes" xfId="14" xr:uid="{00000000-0005-0000-0000-00002E000000}"/>
    <cellStyle name="_090311 BTIP BdC Annexes 2" xfId="3758" xr:uid="{D03DC493-1E64-4163-B364-836AF225EB5B}"/>
    <cellStyle name="_090616 BTIP BdC" xfId="15" xr:uid="{00000000-0005-0000-0000-00002F000000}"/>
    <cellStyle name="_090616 BTIP BdC 2" xfId="3759" xr:uid="{C0049FFF-C5C1-4BA6-8508-9859C3099AB4}"/>
    <cellStyle name="_17SAINBG001A1" xfId="199" xr:uid="{00000000-0005-0000-0000-000030000000}"/>
    <cellStyle name="_22STBRB2001A1" xfId="200" xr:uid="{00000000-0005-0000-0000-000031000000}"/>
    <cellStyle name="_22STBRBG002A1" xfId="201" xr:uid="{00000000-0005-0000-0000-000032000000}"/>
    <cellStyle name="_44NANTB1001A1" xfId="202" xr:uid="{00000000-0005-0000-0000-000033000000}"/>
    <cellStyle name="_44NANTBB001A1" xfId="203" xr:uid="{00000000-0005-0000-0000-000034000000}"/>
    <cellStyle name="_45OUZOB2001A1" xfId="204" xr:uid="{00000000-0005-0000-0000-000035000000}"/>
    <cellStyle name="_85LAROBG001A1" xfId="205" xr:uid="{00000000-0005-0000-0000-000036000000}"/>
    <cellStyle name="_Bordereau commercial RIN4 v7 Réponse SFR 27.04.2009" xfId="206" xr:uid="{00000000-0005-0000-0000-000037000000}"/>
    <cellStyle name="_Classeur2" xfId="207" xr:uid="{00000000-0005-0000-0000-000038000000}"/>
    <cellStyle name="_IP" xfId="208" xr:uid="{00000000-0005-0000-0000-000039000000}"/>
    <cellStyle name="_NDI-SIRET-Contact" xfId="209" xr:uid="{00000000-0005-0000-0000-00003A000000}"/>
    <cellStyle name="_Pricer global- V13" xfId="210" xr:uid="{00000000-0005-0000-0000-00003B000000}"/>
    <cellStyle name="_Réponse Bordereau commercial RIN4 derniere version v1" xfId="211" xr:uid="{00000000-0005-0000-0000-00003C000000}"/>
    <cellStyle name="_SFR_Offre_financiere_Réponse_Bordereau_commercial_RIN4_28012009" xfId="212" xr:uid="{00000000-0005-0000-0000-00003D000000}"/>
    <cellStyle name="_SFR_Offre_financiere_Réponse_Bordereau_commercial_RIN4_28012009 2" xfId="213" xr:uid="{00000000-0005-0000-0000-00003E000000}"/>
    <cellStyle name="_SFR_Offre_financiere_Réponse_Bordereau_commercial_RIN4_28012009 3" xfId="214" xr:uid="{00000000-0005-0000-0000-00003F000000}"/>
    <cellStyle name="_SFR_Offre_financiere_Réponse_Bordereau_commercial_RIN4_28012009 3 2" xfId="215" xr:uid="{00000000-0005-0000-0000-000040000000}"/>
    <cellStyle name="_SFR_Offre_financiere_Réponse_Bordereau_commercial_RIN4_28012009 4" xfId="216" xr:uid="{00000000-0005-0000-0000-000041000000}"/>
    <cellStyle name="_SFR_Offre_financiere_Réponse_Bordereau_commercial_RIN4_28012009 5" xfId="217" xr:uid="{00000000-0005-0000-0000-000042000000}"/>
    <cellStyle name="_Sites" xfId="218" xr:uid="{00000000-0005-0000-0000-000043000000}"/>
    <cellStyle name="0,0_x000a__x000a_NA_x000a__x000a_" xfId="219" xr:uid="{00000000-0005-0000-0000-000044000000}"/>
    <cellStyle name="0,0_x000a__x000a_NA_x000a__x000a_ 2" xfId="220" xr:uid="{00000000-0005-0000-0000-000045000000}"/>
    <cellStyle name="0,0_x000d__x000a_NA_x000d__x000a_" xfId="221" xr:uid="{00000000-0005-0000-0000-000046000000}"/>
    <cellStyle name="0,0_x000d__x000a_NA_x000d__x000a_ 2" xfId="222" xr:uid="{00000000-0005-0000-0000-000047000000}"/>
    <cellStyle name="0,0_x000d__x000a_NA_x000d__x000a_ 3" xfId="223" xr:uid="{00000000-0005-0000-0000-000048000000}"/>
    <cellStyle name="0,0_x000d__x000a_NA_x000d__x000a_ 3 2" xfId="224" xr:uid="{00000000-0005-0000-0000-000049000000}"/>
    <cellStyle name="0,0_x000d__x000a_NA_x000d__x000a_ 4" xfId="225" xr:uid="{00000000-0005-0000-0000-00004A000000}"/>
    <cellStyle name="0,0_x000d__x000a_NA_x000d__x000a_ 5" xfId="226" xr:uid="{00000000-0005-0000-0000-00004B000000}"/>
    <cellStyle name="20 % - Accent1 10" xfId="227" xr:uid="{00000000-0005-0000-0000-00004C000000}"/>
    <cellStyle name="20 % - Accent1 10 2" xfId="228" xr:uid="{00000000-0005-0000-0000-00004D000000}"/>
    <cellStyle name="20 % - Accent1 11" xfId="229" xr:uid="{00000000-0005-0000-0000-00004E000000}"/>
    <cellStyle name="20 % - Accent1 12" xfId="230" xr:uid="{00000000-0005-0000-0000-00004F000000}"/>
    <cellStyle name="20 % - Accent1 13" xfId="3520" xr:uid="{52C3EE4C-EE25-4E13-BACC-C06A67622EB7}"/>
    <cellStyle name="20 % - Accent1 2" xfId="231" xr:uid="{00000000-0005-0000-0000-000050000000}"/>
    <cellStyle name="20 % - Accent1 2 2" xfId="3697" xr:uid="{42ECB60B-A48D-44B2-BFA1-A0F973629A77}"/>
    <cellStyle name="20 % - Accent1 3" xfId="232" xr:uid="{00000000-0005-0000-0000-000051000000}"/>
    <cellStyle name="20 % - Accent1 3 2" xfId="233" xr:uid="{00000000-0005-0000-0000-000052000000}"/>
    <cellStyle name="20 % - Accent1 3 2 2" xfId="234" xr:uid="{00000000-0005-0000-0000-000053000000}"/>
    <cellStyle name="20 % - Accent1 3 2 3" xfId="3698" xr:uid="{21E52C0B-44C5-47B3-B6C7-95032149F4B6}"/>
    <cellStyle name="20 % - Accent1 3 3" xfId="235" xr:uid="{00000000-0005-0000-0000-000054000000}"/>
    <cellStyle name="20 % - Accent1 3 4" xfId="3608" xr:uid="{C2D2300E-2713-456E-96B0-A0C41C91A61B}"/>
    <cellStyle name="20 % - Accent1 4" xfId="236" xr:uid="{00000000-0005-0000-0000-000055000000}"/>
    <cellStyle name="20 % - Accent1 4 2" xfId="237" xr:uid="{00000000-0005-0000-0000-000056000000}"/>
    <cellStyle name="20 % - Accent1 4 2 2" xfId="238" xr:uid="{00000000-0005-0000-0000-000057000000}"/>
    <cellStyle name="20 % - Accent1 4 3" xfId="239" xr:uid="{00000000-0005-0000-0000-000058000000}"/>
    <cellStyle name="20 % - Accent1 5" xfId="240" xr:uid="{00000000-0005-0000-0000-000059000000}"/>
    <cellStyle name="20 % - Accent1 5 2" xfId="241" xr:uid="{00000000-0005-0000-0000-00005A000000}"/>
    <cellStyle name="20 % - Accent1 6" xfId="242" xr:uid="{00000000-0005-0000-0000-00005B000000}"/>
    <cellStyle name="20 % - Accent1 6 2" xfId="243" xr:uid="{00000000-0005-0000-0000-00005C000000}"/>
    <cellStyle name="20 % - Accent1 7" xfId="244" xr:uid="{00000000-0005-0000-0000-00005D000000}"/>
    <cellStyle name="20 % - Accent1 7 2" xfId="245" xr:uid="{00000000-0005-0000-0000-00005E000000}"/>
    <cellStyle name="20 % - Accent1 8" xfId="246" xr:uid="{00000000-0005-0000-0000-00005F000000}"/>
    <cellStyle name="20 % - Accent1 8 2" xfId="247" xr:uid="{00000000-0005-0000-0000-000060000000}"/>
    <cellStyle name="20 % - Accent1 9" xfId="248" xr:uid="{00000000-0005-0000-0000-000061000000}"/>
    <cellStyle name="20 % - Accent1 9 2" xfId="249" xr:uid="{00000000-0005-0000-0000-000062000000}"/>
    <cellStyle name="20 % - Accent2 10" xfId="250" xr:uid="{00000000-0005-0000-0000-000063000000}"/>
    <cellStyle name="20 % - Accent2 10 2" xfId="251" xr:uid="{00000000-0005-0000-0000-000064000000}"/>
    <cellStyle name="20 % - Accent2 11" xfId="252" xr:uid="{00000000-0005-0000-0000-000065000000}"/>
    <cellStyle name="20 % - Accent2 12" xfId="253" xr:uid="{00000000-0005-0000-0000-000066000000}"/>
    <cellStyle name="20 % - Accent2 13" xfId="3521" xr:uid="{DB04882B-68F5-413D-BA5F-889DCC08A75C}"/>
    <cellStyle name="20 % - Accent2 2" xfId="254" xr:uid="{00000000-0005-0000-0000-000067000000}"/>
    <cellStyle name="20 % - Accent2 2 2" xfId="3699" xr:uid="{55DCBC3E-6139-4916-9B07-9018BF28DAD1}"/>
    <cellStyle name="20 % - Accent2 3" xfId="255" xr:uid="{00000000-0005-0000-0000-000068000000}"/>
    <cellStyle name="20 % - Accent2 3 2" xfId="256" xr:uid="{00000000-0005-0000-0000-000069000000}"/>
    <cellStyle name="20 % - Accent2 3 2 2" xfId="257" xr:uid="{00000000-0005-0000-0000-00006A000000}"/>
    <cellStyle name="20 % - Accent2 3 2 3" xfId="3700" xr:uid="{D7D39464-64AD-4ADE-990D-572380EEFC76}"/>
    <cellStyle name="20 % - Accent2 3 3" xfId="258" xr:uid="{00000000-0005-0000-0000-00006B000000}"/>
    <cellStyle name="20 % - Accent2 3 4" xfId="3609" xr:uid="{E9538FF3-AAF1-408A-BAF2-57E18A44AE9E}"/>
    <cellStyle name="20 % - Accent2 4" xfId="259" xr:uid="{00000000-0005-0000-0000-00006C000000}"/>
    <cellStyle name="20 % - Accent2 4 2" xfId="260" xr:uid="{00000000-0005-0000-0000-00006D000000}"/>
    <cellStyle name="20 % - Accent2 4 2 2" xfId="261" xr:uid="{00000000-0005-0000-0000-00006E000000}"/>
    <cellStyle name="20 % - Accent2 4 3" xfId="262" xr:uid="{00000000-0005-0000-0000-00006F000000}"/>
    <cellStyle name="20 % - Accent2 5" xfId="263" xr:uid="{00000000-0005-0000-0000-000070000000}"/>
    <cellStyle name="20 % - Accent2 5 2" xfId="264" xr:uid="{00000000-0005-0000-0000-000071000000}"/>
    <cellStyle name="20 % - Accent2 6" xfId="265" xr:uid="{00000000-0005-0000-0000-000072000000}"/>
    <cellStyle name="20 % - Accent2 6 2" xfId="266" xr:uid="{00000000-0005-0000-0000-000073000000}"/>
    <cellStyle name="20 % - Accent2 7" xfId="267" xr:uid="{00000000-0005-0000-0000-000074000000}"/>
    <cellStyle name="20 % - Accent2 7 2" xfId="268" xr:uid="{00000000-0005-0000-0000-000075000000}"/>
    <cellStyle name="20 % - Accent2 8" xfId="269" xr:uid="{00000000-0005-0000-0000-000076000000}"/>
    <cellStyle name="20 % - Accent2 8 2" xfId="270" xr:uid="{00000000-0005-0000-0000-000077000000}"/>
    <cellStyle name="20 % - Accent2 9" xfId="271" xr:uid="{00000000-0005-0000-0000-000078000000}"/>
    <cellStyle name="20 % - Accent2 9 2" xfId="272" xr:uid="{00000000-0005-0000-0000-000079000000}"/>
    <cellStyle name="20 % - Accent3 10" xfId="273" xr:uid="{00000000-0005-0000-0000-00007A000000}"/>
    <cellStyle name="20 % - Accent3 10 2" xfId="274" xr:uid="{00000000-0005-0000-0000-00007B000000}"/>
    <cellStyle name="20 % - Accent3 11" xfId="275" xr:uid="{00000000-0005-0000-0000-00007C000000}"/>
    <cellStyle name="20 % - Accent3 12" xfId="276" xr:uid="{00000000-0005-0000-0000-00007D000000}"/>
    <cellStyle name="20 % - Accent3 13" xfId="3522" xr:uid="{2C718EEB-C8ED-4A52-BA3B-4270C2027A0A}"/>
    <cellStyle name="20 % - Accent3 2" xfId="277" xr:uid="{00000000-0005-0000-0000-00007E000000}"/>
    <cellStyle name="20 % - Accent3 2 2" xfId="3701" xr:uid="{751E4DF9-2434-4A30-9EEC-F5B1C8D7FECD}"/>
    <cellStyle name="20 % - Accent3 3" xfId="278" xr:uid="{00000000-0005-0000-0000-00007F000000}"/>
    <cellStyle name="20 % - Accent3 3 2" xfId="279" xr:uid="{00000000-0005-0000-0000-000080000000}"/>
    <cellStyle name="20 % - Accent3 3 2 2" xfId="280" xr:uid="{00000000-0005-0000-0000-000081000000}"/>
    <cellStyle name="20 % - Accent3 3 2 3" xfId="3702" xr:uid="{12F83ECB-549D-45A6-923F-608EF67EDF5C}"/>
    <cellStyle name="20 % - Accent3 3 3" xfId="281" xr:uid="{00000000-0005-0000-0000-000082000000}"/>
    <cellStyle name="20 % - Accent3 3 4" xfId="3610" xr:uid="{A2363900-79BE-453D-BF37-5D8CF3F07CF5}"/>
    <cellStyle name="20 % - Accent3 4" xfId="282" xr:uid="{00000000-0005-0000-0000-000083000000}"/>
    <cellStyle name="20 % - Accent3 4 2" xfId="283" xr:uid="{00000000-0005-0000-0000-000084000000}"/>
    <cellStyle name="20 % - Accent3 4 2 2" xfId="284" xr:uid="{00000000-0005-0000-0000-000085000000}"/>
    <cellStyle name="20 % - Accent3 4 3" xfId="285" xr:uid="{00000000-0005-0000-0000-000086000000}"/>
    <cellStyle name="20 % - Accent3 5" xfId="286" xr:uid="{00000000-0005-0000-0000-000087000000}"/>
    <cellStyle name="20 % - Accent3 5 2" xfId="287" xr:uid="{00000000-0005-0000-0000-000088000000}"/>
    <cellStyle name="20 % - Accent3 6" xfId="288" xr:uid="{00000000-0005-0000-0000-000089000000}"/>
    <cellStyle name="20 % - Accent3 6 2" xfId="289" xr:uid="{00000000-0005-0000-0000-00008A000000}"/>
    <cellStyle name="20 % - Accent3 7" xfId="290" xr:uid="{00000000-0005-0000-0000-00008B000000}"/>
    <cellStyle name="20 % - Accent3 7 2" xfId="291" xr:uid="{00000000-0005-0000-0000-00008C000000}"/>
    <cellStyle name="20 % - Accent3 8" xfId="292" xr:uid="{00000000-0005-0000-0000-00008D000000}"/>
    <cellStyle name="20 % - Accent3 8 2" xfId="293" xr:uid="{00000000-0005-0000-0000-00008E000000}"/>
    <cellStyle name="20 % - Accent3 9" xfId="294" xr:uid="{00000000-0005-0000-0000-00008F000000}"/>
    <cellStyle name="20 % - Accent3 9 2" xfId="295" xr:uid="{00000000-0005-0000-0000-000090000000}"/>
    <cellStyle name="20 % - Accent4 10" xfId="296" xr:uid="{00000000-0005-0000-0000-000091000000}"/>
    <cellStyle name="20 % - Accent4 10 2" xfId="297" xr:uid="{00000000-0005-0000-0000-000092000000}"/>
    <cellStyle name="20 % - Accent4 11" xfId="298" xr:uid="{00000000-0005-0000-0000-000093000000}"/>
    <cellStyle name="20 % - Accent4 12" xfId="299" xr:uid="{00000000-0005-0000-0000-000094000000}"/>
    <cellStyle name="20 % - Accent4 13" xfId="3523" xr:uid="{3F778EBF-BAFA-4A17-BA65-BA48DE4499E2}"/>
    <cellStyle name="20 % - Accent4 2" xfId="300" xr:uid="{00000000-0005-0000-0000-000095000000}"/>
    <cellStyle name="20 % - Accent4 2 2" xfId="3703" xr:uid="{893C789B-F23F-47F4-AF9E-7D63D69510FF}"/>
    <cellStyle name="20 % - Accent4 3" xfId="301" xr:uid="{00000000-0005-0000-0000-000096000000}"/>
    <cellStyle name="20 % - Accent4 3 2" xfId="302" xr:uid="{00000000-0005-0000-0000-000097000000}"/>
    <cellStyle name="20 % - Accent4 3 2 2" xfId="303" xr:uid="{00000000-0005-0000-0000-000098000000}"/>
    <cellStyle name="20 % - Accent4 3 2 3" xfId="3704" xr:uid="{280F2EBE-1DCE-485E-9967-513BCF3E7FBE}"/>
    <cellStyle name="20 % - Accent4 3 3" xfId="304" xr:uid="{00000000-0005-0000-0000-000099000000}"/>
    <cellStyle name="20 % - Accent4 3 4" xfId="3611" xr:uid="{45A1AAC7-76E6-42D0-836B-5F10E895D573}"/>
    <cellStyle name="20 % - Accent4 4" xfId="305" xr:uid="{00000000-0005-0000-0000-00009A000000}"/>
    <cellStyle name="20 % - Accent4 4 2" xfId="306" xr:uid="{00000000-0005-0000-0000-00009B000000}"/>
    <cellStyle name="20 % - Accent4 4 2 2" xfId="307" xr:uid="{00000000-0005-0000-0000-00009C000000}"/>
    <cellStyle name="20 % - Accent4 4 3" xfId="308" xr:uid="{00000000-0005-0000-0000-00009D000000}"/>
    <cellStyle name="20 % - Accent4 5" xfId="309" xr:uid="{00000000-0005-0000-0000-00009E000000}"/>
    <cellStyle name="20 % - Accent4 5 2" xfId="310" xr:uid="{00000000-0005-0000-0000-00009F000000}"/>
    <cellStyle name="20 % - Accent4 6" xfId="311" xr:uid="{00000000-0005-0000-0000-0000A0000000}"/>
    <cellStyle name="20 % - Accent4 6 2" xfId="312" xr:uid="{00000000-0005-0000-0000-0000A1000000}"/>
    <cellStyle name="20 % - Accent4 7" xfId="313" xr:uid="{00000000-0005-0000-0000-0000A2000000}"/>
    <cellStyle name="20 % - Accent4 7 2" xfId="314" xr:uid="{00000000-0005-0000-0000-0000A3000000}"/>
    <cellStyle name="20 % - Accent4 8" xfId="315" xr:uid="{00000000-0005-0000-0000-0000A4000000}"/>
    <cellStyle name="20 % - Accent4 8 2" xfId="316" xr:uid="{00000000-0005-0000-0000-0000A5000000}"/>
    <cellStyle name="20 % - Accent4 9" xfId="317" xr:uid="{00000000-0005-0000-0000-0000A6000000}"/>
    <cellStyle name="20 % - Accent4 9 2" xfId="318" xr:uid="{00000000-0005-0000-0000-0000A7000000}"/>
    <cellStyle name="20 % - Accent5 10" xfId="319" xr:uid="{00000000-0005-0000-0000-0000A8000000}"/>
    <cellStyle name="20 % - Accent5 10 2" xfId="320" xr:uid="{00000000-0005-0000-0000-0000A9000000}"/>
    <cellStyle name="20 % - Accent5 11" xfId="321" xr:uid="{00000000-0005-0000-0000-0000AA000000}"/>
    <cellStyle name="20 % - Accent5 12" xfId="322" xr:uid="{00000000-0005-0000-0000-0000AB000000}"/>
    <cellStyle name="20 % - Accent5 13" xfId="3524" xr:uid="{53F50568-45BD-4C69-8018-42C7EF904FBE}"/>
    <cellStyle name="20 % - Accent5 2" xfId="323" xr:uid="{00000000-0005-0000-0000-0000AC000000}"/>
    <cellStyle name="20 % - Accent5 2 2" xfId="3705" xr:uid="{B473CF4C-B614-4267-804C-48FB4073A422}"/>
    <cellStyle name="20 % - Accent5 3" xfId="324" xr:uid="{00000000-0005-0000-0000-0000AD000000}"/>
    <cellStyle name="20 % - Accent5 3 2" xfId="325" xr:uid="{00000000-0005-0000-0000-0000AE000000}"/>
    <cellStyle name="20 % - Accent5 3 2 2" xfId="326" xr:uid="{00000000-0005-0000-0000-0000AF000000}"/>
    <cellStyle name="20 % - Accent5 3 2 3" xfId="3706" xr:uid="{1FF86EF3-A6A7-48DA-A84E-A2FEF395B4B6}"/>
    <cellStyle name="20 % - Accent5 3 3" xfId="327" xr:uid="{00000000-0005-0000-0000-0000B0000000}"/>
    <cellStyle name="20 % - Accent5 3 4" xfId="3612" xr:uid="{46106F03-B5A2-4405-9783-F5298A3FE52B}"/>
    <cellStyle name="20 % - Accent5 4" xfId="328" xr:uid="{00000000-0005-0000-0000-0000B1000000}"/>
    <cellStyle name="20 % - Accent5 4 2" xfId="329" xr:uid="{00000000-0005-0000-0000-0000B2000000}"/>
    <cellStyle name="20 % - Accent5 4 2 2" xfId="330" xr:uid="{00000000-0005-0000-0000-0000B3000000}"/>
    <cellStyle name="20 % - Accent5 4 3" xfId="331" xr:uid="{00000000-0005-0000-0000-0000B4000000}"/>
    <cellStyle name="20 % - Accent5 5" xfId="332" xr:uid="{00000000-0005-0000-0000-0000B5000000}"/>
    <cellStyle name="20 % - Accent5 5 2" xfId="333" xr:uid="{00000000-0005-0000-0000-0000B6000000}"/>
    <cellStyle name="20 % - Accent5 6" xfId="334" xr:uid="{00000000-0005-0000-0000-0000B7000000}"/>
    <cellStyle name="20 % - Accent5 6 2" xfId="335" xr:uid="{00000000-0005-0000-0000-0000B8000000}"/>
    <cellStyle name="20 % - Accent5 7" xfId="336" xr:uid="{00000000-0005-0000-0000-0000B9000000}"/>
    <cellStyle name="20 % - Accent5 7 2" xfId="337" xr:uid="{00000000-0005-0000-0000-0000BA000000}"/>
    <cellStyle name="20 % - Accent5 8" xfId="338" xr:uid="{00000000-0005-0000-0000-0000BB000000}"/>
    <cellStyle name="20 % - Accent5 8 2" xfId="339" xr:uid="{00000000-0005-0000-0000-0000BC000000}"/>
    <cellStyle name="20 % - Accent5 9" xfId="340" xr:uid="{00000000-0005-0000-0000-0000BD000000}"/>
    <cellStyle name="20 % - Accent5 9 2" xfId="341" xr:uid="{00000000-0005-0000-0000-0000BE000000}"/>
    <cellStyle name="20 % - Accent6 10" xfId="342" xr:uid="{00000000-0005-0000-0000-0000BF000000}"/>
    <cellStyle name="20 % - Accent6 10 2" xfId="343" xr:uid="{00000000-0005-0000-0000-0000C0000000}"/>
    <cellStyle name="20 % - Accent6 11" xfId="344" xr:uid="{00000000-0005-0000-0000-0000C1000000}"/>
    <cellStyle name="20 % - Accent6 12" xfId="345" xr:uid="{00000000-0005-0000-0000-0000C2000000}"/>
    <cellStyle name="20 % - Accent6 13" xfId="3525" xr:uid="{AE4718CB-F3E3-4198-8EA6-AD186A551824}"/>
    <cellStyle name="20 % - Accent6 2" xfId="346" xr:uid="{00000000-0005-0000-0000-0000C3000000}"/>
    <cellStyle name="20 % - Accent6 2 2" xfId="3707" xr:uid="{2313A904-5C67-4536-8B86-F211E0173DBB}"/>
    <cellStyle name="20 % - Accent6 3" xfId="347" xr:uid="{00000000-0005-0000-0000-0000C4000000}"/>
    <cellStyle name="20 % - Accent6 3 2" xfId="348" xr:uid="{00000000-0005-0000-0000-0000C5000000}"/>
    <cellStyle name="20 % - Accent6 3 2 2" xfId="349" xr:uid="{00000000-0005-0000-0000-0000C6000000}"/>
    <cellStyle name="20 % - Accent6 3 2 3" xfId="3708" xr:uid="{F6D20FED-6D64-4C0D-A7C7-FB2E718BAF46}"/>
    <cellStyle name="20 % - Accent6 3 3" xfId="350" xr:uid="{00000000-0005-0000-0000-0000C7000000}"/>
    <cellStyle name="20 % - Accent6 3 4" xfId="3613" xr:uid="{6A7F9720-E895-4B9B-8B27-A51A8E3FBC0E}"/>
    <cellStyle name="20 % - Accent6 4" xfId="351" xr:uid="{00000000-0005-0000-0000-0000C8000000}"/>
    <cellStyle name="20 % - Accent6 4 2" xfId="352" xr:uid="{00000000-0005-0000-0000-0000C9000000}"/>
    <cellStyle name="20 % - Accent6 4 2 2" xfId="353" xr:uid="{00000000-0005-0000-0000-0000CA000000}"/>
    <cellStyle name="20 % - Accent6 4 3" xfId="354" xr:uid="{00000000-0005-0000-0000-0000CB000000}"/>
    <cellStyle name="20 % - Accent6 5" xfId="355" xr:uid="{00000000-0005-0000-0000-0000CC000000}"/>
    <cellStyle name="20 % - Accent6 5 2" xfId="356" xr:uid="{00000000-0005-0000-0000-0000CD000000}"/>
    <cellStyle name="20 % - Accent6 6" xfId="357" xr:uid="{00000000-0005-0000-0000-0000CE000000}"/>
    <cellStyle name="20 % - Accent6 6 2" xfId="358" xr:uid="{00000000-0005-0000-0000-0000CF000000}"/>
    <cellStyle name="20 % - Accent6 7" xfId="359" xr:uid="{00000000-0005-0000-0000-0000D0000000}"/>
    <cellStyle name="20 % - Accent6 7 2" xfId="360" xr:uid="{00000000-0005-0000-0000-0000D1000000}"/>
    <cellStyle name="20 % - Accent6 8" xfId="361" xr:uid="{00000000-0005-0000-0000-0000D2000000}"/>
    <cellStyle name="20 % - Accent6 8 2" xfId="362" xr:uid="{00000000-0005-0000-0000-0000D3000000}"/>
    <cellStyle name="20 % - Accent6 9" xfId="363" xr:uid="{00000000-0005-0000-0000-0000D4000000}"/>
    <cellStyle name="20 % - Accent6 9 2" xfId="364" xr:uid="{00000000-0005-0000-0000-0000D5000000}"/>
    <cellStyle name="20% - Accent1 2" xfId="3614" xr:uid="{73150801-F487-4D76-B66D-573989EC7019}"/>
    <cellStyle name="20% - Accent1 2 2" xfId="3709" xr:uid="{30E3E78A-C162-4562-AFD7-8819A645EAA7}"/>
    <cellStyle name="20% - Accent2 2" xfId="3615" xr:uid="{B5E2C4CC-DA22-4320-8255-7BE45551FBE0}"/>
    <cellStyle name="20% - Accent2 2 2" xfId="3710" xr:uid="{C505AEF3-0700-44AD-93E2-5515380CBF2B}"/>
    <cellStyle name="20% - Accent3 2" xfId="3616" xr:uid="{874E434A-A19E-442B-A481-37750177A314}"/>
    <cellStyle name="20% - Accent3 2 2" xfId="3711" xr:uid="{119272CF-9E85-40E1-99B0-1AEC02DCD49D}"/>
    <cellStyle name="20% - Accent4 2" xfId="3617" xr:uid="{F57C88D9-13FA-44C9-94B3-E716C9AD9691}"/>
    <cellStyle name="20% - Accent4 2 2" xfId="3712" xr:uid="{0494E2A7-47C1-4B05-948F-62399DADF8CE}"/>
    <cellStyle name="20% - Accent5 2" xfId="3618" xr:uid="{AE8501E9-6037-4D44-925F-9BA5F17677C2}"/>
    <cellStyle name="20% - Accent5 2 2" xfId="3713" xr:uid="{5C6760FA-F017-4B13-A138-BA65C0DC0414}"/>
    <cellStyle name="20% - Accent6 2" xfId="3619" xr:uid="{788E15FC-542D-48BD-8E76-2D40F760977D}"/>
    <cellStyle name="20% - Accent6 2 2" xfId="3714" xr:uid="{57659A40-9BBA-4E6C-B3B7-65CA4C1FA314}"/>
    <cellStyle name="40 % - Accent1 10" xfId="365" xr:uid="{00000000-0005-0000-0000-0000D6000000}"/>
    <cellStyle name="40 % - Accent1 10 2" xfId="366" xr:uid="{00000000-0005-0000-0000-0000D7000000}"/>
    <cellStyle name="40 % - Accent1 11" xfId="367" xr:uid="{00000000-0005-0000-0000-0000D8000000}"/>
    <cellStyle name="40 % - Accent1 12" xfId="368" xr:uid="{00000000-0005-0000-0000-0000D9000000}"/>
    <cellStyle name="40 % - Accent1 13" xfId="3526" xr:uid="{0E244313-0469-4624-875B-E8BCD061262C}"/>
    <cellStyle name="40 % - Accent1 2" xfId="369" xr:uid="{00000000-0005-0000-0000-0000DA000000}"/>
    <cellStyle name="40 % - Accent1 2 2" xfId="3715" xr:uid="{EFF035BC-510C-4230-A740-2181AF2A033E}"/>
    <cellStyle name="40 % - Accent1 3" xfId="370" xr:uid="{00000000-0005-0000-0000-0000DB000000}"/>
    <cellStyle name="40 % - Accent1 3 2" xfId="371" xr:uid="{00000000-0005-0000-0000-0000DC000000}"/>
    <cellStyle name="40 % - Accent1 3 2 2" xfId="372" xr:uid="{00000000-0005-0000-0000-0000DD000000}"/>
    <cellStyle name="40 % - Accent1 3 2 3" xfId="3716" xr:uid="{C3C288D4-EB88-4D38-8047-7281446C882E}"/>
    <cellStyle name="40 % - Accent1 3 3" xfId="373" xr:uid="{00000000-0005-0000-0000-0000DE000000}"/>
    <cellStyle name="40 % - Accent1 3 4" xfId="3620" xr:uid="{8E040805-AB4F-4EFC-9F23-7952828C2DAA}"/>
    <cellStyle name="40 % - Accent1 4" xfId="374" xr:uid="{00000000-0005-0000-0000-0000DF000000}"/>
    <cellStyle name="40 % - Accent1 4 2" xfId="375" xr:uid="{00000000-0005-0000-0000-0000E0000000}"/>
    <cellStyle name="40 % - Accent1 4 2 2" xfId="376" xr:uid="{00000000-0005-0000-0000-0000E1000000}"/>
    <cellStyle name="40 % - Accent1 4 3" xfId="377" xr:uid="{00000000-0005-0000-0000-0000E2000000}"/>
    <cellStyle name="40 % - Accent1 5" xfId="378" xr:uid="{00000000-0005-0000-0000-0000E3000000}"/>
    <cellStyle name="40 % - Accent1 5 2" xfId="379" xr:uid="{00000000-0005-0000-0000-0000E4000000}"/>
    <cellStyle name="40 % - Accent1 6" xfId="380" xr:uid="{00000000-0005-0000-0000-0000E5000000}"/>
    <cellStyle name="40 % - Accent1 6 2" xfId="381" xr:uid="{00000000-0005-0000-0000-0000E6000000}"/>
    <cellStyle name="40 % - Accent1 7" xfId="382" xr:uid="{00000000-0005-0000-0000-0000E7000000}"/>
    <cellStyle name="40 % - Accent1 7 2" xfId="383" xr:uid="{00000000-0005-0000-0000-0000E8000000}"/>
    <cellStyle name="40 % - Accent1 8" xfId="384" xr:uid="{00000000-0005-0000-0000-0000E9000000}"/>
    <cellStyle name="40 % - Accent1 8 2" xfId="385" xr:uid="{00000000-0005-0000-0000-0000EA000000}"/>
    <cellStyle name="40 % - Accent1 9" xfId="386" xr:uid="{00000000-0005-0000-0000-0000EB000000}"/>
    <cellStyle name="40 % - Accent1 9 2" xfId="387" xr:uid="{00000000-0005-0000-0000-0000EC000000}"/>
    <cellStyle name="40 % - Accent2 10" xfId="388" xr:uid="{00000000-0005-0000-0000-0000ED000000}"/>
    <cellStyle name="40 % - Accent2 10 2" xfId="389" xr:uid="{00000000-0005-0000-0000-0000EE000000}"/>
    <cellStyle name="40 % - Accent2 11" xfId="390" xr:uid="{00000000-0005-0000-0000-0000EF000000}"/>
    <cellStyle name="40 % - Accent2 12" xfId="391" xr:uid="{00000000-0005-0000-0000-0000F0000000}"/>
    <cellStyle name="40 % - Accent2 13" xfId="3527" xr:uid="{C9ACE837-510E-4162-9C62-47707BEC176A}"/>
    <cellStyle name="40 % - Accent2 2" xfId="392" xr:uid="{00000000-0005-0000-0000-0000F1000000}"/>
    <cellStyle name="40 % - Accent2 2 2" xfId="3717" xr:uid="{5F82DFBD-A423-4995-8BDB-26046C6CE980}"/>
    <cellStyle name="40 % - Accent2 3" xfId="393" xr:uid="{00000000-0005-0000-0000-0000F2000000}"/>
    <cellStyle name="40 % - Accent2 3 2" xfId="394" xr:uid="{00000000-0005-0000-0000-0000F3000000}"/>
    <cellStyle name="40 % - Accent2 3 2 2" xfId="395" xr:uid="{00000000-0005-0000-0000-0000F4000000}"/>
    <cellStyle name="40 % - Accent2 3 2 3" xfId="3718" xr:uid="{6A13D522-1E31-4A97-ADD1-82BB51A876C7}"/>
    <cellStyle name="40 % - Accent2 3 3" xfId="396" xr:uid="{00000000-0005-0000-0000-0000F5000000}"/>
    <cellStyle name="40 % - Accent2 3 4" xfId="3621" xr:uid="{ED23C020-FA57-476C-93A9-54C7680CAA09}"/>
    <cellStyle name="40 % - Accent2 4" xfId="397" xr:uid="{00000000-0005-0000-0000-0000F6000000}"/>
    <cellStyle name="40 % - Accent2 4 2" xfId="398" xr:uid="{00000000-0005-0000-0000-0000F7000000}"/>
    <cellStyle name="40 % - Accent2 4 2 2" xfId="399" xr:uid="{00000000-0005-0000-0000-0000F8000000}"/>
    <cellStyle name="40 % - Accent2 4 3" xfId="400" xr:uid="{00000000-0005-0000-0000-0000F9000000}"/>
    <cellStyle name="40 % - Accent2 5" xfId="401" xr:uid="{00000000-0005-0000-0000-0000FA000000}"/>
    <cellStyle name="40 % - Accent2 5 2" xfId="402" xr:uid="{00000000-0005-0000-0000-0000FB000000}"/>
    <cellStyle name="40 % - Accent2 6" xfId="403" xr:uid="{00000000-0005-0000-0000-0000FC000000}"/>
    <cellStyle name="40 % - Accent2 6 2" xfId="404" xr:uid="{00000000-0005-0000-0000-0000FD000000}"/>
    <cellStyle name="40 % - Accent2 7" xfId="405" xr:uid="{00000000-0005-0000-0000-0000FE000000}"/>
    <cellStyle name="40 % - Accent2 7 2" xfId="406" xr:uid="{00000000-0005-0000-0000-0000FF000000}"/>
    <cellStyle name="40 % - Accent2 8" xfId="407" xr:uid="{00000000-0005-0000-0000-000000010000}"/>
    <cellStyle name="40 % - Accent2 8 2" xfId="408" xr:uid="{00000000-0005-0000-0000-000001010000}"/>
    <cellStyle name="40 % - Accent2 9" xfId="409" xr:uid="{00000000-0005-0000-0000-000002010000}"/>
    <cellStyle name="40 % - Accent2 9 2" xfId="410" xr:uid="{00000000-0005-0000-0000-000003010000}"/>
    <cellStyle name="40 % - Accent3 10" xfId="411" xr:uid="{00000000-0005-0000-0000-000004010000}"/>
    <cellStyle name="40 % - Accent3 10 2" xfId="412" xr:uid="{00000000-0005-0000-0000-000005010000}"/>
    <cellStyle name="40 % - Accent3 11" xfId="413" xr:uid="{00000000-0005-0000-0000-000006010000}"/>
    <cellStyle name="40 % - Accent3 12" xfId="414" xr:uid="{00000000-0005-0000-0000-000007010000}"/>
    <cellStyle name="40 % - Accent3 13" xfId="3528" xr:uid="{1B7A0E70-BD2B-4DEF-87D0-92EEBF965853}"/>
    <cellStyle name="40 % - Accent3 2" xfId="415" xr:uid="{00000000-0005-0000-0000-000008010000}"/>
    <cellStyle name="40 % - Accent3 2 2" xfId="3719" xr:uid="{7397A990-2F29-4E84-B340-A783264E4D46}"/>
    <cellStyle name="40 % - Accent3 3" xfId="416" xr:uid="{00000000-0005-0000-0000-000009010000}"/>
    <cellStyle name="40 % - Accent3 3 2" xfId="417" xr:uid="{00000000-0005-0000-0000-00000A010000}"/>
    <cellStyle name="40 % - Accent3 3 2 2" xfId="418" xr:uid="{00000000-0005-0000-0000-00000B010000}"/>
    <cellStyle name="40 % - Accent3 3 2 3" xfId="3720" xr:uid="{6EA8532E-3279-44B6-B54C-0F68DBCCB024}"/>
    <cellStyle name="40 % - Accent3 3 3" xfId="419" xr:uid="{00000000-0005-0000-0000-00000C010000}"/>
    <cellStyle name="40 % - Accent3 3 4" xfId="3622" xr:uid="{2079A9B1-AB59-44BF-ADB3-6AADF5EAA590}"/>
    <cellStyle name="40 % - Accent3 4" xfId="420" xr:uid="{00000000-0005-0000-0000-00000D010000}"/>
    <cellStyle name="40 % - Accent3 4 2" xfId="421" xr:uid="{00000000-0005-0000-0000-00000E010000}"/>
    <cellStyle name="40 % - Accent3 4 2 2" xfId="422" xr:uid="{00000000-0005-0000-0000-00000F010000}"/>
    <cellStyle name="40 % - Accent3 4 3" xfId="423" xr:uid="{00000000-0005-0000-0000-000010010000}"/>
    <cellStyle name="40 % - Accent3 5" xfId="424" xr:uid="{00000000-0005-0000-0000-000011010000}"/>
    <cellStyle name="40 % - Accent3 5 2" xfId="425" xr:uid="{00000000-0005-0000-0000-000012010000}"/>
    <cellStyle name="40 % - Accent3 6" xfId="426" xr:uid="{00000000-0005-0000-0000-000013010000}"/>
    <cellStyle name="40 % - Accent3 6 2" xfId="427" xr:uid="{00000000-0005-0000-0000-000014010000}"/>
    <cellStyle name="40 % - Accent3 7" xfId="428" xr:uid="{00000000-0005-0000-0000-000015010000}"/>
    <cellStyle name="40 % - Accent3 7 2" xfId="429" xr:uid="{00000000-0005-0000-0000-000016010000}"/>
    <cellStyle name="40 % - Accent3 8" xfId="430" xr:uid="{00000000-0005-0000-0000-000017010000}"/>
    <cellStyle name="40 % - Accent3 8 2" xfId="431" xr:uid="{00000000-0005-0000-0000-000018010000}"/>
    <cellStyle name="40 % - Accent3 9" xfId="432" xr:uid="{00000000-0005-0000-0000-000019010000}"/>
    <cellStyle name="40 % - Accent3 9 2" xfId="433" xr:uid="{00000000-0005-0000-0000-00001A010000}"/>
    <cellStyle name="40 % - Accent4 10" xfId="434" xr:uid="{00000000-0005-0000-0000-00001B010000}"/>
    <cellStyle name="40 % - Accent4 10 2" xfId="435" xr:uid="{00000000-0005-0000-0000-00001C010000}"/>
    <cellStyle name="40 % - Accent4 11" xfId="436" xr:uid="{00000000-0005-0000-0000-00001D010000}"/>
    <cellStyle name="40 % - Accent4 12" xfId="437" xr:uid="{00000000-0005-0000-0000-00001E010000}"/>
    <cellStyle name="40 % - Accent4 13" xfId="3529" xr:uid="{E73646F2-D615-4254-B9BC-1B5D9716CAA8}"/>
    <cellStyle name="40 % - Accent4 2" xfId="438" xr:uid="{00000000-0005-0000-0000-00001F010000}"/>
    <cellStyle name="40 % - Accent4 2 2" xfId="3721" xr:uid="{9B84E54E-933D-4323-88BF-94434477C2F3}"/>
    <cellStyle name="40 % - Accent4 3" xfId="439" xr:uid="{00000000-0005-0000-0000-000020010000}"/>
    <cellStyle name="40 % - Accent4 3 2" xfId="440" xr:uid="{00000000-0005-0000-0000-000021010000}"/>
    <cellStyle name="40 % - Accent4 3 2 2" xfId="441" xr:uid="{00000000-0005-0000-0000-000022010000}"/>
    <cellStyle name="40 % - Accent4 3 2 3" xfId="3722" xr:uid="{19DCD816-B1C2-481F-96BB-F816B928001C}"/>
    <cellStyle name="40 % - Accent4 3 3" xfId="442" xr:uid="{00000000-0005-0000-0000-000023010000}"/>
    <cellStyle name="40 % - Accent4 3 4" xfId="3623" xr:uid="{6C8E4BBA-120E-44E6-99DD-04DEF3F7500E}"/>
    <cellStyle name="40 % - Accent4 4" xfId="443" xr:uid="{00000000-0005-0000-0000-000024010000}"/>
    <cellStyle name="40 % - Accent4 4 2" xfId="444" xr:uid="{00000000-0005-0000-0000-000025010000}"/>
    <cellStyle name="40 % - Accent4 4 2 2" xfId="445" xr:uid="{00000000-0005-0000-0000-000026010000}"/>
    <cellStyle name="40 % - Accent4 4 3" xfId="446" xr:uid="{00000000-0005-0000-0000-000027010000}"/>
    <cellStyle name="40 % - Accent4 5" xfId="447" xr:uid="{00000000-0005-0000-0000-000028010000}"/>
    <cellStyle name="40 % - Accent4 5 2" xfId="448" xr:uid="{00000000-0005-0000-0000-000029010000}"/>
    <cellStyle name="40 % - Accent4 6" xfId="449" xr:uid="{00000000-0005-0000-0000-00002A010000}"/>
    <cellStyle name="40 % - Accent4 6 2" xfId="450" xr:uid="{00000000-0005-0000-0000-00002B010000}"/>
    <cellStyle name="40 % - Accent4 7" xfId="451" xr:uid="{00000000-0005-0000-0000-00002C010000}"/>
    <cellStyle name="40 % - Accent4 7 2" xfId="452" xr:uid="{00000000-0005-0000-0000-00002D010000}"/>
    <cellStyle name="40 % - Accent4 8" xfId="453" xr:uid="{00000000-0005-0000-0000-00002E010000}"/>
    <cellStyle name="40 % - Accent4 8 2" xfId="454" xr:uid="{00000000-0005-0000-0000-00002F010000}"/>
    <cellStyle name="40 % - Accent4 9" xfId="455" xr:uid="{00000000-0005-0000-0000-000030010000}"/>
    <cellStyle name="40 % - Accent4 9 2" xfId="456" xr:uid="{00000000-0005-0000-0000-000031010000}"/>
    <cellStyle name="40 % - Accent5 10" xfId="457" xr:uid="{00000000-0005-0000-0000-000032010000}"/>
    <cellStyle name="40 % - Accent5 10 2" xfId="458" xr:uid="{00000000-0005-0000-0000-000033010000}"/>
    <cellStyle name="40 % - Accent5 11" xfId="459" xr:uid="{00000000-0005-0000-0000-000034010000}"/>
    <cellStyle name="40 % - Accent5 12" xfId="460" xr:uid="{00000000-0005-0000-0000-000035010000}"/>
    <cellStyle name="40 % - Accent5 13" xfId="3530" xr:uid="{D15266AF-899B-48E5-A3E9-BD0FCD986A30}"/>
    <cellStyle name="40 % - Accent5 2" xfId="461" xr:uid="{00000000-0005-0000-0000-000036010000}"/>
    <cellStyle name="40 % - Accent5 2 2" xfId="3723" xr:uid="{3C7BB613-36B2-4B28-B036-8A15D8998544}"/>
    <cellStyle name="40 % - Accent5 3" xfId="462" xr:uid="{00000000-0005-0000-0000-000037010000}"/>
    <cellStyle name="40 % - Accent5 3 2" xfId="463" xr:uid="{00000000-0005-0000-0000-000038010000}"/>
    <cellStyle name="40 % - Accent5 3 2 2" xfId="464" xr:uid="{00000000-0005-0000-0000-000039010000}"/>
    <cellStyle name="40 % - Accent5 3 2 3" xfId="3724" xr:uid="{0EB82F29-5FD3-407F-B8AB-B49C6E27C8DB}"/>
    <cellStyle name="40 % - Accent5 3 3" xfId="465" xr:uid="{00000000-0005-0000-0000-00003A010000}"/>
    <cellStyle name="40 % - Accent5 3 4" xfId="3624" xr:uid="{32ED143B-DDBA-464C-82CF-7DEAED3FF0A3}"/>
    <cellStyle name="40 % - Accent5 4" xfId="466" xr:uid="{00000000-0005-0000-0000-00003B010000}"/>
    <cellStyle name="40 % - Accent5 4 2" xfId="467" xr:uid="{00000000-0005-0000-0000-00003C010000}"/>
    <cellStyle name="40 % - Accent5 4 2 2" xfId="468" xr:uid="{00000000-0005-0000-0000-00003D010000}"/>
    <cellStyle name="40 % - Accent5 4 3" xfId="469" xr:uid="{00000000-0005-0000-0000-00003E010000}"/>
    <cellStyle name="40 % - Accent5 5" xfId="470" xr:uid="{00000000-0005-0000-0000-00003F010000}"/>
    <cellStyle name="40 % - Accent5 5 2" xfId="471" xr:uid="{00000000-0005-0000-0000-000040010000}"/>
    <cellStyle name="40 % - Accent5 6" xfId="472" xr:uid="{00000000-0005-0000-0000-000041010000}"/>
    <cellStyle name="40 % - Accent5 6 2" xfId="473" xr:uid="{00000000-0005-0000-0000-000042010000}"/>
    <cellStyle name="40 % - Accent5 7" xfId="474" xr:uid="{00000000-0005-0000-0000-000043010000}"/>
    <cellStyle name="40 % - Accent5 7 2" xfId="475" xr:uid="{00000000-0005-0000-0000-000044010000}"/>
    <cellStyle name="40 % - Accent5 8" xfId="476" xr:uid="{00000000-0005-0000-0000-000045010000}"/>
    <cellStyle name="40 % - Accent5 8 2" xfId="477" xr:uid="{00000000-0005-0000-0000-000046010000}"/>
    <cellStyle name="40 % - Accent5 9" xfId="478" xr:uid="{00000000-0005-0000-0000-000047010000}"/>
    <cellStyle name="40 % - Accent5 9 2" xfId="479" xr:uid="{00000000-0005-0000-0000-000048010000}"/>
    <cellStyle name="40 % - Accent6 10" xfId="480" xr:uid="{00000000-0005-0000-0000-000049010000}"/>
    <cellStyle name="40 % - Accent6 10 2" xfId="481" xr:uid="{00000000-0005-0000-0000-00004A010000}"/>
    <cellStyle name="40 % - Accent6 11" xfId="482" xr:uid="{00000000-0005-0000-0000-00004B010000}"/>
    <cellStyle name="40 % - Accent6 12" xfId="483" xr:uid="{00000000-0005-0000-0000-00004C010000}"/>
    <cellStyle name="40 % - Accent6 13" xfId="3531" xr:uid="{C4F47460-8E36-4835-953E-EE9B7B0DDECE}"/>
    <cellStyle name="40 % - Accent6 2" xfId="484" xr:uid="{00000000-0005-0000-0000-00004D010000}"/>
    <cellStyle name="40 % - Accent6 2 2" xfId="3725" xr:uid="{F54583F4-3EB2-4793-8CDA-FA3666EF797A}"/>
    <cellStyle name="40 % - Accent6 3" xfId="485" xr:uid="{00000000-0005-0000-0000-00004E010000}"/>
    <cellStyle name="40 % - Accent6 3 2" xfId="486" xr:uid="{00000000-0005-0000-0000-00004F010000}"/>
    <cellStyle name="40 % - Accent6 3 2 2" xfId="487" xr:uid="{00000000-0005-0000-0000-000050010000}"/>
    <cellStyle name="40 % - Accent6 3 2 3" xfId="3726" xr:uid="{2E1C7F03-A5C0-482C-8C76-EC25BFD83508}"/>
    <cellStyle name="40 % - Accent6 3 3" xfId="488" xr:uid="{00000000-0005-0000-0000-000051010000}"/>
    <cellStyle name="40 % - Accent6 3 4" xfId="3625" xr:uid="{C7BE673B-6312-42F7-9F8C-1A60C5CD8F47}"/>
    <cellStyle name="40 % - Accent6 4" xfId="489" xr:uid="{00000000-0005-0000-0000-000052010000}"/>
    <cellStyle name="40 % - Accent6 4 2" xfId="490" xr:uid="{00000000-0005-0000-0000-000053010000}"/>
    <cellStyle name="40 % - Accent6 4 2 2" xfId="491" xr:uid="{00000000-0005-0000-0000-000054010000}"/>
    <cellStyle name="40 % - Accent6 4 3" xfId="492" xr:uid="{00000000-0005-0000-0000-000055010000}"/>
    <cellStyle name="40 % - Accent6 5" xfId="493" xr:uid="{00000000-0005-0000-0000-000056010000}"/>
    <cellStyle name="40 % - Accent6 5 2" xfId="494" xr:uid="{00000000-0005-0000-0000-000057010000}"/>
    <cellStyle name="40 % - Accent6 6" xfId="495" xr:uid="{00000000-0005-0000-0000-000058010000}"/>
    <cellStyle name="40 % - Accent6 6 2" xfId="496" xr:uid="{00000000-0005-0000-0000-000059010000}"/>
    <cellStyle name="40 % - Accent6 7" xfId="497" xr:uid="{00000000-0005-0000-0000-00005A010000}"/>
    <cellStyle name="40 % - Accent6 7 2" xfId="498" xr:uid="{00000000-0005-0000-0000-00005B010000}"/>
    <cellStyle name="40 % - Accent6 8" xfId="499" xr:uid="{00000000-0005-0000-0000-00005C010000}"/>
    <cellStyle name="40 % - Accent6 8 2" xfId="500" xr:uid="{00000000-0005-0000-0000-00005D010000}"/>
    <cellStyle name="40 % - Accent6 9" xfId="501" xr:uid="{00000000-0005-0000-0000-00005E010000}"/>
    <cellStyle name="40 % - Accent6 9 2" xfId="502" xr:uid="{00000000-0005-0000-0000-00005F010000}"/>
    <cellStyle name="40% - Accent1 2" xfId="3626" xr:uid="{5F0D614C-DA7B-48E4-99B9-73EE7BF10AA6}"/>
    <cellStyle name="40% - Accent1 2 2" xfId="3727" xr:uid="{ED6B33FA-92A1-4CFA-87E8-F8FE298B0290}"/>
    <cellStyle name="40% - Accent2 2" xfId="3627" xr:uid="{722804B0-AD18-41EE-9C80-6F03D685030A}"/>
    <cellStyle name="40% - Accent2 2 2" xfId="3728" xr:uid="{5A1D341A-1BE0-46CE-9704-00A516AB3B0E}"/>
    <cellStyle name="40% - Accent3 2" xfId="3628" xr:uid="{411A43C2-E9F7-45FC-907B-4D6275D46A14}"/>
    <cellStyle name="40% - Accent3 2 2" xfId="3729" xr:uid="{81260E7B-9F73-419A-A606-EF2977CD352D}"/>
    <cellStyle name="40% - Accent4 2" xfId="3629" xr:uid="{A81EB6A2-4BFA-41EF-B5A3-64926ACCB221}"/>
    <cellStyle name="40% - Accent4 2 2" xfId="3730" xr:uid="{BB22E726-C15D-48FC-9508-CA3C0C564555}"/>
    <cellStyle name="40% - Accent5 2" xfId="3630" xr:uid="{399D41EC-0049-4289-86FB-1933FF759F7E}"/>
    <cellStyle name="40% - Accent5 2 2" xfId="3731" xr:uid="{97E7C09C-9185-46B2-9F21-9E8BCB0C413C}"/>
    <cellStyle name="40% - Accent6 2" xfId="3631" xr:uid="{C9F8FFBE-9ED6-4219-BA1C-42A80844527E}"/>
    <cellStyle name="40% - Accent6 2 2" xfId="3732" xr:uid="{57CDFE48-F220-4B2C-9D6C-D7234E0D0B94}"/>
    <cellStyle name="60 % - Accent1 2" xfId="503" xr:uid="{00000000-0005-0000-0000-000060010000}"/>
    <cellStyle name="60 % - Accent1 3" xfId="3632" xr:uid="{89E61394-3AA6-405D-B014-4F31C9DF6C46}"/>
    <cellStyle name="60 % - Accent1 4" xfId="3532" xr:uid="{F0DA9DAA-651D-4573-BB2C-EC7DE7297717}"/>
    <cellStyle name="60 % - Accent2 2" xfId="504" xr:uid="{00000000-0005-0000-0000-000061010000}"/>
    <cellStyle name="60 % - Accent2 3" xfId="3633" xr:uid="{A9769985-689D-46B7-B25F-F8867C4DF659}"/>
    <cellStyle name="60 % - Accent2 4" xfId="3533" xr:uid="{FACE00A3-F451-41A5-BD11-A523B3463662}"/>
    <cellStyle name="60 % - Accent3 2" xfId="505" xr:uid="{00000000-0005-0000-0000-000062010000}"/>
    <cellStyle name="60 % - Accent3 3" xfId="3634" xr:uid="{5BE9A3AB-9676-4C1B-B670-4F551CC202D4}"/>
    <cellStyle name="60 % - Accent3 4" xfId="3534" xr:uid="{60D66919-B608-4D54-A14A-FFBA893D0411}"/>
    <cellStyle name="60 % - Accent4 2" xfId="506" xr:uid="{00000000-0005-0000-0000-000063010000}"/>
    <cellStyle name="60 % - Accent4 3" xfId="3635" xr:uid="{B8BFCBCC-897E-452D-A86C-F133AF5C9FB7}"/>
    <cellStyle name="60 % - Accent4 4" xfId="3535" xr:uid="{A1666E98-3EE9-4D1C-8620-D66B4849F4A6}"/>
    <cellStyle name="60 % - Accent5 2" xfId="507" xr:uid="{00000000-0005-0000-0000-000064010000}"/>
    <cellStyle name="60 % - Accent5 3" xfId="3636" xr:uid="{70C17F0E-1CA6-4DE8-B581-467B6CAA407E}"/>
    <cellStyle name="60 % - Accent5 4" xfId="3536" xr:uid="{0143E308-2F45-4A3C-9157-753E76E0EA6E}"/>
    <cellStyle name="60 % - Accent6 2" xfId="508" xr:uid="{00000000-0005-0000-0000-000065010000}"/>
    <cellStyle name="60 % - Accent6 3" xfId="3637" xr:uid="{A77886EA-A020-42DB-87C6-B8EE02BDCF51}"/>
    <cellStyle name="60 % - Accent6 4" xfId="3537" xr:uid="{B2594604-A79C-4977-A4E3-9459A0D6B013}"/>
    <cellStyle name="60% - Accent1 2" xfId="3638" xr:uid="{9CDAA1EC-837B-4A3D-85AA-046F1D08CDEA}"/>
    <cellStyle name="60% - Accent2 2" xfId="3639" xr:uid="{E5038BE4-0DE3-4907-8A70-A36D84E5321D}"/>
    <cellStyle name="60% - Accent3 2" xfId="3640" xr:uid="{EA2F65D7-B180-4AAF-9D5D-BF426D977E56}"/>
    <cellStyle name="60% - Accent4 2" xfId="3641" xr:uid="{D3B7AB21-5B05-4992-B565-5D375CB65299}"/>
    <cellStyle name="60% - Accent5 2" xfId="3642" xr:uid="{44E18D86-994E-49F3-ACF0-6505DA731C20}"/>
    <cellStyle name="60% - Accent6 2" xfId="3643" xr:uid="{0C15C09D-8F6A-4889-9FF2-D141FDA6C688}"/>
    <cellStyle name="Accent1 2" xfId="509" xr:uid="{00000000-0005-0000-0000-000066010000}"/>
    <cellStyle name="Accent1 3" xfId="3538" xr:uid="{1FAF922A-7AE5-4FC6-A5EF-C5F2AE97A388}"/>
    <cellStyle name="Accent2 2" xfId="510" xr:uid="{00000000-0005-0000-0000-000067010000}"/>
    <cellStyle name="Accent2 3" xfId="3539" xr:uid="{6B6D963E-0454-42E3-90E2-E0CEAB33F62E}"/>
    <cellStyle name="Accent3 2" xfId="511" xr:uid="{00000000-0005-0000-0000-000068010000}"/>
    <cellStyle name="Accent3 3" xfId="3540" xr:uid="{DBBBE8B8-5DAE-431C-B807-C6049ECBF998}"/>
    <cellStyle name="Accent4 2" xfId="512" xr:uid="{00000000-0005-0000-0000-000069010000}"/>
    <cellStyle name="Accent4 3" xfId="3541" xr:uid="{5EF67139-21C4-4092-8591-275849589F92}"/>
    <cellStyle name="Accent5 2" xfId="513" xr:uid="{00000000-0005-0000-0000-00006A010000}"/>
    <cellStyle name="Accent5 3" xfId="3542" xr:uid="{276CA5E6-CEB7-46C9-AFAF-85461943B8D1}"/>
    <cellStyle name="Accent6 2" xfId="514" xr:uid="{00000000-0005-0000-0000-00006B010000}"/>
    <cellStyle name="Accent6 3" xfId="3543" xr:uid="{969988AC-0094-4B48-A895-29357D57ED26}"/>
    <cellStyle name="AFE" xfId="16" xr:uid="{00000000-0005-0000-0000-00006C010000}"/>
    <cellStyle name="AFE 2" xfId="17" xr:uid="{00000000-0005-0000-0000-00006D010000}"/>
    <cellStyle name="AFE 2 2" xfId="3733" xr:uid="{947ACDE6-28D4-45A0-98A0-8437572F1F53}"/>
    <cellStyle name="AFE 3" xfId="3734" xr:uid="{2C322CFE-EF10-416F-865F-6460DAACE27F}"/>
    <cellStyle name="Avertissement 2" xfId="515" xr:uid="{00000000-0005-0000-0000-00006E010000}"/>
    <cellStyle name="Avertissement 3" xfId="3644" xr:uid="{F9271DC3-D6B2-4042-80B3-D6D1679C6F6A}"/>
    <cellStyle name="Avertissement 4" xfId="3544" xr:uid="{351951D0-7219-40DF-98C8-7D63602B9BF0}"/>
    <cellStyle name="Bad 2" xfId="3645" xr:uid="{2E172359-4064-4434-8E97-76BD249D5B1D}"/>
    <cellStyle name="Calcul 2" xfId="18" xr:uid="{00000000-0005-0000-0000-00006F010000}"/>
    <cellStyle name="Calcul 2 10" xfId="516" xr:uid="{00000000-0005-0000-0000-000070010000}"/>
    <cellStyle name="Calcul 2 10 2" xfId="517" xr:uid="{00000000-0005-0000-0000-000071010000}"/>
    <cellStyle name="Calcul 2 11" xfId="518" xr:uid="{00000000-0005-0000-0000-000072010000}"/>
    <cellStyle name="Calcul 2 11 2" xfId="519" xr:uid="{00000000-0005-0000-0000-000073010000}"/>
    <cellStyle name="Calcul 2 12" xfId="520" xr:uid="{00000000-0005-0000-0000-000074010000}"/>
    <cellStyle name="Calcul 2 12 2" xfId="521" xr:uid="{00000000-0005-0000-0000-000075010000}"/>
    <cellStyle name="Calcul 2 13" xfId="522" xr:uid="{00000000-0005-0000-0000-000076010000}"/>
    <cellStyle name="Calcul 2 13 2" xfId="523" xr:uid="{00000000-0005-0000-0000-000077010000}"/>
    <cellStyle name="Calcul 2 14" xfId="3568" xr:uid="{5B7E3CDB-49BE-4EF1-8AB6-B02674240772}"/>
    <cellStyle name="Calcul 2 2" xfId="19" xr:uid="{00000000-0005-0000-0000-000078010000}"/>
    <cellStyle name="Calcul 2 2 10" xfId="524" xr:uid="{00000000-0005-0000-0000-000079010000}"/>
    <cellStyle name="Calcul 2 2 10 2" xfId="525" xr:uid="{00000000-0005-0000-0000-00007A010000}"/>
    <cellStyle name="Calcul 2 2 11" xfId="526" xr:uid="{00000000-0005-0000-0000-00007B010000}"/>
    <cellStyle name="Calcul 2 2 11 2" xfId="527" xr:uid="{00000000-0005-0000-0000-00007C010000}"/>
    <cellStyle name="Calcul 2 2 12" xfId="528" xr:uid="{00000000-0005-0000-0000-00007D010000}"/>
    <cellStyle name="Calcul 2 2 12 2" xfId="529" xr:uid="{00000000-0005-0000-0000-00007E010000}"/>
    <cellStyle name="Calcul 2 2 13" xfId="3583" xr:uid="{40E80852-AE47-489C-8E26-0A943D8115B2}"/>
    <cellStyle name="Calcul 2 2 2" xfId="74" xr:uid="{00000000-0005-0000-0000-00007F010000}"/>
    <cellStyle name="Calcul 2 2 2 10" xfId="530" xr:uid="{00000000-0005-0000-0000-000080010000}"/>
    <cellStyle name="Calcul 2 2 2 10 2" xfId="531" xr:uid="{00000000-0005-0000-0000-000081010000}"/>
    <cellStyle name="Calcul 2 2 2 11" xfId="532" xr:uid="{00000000-0005-0000-0000-000082010000}"/>
    <cellStyle name="Calcul 2 2 2 11 2" xfId="533" xr:uid="{00000000-0005-0000-0000-000083010000}"/>
    <cellStyle name="Calcul 2 2 2 12" xfId="534" xr:uid="{00000000-0005-0000-0000-000084010000}"/>
    <cellStyle name="Calcul 2 2 2 12 2" xfId="535" xr:uid="{00000000-0005-0000-0000-000085010000}"/>
    <cellStyle name="Calcul 2 2 2 13" xfId="536" xr:uid="{00000000-0005-0000-0000-000086010000}"/>
    <cellStyle name="Calcul 2 2 2 13 2" xfId="537" xr:uid="{00000000-0005-0000-0000-000087010000}"/>
    <cellStyle name="Calcul 2 2 2 14" xfId="538" xr:uid="{00000000-0005-0000-0000-000088010000}"/>
    <cellStyle name="Calcul 2 2 2 14 2" xfId="539" xr:uid="{00000000-0005-0000-0000-000089010000}"/>
    <cellStyle name="Calcul 2 2 2 15" xfId="540" xr:uid="{00000000-0005-0000-0000-00008A010000}"/>
    <cellStyle name="Calcul 2 2 2 15 2" xfId="541" xr:uid="{00000000-0005-0000-0000-00008B010000}"/>
    <cellStyle name="Calcul 2 2 2 16" xfId="542" xr:uid="{00000000-0005-0000-0000-00008C010000}"/>
    <cellStyle name="Calcul 2 2 2 16 2" xfId="543" xr:uid="{00000000-0005-0000-0000-00008D010000}"/>
    <cellStyle name="Calcul 2 2 2 17" xfId="544" xr:uid="{00000000-0005-0000-0000-00008E010000}"/>
    <cellStyle name="Calcul 2 2 2 17 2" xfId="545" xr:uid="{00000000-0005-0000-0000-00008F010000}"/>
    <cellStyle name="Calcul 2 2 2 18" xfId="546" xr:uid="{00000000-0005-0000-0000-000090010000}"/>
    <cellStyle name="Calcul 2 2 2 18 2" xfId="547" xr:uid="{00000000-0005-0000-0000-000091010000}"/>
    <cellStyle name="Calcul 2 2 2 19" xfId="548" xr:uid="{00000000-0005-0000-0000-000092010000}"/>
    <cellStyle name="Calcul 2 2 2 19 2" xfId="549" xr:uid="{00000000-0005-0000-0000-000093010000}"/>
    <cellStyle name="Calcul 2 2 2 2" xfId="550" xr:uid="{00000000-0005-0000-0000-000094010000}"/>
    <cellStyle name="Calcul 2 2 2 2 2" xfId="551" xr:uid="{00000000-0005-0000-0000-000095010000}"/>
    <cellStyle name="Calcul 2 2 2 20" xfId="552" xr:uid="{00000000-0005-0000-0000-000096010000}"/>
    <cellStyle name="Calcul 2 2 2 20 2" xfId="553" xr:uid="{00000000-0005-0000-0000-000097010000}"/>
    <cellStyle name="Calcul 2 2 2 21" xfId="554" xr:uid="{00000000-0005-0000-0000-000098010000}"/>
    <cellStyle name="Calcul 2 2 2 21 2" xfId="555" xr:uid="{00000000-0005-0000-0000-000099010000}"/>
    <cellStyle name="Calcul 2 2 2 22" xfId="556" xr:uid="{00000000-0005-0000-0000-00009A010000}"/>
    <cellStyle name="Calcul 2 2 2 22 2" xfId="557" xr:uid="{00000000-0005-0000-0000-00009B010000}"/>
    <cellStyle name="Calcul 2 2 2 23" xfId="558" xr:uid="{00000000-0005-0000-0000-00009C010000}"/>
    <cellStyle name="Calcul 2 2 2 23 2" xfId="559" xr:uid="{00000000-0005-0000-0000-00009D010000}"/>
    <cellStyle name="Calcul 2 2 2 24" xfId="560" xr:uid="{00000000-0005-0000-0000-00009E010000}"/>
    <cellStyle name="Calcul 2 2 2 24 2" xfId="561" xr:uid="{00000000-0005-0000-0000-00009F010000}"/>
    <cellStyle name="Calcul 2 2 2 25" xfId="562" xr:uid="{00000000-0005-0000-0000-0000A0010000}"/>
    <cellStyle name="Calcul 2 2 2 25 2" xfId="563" xr:uid="{00000000-0005-0000-0000-0000A1010000}"/>
    <cellStyle name="Calcul 2 2 2 26" xfId="564" xr:uid="{00000000-0005-0000-0000-0000A2010000}"/>
    <cellStyle name="Calcul 2 2 2 26 2" xfId="565" xr:uid="{00000000-0005-0000-0000-0000A3010000}"/>
    <cellStyle name="Calcul 2 2 2 27" xfId="566" xr:uid="{00000000-0005-0000-0000-0000A4010000}"/>
    <cellStyle name="Calcul 2 2 2 27 2" xfId="567" xr:uid="{00000000-0005-0000-0000-0000A5010000}"/>
    <cellStyle name="Calcul 2 2 2 28" xfId="568" xr:uid="{00000000-0005-0000-0000-0000A6010000}"/>
    <cellStyle name="Calcul 2 2 2 28 2" xfId="569" xr:uid="{00000000-0005-0000-0000-0000A7010000}"/>
    <cellStyle name="Calcul 2 2 2 29" xfId="570" xr:uid="{00000000-0005-0000-0000-0000A8010000}"/>
    <cellStyle name="Calcul 2 2 2 3" xfId="571" xr:uid="{00000000-0005-0000-0000-0000A9010000}"/>
    <cellStyle name="Calcul 2 2 2 3 2" xfId="572" xr:uid="{00000000-0005-0000-0000-0000AA010000}"/>
    <cellStyle name="Calcul 2 2 2 4" xfId="573" xr:uid="{00000000-0005-0000-0000-0000AB010000}"/>
    <cellStyle name="Calcul 2 2 2 4 2" xfId="574" xr:uid="{00000000-0005-0000-0000-0000AC010000}"/>
    <cellStyle name="Calcul 2 2 2 5" xfId="575" xr:uid="{00000000-0005-0000-0000-0000AD010000}"/>
    <cellStyle name="Calcul 2 2 2 5 2" xfId="576" xr:uid="{00000000-0005-0000-0000-0000AE010000}"/>
    <cellStyle name="Calcul 2 2 2 6" xfId="577" xr:uid="{00000000-0005-0000-0000-0000AF010000}"/>
    <cellStyle name="Calcul 2 2 2 6 2" xfId="578" xr:uid="{00000000-0005-0000-0000-0000B0010000}"/>
    <cellStyle name="Calcul 2 2 2 7" xfId="579" xr:uid="{00000000-0005-0000-0000-0000B1010000}"/>
    <cellStyle name="Calcul 2 2 2 7 2" xfId="580" xr:uid="{00000000-0005-0000-0000-0000B2010000}"/>
    <cellStyle name="Calcul 2 2 2 8" xfId="581" xr:uid="{00000000-0005-0000-0000-0000B3010000}"/>
    <cellStyle name="Calcul 2 2 2 8 2" xfId="582" xr:uid="{00000000-0005-0000-0000-0000B4010000}"/>
    <cellStyle name="Calcul 2 2 2 9" xfId="583" xr:uid="{00000000-0005-0000-0000-0000B5010000}"/>
    <cellStyle name="Calcul 2 2 2 9 2" xfId="584" xr:uid="{00000000-0005-0000-0000-0000B6010000}"/>
    <cellStyle name="Calcul 2 2 3" xfId="111" xr:uid="{00000000-0005-0000-0000-0000B7010000}"/>
    <cellStyle name="Calcul 2 2 3 10" xfId="585" xr:uid="{00000000-0005-0000-0000-0000B8010000}"/>
    <cellStyle name="Calcul 2 2 3 10 2" xfId="586" xr:uid="{00000000-0005-0000-0000-0000B9010000}"/>
    <cellStyle name="Calcul 2 2 3 11" xfId="587" xr:uid="{00000000-0005-0000-0000-0000BA010000}"/>
    <cellStyle name="Calcul 2 2 3 11 2" xfId="588" xr:uid="{00000000-0005-0000-0000-0000BB010000}"/>
    <cellStyle name="Calcul 2 2 3 12" xfId="589" xr:uid="{00000000-0005-0000-0000-0000BC010000}"/>
    <cellStyle name="Calcul 2 2 3 12 2" xfId="590" xr:uid="{00000000-0005-0000-0000-0000BD010000}"/>
    <cellStyle name="Calcul 2 2 3 13" xfId="591" xr:uid="{00000000-0005-0000-0000-0000BE010000}"/>
    <cellStyle name="Calcul 2 2 3 13 2" xfId="592" xr:uid="{00000000-0005-0000-0000-0000BF010000}"/>
    <cellStyle name="Calcul 2 2 3 14" xfId="593" xr:uid="{00000000-0005-0000-0000-0000C0010000}"/>
    <cellStyle name="Calcul 2 2 3 14 2" xfId="594" xr:uid="{00000000-0005-0000-0000-0000C1010000}"/>
    <cellStyle name="Calcul 2 2 3 15" xfId="595" xr:uid="{00000000-0005-0000-0000-0000C2010000}"/>
    <cellStyle name="Calcul 2 2 3 15 2" xfId="596" xr:uid="{00000000-0005-0000-0000-0000C3010000}"/>
    <cellStyle name="Calcul 2 2 3 16" xfId="597" xr:uid="{00000000-0005-0000-0000-0000C4010000}"/>
    <cellStyle name="Calcul 2 2 3 16 2" xfId="598" xr:uid="{00000000-0005-0000-0000-0000C5010000}"/>
    <cellStyle name="Calcul 2 2 3 17" xfId="599" xr:uid="{00000000-0005-0000-0000-0000C6010000}"/>
    <cellStyle name="Calcul 2 2 3 17 2" xfId="600" xr:uid="{00000000-0005-0000-0000-0000C7010000}"/>
    <cellStyle name="Calcul 2 2 3 18" xfId="601" xr:uid="{00000000-0005-0000-0000-0000C8010000}"/>
    <cellStyle name="Calcul 2 2 3 18 2" xfId="602" xr:uid="{00000000-0005-0000-0000-0000C9010000}"/>
    <cellStyle name="Calcul 2 2 3 19" xfId="603" xr:uid="{00000000-0005-0000-0000-0000CA010000}"/>
    <cellStyle name="Calcul 2 2 3 19 2" xfId="604" xr:uid="{00000000-0005-0000-0000-0000CB010000}"/>
    <cellStyle name="Calcul 2 2 3 2" xfId="605" xr:uid="{00000000-0005-0000-0000-0000CC010000}"/>
    <cellStyle name="Calcul 2 2 3 2 2" xfId="606" xr:uid="{00000000-0005-0000-0000-0000CD010000}"/>
    <cellStyle name="Calcul 2 2 3 20" xfId="607" xr:uid="{00000000-0005-0000-0000-0000CE010000}"/>
    <cellStyle name="Calcul 2 2 3 20 2" xfId="608" xr:uid="{00000000-0005-0000-0000-0000CF010000}"/>
    <cellStyle name="Calcul 2 2 3 21" xfId="609" xr:uid="{00000000-0005-0000-0000-0000D0010000}"/>
    <cellStyle name="Calcul 2 2 3 21 2" xfId="610" xr:uid="{00000000-0005-0000-0000-0000D1010000}"/>
    <cellStyle name="Calcul 2 2 3 22" xfId="611" xr:uid="{00000000-0005-0000-0000-0000D2010000}"/>
    <cellStyle name="Calcul 2 2 3 22 2" xfId="612" xr:uid="{00000000-0005-0000-0000-0000D3010000}"/>
    <cellStyle name="Calcul 2 2 3 23" xfId="613" xr:uid="{00000000-0005-0000-0000-0000D4010000}"/>
    <cellStyle name="Calcul 2 2 3 23 2" xfId="614" xr:uid="{00000000-0005-0000-0000-0000D5010000}"/>
    <cellStyle name="Calcul 2 2 3 24" xfId="615" xr:uid="{00000000-0005-0000-0000-0000D6010000}"/>
    <cellStyle name="Calcul 2 2 3 24 2" xfId="616" xr:uid="{00000000-0005-0000-0000-0000D7010000}"/>
    <cellStyle name="Calcul 2 2 3 25" xfId="617" xr:uid="{00000000-0005-0000-0000-0000D8010000}"/>
    <cellStyle name="Calcul 2 2 3 25 2" xfId="618" xr:uid="{00000000-0005-0000-0000-0000D9010000}"/>
    <cellStyle name="Calcul 2 2 3 26" xfId="619" xr:uid="{00000000-0005-0000-0000-0000DA010000}"/>
    <cellStyle name="Calcul 2 2 3 26 2" xfId="620" xr:uid="{00000000-0005-0000-0000-0000DB010000}"/>
    <cellStyle name="Calcul 2 2 3 27" xfId="621" xr:uid="{00000000-0005-0000-0000-0000DC010000}"/>
    <cellStyle name="Calcul 2 2 3 27 2" xfId="622" xr:uid="{00000000-0005-0000-0000-0000DD010000}"/>
    <cellStyle name="Calcul 2 2 3 28" xfId="623" xr:uid="{00000000-0005-0000-0000-0000DE010000}"/>
    <cellStyle name="Calcul 2 2 3 28 2" xfId="624" xr:uid="{00000000-0005-0000-0000-0000DF010000}"/>
    <cellStyle name="Calcul 2 2 3 29" xfId="625" xr:uid="{00000000-0005-0000-0000-0000E0010000}"/>
    <cellStyle name="Calcul 2 2 3 3" xfId="626" xr:uid="{00000000-0005-0000-0000-0000E1010000}"/>
    <cellStyle name="Calcul 2 2 3 3 2" xfId="627" xr:uid="{00000000-0005-0000-0000-0000E2010000}"/>
    <cellStyle name="Calcul 2 2 3 4" xfId="628" xr:uid="{00000000-0005-0000-0000-0000E3010000}"/>
    <cellStyle name="Calcul 2 2 3 4 2" xfId="629" xr:uid="{00000000-0005-0000-0000-0000E4010000}"/>
    <cellStyle name="Calcul 2 2 3 5" xfId="630" xr:uid="{00000000-0005-0000-0000-0000E5010000}"/>
    <cellStyle name="Calcul 2 2 3 5 2" xfId="631" xr:uid="{00000000-0005-0000-0000-0000E6010000}"/>
    <cellStyle name="Calcul 2 2 3 6" xfId="632" xr:uid="{00000000-0005-0000-0000-0000E7010000}"/>
    <cellStyle name="Calcul 2 2 3 6 2" xfId="633" xr:uid="{00000000-0005-0000-0000-0000E8010000}"/>
    <cellStyle name="Calcul 2 2 3 7" xfId="634" xr:uid="{00000000-0005-0000-0000-0000E9010000}"/>
    <cellStyle name="Calcul 2 2 3 7 2" xfId="635" xr:uid="{00000000-0005-0000-0000-0000EA010000}"/>
    <cellStyle name="Calcul 2 2 3 8" xfId="636" xr:uid="{00000000-0005-0000-0000-0000EB010000}"/>
    <cellStyle name="Calcul 2 2 3 8 2" xfId="637" xr:uid="{00000000-0005-0000-0000-0000EC010000}"/>
    <cellStyle name="Calcul 2 2 3 9" xfId="638" xr:uid="{00000000-0005-0000-0000-0000ED010000}"/>
    <cellStyle name="Calcul 2 2 3 9 2" xfId="639" xr:uid="{00000000-0005-0000-0000-0000EE010000}"/>
    <cellStyle name="Calcul 2 2 4" xfId="640" xr:uid="{00000000-0005-0000-0000-0000EF010000}"/>
    <cellStyle name="Calcul 2 2 4 10" xfId="641" xr:uid="{00000000-0005-0000-0000-0000F0010000}"/>
    <cellStyle name="Calcul 2 2 4 10 2" xfId="642" xr:uid="{00000000-0005-0000-0000-0000F1010000}"/>
    <cellStyle name="Calcul 2 2 4 11" xfId="643" xr:uid="{00000000-0005-0000-0000-0000F2010000}"/>
    <cellStyle name="Calcul 2 2 4 11 2" xfId="644" xr:uid="{00000000-0005-0000-0000-0000F3010000}"/>
    <cellStyle name="Calcul 2 2 4 12" xfId="645" xr:uid="{00000000-0005-0000-0000-0000F4010000}"/>
    <cellStyle name="Calcul 2 2 4 12 2" xfId="646" xr:uid="{00000000-0005-0000-0000-0000F5010000}"/>
    <cellStyle name="Calcul 2 2 4 13" xfId="647" xr:uid="{00000000-0005-0000-0000-0000F6010000}"/>
    <cellStyle name="Calcul 2 2 4 13 2" xfId="648" xr:uid="{00000000-0005-0000-0000-0000F7010000}"/>
    <cellStyle name="Calcul 2 2 4 14" xfId="649" xr:uid="{00000000-0005-0000-0000-0000F8010000}"/>
    <cellStyle name="Calcul 2 2 4 14 2" xfId="650" xr:uid="{00000000-0005-0000-0000-0000F9010000}"/>
    <cellStyle name="Calcul 2 2 4 15" xfId="651" xr:uid="{00000000-0005-0000-0000-0000FA010000}"/>
    <cellStyle name="Calcul 2 2 4 15 2" xfId="652" xr:uid="{00000000-0005-0000-0000-0000FB010000}"/>
    <cellStyle name="Calcul 2 2 4 16" xfId="653" xr:uid="{00000000-0005-0000-0000-0000FC010000}"/>
    <cellStyle name="Calcul 2 2 4 16 2" xfId="654" xr:uid="{00000000-0005-0000-0000-0000FD010000}"/>
    <cellStyle name="Calcul 2 2 4 17" xfId="655" xr:uid="{00000000-0005-0000-0000-0000FE010000}"/>
    <cellStyle name="Calcul 2 2 4 17 2" xfId="656" xr:uid="{00000000-0005-0000-0000-0000FF010000}"/>
    <cellStyle name="Calcul 2 2 4 18" xfId="657" xr:uid="{00000000-0005-0000-0000-000000020000}"/>
    <cellStyle name="Calcul 2 2 4 18 2" xfId="658" xr:uid="{00000000-0005-0000-0000-000001020000}"/>
    <cellStyle name="Calcul 2 2 4 19" xfId="659" xr:uid="{00000000-0005-0000-0000-000002020000}"/>
    <cellStyle name="Calcul 2 2 4 19 2" xfId="660" xr:uid="{00000000-0005-0000-0000-000003020000}"/>
    <cellStyle name="Calcul 2 2 4 2" xfId="661" xr:uid="{00000000-0005-0000-0000-000004020000}"/>
    <cellStyle name="Calcul 2 2 4 2 2" xfId="662" xr:uid="{00000000-0005-0000-0000-000005020000}"/>
    <cellStyle name="Calcul 2 2 4 20" xfId="663" xr:uid="{00000000-0005-0000-0000-000006020000}"/>
    <cellStyle name="Calcul 2 2 4 20 2" xfId="664" xr:uid="{00000000-0005-0000-0000-000007020000}"/>
    <cellStyle name="Calcul 2 2 4 21" xfId="665" xr:uid="{00000000-0005-0000-0000-000008020000}"/>
    <cellStyle name="Calcul 2 2 4 21 2" xfId="666" xr:uid="{00000000-0005-0000-0000-000009020000}"/>
    <cellStyle name="Calcul 2 2 4 22" xfId="667" xr:uid="{00000000-0005-0000-0000-00000A020000}"/>
    <cellStyle name="Calcul 2 2 4 22 2" xfId="668" xr:uid="{00000000-0005-0000-0000-00000B020000}"/>
    <cellStyle name="Calcul 2 2 4 23" xfId="669" xr:uid="{00000000-0005-0000-0000-00000C020000}"/>
    <cellStyle name="Calcul 2 2 4 23 2" xfId="670" xr:uid="{00000000-0005-0000-0000-00000D020000}"/>
    <cellStyle name="Calcul 2 2 4 24" xfId="671" xr:uid="{00000000-0005-0000-0000-00000E020000}"/>
    <cellStyle name="Calcul 2 2 4 24 2" xfId="672" xr:uid="{00000000-0005-0000-0000-00000F020000}"/>
    <cellStyle name="Calcul 2 2 4 25" xfId="673" xr:uid="{00000000-0005-0000-0000-000010020000}"/>
    <cellStyle name="Calcul 2 2 4 25 2" xfId="674" xr:uid="{00000000-0005-0000-0000-000011020000}"/>
    <cellStyle name="Calcul 2 2 4 26" xfId="675" xr:uid="{00000000-0005-0000-0000-000012020000}"/>
    <cellStyle name="Calcul 2 2 4 26 2" xfId="676" xr:uid="{00000000-0005-0000-0000-000013020000}"/>
    <cellStyle name="Calcul 2 2 4 27" xfId="677" xr:uid="{00000000-0005-0000-0000-000014020000}"/>
    <cellStyle name="Calcul 2 2 4 27 2" xfId="678" xr:uid="{00000000-0005-0000-0000-000015020000}"/>
    <cellStyle name="Calcul 2 2 4 28" xfId="679" xr:uid="{00000000-0005-0000-0000-000016020000}"/>
    <cellStyle name="Calcul 2 2 4 28 2" xfId="680" xr:uid="{00000000-0005-0000-0000-000017020000}"/>
    <cellStyle name="Calcul 2 2 4 29" xfId="681" xr:uid="{00000000-0005-0000-0000-000018020000}"/>
    <cellStyle name="Calcul 2 2 4 3" xfId="682" xr:uid="{00000000-0005-0000-0000-000019020000}"/>
    <cellStyle name="Calcul 2 2 4 3 2" xfId="683" xr:uid="{00000000-0005-0000-0000-00001A020000}"/>
    <cellStyle name="Calcul 2 2 4 4" xfId="684" xr:uid="{00000000-0005-0000-0000-00001B020000}"/>
    <cellStyle name="Calcul 2 2 4 4 2" xfId="685" xr:uid="{00000000-0005-0000-0000-00001C020000}"/>
    <cellStyle name="Calcul 2 2 4 5" xfId="686" xr:uid="{00000000-0005-0000-0000-00001D020000}"/>
    <cellStyle name="Calcul 2 2 4 5 2" xfId="687" xr:uid="{00000000-0005-0000-0000-00001E020000}"/>
    <cellStyle name="Calcul 2 2 4 6" xfId="688" xr:uid="{00000000-0005-0000-0000-00001F020000}"/>
    <cellStyle name="Calcul 2 2 4 6 2" xfId="689" xr:uid="{00000000-0005-0000-0000-000020020000}"/>
    <cellStyle name="Calcul 2 2 4 7" xfId="690" xr:uid="{00000000-0005-0000-0000-000021020000}"/>
    <cellStyle name="Calcul 2 2 4 7 2" xfId="691" xr:uid="{00000000-0005-0000-0000-000022020000}"/>
    <cellStyle name="Calcul 2 2 4 8" xfId="692" xr:uid="{00000000-0005-0000-0000-000023020000}"/>
    <cellStyle name="Calcul 2 2 4 8 2" xfId="693" xr:uid="{00000000-0005-0000-0000-000024020000}"/>
    <cellStyle name="Calcul 2 2 4 9" xfId="694" xr:uid="{00000000-0005-0000-0000-000025020000}"/>
    <cellStyle name="Calcul 2 2 4 9 2" xfId="695" xr:uid="{00000000-0005-0000-0000-000026020000}"/>
    <cellStyle name="Calcul 2 2 5" xfId="696" xr:uid="{00000000-0005-0000-0000-000027020000}"/>
    <cellStyle name="Calcul 2 2 5 10" xfId="697" xr:uid="{00000000-0005-0000-0000-000028020000}"/>
    <cellStyle name="Calcul 2 2 5 10 2" xfId="698" xr:uid="{00000000-0005-0000-0000-000029020000}"/>
    <cellStyle name="Calcul 2 2 5 11" xfId="699" xr:uid="{00000000-0005-0000-0000-00002A020000}"/>
    <cellStyle name="Calcul 2 2 5 11 2" xfId="700" xr:uid="{00000000-0005-0000-0000-00002B020000}"/>
    <cellStyle name="Calcul 2 2 5 12" xfId="701" xr:uid="{00000000-0005-0000-0000-00002C020000}"/>
    <cellStyle name="Calcul 2 2 5 12 2" xfId="702" xr:uid="{00000000-0005-0000-0000-00002D020000}"/>
    <cellStyle name="Calcul 2 2 5 13" xfId="703" xr:uid="{00000000-0005-0000-0000-00002E020000}"/>
    <cellStyle name="Calcul 2 2 5 13 2" xfId="704" xr:uid="{00000000-0005-0000-0000-00002F020000}"/>
    <cellStyle name="Calcul 2 2 5 14" xfId="705" xr:uid="{00000000-0005-0000-0000-000030020000}"/>
    <cellStyle name="Calcul 2 2 5 14 2" xfId="706" xr:uid="{00000000-0005-0000-0000-000031020000}"/>
    <cellStyle name="Calcul 2 2 5 15" xfId="707" xr:uid="{00000000-0005-0000-0000-000032020000}"/>
    <cellStyle name="Calcul 2 2 5 15 2" xfId="708" xr:uid="{00000000-0005-0000-0000-000033020000}"/>
    <cellStyle name="Calcul 2 2 5 16" xfId="709" xr:uid="{00000000-0005-0000-0000-000034020000}"/>
    <cellStyle name="Calcul 2 2 5 16 2" xfId="710" xr:uid="{00000000-0005-0000-0000-000035020000}"/>
    <cellStyle name="Calcul 2 2 5 17" xfId="711" xr:uid="{00000000-0005-0000-0000-000036020000}"/>
    <cellStyle name="Calcul 2 2 5 17 2" xfId="712" xr:uid="{00000000-0005-0000-0000-000037020000}"/>
    <cellStyle name="Calcul 2 2 5 18" xfId="713" xr:uid="{00000000-0005-0000-0000-000038020000}"/>
    <cellStyle name="Calcul 2 2 5 18 2" xfId="714" xr:uid="{00000000-0005-0000-0000-000039020000}"/>
    <cellStyle name="Calcul 2 2 5 19" xfId="715" xr:uid="{00000000-0005-0000-0000-00003A020000}"/>
    <cellStyle name="Calcul 2 2 5 19 2" xfId="716" xr:uid="{00000000-0005-0000-0000-00003B020000}"/>
    <cellStyle name="Calcul 2 2 5 2" xfId="717" xr:uid="{00000000-0005-0000-0000-00003C020000}"/>
    <cellStyle name="Calcul 2 2 5 2 2" xfId="718" xr:uid="{00000000-0005-0000-0000-00003D020000}"/>
    <cellStyle name="Calcul 2 2 5 20" xfId="719" xr:uid="{00000000-0005-0000-0000-00003E020000}"/>
    <cellStyle name="Calcul 2 2 5 20 2" xfId="720" xr:uid="{00000000-0005-0000-0000-00003F020000}"/>
    <cellStyle name="Calcul 2 2 5 21" xfId="721" xr:uid="{00000000-0005-0000-0000-000040020000}"/>
    <cellStyle name="Calcul 2 2 5 21 2" xfId="722" xr:uid="{00000000-0005-0000-0000-000041020000}"/>
    <cellStyle name="Calcul 2 2 5 22" xfId="723" xr:uid="{00000000-0005-0000-0000-000042020000}"/>
    <cellStyle name="Calcul 2 2 5 22 2" xfId="724" xr:uid="{00000000-0005-0000-0000-000043020000}"/>
    <cellStyle name="Calcul 2 2 5 23" xfId="725" xr:uid="{00000000-0005-0000-0000-000044020000}"/>
    <cellStyle name="Calcul 2 2 5 23 2" xfId="726" xr:uid="{00000000-0005-0000-0000-000045020000}"/>
    <cellStyle name="Calcul 2 2 5 24" xfId="727" xr:uid="{00000000-0005-0000-0000-000046020000}"/>
    <cellStyle name="Calcul 2 2 5 24 2" xfId="728" xr:uid="{00000000-0005-0000-0000-000047020000}"/>
    <cellStyle name="Calcul 2 2 5 25" xfId="729" xr:uid="{00000000-0005-0000-0000-000048020000}"/>
    <cellStyle name="Calcul 2 2 5 25 2" xfId="730" xr:uid="{00000000-0005-0000-0000-000049020000}"/>
    <cellStyle name="Calcul 2 2 5 26" xfId="731" xr:uid="{00000000-0005-0000-0000-00004A020000}"/>
    <cellStyle name="Calcul 2 2 5 26 2" xfId="732" xr:uid="{00000000-0005-0000-0000-00004B020000}"/>
    <cellStyle name="Calcul 2 2 5 27" xfId="733" xr:uid="{00000000-0005-0000-0000-00004C020000}"/>
    <cellStyle name="Calcul 2 2 5 27 2" xfId="734" xr:uid="{00000000-0005-0000-0000-00004D020000}"/>
    <cellStyle name="Calcul 2 2 5 28" xfId="735" xr:uid="{00000000-0005-0000-0000-00004E020000}"/>
    <cellStyle name="Calcul 2 2 5 3" xfId="736" xr:uid="{00000000-0005-0000-0000-00004F020000}"/>
    <cellStyle name="Calcul 2 2 5 3 2" xfId="737" xr:uid="{00000000-0005-0000-0000-000050020000}"/>
    <cellStyle name="Calcul 2 2 5 4" xfId="738" xr:uid="{00000000-0005-0000-0000-000051020000}"/>
    <cellStyle name="Calcul 2 2 5 4 2" xfId="739" xr:uid="{00000000-0005-0000-0000-000052020000}"/>
    <cellStyle name="Calcul 2 2 5 5" xfId="740" xr:uid="{00000000-0005-0000-0000-000053020000}"/>
    <cellStyle name="Calcul 2 2 5 5 2" xfId="741" xr:uid="{00000000-0005-0000-0000-000054020000}"/>
    <cellStyle name="Calcul 2 2 5 6" xfId="742" xr:uid="{00000000-0005-0000-0000-000055020000}"/>
    <cellStyle name="Calcul 2 2 5 6 2" xfId="743" xr:uid="{00000000-0005-0000-0000-000056020000}"/>
    <cellStyle name="Calcul 2 2 5 7" xfId="744" xr:uid="{00000000-0005-0000-0000-000057020000}"/>
    <cellStyle name="Calcul 2 2 5 7 2" xfId="745" xr:uid="{00000000-0005-0000-0000-000058020000}"/>
    <cellStyle name="Calcul 2 2 5 8" xfId="746" xr:uid="{00000000-0005-0000-0000-000059020000}"/>
    <cellStyle name="Calcul 2 2 5 8 2" xfId="747" xr:uid="{00000000-0005-0000-0000-00005A020000}"/>
    <cellStyle name="Calcul 2 2 5 9" xfId="748" xr:uid="{00000000-0005-0000-0000-00005B020000}"/>
    <cellStyle name="Calcul 2 2 5 9 2" xfId="749" xr:uid="{00000000-0005-0000-0000-00005C020000}"/>
    <cellStyle name="Calcul 2 2 6" xfId="750" xr:uid="{00000000-0005-0000-0000-00005D020000}"/>
    <cellStyle name="Calcul 2 2 6 2" xfId="751" xr:uid="{00000000-0005-0000-0000-00005E020000}"/>
    <cellStyle name="Calcul 2 2 7" xfId="752" xr:uid="{00000000-0005-0000-0000-00005F020000}"/>
    <cellStyle name="Calcul 2 2 7 2" xfId="753" xr:uid="{00000000-0005-0000-0000-000060020000}"/>
    <cellStyle name="Calcul 2 2 8" xfId="754" xr:uid="{00000000-0005-0000-0000-000061020000}"/>
    <cellStyle name="Calcul 2 2 8 2" xfId="755" xr:uid="{00000000-0005-0000-0000-000062020000}"/>
    <cellStyle name="Calcul 2 2 9" xfId="756" xr:uid="{00000000-0005-0000-0000-000063020000}"/>
    <cellStyle name="Calcul 2 2 9 2" xfId="757" xr:uid="{00000000-0005-0000-0000-000064020000}"/>
    <cellStyle name="Calcul 2 3" xfId="20" xr:uid="{00000000-0005-0000-0000-000065020000}"/>
    <cellStyle name="Calcul 2 3 10" xfId="758" xr:uid="{00000000-0005-0000-0000-000066020000}"/>
    <cellStyle name="Calcul 2 3 10 2" xfId="759" xr:uid="{00000000-0005-0000-0000-000067020000}"/>
    <cellStyle name="Calcul 2 3 11" xfId="760" xr:uid="{00000000-0005-0000-0000-000068020000}"/>
    <cellStyle name="Calcul 2 3 11 2" xfId="761" xr:uid="{00000000-0005-0000-0000-000069020000}"/>
    <cellStyle name="Calcul 2 3 12" xfId="762" xr:uid="{00000000-0005-0000-0000-00006A020000}"/>
    <cellStyle name="Calcul 2 3 12 2" xfId="763" xr:uid="{00000000-0005-0000-0000-00006B020000}"/>
    <cellStyle name="Calcul 2 3 13" xfId="764" xr:uid="{00000000-0005-0000-0000-00006C020000}"/>
    <cellStyle name="Calcul 2 3 13 2" xfId="765" xr:uid="{00000000-0005-0000-0000-00006D020000}"/>
    <cellStyle name="Calcul 2 3 14" xfId="766" xr:uid="{00000000-0005-0000-0000-00006E020000}"/>
    <cellStyle name="Calcul 2 3 14 2" xfId="767" xr:uid="{00000000-0005-0000-0000-00006F020000}"/>
    <cellStyle name="Calcul 2 3 15" xfId="768" xr:uid="{00000000-0005-0000-0000-000070020000}"/>
    <cellStyle name="Calcul 2 3 15 2" xfId="769" xr:uid="{00000000-0005-0000-0000-000071020000}"/>
    <cellStyle name="Calcul 2 3 16" xfId="770" xr:uid="{00000000-0005-0000-0000-000072020000}"/>
    <cellStyle name="Calcul 2 3 16 2" xfId="771" xr:uid="{00000000-0005-0000-0000-000073020000}"/>
    <cellStyle name="Calcul 2 3 17" xfId="772" xr:uid="{00000000-0005-0000-0000-000074020000}"/>
    <cellStyle name="Calcul 2 3 17 2" xfId="773" xr:uid="{00000000-0005-0000-0000-000075020000}"/>
    <cellStyle name="Calcul 2 3 18" xfId="774" xr:uid="{00000000-0005-0000-0000-000076020000}"/>
    <cellStyle name="Calcul 2 3 18 2" xfId="775" xr:uid="{00000000-0005-0000-0000-000077020000}"/>
    <cellStyle name="Calcul 2 3 19" xfId="776" xr:uid="{00000000-0005-0000-0000-000078020000}"/>
    <cellStyle name="Calcul 2 3 19 2" xfId="777" xr:uid="{00000000-0005-0000-0000-000079020000}"/>
    <cellStyle name="Calcul 2 3 2" xfId="105" xr:uid="{00000000-0005-0000-0000-00007A020000}"/>
    <cellStyle name="Calcul 2 3 2 2" xfId="778" xr:uid="{00000000-0005-0000-0000-00007B020000}"/>
    <cellStyle name="Calcul 2 3 20" xfId="779" xr:uid="{00000000-0005-0000-0000-00007C020000}"/>
    <cellStyle name="Calcul 2 3 20 2" xfId="780" xr:uid="{00000000-0005-0000-0000-00007D020000}"/>
    <cellStyle name="Calcul 2 3 21" xfId="781" xr:uid="{00000000-0005-0000-0000-00007E020000}"/>
    <cellStyle name="Calcul 2 3 21 2" xfId="782" xr:uid="{00000000-0005-0000-0000-00007F020000}"/>
    <cellStyle name="Calcul 2 3 22" xfId="783" xr:uid="{00000000-0005-0000-0000-000080020000}"/>
    <cellStyle name="Calcul 2 3 22 2" xfId="784" xr:uid="{00000000-0005-0000-0000-000081020000}"/>
    <cellStyle name="Calcul 2 3 23" xfId="785" xr:uid="{00000000-0005-0000-0000-000082020000}"/>
    <cellStyle name="Calcul 2 3 23 2" xfId="786" xr:uid="{00000000-0005-0000-0000-000083020000}"/>
    <cellStyle name="Calcul 2 3 24" xfId="787" xr:uid="{00000000-0005-0000-0000-000084020000}"/>
    <cellStyle name="Calcul 2 3 24 2" xfId="788" xr:uid="{00000000-0005-0000-0000-000085020000}"/>
    <cellStyle name="Calcul 2 3 25" xfId="789" xr:uid="{00000000-0005-0000-0000-000086020000}"/>
    <cellStyle name="Calcul 2 3 25 2" xfId="790" xr:uid="{00000000-0005-0000-0000-000087020000}"/>
    <cellStyle name="Calcul 2 3 26" xfId="791" xr:uid="{00000000-0005-0000-0000-000088020000}"/>
    <cellStyle name="Calcul 2 3 26 2" xfId="792" xr:uid="{00000000-0005-0000-0000-000089020000}"/>
    <cellStyle name="Calcul 2 3 27" xfId="793" xr:uid="{00000000-0005-0000-0000-00008A020000}"/>
    <cellStyle name="Calcul 2 3 27 2" xfId="794" xr:uid="{00000000-0005-0000-0000-00008B020000}"/>
    <cellStyle name="Calcul 2 3 28" xfId="795" xr:uid="{00000000-0005-0000-0000-00008C020000}"/>
    <cellStyle name="Calcul 2 3 28 2" xfId="796" xr:uid="{00000000-0005-0000-0000-00008D020000}"/>
    <cellStyle name="Calcul 2 3 29" xfId="797" xr:uid="{00000000-0005-0000-0000-00008E020000}"/>
    <cellStyle name="Calcul 2 3 3" xfId="112" xr:uid="{00000000-0005-0000-0000-00008F020000}"/>
    <cellStyle name="Calcul 2 3 3 2" xfId="798" xr:uid="{00000000-0005-0000-0000-000090020000}"/>
    <cellStyle name="Calcul 2 3 30" xfId="3593" xr:uid="{4472FC4E-7E05-4645-BAC0-11E69CAB37C9}"/>
    <cellStyle name="Calcul 2 3 4" xfId="799" xr:uid="{00000000-0005-0000-0000-000091020000}"/>
    <cellStyle name="Calcul 2 3 4 2" xfId="800" xr:uid="{00000000-0005-0000-0000-000092020000}"/>
    <cellStyle name="Calcul 2 3 5" xfId="801" xr:uid="{00000000-0005-0000-0000-000093020000}"/>
    <cellStyle name="Calcul 2 3 5 2" xfId="802" xr:uid="{00000000-0005-0000-0000-000094020000}"/>
    <cellStyle name="Calcul 2 3 6" xfId="803" xr:uid="{00000000-0005-0000-0000-000095020000}"/>
    <cellStyle name="Calcul 2 3 6 2" xfId="804" xr:uid="{00000000-0005-0000-0000-000096020000}"/>
    <cellStyle name="Calcul 2 3 7" xfId="805" xr:uid="{00000000-0005-0000-0000-000097020000}"/>
    <cellStyle name="Calcul 2 3 7 2" xfId="806" xr:uid="{00000000-0005-0000-0000-000098020000}"/>
    <cellStyle name="Calcul 2 3 8" xfId="807" xr:uid="{00000000-0005-0000-0000-000099020000}"/>
    <cellStyle name="Calcul 2 3 8 2" xfId="808" xr:uid="{00000000-0005-0000-0000-00009A020000}"/>
    <cellStyle name="Calcul 2 3 9" xfId="809" xr:uid="{00000000-0005-0000-0000-00009B020000}"/>
    <cellStyle name="Calcul 2 3 9 2" xfId="810" xr:uid="{00000000-0005-0000-0000-00009C020000}"/>
    <cellStyle name="Calcul 2 4" xfId="21" xr:uid="{00000000-0005-0000-0000-00009D020000}"/>
    <cellStyle name="Calcul 2 4 10" xfId="811" xr:uid="{00000000-0005-0000-0000-00009E020000}"/>
    <cellStyle name="Calcul 2 4 10 2" xfId="812" xr:uid="{00000000-0005-0000-0000-00009F020000}"/>
    <cellStyle name="Calcul 2 4 11" xfId="813" xr:uid="{00000000-0005-0000-0000-0000A0020000}"/>
    <cellStyle name="Calcul 2 4 11 2" xfId="814" xr:uid="{00000000-0005-0000-0000-0000A1020000}"/>
    <cellStyle name="Calcul 2 4 12" xfId="815" xr:uid="{00000000-0005-0000-0000-0000A2020000}"/>
    <cellStyle name="Calcul 2 4 12 2" xfId="816" xr:uid="{00000000-0005-0000-0000-0000A3020000}"/>
    <cellStyle name="Calcul 2 4 13" xfId="817" xr:uid="{00000000-0005-0000-0000-0000A4020000}"/>
    <cellStyle name="Calcul 2 4 13 2" xfId="818" xr:uid="{00000000-0005-0000-0000-0000A5020000}"/>
    <cellStyle name="Calcul 2 4 14" xfId="819" xr:uid="{00000000-0005-0000-0000-0000A6020000}"/>
    <cellStyle name="Calcul 2 4 14 2" xfId="820" xr:uid="{00000000-0005-0000-0000-0000A7020000}"/>
    <cellStyle name="Calcul 2 4 15" xfId="821" xr:uid="{00000000-0005-0000-0000-0000A8020000}"/>
    <cellStyle name="Calcul 2 4 15 2" xfId="822" xr:uid="{00000000-0005-0000-0000-0000A9020000}"/>
    <cellStyle name="Calcul 2 4 16" xfId="823" xr:uid="{00000000-0005-0000-0000-0000AA020000}"/>
    <cellStyle name="Calcul 2 4 16 2" xfId="824" xr:uid="{00000000-0005-0000-0000-0000AB020000}"/>
    <cellStyle name="Calcul 2 4 17" xfId="825" xr:uid="{00000000-0005-0000-0000-0000AC020000}"/>
    <cellStyle name="Calcul 2 4 17 2" xfId="826" xr:uid="{00000000-0005-0000-0000-0000AD020000}"/>
    <cellStyle name="Calcul 2 4 18" xfId="827" xr:uid="{00000000-0005-0000-0000-0000AE020000}"/>
    <cellStyle name="Calcul 2 4 18 2" xfId="828" xr:uid="{00000000-0005-0000-0000-0000AF020000}"/>
    <cellStyle name="Calcul 2 4 19" xfId="829" xr:uid="{00000000-0005-0000-0000-0000B0020000}"/>
    <cellStyle name="Calcul 2 4 19 2" xfId="830" xr:uid="{00000000-0005-0000-0000-0000B1020000}"/>
    <cellStyle name="Calcul 2 4 2" xfId="98" xr:uid="{00000000-0005-0000-0000-0000B2020000}"/>
    <cellStyle name="Calcul 2 4 2 2" xfId="831" xr:uid="{00000000-0005-0000-0000-0000B3020000}"/>
    <cellStyle name="Calcul 2 4 20" xfId="832" xr:uid="{00000000-0005-0000-0000-0000B4020000}"/>
    <cellStyle name="Calcul 2 4 20 2" xfId="833" xr:uid="{00000000-0005-0000-0000-0000B5020000}"/>
    <cellStyle name="Calcul 2 4 21" xfId="834" xr:uid="{00000000-0005-0000-0000-0000B6020000}"/>
    <cellStyle name="Calcul 2 4 21 2" xfId="835" xr:uid="{00000000-0005-0000-0000-0000B7020000}"/>
    <cellStyle name="Calcul 2 4 22" xfId="836" xr:uid="{00000000-0005-0000-0000-0000B8020000}"/>
    <cellStyle name="Calcul 2 4 22 2" xfId="837" xr:uid="{00000000-0005-0000-0000-0000B9020000}"/>
    <cellStyle name="Calcul 2 4 23" xfId="838" xr:uid="{00000000-0005-0000-0000-0000BA020000}"/>
    <cellStyle name="Calcul 2 4 23 2" xfId="839" xr:uid="{00000000-0005-0000-0000-0000BB020000}"/>
    <cellStyle name="Calcul 2 4 24" xfId="840" xr:uid="{00000000-0005-0000-0000-0000BC020000}"/>
    <cellStyle name="Calcul 2 4 24 2" xfId="841" xr:uid="{00000000-0005-0000-0000-0000BD020000}"/>
    <cellStyle name="Calcul 2 4 25" xfId="842" xr:uid="{00000000-0005-0000-0000-0000BE020000}"/>
    <cellStyle name="Calcul 2 4 25 2" xfId="843" xr:uid="{00000000-0005-0000-0000-0000BF020000}"/>
    <cellStyle name="Calcul 2 4 26" xfId="844" xr:uid="{00000000-0005-0000-0000-0000C0020000}"/>
    <cellStyle name="Calcul 2 4 26 2" xfId="845" xr:uid="{00000000-0005-0000-0000-0000C1020000}"/>
    <cellStyle name="Calcul 2 4 27" xfId="846" xr:uid="{00000000-0005-0000-0000-0000C2020000}"/>
    <cellStyle name="Calcul 2 4 27 2" xfId="847" xr:uid="{00000000-0005-0000-0000-0000C3020000}"/>
    <cellStyle name="Calcul 2 4 28" xfId="848" xr:uid="{00000000-0005-0000-0000-0000C4020000}"/>
    <cellStyle name="Calcul 2 4 28 2" xfId="849" xr:uid="{00000000-0005-0000-0000-0000C5020000}"/>
    <cellStyle name="Calcul 2 4 29" xfId="850" xr:uid="{00000000-0005-0000-0000-0000C6020000}"/>
    <cellStyle name="Calcul 2 4 3" xfId="113" xr:uid="{00000000-0005-0000-0000-0000C7020000}"/>
    <cellStyle name="Calcul 2 4 3 2" xfId="851" xr:uid="{00000000-0005-0000-0000-0000C8020000}"/>
    <cellStyle name="Calcul 2 4 30" xfId="3602" xr:uid="{C7D9ED7F-81EB-4642-A02C-FF9F7109A787}"/>
    <cellStyle name="Calcul 2 4 4" xfId="852" xr:uid="{00000000-0005-0000-0000-0000C9020000}"/>
    <cellStyle name="Calcul 2 4 4 2" xfId="853" xr:uid="{00000000-0005-0000-0000-0000CA020000}"/>
    <cellStyle name="Calcul 2 4 5" xfId="854" xr:uid="{00000000-0005-0000-0000-0000CB020000}"/>
    <cellStyle name="Calcul 2 4 5 2" xfId="855" xr:uid="{00000000-0005-0000-0000-0000CC020000}"/>
    <cellStyle name="Calcul 2 4 6" xfId="856" xr:uid="{00000000-0005-0000-0000-0000CD020000}"/>
    <cellStyle name="Calcul 2 4 6 2" xfId="857" xr:uid="{00000000-0005-0000-0000-0000CE020000}"/>
    <cellStyle name="Calcul 2 4 7" xfId="858" xr:uid="{00000000-0005-0000-0000-0000CF020000}"/>
    <cellStyle name="Calcul 2 4 7 2" xfId="859" xr:uid="{00000000-0005-0000-0000-0000D0020000}"/>
    <cellStyle name="Calcul 2 4 8" xfId="860" xr:uid="{00000000-0005-0000-0000-0000D1020000}"/>
    <cellStyle name="Calcul 2 4 8 2" xfId="861" xr:uid="{00000000-0005-0000-0000-0000D2020000}"/>
    <cellStyle name="Calcul 2 4 9" xfId="862" xr:uid="{00000000-0005-0000-0000-0000D3020000}"/>
    <cellStyle name="Calcul 2 4 9 2" xfId="863" xr:uid="{00000000-0005-0000-0000-0000D4020000}"/>
    <cellStyle name="Calcul 2 5" xfId="100" xr:uid="{00000000-0005-0000-0000-0000D5020000}"/>
    <cellStyle name="Calcul 2 5 10" xfId="864" xr:uid="{00000000-0005-0000-0000-0000D6020000}"/>
    <cellStyle name="Calcul 2 5 10 2" xfId="865" xr:uid="{00000000-0005-0000-0000-0000D7020000}"/>
    <cellStyle name="Calcul 2 5 11" xfId="866" xr:uid="{00000000-0005-0000-0000-0000D8020000}"/>
    <cellStyle name="Calcul 2 5 11 2" xfId="867" xr:uid="{00000000-0005-0000-0000-0000D9020000}"/>
    <cellStyle name="Calcul 2 5 12" xfId="868" xr:uid="{00000000-0005-0000-0000-0000DA020000}"/>
    <cellStyle name="Calcul 2 5 12 2" xfId="869" xr:uid="{00000000-0005-0000-0000-0000DB020000}"/>
    <cellStyle name="Calcul 2 5 13" xfId="870" xr:uid="{00000000-0005-0000-0000-0000DC020000}"/>
    <cellStyle name="Calcul 2 5 13 2" xfId="871" xr:uid="{00000000-0005-0000-0000-0000DD020000}"/>
    <cellStyle name="Calcul 2 5 14" xfId="872" xr:uid="{00000000-0005-0000-0000-0000DE020000}"/>
    <cellStyle name="Calcul 2 5 14 2" xfId="873" xr:uid="{00000000-0005-0000-0000-0000DF020000}"/>
    <cellStyle name="Calcul 2 5 15" xfId="874" xr:uid="{00000000-0005-0000-0000-0000E0020000}"/>
    <cellStyle name="Calcul 2 5 15 2" xfId="875" xr:uid="{00000000-0005-0000-0000-0000E1020000}"/>
    <cellStyle name="Calcul 2 5 16" xfId="876" xr:uid="{00000000-0005-0000-0000-0000E2020000}"/>
    <cellStyle name="Calcul 2 5 16 2" xfId="877" xr:uid="{00000000-0005-0000-0000-0000E3020000}"/>
    <cellStyle name="Calcul 2 5 17" xfId="878" xr:uid="{00000000-0005-0000-0000-0000E4020000}"/>
    <cellStyle name="Calcul 2 5 17 2" xfId="879" xr:uid="{00000000-0005-0000-0000-0000E5020000}"/>
    <cellStyle name="Calcul 2 5 18" xfId="880" xr:uid="{00000000-0005-0000-0000-0000E6020000}"/>
    <cellStyle name="Calcul 2 5 18 2" xfId="881" xr:uid="{00000000-0005-0000-0000-0000E7020000}"/>
    <cellStyle name="Calcul 2 5 19" xfId="882" xr:uid="{00000000-0005-0000-0000-0000E8020000}"/>
    <cellStyle name="Calcul 2 5 19 2" xfId="883" xr:uid="{00000000-0005-0000-0000-0000E9020000}"/>
    <cellStyle name="Calcul 2 5 2" xfId="884" xr:uid="{00000000-0005-0000-0000-0000EA020000}"/>
    <cellStyle name="Calcul 2 5 2 2" xfId="885" xr:uid="{00000000-0005-0000-0000-0000EB020000}"/>
    <cellStyle name="Calcul 2 5 20" xfId="886" xr:uid="{00000000-0005-0000-0000-0000EC020000}"/>
    <cellStyle name="Calcul 2 5 20 2" xfId="887" xr:uid="{00000000-0005-0000-0000-0000ED020000}"/>
    <cellStyle name="Calcul 2 5 21" xfId="888" xr:uid="{00000000-0005-0000-0000-0000EE020000}"/>
    <cellStyle name="Calcul 2 5 21 2" xfId="889" xr:uid="{00000000-0005-0000-0000-0000EF020000}"/>
    <cellStyle name="Calcul 2 5 22" xfId="890" xr:uid="{00000000-0005-0000-0000-0000F0020000}"/>
    <cellStyle name="Calcul 2 5 22 2" xfId="891" xr:uid="{00000000-0005-0000-0000-0000F1020000}"/>
    <cellStyle name="Calcul 2 5 23" xfId="892" xr:uid="{00000000-0005-0000-0000-0000F2020000}"/>
    <cellStyle name="Calcul 2 5 23 2" xfId="893" xr:uid="{00000000-0005-0000-0000-0000F3020000}"/>
    <cellStyle name="Calcul 2 5 24" xfId="894" xr:uid="{00000000-0005-0000-0000-0000F4020000}"/>
    <cellStyle name="Calcul 2 5 24 2" xfId="895" xr:uid="{00000000-0005-0000-0000-0000F5020000}"/>
    <cellStyle name="Calcul 2 5 25" xfId="896" xr:uid="{00000000-0005-0000-0000-0000F6020000}"/>
    <cellStyle name="Calcul 2 5 25 2" xfId="897" xr:uid="{00000000-0005-0000-0000-0000F7020000}"/>
    <cellStyle name="Calcul 2 5 26" xfId="898" xr:uid="{00000000-0005-0000-0000-0000F8020000}"/>
    <cellStyle name="Calcul 2 5 26 2" xfId="899" xr:uid="{00000000-0005-0000-0000-0000F9020000}"/>
    <cellStyle name="Calcul 2 5 27" xfId="900" xr:uid="{00000000-0005-0000-0000-0000FA020000}"/>
    <cellStyle name="Calcul 2 5 27 2" xfId="901" xr:uid="{00000000-0005-0000-0000-0000FB020000}"/>
    <cellStyle name="Calcul 2 5 28" xfId="902" xr:uid="{00000000-0005-0000-0000-0000FC020000}"/>
    <cellStyle name="Calcul 2 5 28 2" xfId="903" xr:uid="{00000000-0005-0000-0000-0000FD020000}"/>
    <cellStyle name="Calcul 2 5 29" xfId="904" xr:uid="{00000000-0005-0000-0000-0000FE020000}"/>
    <cellStyle name="Calcul 2 5 3" xfId="905" xr:uid="{00000000-0005-0000-0000-0000FF020000}"/>
    <cellStyle name="Calcul 2 5 3 2" xfId="906" xr:uid="{00000000-0005-0000-0000-000000030000}"/>
    <cellStyle name="Calcul 2 5 30" xfId="3646" xr:uid="{1AE196EE-5DA1-4CDD-B793-F6416460E50E}"/>
    <cellStyle name="Calcul 2 5 4" xfId="907" xr:uid="{00000000-0005-0000-0000-000001030000}"/>
    <cellStyle name="Calcul 2 5 4 2" xfId="908" xr:uid="{00000000-0005-0000-0000-000002030000}"/>
    <cellStyle name="Calcul 2 5 5" xfId="909" xr:uid="{00000000-0005-0000-0000-000003030000}"/>
    <cellStyle name="Calcul 2 5 5 2" xfId="910" xr:uid="{00000000-0005-0000-0000-000004030000}"/>
    <cellStyle name="Calcul 2 5 6" xfId="911" xr:uid="{00000000-0005-0000-0000-000005030000}"/>
    <cellStyle name="Calcul 2 5 6 2" xfId="912" xr:uid="{00000000-0005-0000-0000-000006030000}"/>
    <cellStyle name="Calcul 2 5 7" xfId="913" xr:uid="{00000000-0005-0000-0000-000007030000}"/>
    <cellStyle name="Calcul 2 5 7 2" xfId="914" xr:uid="{00000000-0005-0000-0000-000008030000}"/>
    <cellStyle name="Calcul 2 5 8" xfId="915" xr:uid="{00000000-0005-0000-0000-000009030000}"/>
    <cellStyle name="Calcul 2 5 8 2" xfId="916" xr:uid="{00000000-0005-0000-0000-00000A030000}"/>
    <cellStyle name="Calcul 2 5 9" xfId="917" xr:uid="{00000000-0005-0000-0000-00000B030000}"/>
    <cellStyle name="Calcul 2 5 9 2" xfId="918" xr:uid="{00000000-0005-0000-0000-00000C030000}"/>
    <cellStyle name="Calcul 2 6" xfId="110" xr:uid="{00000000-0005-0000-0000-00000D030000}"/>
    <cellStyle name="Calcul 2 6 10" xfId="919" xr:uid="{00000000-0005-0000-0000-00000E030000}"/>
    <cellStyle name="Calcul 2 6 10 2" xfId="920" xr:uid="{00000000-0005-0000-0000-00000F030000}"/>
    <cellStyle name="Calcul 2 6 11" xfId="921" xr:uid="{00000000-0005-0000-0000-000010030000}"/>
    <cellStyle name="Calcul 2 6 11 2" xfId="922" xr:uid="{00000000-0005-0000-0000-000011030000}"/>
    <cellStyle name="Calcul 2 6 12" xfId="923" xr:uid="{00000000-0005-0000-0000-000012030000}"/>
    <cellStyle name="Calcul 2 6 12 2" xfId="924" xr:uid="{00000000-0005-0000-0000-000013030000}"/>
    <cellStyle name="Calcul 2 6 13" xfId="925" xr:uid="{00000000-0005-0000-0000-000014030000}"/>
    <cellStyle name="Calcul 2 6 13 2" xfId="926" xr:uid="{00000000-0005-0000-0000-000015030000}"/>
    <cellStyle name="Calcul 2 6 14" xfId="927" xr:uid="{00000000-0005-0000-0000-000016030000}"/>
    <cellStyle name="Calcul 2 6 14 2" xfId="928" xr:uid="{00000000-0005-0000-0000-000017030000}"/>
    <cellStyle name="Calcul 2 6 15" xfId="929" xr:uid="{00000000-0005-0000-0000-000018030000}"/>
    <cellStyle name="Calcul 2 6 15 2" xfId="930" xr:uid="{00000000-0005-0000-0000-000019030000}"/>
    <cellStyle name="Calcul 2 6 16" xfId="931" xr:uid="{00000000-0005-0000-0000-00001A030000}"/>
    <cellStyle name="Calcul 2 6 16 2" xfId="932" xr:uid="{00000000-0005-0000-0000-00001B030000}"/>
    <cellStyle name="Calcul 2 6 17" xfId="933" xr:uid="{00000000-0005-0000-0000-00001C030000}"/>
    <cellStyle name="Calcul 2 6 17 2" xfId="934" xr:uid="{00000000-0005-0000-0000-00001D030000}"/>
    <cellStyle name="Calcul 2 6 18" xfId="935" xr:uid="{00000000-0005-0000-0000-00001E030000}"/>
    <cellStyle name="Calcul 2 6 18 2" xfId="936" xr:uid="{00000000-0005-0000-0000-00001F030000}"/>
    <cellStyle name="Calcul 2 6 19" xfId="937" xr:uid="{00000000-0005-0000-0000-000020030000}"/>
    <cellStyle name="Calcul 2 6 19 2" xfId="938" xr:uid="{00000000-0005-0000-0000-000021030000}"/>
    <cellStyle name="Calcul 2 6 2" xfId="939" xr:uid="{00000000-0005-0000-0000-000022030000}"/>
    <cellStyle name="Calcul 2 6 2 2" xfId="940" xr:uid="{00000000-0005-0000-0000-000023030000}"/>
    <cellStyle name="Calcul 2 6 20" xfId="941" xr:uid="{00000000-0005-0000-0000-000024030000}"/>
    <cellStyle name="Calcul 2 6 20 2" xfId="942" xr:uid="{00000000-0005-0000-0000-000025030000}"/>
    <cellStyle name="Calcul 2 6 21" xfId="943" xr:uid="{00000000-0005-0000-0000-000026030000}"/>
    <cellStyle name="Calcul 2 6 21 2" xfId="944" xr:uid="{00000000-0005-0000-0000-000027030000}"/>
    <cellStyle name="Calcul 2 6 22" xfId="945" xr:uid="{00000000-0005-0000-0000-000028030000}"/>
    <cellStyle name="Calcul 2 6 22 2" xfId="946" xr:uid="{00000000-0005-0000-0000-000029030000}"/>
    <cellStyle name="Calcul 2 6 23" xfId="947" xr:uid="{00000000-0005-0000-0000-00002A030000}"/>
    <cellStyle name="Calcul 2 6 23 2" xfId="948" xr:uid="{00000000-0005-0000-0000-00002B030000}"/>
    <cellStyle name="Calcul 2 6 24" xfId="949" xr:uid="{00000000-0005-0000-0000-00002C030000}"/>
    <cellStyle name="Calcul 2 6 24 2" xfId="950" xr:uid="{00000000-0005-0000-0000-00002D030000}"/>
    <cellStyle name="Calcul 2 6 25" xfId="951" xr:uid="{00000000-0005-0000-0000-00002E030000}"/>
    <cellStyle name="Calcul 2 6 25 2" xfId="952" xr:uid="{00000000-0005-0000-0000-00002F030000}"/>
    <cellStyle name="Calcul 2 6 26" xfId="953" xr:uid="{00000000-0005-0000-0000-000030030000}"/>
    <cellStyle name="Calcul 2 6 26 2" xfId="954" xr:uid="{00000000-0005-0000-0000-000031030000}"/>
    <cellStyle name="Calcul 2 6 27" xfId="955" xr:uid="{00000000-0005-0000-0000-000032030000}"/>
    <cellStyle name="Calcul 2 6 27 2" xfId="956" xr:uid="{00000000-0005-0000-0000-000033030000}"/>
    <cellStyle name="Calcul 2 6 28" xfId="957" xr:uid="{00000000-0005-0000-0000-000034030000}"/>
    <cellStyle name="Calcul 2 6 3" xfId="958" xr:uid="{00000000-0005-0000-0000-000035030000}"/>
    <cellStyle name="Calcul 2 6 3 2" xfId="959" xr:uid="{00000000-0005-0000-0000-000036030000}"/>
    <cellStyle name="Calcul 2 6 4" xfId="960" xr:uid="{00000000-0005-0000-0000-000037030000}"/>
    <cellStyle name="Calcul 2 6 4 2" xfId="961" xr:uid="{00000000-0005-0000-0000-000038030000}"/>
    <cellStyle name="Calcul 2 6 5" xfId="962" xr:uid="{00000000-0005-0000-0000-000039030000}"/>
    <cellStyle name="Calcul 2 6 5 2" xfId="963" xr:uid="{00000000-0005-0000-0000-00003A030000}"/>
    <cellStyle name="Calcul 2 6 6" xfId="964" xr:uid="{00000000-0005-0000-0000-00003B030000}"/>
    <cellStyle name="Calcul 2 6 6 2" xfId="965" xr:uid="{00000000-0005-0000-0000-00003C030000}"/>
    <cellStyle name="Calcul 2 6 7" xfId="966" xr:uid="{00000000-0005-0000-0000-00003D030000}"/>
    <cellStyle name="Calcul 2 6 7 2" xfId="967" xr:uid="{00000000-0005-0000-0000-00003E030000}"/>
    <cellStyle name="Calcul 2 6 8" xfId="968" xr:uid="{00000000-0005-0000-0000-00003F030000}"/>
    <cellStyle name="Calcul 2 6 8 2" xfId="969" xr:uid="{00000000-0005-0000-0000-000040030000}"/>
    <cellStyle name="Calcul 2 6 9" xfId="970" xr:uid="{00000000-0005-0000-0000-000041030000}"/>
    <cellStyle name="Calcul 2 6 9 2" xfId="971" xr:uid="{00000000-0005-0000-0000-000042030000}"/>
    <cellStyle name="Calcul 2 7" xfId="972" xr:uid="{00000000-0005-0000-0000-000043030000}"/>
    <cellStyle name="Calcul 2 7 2" xfId="973" xr:uid="{00000000-0005-0000-0000-000044030000}"/>
    <cellStyle name="Calcul 2 8" xfId="974" xr:uid="{00000000-0005-0000-0000-000045030000}"/>
    <cellStyle name="Calcul 2 8 2" xfId="975" xr:uid="{00000000-0005-0000-0000-000046030000}"/>
    <cellStyle name="Calcul 2 9" xfId="976" xr:uid="{00000000-0005-0000-0000-000047030000}"/>
    <cellStyle name="Calcul 2 9 2" xfId="977" xr:uid="{00000000-0005-0000-0000-000048030000}"/>
    <cellStyle name="Calcul 3" xfId="22" xr:uid="{00000000-0005-0000-0000-000049030000}"/>
    <cellStyle name="Calcul 3 2" xfId="23" xr:uid="{00000000-0005-0000-0000-00004A030000}"/>
    <cellStyle name="Calcul 3 2 2" xfId="101" xr:uid="{00000000-0005-0000-0000-00004B030000}"/>
    <cellStyle name="Calcul 3 2 3" xfId="115" xr:uid="{00000000-0005-0000-0000-00004C030000}"/>
    <cellStyle name="Calcul 3 2 4" xfId="3582" xr:uid="{6717CA92-BE40-461A-9DEF-4457E4AA166D}"/>
    <cellStyle name="Calcul 3 3" xfId="24" xr:uid="{00000000-0005-0000-0000-00004D030000}"/>
    <cellStyle name="Calcul 3 3 2" xfId="75" xr:uid="{00000000-0005-0000-0000-00004E030000}"/>
    <cellStyle name="Calcul 3 3 3" xfId="116" xr:uid="{00000000-0005-0000-0000-00004F030000}"/>
    <cellStyle name="Calcul 3 3 4" xfId="3592" xr:uid="{0E5403CE-33AF-4031-B084-94B3574AD4E7}"/>
    <cellStyle name="Calcul 3 4" xfId="25" xr:uid="{00000000-0005-0000-0000-000050030000}"/>
    <cellStyle name="Calcul 3 4 2" xfId="97" xr:uid="{00000000-0005-0000-0000-000051030000}"/>
    <cellStyle name="Calcul 3 4 3" xfId="117" xr:uid="{00000000-0005-0000-0000-000052030000}"/>
    <cellStyle name="Calcul 3 4 4" xfId="3601" xr:uid="{6EB0A8B6-D0F8-4437-BB9F-8F5F90BEA7F8}"/>
    <cellStyle name="Calcul 3 5" xfId="99" xr:uid="{00000000-0005-0000-0000-000053030000}"/>
    <cellStyle name="Calcul 3 5 2" xfId="3647" xr:uid="{A91583C6-F012-4E8D-9EC1-E0059E127B7D}"/>
    <cellStyle name="Calcul 3 6" xfId="114" xr:uid="{00000000-0005-0000-0000-000054030000}"/>
    <cellStyle name="Calcul 3 7" xfId="3567" xr:uid="{E28D27BA-CFA5-473F-85D2-903AEB988613}"/>
    <cellStyle name="Calcul 4" xfId="26" xr:uid="{00000000-0005-0000-0000-000055030000}"/>
    <cellStyle name="Calcul 4 2" xfId="102" xr:uid="{00000000-0005-0000-0000-000056030000}"/>
    <cellStyle name="Calcul 4 3" xfId="118" xr:uid="{00000000-0005-0000-0000-000057030000}"/>
    <cellStyle name="Calcul 4 4" xfId="3572" xr:uid="{CF43EB54-87ED-47A0-AED7-25A00CEC12AA}"/>
    <cellStyle name="Calcul 5" xfId="3545" xr:uid="{B4257485-77CB-4EA4-A63F-A89F6A3C5747}"/>
    <cellStyle name="Calculation 2" xfId="3648" xr:uid="{D761E6B9-5637-4368-BBB5-ADB16D714A1B}"/>
    <cellStyle name="Cellule liée 2" xfId="978" xr:uid="{00000000-0005-0000-0000-000058030000}"/>
    <cellStyle name="Cellule liée 3" xfId="3649" xr:uid="{73B6DDF5-C27B-4373-80DC-CC0EA26535B6}"/>
    <cellStyle name="Cellule liée 4" xfId="3546" xr:uid="{6A787157-EB42-4188-9CEE-2E6E77CACCC2}"/>
    <cellStyle name="Check Cell 2" xfId="3650" xr:uid="{2CE80BF0-E48E-42CA-8B2A-D0DD4870B807}"/>
    <cellStyle name="Commentaire 10" xfId="979" xr:uid="{00000000-0005-0000-0000-000059030000}"/>
    <cellStyle name="Commentaire 10 2" xfId="980" xr:uid="{00000000-0005-0000-0000-00005A030000}"/>
    <cellStyle name="Commentaire 11" xfId="981" xr:uid="{00000000-0005-0000-0000-00005B030000}"/>
    <cellStyle name="Commentaire 2" xfId="27" xr:uid="{00000000-0005-0000-0000-00005C030000}"/>
    <cellStyle name="Commentaire 2 10" xfId="982" xr:uid="{00000000-0005-0000-0000-00005D030000}"/>
    <cellStyle name="Commentaire 2 10 2" xfId="983" xr:uid="{00000000-0005-0000-0000-00005E030000}"/>
    <cellStyle name="Commentaire 2 10 2 2" xfId="984" xr:uid="{00000000-0005-0000-0000-00005F030000}"/>
    <cellStyle name="Commentaire 2 10 3" xfId="985" xr:uid="{00000000-0005-0000-0000-000060030000}"/>
    <cellStyle name="Commentaire 2 11" xfId="986" xr:uid="{00000000-0005-0000-0000-000061030000}"/>
    <cellStyle name="Commentaire 2 11 2" xfId="987" xr:uid="{00000000-0005-0000-0000-000062030000}"/>
    <cellStyle name="Commentaire 2 11 2 2" xfId="988" xr:uid="{00000000-0005-0000-0000-000063030000}"/>
    <cellStyle name="Commentaire 2 11 3" xfId="989" xr:uid="{00000000-0005-0000-0000-000064030000}"/>
    <cellStyle name="Commentaire 2 12" xfId="990" xr:uid="{00000000-0005-0000-0000-000065030000}"/>
    <cellStyle name="Commentaire 2 12 2" xfId="991" xr:uid="{00000000-0005-0000-0000-000066030000}"/>
    <cellStyle name="Commentaire 2 12 2 2" xfId="992" xr:uid="{00000000-0005-0000-0000-000067030000}"/>
    <cellStyle name="Commentaire 2 12 3" xfId="993" xr:uid="{00000000-0005-0000-0000-000068030000}"/>
    <cellStyle name="Commentaire 2 13" xfId="994" xr:uid="{00000000-0005-0000-0000-000069030000}"/>
    <cellStyle name="Commentaire 2 13 2" xfId="995" xr:uid="{00000000-0005-0000-0000-00006A030000}"/>
    <cellStyle name="Commentaire 2 13 2 2" xfId="996" xr:uid="{00000000-0005-0000-0000-00006B030000}"/>
    <cellStyle name="Commentaire 2 13 3" xfId="997" xr:uid="{00000000-0005-0000-0000-00006C030000}"/>
    <cellStyle name="Commentaire 2 14" xfId="998" xr:uid="{00000000-0005-0000-0000-00006D030000}"/>
    <cellStyle name="Commentaire 2 15" xfId="3566" xr:uid="{0026D311-3EF2-4F9E-B56E-7A2EF181DBE7}"/>
    <cellStyle name="Commentaire 2 2" xfId="28" xr:uid="{00000000-0005-0000-0000-00006E030000}"/>
    <cellStyle name="Commentaire 2 2 10" xfId="999" xr:uid="{00000000-0005-0000-0000-00006F030000}"/>
    <cellStyle name="Commentaire 2 2 10 2" xfId="1000" xr:uid="{00000000-0005-0000-0000-000070030000}"/>
    <cellStyle name="Commentaire 2 2 10 2 2" xfId="1001" xr:uid="{00000000-0005-0000-0000-000071030000}"/>
    <cellStyle name="Commentaire 2 2 10 3" xfId="1002" xr:uid="{00000000-0005-0000-0000-000072030000}"/>
    <cellStyle name="Commentaire 2 2 11" xfId="1003" xr:uid="{00000000-0005-0000-0000-000073030000}"/>
    <cellStyle name="Commentaire 2 2 11 2" xfId="1004" xr:uid="{00000000-0005-0000-0000-000074030000}"/>
    <cellStyle name="Commentaire 2 2 11 2 2" xfId="1005" xr:uid="{00000000-0005-0000-0000-000075030000}"/>
    <cellStyle name="Commentaire 2 2 11 3" xfId="1006" xr:uid="{00000000-0005-0000-0000-000076030000}"/>
    <cellStyle name="Commentaire 2 2 12" xfId="1007" xr:uid="{00000000-0005-0000-0000-000077030000}"/>
    <cellStyle name="Commentaire 2 2 12 2" xfId="1008" xr:uid="{00000000-0005-0000-0000-000078030000}"/>
    <cellStyle name="Commentaire 2 2 12 2 2" xfId="1009" xr:uid="{00000000-0005-0000-0000-000079030000}"/>
    <cellStyle name="Commentaire 2 2 12 3" xfId="1010" xr:uid="{00000000-0005-0000-0000-00007A030000}"/>
    <cellStyle name="Commentaire 2 2 13" xfId="1011" xr:uid="{00000000-0005-0000-0000-00007B030000}"/>
    <cellStyle name="Commentaire 2 2 14" xfId="3581" xr:uid="{41A53C06-166B-4790-B070-8EBA8A649B63}"/>
    <cellStyle name="Commentaire 2 2 2" xfId="77" xr:uid="{00000000-0005-0000-0000-00007C030000}"/>
    <cellStyle name="Commentaire 2 2 2 10" xfId="1012" xr:uid="{00000000-0005-0000-0000-00007D030000}"/>
    <cellStyle name="Commentaire 2 2 2 10 2" xfId="1013" xr:uid="{00000000-0005-0000-0000-00007E030000}"/>
    <cellStyle name="Commentaire 2 2 2 10 2 2" xfId="1014" xr:uid="{00000000-0005-0000-0000-00007F030000}"/>
    <cellStyle name="Commentaire 2 2 2 10 3" xfId="1015" xr:uid="{00000000-0005-0000-0000-000080030000}"/>
    <cellStyle name="Commentaire 2 2 2 11" xfId="1016" xr:uid="{00000000-0005-0000-0000-000081030000}"/>
    <cellStyle name="Commentaire 2 2 2 11 2" xfId="1017" xr:uid="{00000000-0005-0000-0000-000082030000}"/>
    <cellStyle name="Commentaire 2 2 2 11 2 2" xfId="1018" xr:uid="{00000000-0005-0000-0000-000083030000}"/>
    <cellStyle name="Commentaire 2 2 2 11 3" xfId="1019" xr:uid="{00000000-0005-0000-0000-000084030000}"/>
    <cellStyle name="Commentaire 2 2 2 12" xfId="1020" xr:uid="{00000000-0005-0000-0000-000085030000}"/>
    <cellStyle name="Commentaire 2 2 2 12 2" xfId="1021" xr:uid="{00000000-0005-0000-0000-000086030000}"/>
    <cellStyle name="Commentaire 2 2 2 12 2 2" xfId="1022" xr:uid="{00000000-0005-0000-0000-000087030000}"/>
    <cellStyle name="Commentaire 2 2 2 12 3" xfId="1023" xr:uid="{00000000-0005-0000-0000-000088030000}"/>
    <cellStyle name="Commentaire 2 2 2 13" xfId="1024" xr:uid="{00000000-0005-0000-0000-000089030000}"/>
    <cellStyle name="Commentaire 2 2 2 13 2" xfId="1025" xr:uid="{00000000-0005-0000-0000-00008A030000}"/>
    <cellStyle name="Commentaire 2 2 2 13 2 2" xfId="1026" xr:uid="{00000000-0005-0000-0000-00008B030000}"/>
    <cellStyle name="Commentaire 2 2 2 13 3" xfId="1027" xr:uid="{00000000-0005-0000-0000-00008C030000}"/>
    <cellStyle name="Commentaire 2 2 2 14" xfId="1028" xr:uid="{00000000-0005-0000-0000-00008D030000}"/>
    <cellStyle name="Commentaire 2 2 2 14 2" xfId="1029" xr:uid="{00000000-0005-0000-0000-00008E030000}"/>
    <cellStyle name="Commentaire 2 2 2 14 2 2" xfId="1030" xr:uid="{00000000-0005-0000-0000-00008F030000}"/>
    <cellStyle name="Commentaire 2 2 2 14 3" xfId="1031" xr:uid="{00000000-0005-0000-0000-000090030000}"/>
    <cellStyle name="Commentaire 2 2 2 15" xfId="1032" xr:uid="{00000000-0005-0000-0000-000091030000}"/>
    <cellStyle name="Commentaire 2 2 2 15 2" xfId="1033" xr:uid="{00000000-0005-0000-0000-000092030000}"/>
    <cellStyle name="Commentaire 2 2 2 15 2 2" xfId="1034" xr:uid="{00000000-0005-0000-0000-000093030000}"/>
    <cellStyle name="Commentaire 2 2 2 15 3" xfId="1035" xr:uid="{00000000-0005-0000-0000-000094030000}"/>
    <cellStyle name="Commentaire 2 2 2 16" xfId="1036" xr:uid="{00000000-0005-0000-0000-000095030000}"/>
    <cellStyle name="Commentaire 2 2 2 16 2" xfId="1037" xr:uid="{00000000-0005-0000-0000-000096030000}"/>
    <cellStyle name="Commentaire 2 2 2 16 2 2" xfId="1038" xr:uid="{00000000-0005-0000-0000-000097030000}"/>
    <cellStyle name="Commentaire 2 2 2 16 3" xfId="1039" xr:uid="{00000000-0005-0000-0000-000098030000}"/>
    <cellStyle name="Commentaire 2 2 2 17" xfId="1040" xr:uid="{00000000-0005-0000-0000-000099030000}"/>
    <cellStyle name="Commentaire 2 2 2 17 2" xfId="1041" xr:uid="{00000000-0005-0000-0000-00009A030000}"/>
    <cellStyle name="Commentaire 2 2 2 17 2 2" xfId="1042" xr:uid="{00000000-0005-0000-0000-00009B030000}"/>
    <cellStyle name="Commentaire 2 2 2 17 3" xfId="1043" xr:uid="{00000000-0005-0000-0000-00009C030000}"/>
    <cellStyle name="Commentaire 2 2 2 18" xfId="1044" xr:uid="{00000000-0005-0000-0000-00009D030000}"/>
    <cellStyle name="Commentaire 2 2 2 18 2" xfId="1045" xr:uid="{00000000-0005-0000-0000-00009E030000}"/>
    <cellStyle name="Commentaire 2 2 2 18 2 2" xfId="1046" xr:uid="{00000000-0005-0000-0000-00009F030000}"/>
    <cellStyle name="Commentaire 2 2 2 18 3" xfId="1047" xr:uid="{00000000-0005-0000-0000-0000A0030000}"/>
    <cellStyle name="Commentaire 2 2 2 19" xfId="1048" xr:uid="{00000000-0005-0000-0000-0000A1030000}"/>
    <cellStyle name="Commentaire 2 2 2 19 2" xfId="1049" xr:uid="{00000000-0005-0000-0000-0000A2030000}"/>
    <cellStyle name="Commentaire 2 2 2 19 2 2" xfId="1050" xr:uid="{00000000-0005-0000-0000-0000A3030000}"/>
    <cellStyle name="Commentaire 2 2 2 19 3" xfId="1051" xr:uid="{00000000-0005-0000-0000-0000A4030000}"/>
    <cellStyle name="Commentaire 2 2 2 2" xfId="1052" xr:uid="{00000000-0005-0000-0000-0000A5030000}"/>
    <cellStyle name="Commentaire 2 2 2 2 2" xfId="1053" xr:uid="{00000000-0005-0000-0000-0000A6030000}"/>
    <cellStyle name="Commentaire 2 2 2 2 2 2" xfId="1054" xr:uid="{00000000-0005-0000-0000-0000A7030000}"/>
    <cellStyle name="Commentaire 2 2 2 2 3" xfId="1055" xr:uid="{00000000-0005-0000-0000-0000A8030000}"/>
    <cellStyle name="Commentaire 2 2 2 20" xfId="1056" xr:uid="{00000000-0005-0000-0000-0000A9030000}"/>
    <cellStyle name="Commentaire 2 2 2 20 2" xfId="1057" xr:uid="{00000000-0005-0000-0000-0000AA030000}"/>
    <cellStyle name="Commentaire 2 2 2 20 2 2" xfId="1058" xr:uid="{00000000-0005-0000-0000-0000AB030000}"/>
    <cellStyle name="Commentaire 2 2 2 20 3" xfId="1059" xr:uid="{00000000-0005-0000-0000-0000AC030000}"/>
    <cellStyle name="Commentaire 2 2 2 21" xfId="1060" xr:uid="{00000000-0005-0000-0000-0000AD030000}"/>
    <cellStyle name="Commentaire 2 2 2 21 2" xfId="1061" xr:uid="{00000000-0005-0000-0000-0000AE030000}"/>
    <cellStyle name="Commentaire 2 2 2 21 2 2" xfId="1062" xr:uid="{00000000-0005-0000-0000-0000AF030000}"/>
    <cellStyle name="Commentaire 2 2 2 21 3" xfId="1063" xr:uid="{00000000-0005-0000-0000-0000B0030000}"/>
    <cellStyle name="Commentaire 2 2 2 22" xfId="1064" xr:uid="{00000000-0005-0000-0000-0000B1030000}"/>
    <cellStyle name="Commentaire 2 2 2 22 2" xfId="1065" xr:uid="{00000000-0005-0000-0000-0000B2030000}"/>
    <cellStyle name="Commentaire 2 2 2 22 2 2" xfId="1066" xr:uid="{00000000-0005-0000-0000-0000B3030000}"/>
    <cellStyle name="Commentaire 2 2 2 22 3" xfId="1067" xr:uid="{00000000-0005-0000-0000-0000B4030000}"/>
    <cellStyle name="Commentaire 2 2 2 23" xfId="1068" xr:uid="{00000000-0005-0000-0000-0000B5030000}"/>
    <cellStyle name="Commentaire 2 2 2 23 2" xfId="1069" xr:uid="{00000000-0005-0000-0000-0000B6030000}"/>
    <cellStyle name="Commentaire 2 2 2 23 2 2" xfId="1070" xr:uid="{00000000-0005-0000-0000-0000B7030000}"/>
    <cellStyle name="Commentaire 2 2 2 23 3" xfId="1071" xr:uid="{00000000-0005-0000-0000-0000B8030000}"/>
    <cellStyle name="Commentaire 2 2 2 24" xfId="1072" xr:uid="{00000000-0005-0000-0000-0000B9030000}"/>
    <cellStyle name="Commentaire 2 2 2 24 2" xfId="1073" xr:uid="{00000000-0005-0000-0000-0000BA030000}"/>
    <cellStyle name="Commentaire 2 2 2 24 2 2" xfId="1074" xr:uid="{00000000-0005-0000-0000-0000BB030000}"/>
    <cellStyle name="Commentaire 2 2 2 24 3" xfId="1075" xr:uid="{00000000-0005-0000-0000-0000BC030000}"/>
    <cellStyle name="Commentaire 2 2 2 25" xfId="1076" xr:uid="{00000000-0005-0000-0000-0000BD030000}"/>
    <cellStyle name="Commentaire 2 2 2 25 2" xfId="1077" xr:uid="{00000000-0005-0000-0000-0000BE030000}"/>
    <cellStyle name="Commentaire 2 2 2 25 2 2" xfId="1078" xr:uid="{00000000-0005-0000-0000-0000BF030000}"/>
    <cellStyle name="Commentaire 2 2 2 25 3" xfId="1079" xr:uid="{00000000-0005-0000-0000-0000C0030000}"/>
    <cellStyle name="Commentaire 2 2 2 26" xfId="1080" xr:uid="{00000000-0005-0000-0000-0000C1030000}"/>
    <cellStyle name="Commentaire 2 2 2 26 2" xfId="1081" xr:uid="{00000000-0005-0000-0000-0000C2030000}"/>
    <cellStyle name="Commentaire 2 2 2 26 2 2" xfId="1082" xr:uid="{00000000-0005-0000-0000-0000C3030000}"/>
    <cellStyle name="Commentaire 2 2 2 26 3" xfId="1083" xr:uid="{00000000-0005-0000-0000-0000C4030000}"/>
    <cellStyle name="Commentaire 2 2 2 27" xfId="1084" xr:uid="{00000000-0005-0000-0000-0000C5030000}"/>
    <cellStyle name="Commentaire 2 2 2 27 2" xfId="1085" xr:uid="{00000000-0005-0000-0000-0000C6030000}"/>
    <cellStyle name="Commentaire 2 2 2 27 2 2" xfId="1086" xr:uid="{00000000-0005-0000-0000-0000C7030000}"/>
    <cellStyle name="Commentaire 2 2 2 27 3" xfId="1087" xr:uid="{00000000-0005-0000-0000-0000C8030000}"/>
    <cellStyle name="Commentaire 2 2 2 28" xfId="1088" xr:uid="{00000000-0005-0000-0000-0000C9030000}"/>
    <cellStyle name="Commentaire 2 2 2 28 2" xfId="1089" xr:uid="{00000000-0005-0000-0000-0000CA030000}"/>
    <cellStyle name="Commentaire 2 2 2 28 2 2" xfId="1090" xr:uid="{00000000-0005-0000-0000-0000CB030000}"/>
    <cellStyle name="Commentaire 2 2 2 28 3" xfId="1091" xr:uid="{00000000-0005-0000-0000-0000CC030000}"/>
    <cellStyle name="Commentaire 2 2 2 29" xfId="1092" xr:uid="{00000000-0005-0000-0000-0000CD030000}"/>
    <cellStyle name="Commentaire 2 2 2 29 2" xfId="1093" xr:uid="{00000000-0005-0000-0000-0000CE030000}"/>
    <cellStyle name="Commentaire 2 2 2 3" xfId="1094" xr:uid="{00000000-0005-0000-0000-0000CF030000}"/>
    <cellStyle name="Commentaire 2 2 2 3 2" xfId="1095" xr:uid="{00000000-0005-0000-0000-0000D0030000}"/>
    <cellStyle name="Commentaire 2 2 2 3 2 2" xfId="1096" xr:uid="{00000000-0005-0000-0000-0000D1030000}"/>
    <cellStyle name="Commentaire 2 2 2 3 3" xfId="1097" xr:uid="{00000000-0005-0000-0000-0000D2030000}"/>
    <cellStyle name="Commentaire 2 2 2 30" xfId="1098" xr:uid="{00000000-0005-0000-0000-0000D3030000}"/>
    <cellStyle name="Commentaire 2 2 2 31" xfId="3735" xr:uid="{7B06525D-81FC-46FB-803D-C103486B03B3}"/>
    <cellStyle name="Commentaire 2 2 2 4" xfId="1099" xr:uid="{00000000-0005-0000-0000-0000D4030000}"/>
    <cellStyle name="Commentaire 2 2 2 4 2" xfId="1100" xr:uid="{00000000-0005-0000-0000-0000D5030000}"/>
    <cellStyle name="Commentaire 2 2 2 4 2 2" xfId="1101" xr:uid="{00000000-0005-0000-0000-0000D6030000}"/>
    <cellStyle name="Commentaire 2 2 2 4 3" xfId="1102" xr:uid="{00000000-0005-0000-0000-0000D7030000}"/>
    <cellStyle name="Commentaire 2 2 2 5" xfId="1103" xr:uid="{00000000-0005-0000-0000-0000D8030000}"/>
    <cellStyle name="Commentaire 2 2 2 5 2" xfId="1104" xr:uid="{00000000-0005-0000-0000-0000D9030000}"/>
    <cellStyle name="Commentaire 2 2 2 5 2 2" xfId="1105" xr:uid="{00000000-0005-0000-0000-0000DA030000}"/>
    <cellStyle name="Commentaire 2 2 2 5 3" xfId="1106" xr:uid="{00000000-0005-0000-0000-0000DB030000}"/>
    <cellStyle name="Commentaire 2 2 2 6" xfId="1107" xr:uid="{00000000-0005-0000-0000-0000DC030000}"/>
    <cellStyle name="Commentaire 2 2 2 6 2" xfId="1108" xr:uid="{00000000-0005-0000-0000-0000DD030000}"/>
    <cellStyle name="Commentaire 2 2 2 6 2 2" xfId="1109" xr:uid="{00000000-0005-0000-0000-0000DE030000}"/>
    <cellStyle name="Commentaire 2 2 2 6 3" xfId="1110" xr:uid="{00000000-0005-0000-0000-0000DF030000}"/>
    <cellStyle name="Commentaire 2 2 2 7" xfId="1111" xr:uid="{00000000-0005-0000-0000-0000E0030000}"/>
    <cellStyle name="Commentaire 2 2 2 7 2" xfId="1112" xr:uid="{00000000-0005-0000-0000-0000E1030000}"/>
    <cellStyle name="Commentaire 2 2 2 7 2 2" xfId="1113" xr:uid="{00000000-0005-0000-0000-0000E2030000}"/>
    <cellStyle name="Commentaire 2 2 2 7 3" xfId="1114" xr:uid="{00000000-0005-0000-0000-0000E3030000}"/>
    <cellStyle name="Commentaire 2 2 2 8" xfId="1115" xr:uid="{00000000-0005-0000-0000-0000E4030000}"/>
    <cellStyle name="Commentaire 2 2 2 8 2" xfId="1116" xr:uid="{00000000-0005-0000-0000-0000E5030000}"/>
    <cellStyle name="Commentaire 2 2 2 8 2 2" xfId="1117" xr:uid="{00000000-0005-0000-0000-0000E6030000}"/>
    <cellStyle name="Commentaire 2 2 2 8 3" xfId="1118" xr:uid="{00000000-0005-0000-0000-0000E7030000}"/>
    <cellStyle name="Commentaire 2 2 2 9" xfId="1119" xr:uid="{00000000-0005-0000-0000-0000E8030000}"/>
    <cellStyle name="Commentaire 2 2 2 9 2" xfId="1120" xr:uid="{00000000-0005-0000-0000-0000E9030000}"/>
    <cellStyle name="Commentaire 2 2 2 9 2 2" xfId="1121" xr:uid="{00000000-0005-0000-0000-0000EA030000}"/>
    <cellStyle name="Commentaire 2 2 2 9 3" xfId="1122" xr:uid="{00000000-0005-0000-0000-0000EB030000}"/>
    <cellStyle name="Commentaire 2 2 3" xfId="120" xr:uid="{00000000-0005-0000-0000-0000EC030000}"/>
    <cellStyle name="Commentaire 2 2 3 10" xfId="1123" xr:uid="{00000000-0005-0000-0000-0000ED030000}"/>
    <cellStyle name="Commentaire 2 2 3 10 2" xfId="1124" xr:uid="{00000000-0005-0000-0000-0000EE030000}"/>
    <cellStyle name="Commentaire 2 2 3 10 2 2" xfId="1125" xr:uid="{00000000-0005-0000-0000-0000EF030000}"/>
    <cellStyle name="Commentaire 2 2 3 10 3" xfId="1126" xr:uid="{00000000-0005-0000-0000-0000F0030000}"/>
    <cellStyle name="Commentaire 2 2 3 11" xfId="1127" xr:uid="{00000000-0005-0000-0000-0000F1030000}"/>
    <cellStyle name="Commentaire 2 2 3 11 2" xfId="1128" xr:uid="{00000000-0005-0000-0000-0000F2030000}"/>
    <cellStyle name="Commentaire 2 2 3 11 2 2" xfId="1129" xr:uid="{00000000-0005-0000-0000-0000F3030000}"/>
    <cellStyle name="Commentaire 2 2 3 11 3" xfId="1130" xr:uid="{00000000-0005-0000-0000-0000F4030000}"/>
    <cellStyle name="Commentaire 2 2 3 12" xfId="1131" xr:uid="{00000000-0005-0000-0000-0000F5030000}"/>
    <cellStyle name="Commentaire 2 2 3 12 2" xfId="1132" xr:uid="{00000000-0005-0000-0000-0000F6030000}"/>
    <cellStyle name="Commentaire 2 2 3 12 2 2" xfId="1133" xr:uid="{00000000-0005-0000-0000-0000F7030000}"/>
    <cellStyle name="Commentaire 2 2 3 12 3" xfId="1134" xr:uid="{00000000-0005-0000-0000-0000F8030000}"/>
    <cellStyle name="Commentaire 2 2 3 13" xfId="1135" xr:uid="{00000000-0005-0000-0000-0000F9030000}"/>
    <cellStyle name="Commentaire 2 2 3 13 2" xfId="1136" xr:uid="{00000000-0005-0000-0000-0000FA030000}"/>
    <cellStyle name="Commentaire 2 2 3 13 2 2" xfId="1137" xr:uid="{00000000-0005-0000-0000-0000FB030000}"/>
    <cellStyle name="Commentaire 2 2 3 13 3" xfId="1138" xr:uid="{00000000-0005-0000-0000-0000FC030000}"/>
    <cellStyle name="Commentaire 2 2 3 14" xfId="1139" xr:uid="{00000000-0005-0000-0000-0000FD030000}"/>
    <cellStyle name="Commentaire 2 2 3 14 2" xfId="1140" xr:uid="{00000000-0005-0000-0000-0000FE030000}"/>
    <cellStyle name="Commentaire 2 2 3 14 2 2" xfId="1141" xr:uid="{00000000-0005-0000-0000-0000FF030000}"/>
    <cellStyle name="Commentaire 2 2 3 14 3" xfId="1142" xr:uid="{00000000-0005-0000-0000-000000040000}"/>
    <cellStyle name="Commentaire 2 2 3 15" xfId="1143" xr:uid="{00000000-0005-0000-0000-000001040000}"/>
    <cellStyle name="Commentaire 2 2 3 15 2" xfId="1144" xr:uid="{00000000-0005-0000-0000-000002040000}"/>
    <cellStyle name="Commentaire 2 2 3 15 2 2" xfId="1145" xr:uid="{00000000-0005-0000-0000-000003040000}"/>
    <cellStyle name="Commentaire 2 2 3 15 3" xfId="1146" xr:uid="{00000000-0005-0000-0000-000004040000}"/>
    <cellStyle name="Commentaire 2 2 3 16" xfId="1147" xr:uid="{00000000-0005-0000-0000-000005040000}"/>
    <cellStyle name="Commentaire 2 2 3 16 2" xfId="1148" xr:uid="{00000000-0005-0000-0000-000006040000}"/>
    <cellStyle name="Commentaire 2 2 3 16 2 2" xfId="1149" xr:uid="{00000000-0005-0000-0000-000007040000}"/>
    <cellStyle name="Commentaire 2 2 3 16 3" xfId="1150" xr:uid="{00000000-0005-0000-0000-000008040000}"/>
    <cellStyle name="Commentaire 2 2 3 17" xfId="1151" xr:uid="{00000000-0005-0000-0000-000009040000}"/>
    <cellStyle name="Commentaire 2 2 3 17 2" xfId="1152" xr:uid="{00000000-0005-0000-0000-00000A040000}"/>
    <cellStyle name="Commentaire 2 2 3 17 2 2" xfId="1153" xr:uid="{00000000-0005-0000-0000-00000B040000}"/>
    <cellStyle name="Commentaire 2 2 3 17 3" xfId="1154" xr:uid="{00000000-0005-0000-0000-00000C040000}"/>
    <cellStyle name="Commentaire 2 2 3 18" xfId="1155" xr:uid="{00000000-0005-0000-0000-00000D040000}"/>
    <cellStyle name="Commentaire 2 2 3 18 2" xfId="1156" xr:uid="{00000000-0005-0000-0000-00000E040000}"/>
    <cellStyle name="Commentaire 2 2 3 18 2 2" xfId="1157" xr:uid="{00000000-0005-0000-0000-00000F040000}"/>
    <cellStyle name="Commentaire 2 2 3 18 3" xfId="1158" xr:uid="{00000000-0005-0000-0000-000010040000}"/>
    <cellStyle name="Commentaire 2 2 3 19" xfId="1159" xr:uid="{00000000-0005-0000-0000-000011040000}"/>
    <cellStyle name="Commentaire 2 2 3 19 2" xfId="1160" xr:uid="{00000000-0005-0000-0000-000012040000}"/>
    <cellStyle name="Commentaire 2 2 3 19 2 2" xfId="1161" xr:uid="{00000000-0005-0000-0000-000013040000}"/>
    <cellStyle name="Commentaire 2 2 3 19 3" xfId="1162" xr:uid="{00000000-0005-0000-0000-000014040000}"/>
    <cellStyle name="Commentaire 2 2 3 2" xfId="1163" xr:uid="{00000000-0005-0000-0000-000015040000}"/>
    <cellStyle name="Commentaire 2 2 3 2 2" xfId="1164" xr:uid="{00000000-0005-0000-0000-000016040000}"/>
    <cellStyle name="Commentaire 2 2 3 2 2 2" xfId="1165" xr:uid="{00000000-0005-0000-0000-000017040000}"/>
    <cellStyle name="Commentaire 2 2 3 2 3" xfId="1166" xr:uid="{00000000-0005-0000-0000-000018040000}"/>
    <cellStyle name="Commentaire 2 2 3 20" xfId="1167" xr:uid="{00000000-0005-0000-0000-000019040000}"/>
    <cellStyle name="Commentaire 2 2 3 20 2" xfId="1168" xr:uid="{00000000-0005-0000-0000-00001A040000}"/>
    <cellStyle name="Commentaire 2 2 3 20 2 2" xfId="1169" xr:uid="{00000000-0005-0000-0000-00001B040000}"/>
    <cellStyle name="Commentaire 2 2 3 20 3" xfId="1170" xr:uid="{00000000-0005-0000-0000-00001C040000}"/>
    <cellStyle name="Commentaire 2 2 3 21" xfId="1171" xr:uid="{00000000-0005-0000-0000-00001D040000}"/>
    <cellStyle name="Commentaire 2 2 3 21 2" xfId="1172" xr:uid="{00000000-0005-0000-0000-00001E040000}"/>
    <cellStyle name="Commentaire 2 2 3 21 2 2" xfId="1173" xr:uid="{00000000-0005-0000-0000-00001F040000}"/>
    <cellStyle name="Commentaire 2 2 3 21 3" xfId="1174" xr:uid="{00000000-0005-0000-0000-000020040000}"/>
    <cellStyle name="Commentaire 2 2 3 22" xfId="1175" xr:uid="{00000000-0005-0000-0000-000021040000}"/>
    <cellStyle name="Commentaire 2 2 3 22 2" xfId="1176" xr:uid="{00000000-0005-0000-0000-000022040000}"/>
    <cellStyle name="Commentaire 2 2 3 22 2 2" xfId="1177" xr:uid="{00000000-0005-0000-0000-000023040000}"/>
    <cellStyle name="Commentaire 2 2 3 22 3" xfId="1178" xr:uid="{00000000-0005-0000-0000-000024040000}"/>
    <cellStyle name="Commentaire 2 2 3 23" xfId="1179" xr:uid="{00000000-0005-0000-0000-000025040000}"/>
    <cellStyle name="Commentaire 2 2 3 23 2" xfId="1180" xr:uid="{00000000-0005-0000-0000-000026040000}"/>
    <cellStyle name="Commentaire 2 2 3 23 2 2" xfId="1181" xr:uid="{00000000-0005-0000-0000-000027040000}"/>
    <cellStyle name="Commentaire 2 2 3 23 3" xfId="1182" xr:uid="{00000000-0005-0000-0000-000028040000}"/>
    <cellStyle name="Commentaire 2 2 3 24" xfId="1183" xr:uid="{00000000-0005-0000-0000-000029040000}"/>
    <cellStyle name="Commentaire 2 2 3 24 2" xfId="1184" xr:uid="{00000000-0005-0000-0000-00002A040000}"/>
    <cellStyle name="Commentaire 2 2 3 24 2 2" xfId="1185" xr:uid="{00000000-0005-0000-0000-00002B040000}"/>
    <cellStyle name="Commentaire 2 2 3 24 3" xfId="1186" xr:uid="{00000000-0005-0000-0000-00002C040000}"/>
    <cellStyle name="Commentaire 2 2 3 25" xfId="1187" xr:uid="{00000000-0005-0000-0000-00002D040000}"/>
    <cellStyle name="Commentaire 2 2 3 25 2" xfId="1188" xr:uid="{00000000-0005-0000-0000-00002E040000}"/>
    <cellStyle name="Commentaire 2 2 3 25 2 2" xfId="1189" xr:uid="{00000000-0005-0000-0000-00002F040000}"/>
    <cellStyle name="Commentaire 2 2 3 25 3" xfId="1190" xr:uid="{00000000-0005-0000-0000-000030040000}"/>
    <cellStyle name="Commentaire 2 2 3 26" xfId="1191" xr:uid="{00000000-0005-0000-0000-000031040000}"/>
    <cellStyle name="Commentaire 2 2 3 26 2" xfId="1192" xr:uid="{00000000-0005-0000-0000-000032040000}"/>
    <cellStyle name="Commentaire 2 2 3 26 2 2" xfId="1193" xr:uid="{00000000-0005-0000-0000-000033040000}"/>
    <cellStyle name="Commentaire 2 2 3 26 3" xfId="1194" xr:uid="{00000000-0005-0000-0000-000034040000}"/>
    <cellStyle name="Commentaire 2 2 3 27" xfId="1195" xr:uid="{00000000-0005-0000-0000-000035040000}"/>
    <cellStyle name="Commentaire 2 2 3 27 2" xfId="1196" xr:uid="{00000000-0005-0000-0000-000036040000}"/>
    <cellStyle name="Commentaire 2 2 3 27 2 2" xfId="1197" xr:uid="{00000000-0005-0000-0000-000037040000}"/>
    <cellStyle name="Commentaire 2 2 3 27 3" xfId="1198" xr:uid="{00000000-0005-0000-0000-000038040000}"/>
    <cellStyle name="Commentaire 2 2 3 28" xfId="1199" xr:uid="{00000000-0005-0000-0000-000039040000}"/>
    <cellStyle name="Commentaire 2 2 3 28 2" xfId="1200" xr:uid="{00000000-0005-0000-0000-00003A040000}"/>
    <cellStyle name="Commentaire 2 2 3 28 2 2" xfId="1201" xr:uid="{00000000-0005-0000-0000-00003B040000}"/>
    <cellStyle name="Commentaire 2 2 3 28 3" xfId="1202" xr:uid="{00000000-0005-0000-0000-00003C040000}"/>
    <cellStyle name="Commentaire 2 2 3 29" xfId="1203" xr:uid="{00000000-0005-0000-0000-00003D040000}"/>
    <cellStyle name="Commentaire 2 2 3 29 2" xfId="1204" xr:uid="{00000000-0005-0000-0000-00003E040000}"/>
    <cellStyle name="Commentaire 2 2 3 3" xfId="1205" xr:uid="{00000000-0005-0000-0000-00003F040000}"/>
    <cellStyle name="Commentaire 2 2 3 3 2" xfId="1206" xr:uid="{00000000-0005-0000-0000-000040040000}"/>
    <cellStyle name="Commentaire 2 2 3 3 2 2" xfId="1207" xr:uid="{00000000-0005-0000-0000-000041040000}"/>
    <cellStyle name="Commentaire 2 2 3 3 3" xfId="1208" xr:uid="{00000000-0005-0000-0000-000042040000}"/>
    <cellStyle name="Commentaire 2 2 3 30" xfId="1209" xr:uid="{00000000-0005-0000-0000-000043040000}"/>
    <cellStyle name="Commentaire 2 2 3 4" xfId="1210" xr:uid="{00000000-0005-0000-0000-000044040000}"/>
    <cellStyle name="Commentaire 2 2 3 4 2" xfId="1211" xr:uid="{00000000-0005-0000-0000-000045040000}"/>
    <cellStyle name="Commentaire 2 2 3 4 2 2" xfId="1212" xr:uid="{00000000-0005-0000-0000-000046040000}"/>
    <cellStyle name="Commentaire 2 2 3 4 3" xfId="1213" xr:uid="{00000000-0005-0000-0000-000047040000}"/>
    <cellStyle name="Commentaire 2 2 3 5" xfId="1214" xr:uid="{00000000-0005-0000-0000-000048040000}"/>
    <cellStyle name="Commentaire 2 2 3 5 2" xfId="1215" xr:uid="{00000000-0005-0000-0000-000049040000}"/>
    <cellStyle name="Commentaire 2 2 3 5 2 2" xfId="1216" xr:uid="{00000000-0005-0000-0000-00004A040000}"/>
    <cellStyle name="Commentaire 2 2 3 5 3" xfId="1217" xr:uid="{00000000-0005-0000-0000-00004B040000}"/>
    <cellStyle name="Commentaire 2 2 3 6" xfId="1218" xr:uid="{00000000-0005-0000-0000-00004C040000}"/>
    <cellStyle name="Commentaire 2 2 3 6 2" xfId="1219" xr:uid="{00000000-0005-0000-0000-00004D040000}"/>
    <cellStyle name="Commentaire 2 2 3 6 2 2" xfId="1220" xr:uid="{00000000-0005-0000-0000-00004E040000}"/>
    <cellStyle name="Commentaire 2 2 3 6 3" xfId="1221" xr:uid="{00000000-0005-0000-0000-00004F040000}"/>
    <cellStyle name="Commentaire 2 2 3 7" xfId="1222" xr:uid="{00000000-0005-0000-0000-000050040000}"/>
    <cellStyle name="Commentaire 2 2 3 7 2" xfId="1223" xr:uid="{00000000-0005-0000-0000-000051040000}"/>
    <cellStyle name="Commentaire 2 2 3 7 2 2" xfId="1224" xr:uid="{00000000-0005-0000-0000-000052040000}"/>
    <cellStyle name="Commentaire 2 2 3 7 3" xfId="1225" xr:uid="{00000000-0005-0000-0000-000053040000}"/>
    <cellStyle name="Commentaire 2 2 3 8" xfId="1226" xr:uid="{00000000-0005-0000-0000-000054040000}"/>
    <cellStyle name="Commentaire 2 2 3 8 2" xfId="1227" xr:uid="{00000000-0005-0000-0000-000055040000}"/>
    <cellStyle name="Commentaire 2 2 3 8 2 2" xfId="1228" xr:uid="{00000000-0005-0000-0000-000056040000}"/>
    <cellStyle name="Commentaire 2 2 3 8 3" xfId="1229" xr:uid="{00000000-0005-0000-0000-000057040000}"/>
    <cellStyle name="Commentaire 2 2 3 9" xfId="1230" xr:uid="{00000000-0005-0000-0000-000058040000}"/>
    <cellStyle name="Commentaire 2 2 3 9 2" xfId="1231" xr:uid="{00000000-0005-0000-0000-000059040000}"/>
    <cellStyle name="Commentaire 2 2 3 9 2 2" xfId="1232" xr:uid="{00000000-0005-0000-0000-00005A040000}"/>
    <cellStyle name="Commentaire 2 2 3 9 3" xfId="1233" xr:uid="{00000000-0005-0000-0000-00005B040000}"/>
    <cellStyle name="Commentaire 2 2 4" xfId="1234" xr:uid="{00000000-0005-0000-0000-00005C040000}"/>
    <cellStyle name="Commentaire 2 2 4 10" xfId="1235" xr:uid="{00000000-0005-0000-0000-00005D040000}"/>
    <cellStyle name="Commentaire 2 2 4 10 2" xfId="1236" xr:uid="{00000000-0005-0000-0000-00005E040000}"/>
    <cellStyle name="Commentaire 2 2 4 10 2 2" xfId="1237" xr:uid="{00000000-0005-0000-0000-00005F040000}"/>
    <cellStyle name="Commentaire 2 2 4 10 3" xfId="1238" xr:uid="{00000000-0005-0000-0000-000060040000}"/>
    <cellStyle name="Commentaire 2 2 4 11" xfId="1239" xr:uid="{00000000-0005-0000-0000-000061040000}"/>
    <cellStyle name="Commentaire 2 2 4 11 2" xfId="1240" xr:uid="{00000000-0005-0000-0000-000062040000}"/>
    <cellStyle name="Commentaire 2 2 4 11 2 2" xfId="1241" xr:uid="{00000000-0005-0000-0000-000063040000}"/>
    <cellStyle name="Commentaire 2 2 4 11 3" xfId="1242" xr:uid="{00000000-0005-0000-0000-000064040000}"/>
    <cellStyle name="Commentaire 2 2 4 12" xfId="1243" xr:uid="{00000000-0005-0000-0000-000065040000}"/>
    <cellStyle name="Commentaire 2 2 4 12 2" xfId="1244" xr:uid="{00000000-0005-0000-0000-000066040000}"/>
    <cellStyle name="Commentaire 2 2 4 12 2 2" xfId="1245" xr:uid="{00000000-0005-0000-0000-000067040000}"/>
    <cellStyle name="Commentaire 2 2 4 12 3" xfId="1246" xr:uid="{00000000-0005-0000-0000-000068040000}"/>
    <cellStyle name="Commentaire 2 2 4 13" xfId="1247" xr:uid="{00000000-0005-0000-0000-000069040000}"/>
    <cellStyle name="Commentaire 2 2 4 13 2" xfId="1248" xr:uid="{00000000-0005-0000-0000-00006A040000}"/>
    <cellStyle name="Commentaire 2 2 4 13 2 2" xfId="1249" xr:uid="{00000000-0005-0000-0000-00006B040000}"/>
    <cellStyle name="Commentaire 2 2 4 13 3" xfId="1250" xr:uid="{00000000-0005-0000-0000-00006C040000}"/>
    <cellStyle name="Commentaire 2 2 4 14" xfId="1251" xr:uid="{00000000-0005-0000-0000-00006D040000}"/>
    <cellStyle name="Commentaire 2 2 4 14 2" xfId="1252" xr:uid="{00000000-0005-0000-0000-00006E040000}"/>
    <cellStyle name="Commentaire 2 2 4 14 2 2" xfId="1253" xr:uid="{00000000-0005-0000-0000-00006F040000}"/>
    <cellStyle name="Commentaire 2 2 4 14 3" xfId="1254" xr:uid="{00000000-0005-0000-0000-000070040000}"/>
    <cellStyle name="Commentaire 2 2 4 15" xfId="1255" xr:uid="{00000000-0005-0000-0000-000071040000}"/>
    <cellStyle name="Commentaire 2 2 4 15 2" xfId="1256" xr:uid="{00000000-0005-0000-0000-000072040000}"/>
    <cellStyle name="Commentaire 2 2 4 15 2 2" xfId="1257" xr:uid="{00000000-0005-0000-0000-000073040000}"/>
    <cellStyle name="Commentaire 2 2 4 15 3" xfId="1258" xr:uid="{00000000-0005-0000-0000-000074040000}"/>
    <cellStyle name="Commentaire 2 2 4 16" xfId="1259" xr:uid="{00000000-0005-0000-0000-000075040000}"/>
    <cellStyle name="Commentaire 2 2 4 16 2" xfId="1260" xr:uid="{00000000-0005-0000-0000-000076040000}"/>
    <cellStyle name="Commentaire 2 2 4 16 2 2" xfId="1261" xr:uid="{00000000-0005-0000-0000-000077040000}"/>
    <cellStyle name="Commentaire 2 2 4 16 3" xfId="1262" xr:uid="{00000000-0005-0000-0000-000078040000}"/>
    <cellStyle name="Commentaire 2 2 4 17" xfId="1263" xr:uid="{00000000-0005-0000-0000-000079040000}"/>
    <cellStyle name="Commentaire 2 2 4 17 2" xfId="1264" xr:uid="{00000000-0005-0000-0000-00007A040000}"/>
    <cellStyle name="Commentaire 2 2 4 17 2 2" xfId="1265" xr:uid="{00000000-0005-0000-0000-00007B040000}"/>
    <cellStyle name="Commentaire 2 2 4 17 3" xfId="1266" xr:uid="{00000000-0005-0000-0000-00007C040000}"/>
    <cellStyle name="Commentaire 2 2 4 18" xfId="1267" xr:uid="{00000000-0005-0000-0000-00007D040000}"/>
    <cellStyle name="Commentaire 2 2 4 18 2" xfId="1268" xr:uid="{00000000-0005-0000-0000-00007E040000}"/>
    <cellStyle name="Commentaire 2 2 4 18 2 2" xfId="1269" xr:uid="{00000000-0005-0000-0000-00007F040000}"/>
    <cellStyle name="Commentaire 2 2 4 18 3" xfId="1270" xr:uid="{00000000-0005-0000-0000-000080040000}"/>
    <cellStyle name="Commentaire 2 2 4 19" xfId="1271" xr:uid="{00000000-0005-0000-0000-000081040000}"/>
    <cellStyle name="Commentaire 2 2 4 19 2" xfId="1272" xr:uid="{00000000-0005-0000-0000-000082040000}"/>
    <cellStyle name="Commentaire 2 2 4 19 2 2" xfId="1273" xr:uid="{00000000-0005-0000-0000-000083040000}"/>
    <cellStyle name="Commentaire 2 2 4 19 3" xfId="1274" xr:uid="{00000000-0005-0000-0000-000084040000}"/>
    <cellStyle name="Commentaire 2 2 4 2" xfId="1275" xr:uid="{00000000-0005-0000-0000-000085040000}"/>
    <cellStyle name="Commentaire 2 2 4 2 2" xfId="1276" xr:uid="{00000000-0005-0000-0000-000086040000}"/>
    <cellStyle name="Commentaire 2 2 4 2 2 2" xfId="1277" xr:uid="{00000000-0005-0000-0000-000087040000}"/>
    <cellStyle name="Commentaire 2 2 4 2 3" xfId="1278" xr:uid="{00000000-0005-0000-0000-000088040000}"/>
    <cellStyle name="Commentaire 2 2 4 20" xfId="1279" xr:uid="{00000000-0005-0000-0000-000089040000}"/>
    <cellStyle name="Commentaire 2 2 4 20 2" xfId="1280" xr:uid="{00000000-0005-0000-0000-00008A040000}"/>
    <cellStyle name="Commentaire 2 2 4 20 2 2" xfId="1281" xr:uid="{00000000-0005-0000-0000-00008B040000}"/>
    <cellStyle name="Commentaire 2 2 4 20 3" xfId="1282" xr:uid="{00000000-0005-0000-0000-00008C040000}"/>
    <cellStyle name="Commentaire 2 2 4 21" xfId="1283" xr:uid="{00000000-0005-0000-0000-00008D040000}"/>
    <cellStyle name="Commentaire 2 2 4 21 2" xfId="1284" xr:uid="{00000000-0005-0000-0000-00008E040000}"/>
    <cellStyle name="Commentaire 2 2 4 21 2 2" xfId="1285" xr:uid="{00000000-0005-0000-0000-00008F040000}"/>
    <cellStyle name="Commentaire 2 2 4 21 3" xfId="1286" xr:uid="{00000000-0005-0000-0000-000090040000}"/>
    <cellStyle name="Commentaire 2 2 4 22" xfId="1287" xr:uid="{00000000-0005-0000-0000-000091040000}"/>
    <cellStyle name="Commentaire 2 2 4 22 2" xfId="1288" xr:uid="{00000000-0005-0000-0000-000092040000}"/>
    <cellStyle name="Commentaire 2 2 4 22 2 2" xfId="1289" xr:uid="{00000000-0005-0000-0000-000093040000}"/>
    <cellStyle name="Commentaire 2 2 4 22 3" xfId="1290" xr:uid="{00000000-0005-0000-0000-000094040000}"/>
    <cellStyle name="Commentaire 2 2 4 23" xfId="1291" xr:uid="{00000000-0005-0000-0000-000095040000}"/>
    <cellStyle name="Commentaire 2 2 4 23 2" xfId="1292" xr:uid="{00000000-0005-0000-0000-000096040000}"/>
    <cellStyle name="Commentaire 2 2 4 23 2 2" xfId="1293" xr:uid="{00000000-0005-0000-0000-000097040000}"/>
    <cellStyle name="Commentaire 2 2 4 23 3" xfId="1294" xr:uid="{00000000-0005-0000-0000-000098040000}"/>
    <cellStyle name="Commentaire 2 2 4 24" xfId="1295" xr:uid="{00000000-0005-0000-0000-000099040000}"/>
    <cellStyle name="Commentaire 2 2 4 24 2" xfId="1296" xr:uid="{00000000-0005-0000-0000-00009A040000}"/>
    <cellStyle name="Commentaire 2 2 4 24 2 2" xfId="1297" xr:uid="{00000000-0005-0000-0000-00009B040000}"/>
    <cellStyle name="Commentaire 2 2 4 24 3" xfId="1298" xr:uid="{00000000-0005-0000-0000-00009C040000}"/>
    <cellStyle name="Commentaire 2 2 4 25" xfId="1299" xr:uid="{00000000-0005-0000-0000-00009D040000}"/>
    <cellStyle name="Commentaire 2 2 4 25 2" xfId="1300" xr:uid="{00000000-0005-0000-0000-00009E040000}"/>
    <cellStyle name="Commentaire 2 2 4 25 2 2" xfId="1301" xr:uid="{00000000-0005-0000-0000-00009F040000}"/>
    <cellStyle name="Commentaire 2 2 4 25 3" xfId="1302" xr:uid="{00000000-0005-0000-0000-0000A0040000}"/>
    <cellStyle name="Commentaire 2 2 4 26" xfId="1303" xr:uid="{00000000-0005-0000-0000-0000A1040000}"/>
    <cellStyle name="Commentaire 2 2 4 26 2" xfId="1304" xr:uid="{00000000-0005-0000-0000-0000A2040000}"/>
    <cellStyle name="Commentaire 2 2 4 26 2 2" xfId="1305" xr:uid="{00000000-0005-0000-0000-0000A3040000}"/>
    <cellStyle name="Commentaire 2 2 4 26 3" xfId="1306" xr:uid="{00000000-0005-0000-0000-0000A4040000}"/>
    <cellStyle name="Commentaire 2 2 4 27" xfId="1307" xr:uid="{00000000-0005-0000-0000-0000A5040000}"/>
    <cellStyle name="Commentaire 2 2 4 27 2" xfId="1308" xr:uid="{00000000-0005-0000-0000-0000A6040000}"/>
    <cellStyle name="Commentaire 2 2 4 27 2 2" xfId="1309" xr:uid="{00000000-0005-0000-0000-0000A7040000}"/>
    <cellStyle name="Commentaire 2 2 4 27 3" xfId="1310" xr:uid="{00000000-0005-0000-0000-0000A8040000}"/>
    <cellStyle name="Commentaire 2 2 4 28" xfId="1311" xr:uid="{00000000-0005-0000-0000-0000A9040000}"/>
    <cellStyle name="Commentaire 2 2 4 28 2" xfId="1312" xr:uid="{00000000-0005-0000-0000-0000AA040000}"/>
    <cellStyle name="Commentaire 2 2 4 28 2 2" xfId="1313" xr:uid="{00000000-0005-0000-0000-0000AB040000}"/>
    <cellStyle name="Commentaire 2 2 4 28 3" xfId="1314" xr:uid="{00000000-0005-0000-0000-0000AC040000}"/>
    <cellStyle name="Commentaire 2 2 4 29" xfId="1315" xr:uid="{00000000-0005-0000-0000-0000AD040000}"/>
    <cellStyle name="Commentaire 2 2 4 29 2" xfId="1316" xr:uid="{00000000-0005-0000-0000-0000AE040000}"/>
    <cellStyle name="Commentaire 2 2 4 3" xfId="1317" xr:uid="{00000000-0005-0000-0000-0000AF040000}"/>
    <cellStyle name="Commentaire 2 2 4 3 2" xfId="1318" xr:uid="{00000000-0005-0000-0000-0000B0040000}"/>
    <cellStyle name="Commentaire 2 2 4 3 2 2" xfId="1319" xr:uid="{00000000-0005-0000-0000-0000B1040000}"/>
    <cellStyle name="Commentaire 2 2 4 3 3" xfId="1320" xr:uid="{00000000-0005-0000-0000-0000B2040000}"/>
    <cellStyle name="Commentaire 2 2 4 30" xfId="1321" xr:uid="{00000000-0005-0000-0000-0000B3040000}"/>
    <cellStyle name="Commentaire 2 2 4 4" xfId="1322" xr:uid="{00000000-0005-0000-0000-0000B4040000}"/>
    <cellStyle name="Commentaire 2 2 4 4 2" xfId="1323" xr:uid="{00000000-0005-0000-0000-0000B5040000}"/>
    <cellStyle name="Commentaire 2 2 4 4 2 2" xfId="1324" xr:uid="{00000000-0005-0000-0000-0000B6040000}"/>
    <cellStyle name="Commentaire 2 2 4 4 3" xfId="1325" xr:uid="{00000000-0005-0000-0000-0000B7040000}"/>
    <cellStyle name="Commentaire 2 2 4 5" xfId="1326" xr:uid="{00000000-0005-0000-0000-0000B8040000}"/>
    <cellStyle name="Commentaire 2 2 4 5 2" xfId="1327" xr:uid="{00000000-0005-0000-0000-0000B9040000}"/>
    <cellStyle name="Commentaire 2 2 4 5 2 2" xfId="1328" xr:uid="{00000000-0005-0000-0000-0000BA040000}"/>
    <cellStyle name="Commentaire 2 2 4 5 3" xfId="1329" xr:uid="{00000000-0005-0000-0000-0000BB040000}"/>
    <cellStyle name="Commentaire 2 2 4 6" xfId="1330" xr:uid="{00000000-0005-0000-0000-0000BC040000}"/>
    <cellStyle name="Commentaire 2 2 4 6 2" xfId="1331" xr:uid="{00000000-0005-0000-0000-0000BD040000}"/>
    <cellStyle name="Commentaire 2 2 4 6 2 2" xfId="1332" xr:uid="{00000000-0005-0000-0000-0000BE040000}"/>
    <cellStyle name="Commentaire 2 2 4 6 3" xfId="1333" xr:uid="{00000000-0005-0000-0000-0000BF040000}"/>
    <cellStyle name="Commentaire 2 2 4 7" xfId="1334" xr:uid="{00000000-0005-0000-0000-0000C0040000}"/>
    <cellStyle name="Commentaire 2 2 4 7 2" xfId="1335" xr:uid="{00000000-0005-0000-0000-0000C1040000}"/>
    <cellStyle name="Commentaire 2 2 4 7 2 2" xfId="1336" xr:uid="{00000000-0005-0000-0000-0000C2040000}"/>
    <cellStyle name="Commentaire 2 2 4 7 3" xfId="1337" xr:uid="{00000000-0005-0000-0000-0000C3040000}"/>
    <cellStyle name="Commentaire 2 2 4 8" xfId="1338" xr:uid="{00000000-0005-0000-0000-0000C4040000}"/>
    <cellStyle name="Commentaire 2 2 4 8 2" xfId="1339" xr:uid="{00000000-0005-0000-0000-0000C5040000}"/>
    <cellStyle name="Commentaire 2 2 4 8 2 2" xfId="1340" xr:uid="{00000000-0005-0000-0000-0000C6040000}"/>
    <cellStyle name="Commentaire 2 2 4 8 3" xfId="1341" xr:uid="{00000000-0005-0000-0000-0000C7040000}"/>
    <cellStyle name="Commentaire 2 2 4 9" xfId="1342" xr:uid="{00000000-0005-0000-0000-0000C8040000}"/>
    <cellStyle name="Commentaire 2 2 4 9 2" xfId="1343" xr:uid="{00000000-0005-0000-0000-0000C9040000}"/>
    <cellStyle name="Commentaire 2 2 4 9 2 2" xfId="1344" xr:uid="{00000000-0005-0000-0000-0000CA040000}"/>
    <cellStyle name="Commentaire 2 2 4 9 3" xfId="1345" xr:uid="{00000000-0005-0000-0000-0000CB040000}"/>
    <cellStyle name="Commentaire 2 2 5" xfId="1346" xr:uid="{00000000-0005-0000-0000-0000CC040000}"/>
    <cellStyle name="Commentaire 2 2 5 10" xfId="1347" xr:uid="{00000000-0005-0000-0000-0000CD040000}"/>
    <cellStyle name="Commentaire 2 2 5 10 2" xfId="1348" xr:uid="{00000000-0005-0000-0000-0000CE040000}"/>
    <cellStyle name="Commentaire 2 2 5 10 2 2" xfId="1349" xr:uid="{00000000-0005-0000-0000-0000CF040000}"/>
    <cellStyle name="Commentaire 2 2 5 10 3" xfId="1350" xr:uid="{00000000-0005-0000-0000-0000D0040000}"/>
    <cellStyle name="Commentaire 2 2 5 11" xfId="1351" xr:uid="{00000000-0005-0000-0000-0000D1040000}"/>
    <cellStyle name="Commentaire 2 2 5 11 2" xfId="1352" xr:uid="{00000000-0005-0000-0000-0000D2040000}"/>
    <cellStyle name="Commentaire 2 2 5 11 2 2" xfId="1353" xr:uid="{00000000-0005-0000-0000-0000D3040000}"/>
    <cellStyle name="Commentaire 2 2 5 11 3" xfId="1354" xr:uid="{00000000-0005-0000-0000-0000D4040000}"/>
    <cellStyle name="Commentaire 2 2 5 12" xfId="1355" xr:uid="{00000000-0005-0000-0000-0000D5040000}"/>
    <cellStyle name="Commentaire 2 2 5 12 2" xfId="1356" xr:uid="{00000000-0005-0000-0000-0000D6040000}"/>
    <cellStyle name="Commentaire 2 2 5 12 2 2" xfId="1357" xr:uid="{00000000-0005-0000-0000-0000D7040000}"/>
    <cellStyle name="Commentaire 2 2 5 12 3" xfId="1358" xr:uid="{00000000-0005-0000-0000-0000D8040000}"/>
    <cellStyle name="Commentaire 2 2 5 13" xfId="1359" xr:uid="{00000000-0005-0000-0000-0000D9040000}"/>
    <cellStyle name="Commentaire 2 2 5 13 2" xfId="1360" xr:uid="{00000000-0005-0000-0000-0000DA040000}"/>
    <cellStyle name="Commentaire 2 2 5 13 2 2" xfId="1361" xr:uid="{00000000-0005-0000-0000-0000DB040000}"/>
    <cellStyle name="Commentaire 2 2 5 13 3" xfId="1362" xr:uid="{00000000-0005-0000-0000-0000DC040000}"/>
    <cellStyle name="Commentaire 2 2 5 14" xfId="1363" xr:uid="{00000000-0005-0000-0000-0000DD040000}"/>
    <cellStyle name="Commentaire 2 2 5 14 2" xfId="1364" xr:uid="{00000000-0005-0000-0000-0000DE040000}"/>
    <cellStyle name="Commentaire 2 2 5 14 2 2" xfId="1365" xr:uid="{00000000-0005-0000-0000-0000DF040000}"/>
    <cellStyle name="Commentaire 2 2 5 14 3" xfId="1366" xr:uid="{00000000-0005-0000-0000-0000E0040000}"/>
    <cellStyle name="Commentaire 2 2 5 15" xfId="1367" xr:uid="{00000000-0005-0000-0000-0000E1040000}"/>
    <cellStyle name="Commentaire 2 2 5 15 2" xfId="1368" xr:uid="{00000000-0005-0000-0000-0000E2040000}"/>
    <cellStyle name="Commentaire 2 2 5 15 2 2" xfId="1369" xr:uid="{00000000-0005-0000-0000-0000E3040000}"/>
    <cellStyle name="Commentaire 2 2 5 15 3" xfId="1370" xr:uid="{00000000-0005-0000-0000-0000E4040000}"/>
    <cellStyle name="Commentaire 2 2 5 16" xfId="1371" xr:uid="{00000000-0005-0000-0000-0000E5040000}"/>
    <cellStyle name="Commentaire 2 2 5 16 2" xfId="1372" xr:uid="{00000000-0005-0000-0000-0000E6040000}"/>
    <cellStyle name="Commentaire 2 2 5 16 2 2" xfId="1373" xr:uid="{00000000-0005-0000-0000-0000E7040000}"/>
    <cellStyle name="Commentaire 2 2 5 16 3" xfId="1374" xr:uid="{00000000-0005-0000-0000-0000E8040000}"/>
    <cellStyle name="Commentaire 2 2 5 17" xfId="1375" xr:uid="{00000000-0005-0000-0000-0000E9040000}"/>
    <cellStyle name="Commentaire 2 2 5 17 2" xfId="1376" xr:uid="{00000000-0005-0000-0000-0000EA040000}"/>
    <cellStyle name="Commentaire 2 2 5 17 2 2" xfId="1377" xr:uid="{00000000-0005-0000-0000-0000EB040000}"/>
    <cellStyle name="Commentaire 2 2 5 17 3" xfId="1378" xr:uid="{00000000-0005-0000-0000-0000EC040000}"/>
    <cellStyle name="Commentaire 2 2 5 18" xfId="1379" xr:uid="{00000000-0005-0000-0000-0000ED040000}"/>
    <cellStyle name="Commentaire 2 2 5 18 2" xfId="1380" xr:uid="{00000000-0005-0000-0000-0000EE040000}"/>
    <cellStyle name="Commentaire 2 2 5 18 2 2" xfId="1381" xr:uid="{00000000-0005-0000-0000-0000EF040000}"/>
    <cellStyle name="Commentaire 2 2 5 18 3" xfId="1382" xr:uid="{00000000-0005-0000-0000-0000F0040000}"/>
    <cellStyle name="Commentaire 2 2 5 19" xfId="1383" xr:uid="{00000000-0005-0000-0000-0000F1040000}"/>
    <cellStyle name="Commentaire 2 2 5 19 2" xfId="1384" xr:uid="{00000000-0005-0000-0000-0000F2040000}"/>
    <cellStyle name="Commentaire 2 2 5 19 2 2" xfId="1385" xr:uid="{00000000-0005-0000-0000-0000F3040000}"/>
    <cellStyle name="Commentaire 2 2 5 19 3" xfId="1386" xr:uid="{00000000-0005-0000-0000-0000F4040000}"/>
    <cellStyle name="Commentaire 2 2 5 2" xfId="1387" xr:uid="{00000000-0005-0000-0000-0000F5040000}"/>
    <cellStyle name="Commentaire 2 2 5 2 2" xfId="1388" xr:uid="{00000000-0005-0000-0000-0000F6040000}"/>
    <cellStyle name="Commentaire 2 2 5 2 2 2" xfId="1389" xr:uid="{00000000-0005-0000-0000-0000F7040000}"/>
    <cellStyle name="Commentaire 2 2 5 2 3" xfId="1390" xr:uid="{00000000-0005-0000-0000-0000F8040000}"/>
    <cellStyle name="Commentaire 2 2 5 20" xfId="1391" xr:uid="{00000000-0005-0000-0000-0000F9040000}"/>
    <cellStyle name="Commentaire 2 2 5 20 2" xfId="1392" xr:uid="{00000000-0005-0000-0000-0000FA040000}"/>
    <cellStyle name="Commentaire 2 2 5 20 2 2" xfId="1393" xr:uid="{00000000-0005-0000-0000-0000FB040000}"/>
    <cellStyle name="Commentaire 2 2 5 20 3" xfId="1394" xr:uid="{00000000-0005-0000-0000-0000FC040000}"/>
    <cellStyle name="Commentaire 2 2 5 21" xfId="1395" xr:uid="{00000000-0005-0000-0000-0000FD040000}"/>
    <cellStyle name="Commentaire 2 2 5 21 2" xfId="1396" xr:uid="{00000000-0005-0000-0000-0000FE040000}"/>
    <cellStyle name="Commentaire 2 2 5 21 2 2" xfId="1397" xr:uid="{00000000-0005-0000-0000-0000FF040000}"/>
    <cellStyle name="Commentaire 2 2 5 21 3" xfId="1398" xr:uid="{00000000-0005-0000-0000-000000050000}"/>
    <cellStyle name="Commentaire 2 2 5 22" xfId="1399" xr:uid="{00000000-0005-0000-0000-000001050000}"/>
    <cellStyle name="Commentaire 2 2 5 22 2" xfId="1400" xr:uid="{00000000-0005-0000-0000-000002050000}"/>
    <cellStyle name="Commentaire 2 2 5 22 2 2" xfId="1401" xr:uid="{00000000-0005-0000-0000-000003050000}"/>
    <cellStyle name="Commentaire 2 2 5 22 3" xfId="1402" xr:uid="{00000000-0005-0000-0000-000004050000}"/>
    <cellStyle name="Commentaire 2 2 5 23" xfId="1403" xr:uid="{00000000-0005-0000-0000-000005050000}"/>
    <cellStyle name="Commentaire 2 2 5 23 2" xfId="1404" xr:uid="{00000000-0005-0000-0000-000006050000}"/>
    <cellStyle name="Commentaire 2 2 5 23 2 2" xfId="1405" xr:uid="{00000000-0005-0000-0000-000007050000}"/>
    <cellStyle name="Commentaire 2 2 5 23 3" xfId="1406" xr:uid="{00000000-0005-0000-0000-000008050000}"/>
    <cellStyle name="Commentaire 2 2 5 24" xfId="1407" xr:uid="{00000000-0005-0000-0000-000009050000}"/>
    <cellStyle name="Commentaire 2 2 5 24 2" xfId="1408" xr:uid="{00000000-0005-0000-0000-00000A050000}"/>
    <cellStyle name="Commentaire 2 2 5 24 2 2" xfId="1409" xr:uid="{00000000-0005-0000-0000-00000B050000}"/>
    <cellStyle name="Commentaire 2 2 5 24 3" xfId="1410" xr:uid="{00000000-0005-0000-0000-00000C050000}"/>
    <cellStyle name="Commentaire 2 2 5 25" xfId="1411" xr:uid="{00000000-0005-0000-0000-00000D050000}"/>
    <cellStyle name="Commentaire 2 2 5 25 2" xfId="1412" xr:uid="{00000000-0005-0000-0000-00000E050000}"/>
    <cellStyle name="Commentaire 2 2 5 25 2 2" xfId="1413" xr:uid="{00000000-0005-0000-0000-00000F050000}"/>
    <cellStyle name="Commentaire 2 2 5 25 3" xfId="1414" xr:uid="{00000000-0005-0000-0000-000010050000}"/>
    <cellStyle name="Commentaire 2 2 5 26" xfId="1415" xr:uid="{00000000-0005-0000-0000-000011050000}"/>
    <cellStyle name="Commentaire 2 2 5 26 2" xfId="1416" xr:uid="{00000000-0005-0000-0000-000012050000}"/>
    <cellStyle name="Commentaire 2 2 5 26 2 2" xfId="1417" xr:uid="{00000000-0005-0000-0000-000013050000}"/>
    <cellStyle name="Commentaire 2 2 5 26 3" xfId="1418" xr:uid="{00000000-0005-0000-0000-000014050000}"/>
    <cellStyle name="Commentaire 2 2 5 27" xfId="1419" xr:uid="{00000000-0005-0000-0000-000015050000}"/>
    <cellStyle name="Commentaire 2 2 5 27 2" xfId="1420" xr:uid="{00000000-0005-0000-0000-000016050000}"/>
    <cellStyle name="Commentaire 2 2 5 27 2 2" xfId="1421" xr:uid="{00000000-0005-0000-0000-000017050000}"/>
    <cellStyle name="Commentaire 2 2 5 27 3" xfId="1422" xr:uid="{00000000-0005-0000-0000-000018050000}"/>
    <cellStyle name="Commentaire 2 2 5 28" xfId="1423" xr:uid="{00000000-0005-0000-0000-000019050000}"/>
    <cellStyle name="Commentaire 2 2 5 28 2" xfId="1424" xr:uid="{00000000-0005-0000-0000-00001A050000}"/>
    <cellStyle name="Commentaire 2 2 5 29" xfId="1425" xr:uid="{00000000-0005-0000-0000-00001B050000}"/>
    <cellStyle name="Commentaire 2 2 5 3" xfId="1426" xr:uid="{00000000-0005-0000-0000-00001C050000}"/>
    <cellStyle name="Commentaire 2 2 5 3 2" xfId="1427" xr:uid="{00000000-0005-0000-0000-00001D050000}"/>
    <cellStyle name="Commentaire 2 2 5 3 2 2" xfId="1428" xr:uid="{00000000-0005-0000-0000-00001E050000}"/>
    <cellStyle name="Commentaire 2 2 5 3 3" xfId="1429" xr:uid="{00000000-0005-0000-0000-00001F050000}"/>
    <cellStyle name="Commentaire 2 2 5 4" xfId="1430" xr:uid="{00000000-0005-0000-0000-000020050000}"/>
    <cellStyle name="Commentaire 2 2 5 4 2" xfId="1431" xr:uid="{00000000-0005-0000-0000-000021050000}"/>
    <cellStyle name="Commentaire 2 2 5 4 2 2" xfId="1432" xr:uid="{00000000-0005-0000-0000-000022050000}"/>
    <cellStyle name="Commentaire 2 2 5 4 3" xfId="1433" xr:uid="{00000000-0005-0000-0000-000023050000}"/>
    <cellStyle name="Commentaire 2 2 5 5" xfId="1434" xr:uid="{00000000-0005-0000-0000-000024050000}"/>
    <cellStyle name="Commentaire 2 2 5 5 2" xfId="1435" xr:uid="{00000000-0005-0000-0000-000025050000}"/>
    <cellStyle name="Commentaire 2 2 5 5 2 2" xfId="1436" xr:uid="{00000000-0005-0000-0000-000026050000}"/>
    <cellStyle name="Commentaire 2 2 5 5 3" xfId="1437" xr:uid="{00000000-0005-0000-0000-000027050000}"/>
    <cellStyle name="Commentaire 2 2 5 6" xfId="1438" xr:uid="{00000000-0005-0000-0000-000028050000}"/>
    <cellStyle name="Commentaire 2 2 5 6 2" xfId="1439" xr:uid="{00000000-0005-0000-0000-000029050000}"/>
    <cellStyle name="Commentaire 2 2 5 6 2 2" xfId="1440" xr:uid="{00000000-0005-0000-0000-00002A050000}"/>
    <cellStyle name="Commentaire 2 2 5 6 3" xfId="1441" xr:uid="{00000000-0005-0000-0000-00002B050000}"/>
    <cellStyle name="Commentaire 2 2 5 7" xfId="1442" xr:uid="{00000000-0005-0000-0000-00002C050000}"/>
    <cellStyle name="Commentaire 2 2 5 7 2" xfId="1443" xr:uid="{00000000-0005-0000-0000-00002D050000}"/>
    <cellStyle name="Commentaire 2 2 5 7 2 2" xfId="1444" xr:uid="{00000000-0005-0000-0000-00002E050000}"/>
    <cellStyle name="Commentaire 2 2 5 7 3" xfId="1445" xr:uid="{00000000-0005-0000-0000-00002F050000}"/>
    <cellStyle name="Commentaire 2 2 5 8" xfId="1446" xr:uid="{00000000-0005-0000-0000-000030050000}"/>
    <cellStyle name="Commentaire 2 2 5 8 2" xfId="1447" xr:uid="{00000000-0005-0000-0000-000031050000}"/>
    <cellStyle name="Commentaire 2 2 5 8 2 2" xfId="1448" xr:uid="{00000000-0005-0000-0000-000032050000}"/>
    <cellStyle name="Commentaire 2 2 5 8 3" xfId="1449" xr:uid="{00000000-0005-0000-0000-000033050000}"/>
    <cellStyle name="Commentaire 2 2 5 9" xfId="1450" xr:uid="{00000000-0005-0000-0000-000034050000}"/>
    <cellStyle name="Commentaire 2 2 5 9 2" xfId="1451" xr:uid="{00000000-0005-0000-0000-000035050000}"/>
    <cellStyle name="Commentaire 2 2 5 9 2 2" xfId="1452" xr:uid="{00000000-0005-0000-0000-000036050000}"/>
    <cellStyle name="Commentaire 2 2 5 9 3" xfId="1453" xr:uid="{00000000-0005-0000-0000-000037050000}"/>
    <cellStyle name="Commentaire 2 2 6" xfId="1454" xr:uid="{00000000-0005-0000-0000-000038050000}"/>
    <cellStyle name="Commentaire 2 2 6 2" xfId="1455" xr:uid="{00000000-0005-0000-0000-000039050000}"/>
    <cellStyle name="Commentaire 2 2 6 2 2" xfId="1456" xr:uid="{00000000-0005-0000-0000-00003A050000}"/>
    <cellStyle name="Commentaire 2 2 6 3" xfId="1457" xr:uid="{00000000-0005-0000-0000-00003B050000}"/>
    <cellStyle name="Commentaire 2 2 7" xfId="1458" xr:uid="{00000000-0005-0000-0000-00003C050000}"/>
    <cellStyle name="Commentaire 2 2 7 2" xfId="1459" xr:uid="{00000000-0005-0000-0000-00003D050000}"/>
    <cellStyle name="Commentaire 2 2 7 2 2" xfId="1460" xr:uid="{00000000-0005-0000-0000-00003E050000}"/>
    <cellStyle name="Commentaire 2 2 7 3" xfId="1461" xr:uid="{00000000-0005-0000-0000-00003F050000}"/>
    <cellStyle name="Commentaire 2 2 8" xfId="1462" xr:uid="{00000000-0005-0000-0000-000040050000}"/>
    <cellStyle name="Commentaire 2 2 8 2" xfId="1463" xr:uid="{00000000-0005-0000-0000-000041050000}"/>
    <cellStyle name="Commentaire 2 2 8 2 2" xfId="1464" xr:uid="{00000000-0005-0000-0000-000042050000}"/>
    <cellStyle name="Commentaire 2 2 8 3" xfId="1465" xr:uid="{00000000-0005-0000-0000-000043050000}"/>
    <cellStyle name="Commentaire 2 2 9" xfId="1466" xr:uid="{00000000-0005-0000-0000-000044050000}"/>
    <cellStyle name="Commentaire 2 2 9 2" xfId="1467" xr:uid="{00000000-0005-0000-0000-000045050000}"/>
    <cellStyle name="Commentaire 2 2 9 2 2" xfId="1468" xr:uid="{00000000-0005-0000-0000-000046050000}"/>
    <cellStyle name="Commentaire 2 2 9 3" xfId="1469" xr:uid="{00000000-0005-0000-0000-000047050000}"/>
    <cellStyle name="Commentaire 2 3" xfId="29" xr:uid="{00000000-0005-0000-0000-000048050000}"/>
    <cellStyle name="Commentaire 2 3 10" xfId="1470" xr:uid="{00000000-0005-0000-0000-000049050000}"/>
    <cellStyle name="Commentaire 2 3 10 2" xfId="1471" xr:uid="{00000000-0005-0000-0000-00004A050000}"/>
    <cellStyle name="Commentaire 2 3 10 2 2" xfId="1472" xr:uid="{00000000-0005-0000-0000-00004B050000}"/>
    <cellStyle name="Commentaire 2 3 10 3" xfId="1473" xr:uid="{00000000-0005-0000-0000-00004C050000}"/>
    <cellStyle name="Commentaire 2 3 11" xfId="1474" xr:uid="{00000000-0005-0000-0000-00004D050000}"/>
    <cellStyle name="Commentaire 2 3 11 2" xfId="1475" xr:uid="{00000000-0005-0000-0000-00004E050000}"/>
    <cellStyle name="Commentaire 2 3 11 2 2" xfId="1476" xr:uid="{00000000-0005-0000-0000-00004F050000}"/>
    <cellStyle name="Commentaire 2 3 11 3" xfId="1477" xr:uid="{00000000-0005-0000-0000-000050050000}"/>
    <cellStyle name="Commentaire 2 3 12" xfId="1478" xr:uid="{00000000-0005-0000-0000-000051050000}"/>
    <cellStyle name="Commentaire 2 3 12 2" xfId="1479" xr:uid="{00000000-0005-0000-0000-000052050000}"/>
    <cellStyle name="Commentaire 2 3 12 2 2" xfId="1480" xr:uid="{00000000-0005-0000-0000-000053050000}"/>
    <cellStyle name="Commentaire 2 3 12 3" xfId="1481" xr:uid="{00000000-0005-0000-0000-000054050000}"/>
    <cellStyle name="Commentaire 2 3 13" xfId="1482" xr:uid="{00000000-0005-0000-0000-000055050000}"/>
    <cellStyle name="Commentaire 2 3 13 2" xfId="1483" xr:uid="{00000000-0005-0000-0000-000056050000}"/>
    <cellStyle name="Commentaire 2 3 13 2 2" xfId="1484" xr:uid="{00000000-0005-0000-0000-000057050000}"/>
    <cellStyle name="Commentaire 2 3 13 3" xfId="1485" xr:uid="{00000000-0005-0000-0000-000058050000}"/>
    <cellStyle name="Commentaire 2 3 14" xfId="1486" xr:uid="{00000000-0005-0000-0000-000059050000}"/>
    <cellStyle name="Commentaire 2 3 14 2" xfId="1487" xr:uid="{00000000-0005-0000-0000-00005A050000}"/>
    <cellStyle name="Commentaire 2 3 14 2 2" xfId="1488" xr:uid="{00000000-0005-0000-0000-00005B050000}"/>
    <cellStyle name="Commentaire 2 3 14 3" xfId="1489" xr:uid="{00000000-0005-0000-0000-00005C050000}"/>
    <cellStyle name="Commentaire 2 3 15" xfId="1490" xr:uid="{00000000-0005-0000-0000-00005D050000}"/>
    <cellStyle name="Commentaire 2 3 15 2" xfId="1491" xr:uid="{00000000-0005-0000-0000-00005E050000}"/>
    <cellStyle name="Commentaire 2 3 15 2 2" xfId="1492" xr:uid="{00000000-0005-0000-0000-00005F050000}"/>
    <cellStyle name="Commentaire 2 3 15 3" xfId="1493" xr:uid="{00000000-0005-0000-0000-000060050000}"/>
    <cellStyle name="Commentaire 2 3 16" xfId="1494" xr:uid="{00000000-0005-0000-0000-000061050000}"/>
    <cellStyle name="Commentaire 2 3 16 2" xfId="1495" xr:uid="{00000000-0005-0000-0000-000062050000}"/>
    <cellStyle name="Commentaire 2 3 16 2 2" xfId="1496" xr:uid="{00000000-0005-0000-0000-000063050000}"/>
    <cellStyle name="Commentaire 2 3 16 3" xfId="1497" xr:uid="{00000000-0005-0000-0000-000064050000}"/>
    <cellStyle name="Commentaire 2 3 17" xfId="1498" xr:uid="{00000000-0005-0000-0000-000065050000}"/>
    <cellStyle name="Commentaire 2 3 17 2" xfId="1499" xr:uid="{00000000-0005-0000-0000-000066050000}"/>
    <cellStyle name="Commentaire 2 3 17 2 2" xfId="1500" xr:uid="{00000000-0005-0000-0000-000067050000}"/>
    <cellStyle name="Commentaire 2 3 17 3" xfId="1501" xr:uid="{00000000-0005-0000-0000-000068050000}"/>
    <cellStyle name="Commentaire 2 3 18" xfId="1502" xr:uid="{00000000-0005-0000-0000-000069050000}"/>
    <cellStyle name="Commentaire 2 3 18 2" xfId="1503" xr:uid="{00000000-0005-0000-0000-00006A050000}"/>
    <cellStyle name="Commentaire 2 3 18 2 2" xfId="1504" xr:uid="{00000000-0005-0000-0000-00006B050000}"/>
    <cellStyle name="Commentaire 2 3 18 3" xfId="1505" xr:uid="{00000000-0005-0000-0000-00006C050000}"/>
    <cellStyle name="Commentaire 2 3 19" xfId="1506" xr:uid="{00000000-0005-0000-0000-00006D050000}"/>
    <cellStyle name="Commentaire 2 3 19 2" xfId="1507" xr:uid="{00000000-0005-0000-0000-00006E050000}"/>
    <cellStyle name="Commentaire 2 3 19 2 2" xfId="1508" xr:uid="{00000000-0005-0000-0000-00006F050000}"/>
    <cellStyle name="Commentaire 2 3 19 3" xfId="1509" xr:uid="{00000000-0005-0000-0000-000070050000}"/>
    <cellStyle name="Commentaire 2 3 2" xfId="78" xr:uid="{00000000-0005-0000-0000-000071050000}"/>
    <cellStyle name="Commentaire 2 3 2 2" xfId="1510" xr:uid="{00000000-0005-0000-0000-000072050000}"/>
    <cellStyle name="Commentaire 2 3 2 2 2" xfId="1511" xr:uid="{00000000-0005-0000-0000-000073050000}"/>
    <cellStyle name="Commentaire 2 3 2 3" xfId="1512" xr:uid="{00000000-0005-0000-0000-000074050000}"/>
    <cellStyle name="Commentaire 2 3 20" xfId="1513" xr:uid="{00000000-0005-0000-0000-000075050000}"/>
    <cellStyle name="Commentaire 2 3 20 2" xfId="1514" xr:uid="{00000000-0005-0000-0000-000076050000}"/>
    <cellStyle name="Commentaire 2 3 20 2 2" xfId="1515" xr:uid="{00000000-0005-0000-0000-000077050000}"/>
    <cellStyle name="Commentaire 2 3 20 3" xfId="1516" xr:uid="{00000000-0005-0000-0000-000078050000}"/>
    <cellStyle name="Commentaire 2 3 21" xfId="1517" xr:uid="{00000000-0005-0000-0000-000079050000}"/>
    <cellStyle name="Commentaire 2 3 21 2" xfId="1518" xr:uid="{00000000-0005-0000-0000-00007A050000}"/>
    <cellStyle name="Commentaire 2 3 21 2 2" xfId="1519" xr:uid="{00000000-0005-0000-0000-00007B050000}"/>
    <cellStyle name="Commentaire 2 3 21 3" xfId="1520" xr:uid="{00000000-0005-0000-0000-00007C050000}"/>
    <cellStyle name="Commentaire 2 3 22" xfId="1521" xr:uid="{00000000-0005-0000-0000-00007D050000}"/>
    <cellStyle name="Commentaire 2 3 22 2" xfId="1522" xr:uid="{00000000-0005-0000-0000-00007E050000}"/>
    <cellStyle name="Commentaire 2 3 22 2 2" xfId="1523" xr:uid="{00000000-0005-0000-0000-00007F050000}"/>
    <cellStyle name="Commentaire 2 3 22 3" xfId="1524" xr:uid="{00000000-0005-0000-0000-000080050000}"/>
    <cellStyle name="Commentaire 2 3 23" xfId="1525" xr:uid="{00000000-0005-0000-0000-000081050000}"/>
    <cellStyle name="Commentaire 2 3 23 2" xfId="1526" xr:uid="{00000000-0005-0000-0000-000082050000}"/>
    <cellStyle name="Commentaire 2 3 23 2 2" xfId="1527" xr:uid="{00000000-0005-0000-0000-000083050000}"/>
    <cellStyle name="Commentaire 2 3 23 3" xfId="1528" xr:uid="{00000000-0005-0000-0000-000084050000}"/>
    <cellStyle name="Commentaire 2 3 24" xfId="1529" xr:uid="{00000000-0005-0000-0000-000085050000}"/>
    <cellStyle name="Commentaire 2 3 24 2" xfId="1530" xr:uid="{00000000-0005-0000-0000-000086050000}"/>
    <cellStyle name="Commentaire 2 3 24 2 2" xfId="1531" xr:uid="{00000000-0005-0000-0000-000087050000}"/>
    <cellStyle name="Commentaire 2 3 24 3" xfId="1532" xr:uid="{00000000-0005-0000-0000-000088050000}"/>
    <cellStyle name="Commentaire 2 3 25" xfId="1533" xr:uid="{00000000-0005-0000-0000-000089050000}"/>
    <cellStyle name="Commentaire 2 3 25 2" xfId="1534" xr:uid="{00000000-0005-0000-0000-00008A050000}"/>
    <cellStyle name="Commentaire 2 3 25 2 2" xfId="1535" xr:uid="{00000000-0005-0000-0000-00008B050000}"/>
    <cellStyle name="Commentaire 2 3 25 3" xfId="1536" xr:uid="{00000000-0005-0000-0000-00008C050000}"/>
    <cellStyle name="Commentaire 2 3 26" xfId="1537" xr:uid="{00000000-0005-0000-0000-00008D050000}"/>
    <cellStyle name="Commentaire 2 3 26 2" xfId="1538" xr:uid="{00000000-0005-0000-0000-00008E050000}"/>
    <cellStyle name="Commentaire 2 3 26 2 2" xfId="1539" xr:uid="{00000000-0005-0000-0000-00008F050000}"/>
    <cellStyle name="Commentaire 2 3 26 3" xfId="1540" xr:uid="{00000000-0005-0000-0000-000090050000}"/>
    <cellStyle name="Commentaire 2 3 27" xfId="1541" xr:uid="{00000000-0005-0000-0000-000091050000}"/>
    <cellStyle name="Commentaire 2 3 27 2" xfId="1542" xr:uid="{00000000-0005-0000-0000-000092050000}"/>
    <cellStyle name="Commentaire 2 3 27 2 2" xfId="1543" xr:uid="{00000000-0005-0000-0000-000093050000}"/>
    <cellStyle name="Commentaire 2 3 27 3" xfId="1544" xr:uid="{00000000-0005-0000-0000-000094050000}"/>
    <cellStyle name="Commentaire 2 3 28" xfId="1545" xr:uid="{00000000-0005-0000-0000-000095050000}"/>
    <cellStyle name="Commentaire 2 3 28 2" xfId="1546" xr:uid="{00000000-0005-0000-0000-000096050000}"/>
    <cellStyle name="Commentaire 2 3 28 2 2" xfId="1547" xr:uid="{00000000-0005-0000-0000-000097050000}"/>
    <cellStyle name="Commentaire 2 3 28 3" xfId="1548" xr:uid="{00000000-0005-0000-0000-000098050000}"/>
    <cellStyle name="Commentaire 2 3 29" xfId="1549" xr:uid="{00000000-0005-0000-0000-000099050000}"/>
    <cellStyle name="Commentaire 2 3 29 2" xfId="1550" xr:uid="{00000000-0005-0000-0000-00009A050000}"/>
    <cellStyle name="Commentaire 2 3 3" xfId="121" xr:uid="{00000000-0005-0000-0000-00009B050000}"/>
    <cellStyle name="Commentaire 2 3 3 2" xfId="1551" xr:uid="{00000000-0005-0000-0000-00009C050000}"/>
    <cellStyle name="Commentaire 2 3 3 2 2" xfId="1552" xr:uid="{00000000-0005-0000-0000-00009D050000}"/>
    <cellStyle name="Commentaire 2 3 3 3" xfId="1553" xr:uid="{00000000-0005-0000-0000-00009E050000}"/>
    <cellStyle name="Commentaire 2 3 30" xfId="1554" xr:uid="{00000000-0005-0000-0000-00009F050000}"/>
    <cellStyle name="Commentaire 2 3 31" xfId="3591" xr:uid="{4F94D3AA-26D7-4D51-B13D-0B32D5D82696}"/>
    <cellStyle name="Commentaire 2 3 4" xfId="1555" xr:uid="{00000000-0005-0000-0000-0000A0050000}"/>
    <cellStyle name="Commentaire 2 3 4 2" xfId="1556" xr:uid="{00000000-0005-0000-0000-0000A1050000}"/>
    <cellStyle name="Commentaire 2 3 4 2 2" xfId="1557" xr:uid="{00000000-0005-0000-0000-0000A2050000}"/>
    <cellStyle name="Commentaire 2 3 4 3" xfId="1558" xr:uid="{00000000-0005-0000-0000-0000A3050000}"/>
    <cellStyle name="Commentaire 2 3 5" xfId="1559" xr:uid="{00000000-0005-0000-0000-0000A4050000}"/>
    <cellStyle name="Commentaire 2 3 5 2" xfId="1560" xr:uid="{00000000-0005-0000-0000-0000A5050000}"/>
    <cellStyle name="Commentaire 2 3 5 2 2" xfId="1561" xr:uid="{00000000-0005-0000-0000-0000A6050000}"/>
    <cellStyle name="Commentaire 2 3 5 3" xfId="1562" xr:uid="{00000000-0005-0000-0000-0000A7050000}"/>
    <cellStyle name="Commentaire 2 3 6" xfId="1563" xr:uid="{00000000-0005-0000-0000-0000A8050000}"/>
    <cellStyle name="Commentaire 2 3 6 2" xfId="1564" xr:uid="{00000000-0005-0000-0000-0000A9050000}"/>
    <cellStyle name="Commentaire 2 3 6 2 2" xfId="1565" xr:uid="{00000000-0005-0000-0000-0000AA050000}"/>
    <cellStyle name="Commentaire 2 3 6 3" xfId="1566" xr:uid="{00000000-0005-0000-0000-0000AB050000}"/>
    <cellStyle name="Commentaire 2 3 7" xfId="1567" xr:uid="{00000000-0005-0000-0000-0000AC050000}"/>
    <cellStyle name="Commentaire 2 3 7 2" xfId="1568" xr:uid="{00000000-0005-0000-0000-0000AD050000}"/>
    <cellStyle name="Commentaire 2 3 7 2 2" xfId="1569" xr:uid="{00000000-0005-0000-0000-0000AE050000}"/>
    <cellStyle name="Commentaire 2 3 7 3" xfId="1570" xr:uid="{00000000-0005-0000-0000-0000AF050000}"/>
    <cellStyle name="Commentaire 2 3 8" xfId="1571" xr:uid="{00000000-0005-0000-0000-0000B0050000}"/>
    <cellStyle name="Commentaire 2 3 8 2" xfId="1572" xr:uid="{00000000-0005-0000-0000-0000B1050000}"/>
    <cellStyle name="Commentaire 2 3 8 2 2" xfId="1573" xr:uid="{00000000-0005-0000-0000-0000B2050000}"/>
    <cellStyle name="Commentaire 2 3 8 3" xfId="1574" xr:uid="{00000000-0005-0000-0000-0000B3050000}"/>
    <cellStyle name="Commentaire 2 3 9" xfId="1575" xr:uid="{00000000-0005-0000-0000-0000B4050000}"/>
    <cellStyle name="Commentaire 2 3 9 2" xfId="1576" xr:uid="{00000000-0005-0000-0000-0000B5050000}"/>
    <cellStyle name="Commentaire 2 3 9 2 2" xfId="1577" xr:uid="{00000000-0005-0000-0000-0000B6050000}"/>
    <cellStyle name="Commentaire 2 3 9 3" xfId="1578" xr:uid="{00000000-0005-0000-0000-0000B7050000}"/>
    <cellStyle name="Commentaire 2 4" xfId="30" xr:uid="{00000000-0005-0000-0000-0000B8050000}"/>
    <cellStyle name="Commentaire 2 4 10" xfId="1579" xr:uid="{00000000-0005-0000-0000-0000B9050000}"/>
    <cellStyle name="Commentaire 2 4 10 2" xfId="1580" xr:uid="{00000000-0005-0000-0000-0000BA050000}"/>
    <cellStyle name="Commentaire 2 4 10 2 2" xfId="1581" xr:uid="{00000000-0005-0000-0000-0000BB050000}"/>
    <cellStyle name="Commentaire 2 4 10 3" xfId="1582" xr:uid="{00000000-0005-0000-0000-0000BC050000}"/>
    <cellStyle name="Commentaire 2 4 11" xfId="1583" xr:uid="{00000000-0005-0000-0000-0000BD050000}"/>
    <cellStyle name="Commentaire 2 4 11 2" xfId="1584" xr:uid="{00000000-0005-0000-0000-0000BE050000}"/>
    <cellStyle name="Commentaire 2 4 11 2 2" xfId="1585" xr:uid="{00000000-0005-0000-0000-0000BF050000}"/>
    <cellStyle name="Commentaire 2 4 11 3" xfId="1586" xr:uid="{00000000-0005-0000-0000-0000C0050000}"/>
    <cellStyle name="Commentaire 2 4 12" xfId="1587" xr:uid="{00000000-0005-0000-0000-0000C1050000}"/>
    <cellStyle name="Commentaire 2 4 12 2" xfId="1588" xr:uid="{00000000-0005-0000-0000-0000C2050000}"/>
    <cellStyle name="Commentaire 2 4 12 2 2" xfId="1589" xr:uid="{00000000-0005-0000-0000-0000C3050000}"/>
    <cellStyle name="Commentaire 2 4 12 3" xfId="1590" xr:uid="{00000000-0005-0000-0000-0000C4050000}"/>
    <cellStyle name="Commentaire 2 4 13" xfId="1591" xr:uid="{00000000-0005-0000-0000-0000C5050000}"/>
    <cellStyle name="Commentaire 2 4 13 2" xfId="1592" xr:uid="{00000000-0005-0000-0000-0000C6050000}"/>
    <cellStyle name="Commentaire 2 4 13 2 2" xfId="1593" xr:uid="{00000000-0005-0000-0000-0000C7050000}"/>
    <cellStyle name="Commentaire 2 4 13 3" xfId="1594" xr:uid="{00000000-0005-0000-0000-0000C8050000}"/>
    <cellStyle name="Commentaire 2 4 14" xfId="1595" xr:uid="{00000000-0005-0000-0000-0000C9050000}"/>
    <cellStyle name="Commentaire 2 4 14 2" xfId="1596" xr:uid="{00000000-0005-0000-0000-0000CA050000}"/>
    <cellStyle name="Commentaire 2 4 14 2 2" xfId="1597" xr:uid="{00000000-0005-0000-0000-0000CB050000}"/>
    <cellStyle name="Commentaire 2 4 14 3" xfId="1598" xr:uid="{00000000-0005-0000-0000-0000CC050000}"/>
    <cellStyle name="Commentaire 2 4 15" xfId="1599" xr:uid="{00000000-0005-0000-0000-0000CD050000}"/>
    <cellStyle name="Commentaire 2 4 15 2" xfId="1600" xr:uid="{00000000-0005-0000-0000-0000CE050000}"/>
    <cellStyle name="Commentaire 2 4 15 2 2" xfId="1601" xr:uid="{00000000-0005-0000-0000-0000CF050000}"/>
    <cellStyle name="Commentaire 2 4 15 3" xfId="1602" xr:uid="{00000000-0005-0000-0000-0000D0050000}"/>
    <cellStyle name="Commentaire 2 4 16" xfId="1603" xr:uid="{00000000-0005-0000-0000-0000D1050000}"/>
    <cellStyle name="Commentaire 2 4 16 2" xfId="1604" xr:uid="{00000000-0005-0000-0000-0000D2050000}"/>
    <cellStyle name="Commentaire 2 4 16 2 2" xfId="1605" xr:uid="{00000000-0005-0000-0000-0000D3050000}"/>
    <cellStyle name="Commentaire 2 4 16 3" xfId="1606" xr:uid="{00000000-0005-0000-0000-0000D4050000}"/>
    <cellStyle name="Commentaire 2 4 17" xfId="1607" xr:uid="{00000000-0005-0000-0000-0000D5050000}"/>
    <cellStyle name="Commentaire 2 4 17 2" xfId="1608" xr:uid="{00000000-0005-0000-0000-0000D6050000}"/>
    <cellStyle name="Commentaire 2 4 17 2 2" xfId="1609" xr:uid="{00000000-0005-0000-0000-0000D7050000}"/>
    <cellStyle name="Commentaire 2 4 17 3" xfId="1610" xr:uid="{00000000-0005-0000-0000-0000D8050000}"/>
    <cellStyle name="Commentaire 2 4 18" xfId="1611" xr:uid="{00000000-0005-0000-0000-0000D9050000}"/>
    <cellStyle name="Commentaire 2 4 18 2" xfId="1612" xr:uid="{00000000-0005-0000-0000-0000DA050000}"/>
    <cellStyle name="Commentaire 2 4 18 2 2" xfId="1613" xr:uid="{00000000-0005-0000-0000-0000DB050000}"/>
    <cellStyle name="Commentaire 2 4 18 3" xfId="1614" xr:uid="{00000000-0005-0000-0000-0000DC050000}"/>
    <cellStyle name="Commentaire 2 4 19" xfId="1615" xr:uid="{00000000-0005-0000-0000-0000DD050000}"/>
    <cellStyle name="Commentaire 2 4 19 2" xfId="1616" xr:uid="{00000000-0005-0000-0000-0000DE050000}"/>
    <cellStyle name="Commentaire 2 4 19 2 2" xfId="1617" xr:uid="{00000000-0005-0000-0000-0000DF050000}"/>
    <cellStyle name="Commentaire 2 4 19 3" xfId="1618" xr:uid="{00000000-0005-0000-0000-0000E0050000}"/>
    <cellStyle name="Commentaire 2 4 2" xfId="79" xr:uid="{00000000-0005-0000-0000-0000E1050000}"/>
    <cellStyle name="Commentaire 2 4 2 2" xfId="1619" xr:uid="{00000000-0005-0000-0000-0000E2050000}"/>
    <cellStyle name="Commentaire 2 4 2 2 2" xfId="1620" xr:uid="{00000000-0005-0000-0000-0000E3050000}"/>
    <cellStyle name="Commentaire 2 4 2 3" xfId="1621" xr:uid="{00000000-0005-0000-0000-0000E4050000}"/>
    <cellStyle name="Commentaire 2 4 20" xfId="1622" xr:uid="{00000000-0005-0000-0000-0000E5050000}"/>
    <cellStyle name="Commentaire 2 4 20 2" xfId="1623" xr:uid="{00000000-0005-0000-0000-0000E6050000}"/>
    <cellStyle name="Commentaire 2 4 20 2 2" xfId="1624" xr:uid="{00000000-0005-0000-0000-0000E7050000}"/>
    <cellStyle name="Commentaire 2 4 20 3" xfId="1625" xr:uid="{00000000-0005-0000-0000-0000E8050000}"/>
    <cellStyle name="Commentaire 2 4 21" xfId="1626" xr:uid="{00000000-0005-0000-0000-0000E9050000}"/>
    <cellStyle name="Commentaire 2 4 21 2" xfId="1627" xr:uid="{00000000-0005-0000-0000-0000EA050000}"/>
    <cellStyle name="Commentaire 2 4 21 2 2" xfId="1628" xr:uid="{00000000-0005-0000-0000-0000EB050000}"/>
    <cellStyle name="Commentaire 2 4 21 3" xfId="1629" xr:uid="{00000000-0005-0000-0000-0000EC050000}"/>
    <cellStyle name="Commentaire 2 4 22" xfId="1630" xr:uid="{00000000-0005-0000-0000-0000ED050000}"/>
    <cellStyle name="Commentaire 2 4 22 2" xfId="1631" xr:uid="{00000000-0005-0000-0000-0000EE050000}"/>
    <cellStyle name="Commentaire 2 4 22 2 2" xfId="1632" xr:uid="{00000000-0005-0000-0000-0000EF050000}"/>
    <cellStyle name="Commentaire 2 4 22 3" xfId="1633" xr:uid="{00000000-0005-0000-0000-0000F0050000}"/>
    <cellStyle name="Commentaire 2 4 23" xfId="1634" xr:uid="{00000000-0005-0000-0000-0000F1050000}"/>
    <cellStyle name="Commentaire 2 4 23 2" xfId="1635" xr:uid="{00000000-0005-0000-0000-0000F2050000}"/>
    <cellStyle name="Commentaire 2 4 23 2 2" xfId="1636" xr:uid="{00000000-0005-0000-0000-0000F3050000}"/>
    <cellStyle name="Commentaire 2 4 23 3" xfId="1637" xr:uid="{00000000-0005-0000-0000-0000F4050000}"/>
    <cellStyle name="Commentaire 2 4 24" xfId="1638" xr:uid="{00000000-0005-0000-0000-0000F5050000}"/>
    <cellStyle name="Commentaire 2 4 24 2" xfId="1639" xr:uid="{00000000-0005-0000-0000-0000F6050000}"/>
    <cellStyle name="Commentaire 2 4 24 2 2" xfId="1640" xr:uid="{00000000-0005-0000-0000-0000F7050000}"/>
    <cellStyle name="Commentaire 2 4 24 3" xfId="1641" xr:uid="{00000000-0005-0000-0000-0000F8050000}"/>
    <cellStyle name="Commentaire 2 4 25" xfId="1642" xr:uid="{00000000-0005-0000-0000-0000F9050000}"/>
    <cellStyle name="Commentaire 2 4 25 2" xfId="1643" xr:uid="{00000000-0005-0000-0000-0000FA050000}"/>
    <cellStyle name="Commentaire 2 4 25 2 2" xfId="1644" xr:uid="{00000000-0005-0000-0000-0000FB050000}"/>
    <cellStyle name="Commentaire 2 4 25 3" xfId="1645" xr:uid="{00000000-0005-0000-0000-0000FC050000}"/>
    <cellStyle name="Commentaire 2 4 26" xfId="1646" xr:uid="{00000000-0005-0000-0000-0000FD050000}"/>
    <cellStyle name="Commentaire 2 4 26 2" xfId="1647" xr:uid="{00000000-0005-0000-0000-0000FE050000}"/>
    <cellStyle name="Commentaire 2 4 26 2 2" xfId="1648" xr:uid="{00000000-0005-0000-0000-0000FF050000}"/>
    <cellStyle name="Commentaire 2 4 26 3" xfId="1649" xr:uid="{00000000-0005-0000-0000-000000060000}"/>
    <cellStyle name="Commentaire 2 4 27" xfId="1650" xr:uid="{00000000-0005-0000-0000-000001060000}"/>
    <cellStyle name="Commentaire 2 4 27 2" xfId="1651" xr:uid="{00000000-0005-0000-0000-000002060000}"/>
    <cellStyle name="Commentaire 2 4 27 2 2" xfId="1652" xr:uid="{00000000-0005-0000-0000-000003060000}"/>
    <cellStyle name="Commentaire 2 4 27 3" xfId="1653" xr:uid="{00000000-0005-0000-0000-000004060000}"/>
    <cellStyle name="Commentaire 2 4 28" xfId="1654" xr:uid="{00000000-0005-0000-0000-000005060000}"/>
    <cellStyle name="Commentaire 2 4 28 2" xfId="1655" xr:uid="{00000000-0005-0000-0000-000006060000}"/>
    <cellStyle name="Commentaire 2 4 28 2 2" xfId="1656" xr:uid="{00000000-0005-0000-0000-000007060000}"/>
    <cellStyle name="Commentaire 2 4 28 3" xfId="1657" xr:uid="{00000000-0005-0000-0000-000008060000}"/>
    <cellStyle name="Commentaire 2 4 29" xfId="1658" xr:uid="{00000000-0005-0000-0000-000009060000}"/>
    <cellStyle name="Commentaire 2 4 29 2" xfId="1659" xr:uid="{00000000-0005-0000-0000-00000A060000}"/>
    <cellStyle name="Commentaire 2 4 3" xfId="122" xr:uid="{00000000-0005-0000-0000-00000B060000}"/>
    <cellStyle name="Commentaire 2 4 3 2" xfId="1660" xr:uid="{00000000-0005-0000-0000-00000C060000}"/>
    <cellStyle name="Commentaire 2 4 3 2 2" xfId="1661" xr:uid="{00000000-0005-0000-0000-00000D060000}"/>
    <cellStyle name="Commentaire 2 4 3 3" xfId="1662" xr:uid="{00000000-0005-0000-0000-00000E060000}"/>
    <cellStyle name="Commentaire 2 4 30" xfId="1663" xr:uid="{00000000-0005-0000-0000-00000F060000}"/>
    <cellStyle name="Commentaire 2 4 31" xfId="3600" xr:uid="{78B28B04-5A01-432A-8D3D-2C87A443DDC6}"/>
    <cellStyle name="Commentaire 2 4 4" xfId="1664" xr:uid="{00000000-0005-0000-0000-000010060000}"/>
    <cellStyle name="Commentaire 2 4 4 2" xfId="1665" xr:uid="{00000000-0005-0000-0000-000011060000}"/>
    <cellStyle name="Commentaire 2 4 4 2 2" xfId="1666" xr:uid="{00000000-0005-0000-0000-000012060000}"/>
    <cellStyle name="Commentaire 2 4 4 3" xfId="1667" xr:uid="{00000000-0005-0000-0000-000013060000}"/>
    <cellStyle name="Commentaire 2 4 5" xfId="1668" xr:uid="{00000000-0005-0000-0000-000014060000}"/>
    <cellStyle name="Commentaire 2 4 5 2" xfId="1669" xr:uid="{00000000-0005-0000-0000-000015060000}"/>
    <cellStyle name="Commentaire 2 4 5 2 2" xfId="1670" xr:uid="{00000000-0005-0000-0000-000016060000}"/>
    <cellStyle name="Commentaire 2 4 5 3" xfId="1671" xr:uid="{00000000-0005-0000-0000-000017060000}"/>
    <cellStyle name="Commentaire 2 4 6" xfId="1672" xr:uid="{00000000-0005-0000-0000-000018060000}"/>
    <cellStyle name="Commentaire 2 4 6 2" xfId="1673" xr:uid="{00000000-0005-0000-0000-000019060000}"/>
    <cellStyle name="Commentaire 2 4 6 2 2" xfId="1674" xr:uid="{00000000-0005-0000-0000-00001A060000}"/>
    <cellStyle name="Commentaire 2 4 6 3" xfId="1675" xr:uid="{00000000-0005-0000-0000-00001B060000}"/>
    <cellStyle name="Commentaire 2 4 7" xfId="1676" xr:uid="{00000000-0005-0000-0000-00001C060000}"/>
    <cellStyle name="Commentaire 2 4 7 2" xfId="1677" xr:uid="{00000000-0005-0000-0000-00001D060000}"/>
    <cellStyle name="Commentaire 2 4 7 2 2" xfId="1678" xr:uid="{00000000-0005-0000-0000-00001E060000}"/>
    <cellStyle name="Commentaire 2 4 7 3" xfId="1679" xr:uid="{00000000-0005-0000-0000-00001F060000}"/>
    <cellStyle name="Commentaire 2 4 8" xfId="1680" xr:uid="{00000000-0005-0000-0000-000020060000}"/>
    <cellStyle name="Commentaire 2 4 8 2" xfId="1681" xr:uid="{00000000-0005-0000-0000-000021060000}"/>
    <cellStyle name="Commentaire 2 4 8 2 2" xfId="1682" xr:uid="{00000000-0005-0000-0000-000022060000}"/>
    <cellStyle name="Commentaire 2 4 8 3" xfId="1683" xr:uid="{00000000-0005-0000-0000-000023060000}"/>
    <cellStyle name="Commentaire 2 4 9" xfId="1684" xr:uid="{00000000-0005-0000-0000-000024060000}"/>
    <cellStyle name="Commentaire 2 4 9 2" xfId="1685" xr:uid="{00000000-0005-0000-0000-000025060000}"/>
    <cellStyle name="Commentaire 2 4 9 2 2" xfId="1686" xr:uid="{00000000-0005-0000-0000-000026060000}"/>
    <cellStyle name="Commentaire 2 4 9 3" xfId="1687" xr:uid="{00000000-0005-0000-0000-000027060000}"/>
    <cellStyle name="Commentaire 2 5" xfId="76" xr:uid="{00000000-0005-0000-0000-000028060000}"/>
    <cellStyle name="Commentaire 2 5 10" xfId="1688" xr:uid="{00000000-0005-0000-0000-000029060000}"/>
    <cellStyle name="Commentaire 2 5 10 2" xfId="1689" xr:uid="{00000000-0005-0000-0000-00002A060000}"/>
    <cellStyle name="Commentaire 2 5 10 2 2" xfId="1690" xr:uid="{00000000-0005-0000-0000-00002B060000}"/>
    <cellStyle name="Commentaire 2 5 10 3" xfId="1691" xr:uid="{00000000-0005-0000-0000-00002C060000}"/>
    <cellStyle name="Commentaire 2 5 11" xfId="1692" xr:uid="{00000000-0005-0000-0000-00002D060000}"/>
    <cellStyle name="Commentaire 2 5 11 2" xfId="1693" xr:uid="{00000000-0005-0000-0000-00002E060000}"/>
    <cellStyle name="Commentaire 2 5 11 2 2" xfId="1694" xr:uid="{00000000-0005-0000-0000-00002F060000}"/>
    <cellStyle name="Commentaire 2 5 11 3" xfId="1695" xr:uid="{00000000-0005-0000-0000-000030060000}"/>
    <cellStyle name="Commentaire 2 5 12" xfId="1696" xr:uid="{00000000-0005-0000-0000-000031060000}"/>
    <cellStyle name="Commentaire 2 5 12 2" xfId="1697" xr:uid="{00000000-0005-0000-0000-000032060000}"/>
    <cellStyle name="Commentaire 2 5 12 2 2" xfId="1698" xr:uid="{00000000-0005-0000-0000-000033060000}"/>
    <cellStyle name="Commentaire 2 5 12 3" xfId="1699" xr:uid="{00000000-0005-0000-0000-000034060000}"/>
    <cellStyle name="Commentaire 2 5 13" xfId="1700" xr:uid="{00000000-0005-0000-0000-000035060000}"/>
    <cellStyle name="Commentaire 2 5 13 2" xfId="1701" xr:uid="{00000000-0005-0000-0000-000036060000}"/>
    <cellStyle name="Commentaire 2 5 13 2 2" xfId="1702" xr:uid="{00000000-0005-0000-0000-000037060000}"/>
    <cellStyle name="Commentaire 2 5 13 3" xfId="1703" xr:uid="{00000000-0005-0000-0000-000038060000}"/>
    <cellStyle name="Commentaire 2 5 14" xfId="1704" xr:uid="{00000000-0005-0000-0000-000039060000}"/>
    <cellStyle name="Commentaire 2 5 14 2" xfId="1705" xr:uid="{00000000-0005-0000-0000-00003A060000}"/>
    <cellStyle name="Commentaire 2 5 14 2 2" xfId="1706" xr:uid="{00000000-0005-0000-0000-00003B060000}"/>
    <cellStyle name="Commentaire 2 5 14 3" xfId="1707" xr:uid="{00000000-0005-0000-0000-00003C060000}"/>
    <cellStyle name="Commentaire 2 5 15" xfId="1708" xr:uid="{00000000-0005-0000-0000-00003D060000}"/>
    <cellStyle name="Commentaire 2 5 15 2" xfId="1709" xr:uid="{00000000-0005-0000-0000-00003E060000}"/>
    <cellStyle name="Commentaire 2 5 15 2 2" xfId="1710" xr:uid="{00000000-0005-0000-0000-00003F060000}"/>
    <cellStyle name="Commentaire 2 5 15 3" xfId="1711" xr:uid="{00000000-0005-0000-0000-000040060000}"/>
    <cellStyle name="Commentaire 2 5 16" xfId="1712" xr:uid="{00000000-0005-0000-0000-000041060000}"/>
    <cellStyle name="Commentaire 2 5 16 2" xfId="1713" xr:uid="{00000000-0005-0000-0000-000042060000}"/>
    <cellStyle name="Commentaire 2 5 16 2 2" xfId="1714" xr:uid="{00000000-0005-0000-0000-000043060000}"/>
    <cellStyle name="Commentaire 2 5 16 3" xfId="1715" xr:uid="{00000000-0005-0000-0000-000044060000}"/>
    <cellStyle name="Commentaire 2 5 17" xfId="1716" xr:uid="{00000000-0005-0000-0000-000045060000}"/>
    <cellStyle name="Commentaire 2 5 17 2" xfId="1717" xr:uid="{00000000-0005-0000-0000-000046060000}"/>
    <cellStyle name="Commentaire 2 5 17 2 2" xfId="1718" xr:uid="{00000000-0005-0000-0000-000047060000}"/>
    <cellStyle name="Commentaire 2 5 17 3" xfId="1719" xr:uid="{00000000-0005-0000-0000-000048060000}"/>
    <cellStyle name="Commentaire 2 5 18" xfId="1720" xr:uid="{00000000-0005-0000-0000-000049060000}"/>
    <cellStyle name="Commentaire 2 5 18 2" xfId="1721" xr:uid="{00000000-0005-0000-0000-00004A060000}"/>
    <cellStyle name="Commentaire 2 5 18 2 2" xfId="1722" xr:uid="{00000000-0005-0000-0000-00004B060000}"/>
    <cellStyle name="Commentaire 2 5 18 3" xfId="1723" xr:uid="{00000000-0005-0000-0000-00004C060000}"/>
    <cellStyle name="Commentaire 2 5 19" xfId="1724" xr:uid="{00000000-0005-0000-0000-00004D060000}"/>
    <cellStyle name="Commentaire 2 5 19 2" xfId="1725" xr:uid="{00000000-0005-0000-0000-00004E060000}"/>
    <cellStyle name="Commentaire 2 5 19 2 2" xfId="1726" xr:uid="{00000000-0005-0000-0000-00004F060000}"/>
    <cellStyle name="Commentaire 2 5 19 3" xfId="1727" xr:uid="{00000000-0005-0000-0000-000050060000}"/>
    <cellStyle name="Commentaire 2 5 2" xfId="1728" xr:uid="{00000000-0005-0000-0000-000051060000}"/>
    <cellStyle name="Commentaire 2 5 2 2" xfId="1729" xr:uid="{00000000-0005-0000-0000-000052060000}"/>
    <cellStyle name="Commentaire 2 5 2 2 2" xfId="1730" xr:uid="{00000000-0005-0000-0000-000053060000}"/>
    <cellStyle name="Commentaire 2 5 2 3" xfId="1731" xr:uid="{00000000-0005-0000-0000-000054060000}"/>
    <cellStyle name="Commentaire 2 5 20" xfId="1732" xr:uid="{00000000-0005-0000-0000-000055060000}"/>
    <cellStyle name="Commentaire 2 5 20 2" xfId="1733" xr:uid="{00000000-0005-0000-0000-000056060000}"/>
    <cellStyle name="Commentaire 2 5 20 2 2" xfId="1734" xr:uid="{00000000-0005-0000-0000-000057060000}"/>
    <cellStyle name="Commentaire 2 5 20 3" xfId="1735" xr:uid="{00000000-0005-0000-0000-000058060000}"/>
    <cellStyle name="Commentaire 2 5 21" xfId="1736" xr:uid="{00000000-0005-0000-0000-000059060000}"/>
    <cellStyle name="Commentaire 2 5 21 2" xfId="1737" xr:uid="{00000000-0005-0000-0000-00005A060000}"/>
    <cellStyle name="Commentaire 2 5 21 2 2" xfId="1738" xr:uid="{00000000-0005-0000-0000-00005B060000}"/>
    <cellStyle name="Commentaire 2 5 21 3" xfId="1739" xr:uid="{00000000-0005-0000-0000-00005C060000}"/>
    <cellStyle name="Commentaire 2 5 22" xfId="1740" xr:uid="{00000000-0005-0000-0000-00005D060000}"/>
    <cellStyle name="Commentaire 2 5 22 2" xfId="1741" xr:uid="{00000000-0005-0000-0000-00005E060000}"/>
    <cellStyle name="Commentaire 2 5 22 2 2" xfId="1742" xr:uid="{00000000-0005-0000-0000-00005F060000}"/>
    <cellStyle name="Commentaire 2 5 22 3" xfId="1743" xr:uid="{00000000-0005-0000-0000-000060060000}"/>
    <cellStyle name="Commentaire 2 5 23" xfId="1744" xr:uid="{00000000-0005-0000-0000-000061060000}"/>
    <cellStyle name="Commentaire 2 5 23 2" xfId="1745" xr:uid="{00000000-0005-0000-0000-000062060000}"/>
    <cellStyle name="Commentaire 2 5 23 2 2" xfId="1746" xr:uid="{00000000-0005-0000-0000-000063060000}"/>
    <cellStyle name="Commentaire 2 5 23 3" xfId="1747" xr:uid="{00000000-0005-0000-0000-000064060000}"/>
    <cellStyle name="Commentaire 2 5 24" xfId="1748" xr:uid="{00000000-0005-0000-0000-000065060000}"/>
    <cellStyle name="Commentaire 2 5 24 2" xfId="1749" xr:uid="{00000000-0005-0000-0000-000066060000}"/>
    <cellStyle name="Commentaire 2 5 24 2 2" xfId="1750" xr:uid="{00000000-0005-0000-0000-000067060000}"/>
    <cellStyle name="Commentaire 2 5 24 3" xfId="1751" xr:uid="{00000000-0005-0000-0000-000068060000}"/>
    <cellStyle name="Commentaire 2 5 25" xfId="1752" xr:uid="{00000000-0005-0000-0000-000069060000}"/>
    <cellStyle name="Commentaire 2 5 25 2" xfId="1753" xr:uid="{00000000-0005-0000-0000-00006A060000}"/>
    <cellStyle name="Commentaire 2 5 25 2 2" xfId="1754" xr:uid="{00000000-0005-0000-0000-00006B060000}"/>
    <cellStyle name="Commentaire 2 5 25 3" xfId="1755" xr:uid="{00000000-0005-0000-0000-00006C060000}"/>
    <cellStyle name="Commentaire 2 5 26" xfId="1756" xr:uid="{00000000-0005-0000-0000-00006D060000}"/>
    <cellStyle name="Commentaire 2 5 26 2" xfId="1757" xr:uid="{00000000-0005-0000-0000-00006E060000}"/>
    <cellStyle name="Commentaire 2 5 26 2 2" xfId="1758" xr:uid="{00000000-0005-0000-0000-00006F060000}"/>
    <cellStyle name="Commentaire 2 5 26 3" xfId="1759" xr:uid="{00000000-0005-0000-0000-000070060000}"/>
    <cellStyle name="Commentaire 2 5 27" xfId="1760" xr:uid="{00000000-0005-0000-0000-000071060000}"/>
    <cellStyle name="Commentaire 2 5 27 2" xfId="1761" xr:uid="{00000000-0005-0000-0000-000072060000}"/>
    <cellStyle name="Commentaire 2 5 27 2 2" xfId="1762" xr:uid="{00000000-0005-0000-0000-000073060000}"/>
    <cellStyle name="Commentaire 2 5 27 3" xfId="1763" xr:uid="{00000000-0005-0000-0000-000074060000}"/>
    <cellStyle name="Commentaire 2 5 28" xfId="1764" xr:uid="{00000000-0005-0000-0000-000075060000}"/>
    <cellStyle name="Commentaire 2 5 28 2" xfId="1765" xr:uid="{00000000-0005-0000-0000-000076060000}"/>
    <cellStyle name="Commentaire 2 5 28 2 2" xfId="1766" xr:uid="{00000000-0005-0000-0000-000077060000}"/>
    <cellStyle name="Commentaire 2 5 28 3" xfId="1767" xr:uid="{00000000-0005-0000-0000-000078060000}"/>
    <cellStyle name="Commentaire 2 5 29" xfId="1768" xr:uid="{00000000-0005-0000-0000-000079060000}"/>
    <cellStyle name="Commentaire 2 5 29 2" xfId="1769" xr:uid="{00000000-0005-0000-0000-00007A060000}"/>
    <cellStyle name="Commentaire 2 5 3" xfId="1770" xr:uid="{00000000-0005-0000-0000-00007B060000}"/>
    <cellStyle name="Commentaire 2 5 3 2" xfId="1771" xr:uid="{00000000-0005-0000-0000-00007C060000}"/>
    <cellStyle name="Commentaire 2 5 3 2 2" xfId="1772" xr:uid="{00000000-0005-0000-0000-00007D060000}"/>
    <cellStyle name="Commentaire 2 5 3 3" xfId="1773" xr:uid="{00000000-0005-0000-0000-00007E060000}"/>
    <cellStyle name="Commentaire 2 5 30" xfId="1774" xr:uid="{00000000-0005-0000-0000-00007F060000}"/>
    <cellStyle name="Commentaire 2 5 4" xfId="1775" xr:uid="{00000000-0005-0000-0000-000080060000}"/>
    <cellStyle name="Commentaire 2 5 4 2" xfId="1776" xr:uid="{00000000-0005-0000-0000-000081060000}"/>
    <cellStyle name="Commentaire 2 5 4 2 2" xfId="1777" xr:uid="{00000000-0005-0000-0000-000082060000}"/>
    <cellStyle name="Commentaire 2 5 4 3" xfId="1778" xr:uid="{00000000-0005-0000-0000-000083060000}"/>
    <cellStyle name="Commentaire 2 5 5" xfId="1779" xr:uid="{00000000-0005-0000-0000-000084060000}"/>
    <cellStyle name="Commentaire 2 5 5 2" xfId="1780" xr:uid="{00000000-0005-0000-0000-000085060000}"/>
    <cellStyle name="Commentaire 2 5 5 2 2" xfId="1781" xr:uid="{00000000-0005-0000-0000-000086060000}"/>
    <cellStyle name="Commentaire 2 5 5 3" xfId="1782" xr:uid="{00000000-0005-0000-0000-000087060000}"/>
    <cellStyle name="Commentaire 2 5 6" xfId="1783" xr:uid="{00000000-0005-0000-0000-000088060000}"/>
    <cellStyle name="Commentaire 2 5 6 2" xfId="1784" xr:uid="{00000000-0005-0000-0000-000089060000}"/>
    <cellStyle name="Commentaire 2 5 6 2 2" xfId="1785" xr:uid="{00000000-0005-0000-0000-00008A060000}"/>
    <cellStyle name="Commentaire 2 5 6 3" xfId="1786" xr:uid="{00000000-0005-0000-0000-00008B060000}"/>
    <cellStyle name="Commentaire 2 5 7" xfId="1787" xr:uid="{00000000-0005-0000-0000-00008C060000}"/>
    <cellStyle name="Commentaire 2 5 7 2" xfId="1788" xr:uid="{00000000-0005-0000-0000-00008D060000}"/>
    <cellStyle name="Commentaire 2 5 7 2 2" xfId="1789" xr:uid="{00000000-0005-0000-0000-00008E060000}"/>
    <cellStyle name="Commentaire 2 5 7 3" xfId="1790" xr:uid="{00000000-0005-0000-0000-00008F060000}"/>
    <cellStyle name="Commentaire 2 5 8" xfId="1791" xr:uid="{00000000-0005-0000-0000-000090060000}"/>
    <cellStyle name="Commentaire 2 5 8 2" xfId="1792" xr:uid="{00000000-0005-0000-0000-000091060000}"/>
    <cellStyle name="Commentaire 2 5 8 2 2" xfId="1793" xr:uid="{00000000-0005-0000-0000-000092060000}"/>
    <cellStyle name="Commentaire 2 5 8 3" xfId="1794" xr:uid="{00000000-0005-0000-0000-000093060000}"/>
    <cellStyle name="Commentaire 2 5 9" xfId="1795" xr:uid="{00000000-0005-0000-0000-000094060000}"/>
    <cellStyle name="Commentaire 2 5 9 2" xfId="1796" xr:uid="{00000000-0005-0000-0000-000095060000}"/>
    <cellStyle name="Commentaire 2 5 9 2 2" xfId="1797" xr:uid="{00000000-0005-0000-0000-000096060000}"/>
    <cellStyle name="Commentaire 2 5 9 3" xfId="1798" xr:uid="{00000000-0005-0000-0000-000097060000}"/>
    <cellStyle name="Commentaire 2 6" xfId="119" xr:uid="{00000000-0005-0000-0000-000098060000}"/>
    <cellStyle name="Commentaire 2 6 10" xfId="1799" xr:uid="{00000000-0005-0000-0000-000099060000}"/>
    <cellStyle name="Commentaire 2 6 10 2" xfId="1800" xr:uid="{00000000-0005-0000-0000-00009A060000}"/>
    <cellStyle name="Commentaire 2 6 10 2 2" xfId="1801" xr:uid="{00000000-0005-0000-0000-00009B060000}"/>
    <cellStyle name="Commentaire 2 6 10 3" xfId="1802" xr:uid="{00000000-0005-0000-0000-00009C060000}"/>
    <cellStyle name="Commentaire 2 6 11" xfId="1803" xr:uid="{00000000-0005-0000-0000-00009D060000}"/>
    <cellStyle name="Commentaire 2 6 11 2" xfId="1804" xr:uid="{00000000-0005-0000-0000-00009E060000}"/>
    <cellStyle name="Commentaire 2 6 11 2 2" xfId="1805" xr:uid="{00000000-0005-0000-0000-00009F060000}"/>
    <cellStyle name="Commentaire 2 6 11 3" xfId="1806" xr:uid="{00000000-0005-0000-0000-0000A0060000}"/>
    <cellStyle name="Commentaire 2 6 12" xfId="1807" xr:uid="{00000000-0005-0000-0000-0000A1060000}"/>
    <cellStyle name="Commentaire 2 6 12 2" xfId="1808" xr:uid="{00000000-0005-0000-0000-0000A2060000}"/>
    <cellStyle name="Commentaire 2 6 12 2 2" xfId="1809" xr:uid="{00000000-0005-0000-0000-0000A3060000}"/>
    <cellStyle name="Commentaire 2 6 12 3" xfId="1810" xr:uid="{00000000-0005-0000-0000-0000A4060000}"/>
    <cellStyle name="Commentaire 2 6 13" xfId="1811" xr:uid="{00000000-0005-0000-0000-0000A5060000}"/>
    <cellStyle name="Commentaire 2 6 13 2" xfId="1812" xr:uid="{00000000-0005-0000-0000-0000A6060000}"/>
    <cellStyle name="Commentaire 2 6 13 2 2" xfId="1813" xr:uid="{00000000-0005-0000-0000-0000A7060000}"/>
    <cellStyle name="Commentaire 2 6 13 3" xfId="1814" xr:uid="{00000000-0005-0000-0000-0000A8060000}"/>
    <cellStyle name="Commentaire 2 6 14" xfId="1815" xr:uid="{00000000-0005-0000-0000-0000A9060000}"/>
    <cellStyle name="Commentaire 2 6 14 2" xfId="1816" xr:uid="{00000000-0005-0000-0000-0000AA060000}"/>
    <cellStyle name="Commentaire 2 6 14 2 2" xfId="1817" xr:uid="{00000000-0005-0000-0000-0000AB060000}"/>
    <cellStyle name="Commentaire 2 6 14 3" xfId="1818" xr:uid="{00000000-0005-0000-0000-0000AC060000}"/>
    <cellStyle name="Commentaire 2 6 15" xfId="1819" xr:uid="{00000000-0005-0000-0000-0000AD060000}"/>
    <cellStyle name="Commentaire 2 6 15 2" xfId="1820" xr:uid="{00000000-0005-0000-0000-0000AE060000}"/>
    <cellStyle name="Commentaire 2 6 15 2 2" xfId="1821" xr:uid="{00000000-0005-0000-0000-0000AF060000}"/>
    <cellStyle name="Commentaire 2 6 15 3" xfId="1822" xr:uid="{00000000-0005-0000-0000-0000B0060000}"/>
    <cellStyle name="Commentaire 2 6 16" xfId="1823" xr:uid="{00000000-0005-0000-0000-0000B1060000}"/>
    <cellStyle name="Commentaire 2 6 16 2" xfId="1824" xr:uid="{00000000-0005-0000-0000-0000B2060000}"/>
    <cellStyle name="Commentaire 2 6 16 2 2" xfId="1825" xr:uid="{00000000-0005-0000-0000-0000B3060000}"/>
    <cellStyle name="Commentaire 2 6 16 3" xfId="1826" xr:uid="{00000000-0005-0000-0000-0000B4060000}"/>
    <cellStyle name="Commentaire 2 6 17" xfId="1827" xr:uid="{00000000-0005-0000-0000-0000B5060000}"/>
    <cellStyle name="Commentaire 2 6 17 2" xfId="1828" xr:uid="{00000000-0005-0000-0000-0000B6060000}"/>
    <cellStyle name="Commentaire 2 6 17 2 2" xfId="1829" xr:uid="{00000000-0005-0000-0000-0000B7060000}"/>
    <cellStyle name="Commentaire 2 6 17 3" xfId="1830" xr:uid="{00000000-0005-0000-0000-0000B8060000}"/>
    <cellStyle name="Commentaire 2 6 18" xfId="1831" xr:uid="{00000000-0005-0000-0000-0000B9060000}"/>
    <cellStyle name="Commentaire 2 6 18 2" xfId="1832" xr:uid="{00000000-0005-0000-0000-0000BA060000}"/>
    <cellStyle name="Commentaire 2 6 18 2 2" xfId="1833" xr:uid="{00000000-0005-0000-0000-0000BB060000}"/>
    <cellStyle name="Commentaire 2 6 18 3" xfId="1834" xr:uid="{00000000-0005-0000-0000-0000BC060000}"/>
    <cellStyle name="Commentaire 2 6 19" xfId="1835" xr:uid="{00000000-0005-0000-0000-0000BD060000}"/>
    <cellStyle name="Commentaire 2 6 19 2" xfId="1836" xr:uid="{00000000-0005-0000-0000-0000BE060000}"/>
    <cellStyle name="Commentaire 2 6 19 2 2" xfId="1837" xr:uid="{00000000-0005-0000-0000-0000BF060000}"/>
    <cellStyle name="Commentaire 2 6 19 3" xfId="1838" xr:uid="{00000000-0005-0000-0000-0000C0060000}"/>
    <cellStyle name="Commentaire 2 6 2" xfId="1839" xr:uid="{00000000-0005-0000-0000-0000C1060000}"/>
    <cellStyle name="Commentaire 2 6 2 2" xfId="1840" xr:uid="{00000000-0005-0000-0000-0000C2060000}"/>
    <cellStyle name="Commentaire 2 6 2 2 2" xfId="1841" xr:uid="{00000000-0005-0000-0000-0000C3060000}"/>
    <cellStyle name="Commentaire 2 6 2 3" xfId="1842" xr:uid="{00000000-0005-0000-0000-0000C4060000}"/>
    <cellStyle name="Commentaire 2 6 20" xfId="1843" xr:uid="{00000000-0005-0000-0000-0000C5060000}"/>
    <cellStyle name="Commentaire 2 6 20 2" xfId="1844" xr:uid="{00000000-0005-0000-0000-0000C6060000}"/>
    <cellStyle name="Commentaire 2 6 20 2 2" xfId="1845" xr:uid="{00000000-0005-0000-0000-0000C7060000}"/>
    <cellStyle name="Commentaire 2 6 20 3" xfId="1846" xr:uid="{00000000-0005-0000-0000-0000C8060000}"/>
    <cellStyle name="Commentaire 2 6 21" xfId="1847" xr:uid="{00000000-0005-0000-0000-0000C9060000}"/>
    <cellStyle name="Commentaire 2 6 21 2" xfId="1848" xr:uid="{00000000-0005-0000-0000-0000CA060000}"/>
    <cellStyle name="Commentaire 2 6 21 2 2" xfId="1849" xr:uid="{00000000-0005-0000-0000-0000CB060000}"/>
    <cellStyle name="Commentaire 2 6 21 3" xfId="1850" xr:uid="{00000000-0005-0000-0000-0000CC060000}"/>
    <cellStyle name="Commentaire 2 6 22" xfId="1851" xr:uid="{00000000-0005-0000-0000-0000CD060000}"/>
    <cellStyle name="Commentaire 2 6 22 2" xfId="1852" xr:uid="{00000000-0005-0000-0000-0000CE060000}"/>
    <cellStyle name="Commentaire 2 6 22 2 2" xfId="1853" xr:uid="{00000000-0005-0000-0000-0000CF060000}"/>
    <cellStyle name="Commentaire 2 6 22 3" xfId="1854" xr:uid="{00000000-0005-0000-0000-0000D0060000}"/>
    <cellStyle name="Commentaire 2 6 23" xfId="1855" xr:uid="{00000000-0005-0000-0000-0000D1060000}"/>
    <cellStyle name="Commentaire 2 6 23 2" xfId="1856" xr:uid="{00000000-0005-0000-0000-0000D2060000}"/>
    <cellStyle name="Commentaire 2 6 23 2 2" xfId="1857" xr:uid="{00000000-0005-0000-0000-0000D3060000}"/>
    <cellStyle name="Commentaire 2 6 23 3" xfId="1858" xr:uid="{00000000-0005-0000-0000-0000D4060000}"/>
    <cellStyle name="Commentaire 2 6 24" xfId="1859" xr:uid="{00000000-0005-0000-0000-0000D5060000}"/>
    <cellStyle name="Commentaire 2 6 24 2" xfId="1860" xr:uid="{00000000-0005-0000-0000-0000D6060000}"/>
    <cellStyle name="Commentaire 2 6 24 2 2" xfId="1861" xr:uid="{00000000-0005-0000-0000-0000D7060000}"/>
    <cellStyle name="Commentaire 2 6 24 3" xfId="1862" xr:uid="{00000000-0005-0000-0000-0000D8060000}"/>
    <cellStyle name="Commentaire 2 6 25" xfId="1863" xr:uid="{00000000-0005-0000-0000-0000D9060000}"/>
    <cellStyle name="Commentaire 2 6 25 2" xfId="1864" xr:uid="{00000000-0005-0000-0000-0000DA060000}"/>
    <cellStyle name="Commentaire 2 6 25 2 2" xfId="1865" xr:uid="{00000000-0005-0000-0000-0000DB060000}"/>
    <cellStyle name="Commentaire 2 6 25 3" xfId="1866" xr:uid="{00000000-0005-0000-0000-0000DC060000}"/>
    <cellStyle name="Commentaire 2 6 26" xfId="1867" xr:uid="{00000000-0005-0000-0000-0000DD060000}"/>
    <cellStyle name="Commentaire 2 6 26 2" xfId="1868" xr:uid="{00000000-0005-0000-0000-0000DE060000}"/>
    <cellStyle name="Commentaire 2 6 26 2 2" xfId="1869" xr:uid="{00000000-0005-0000-0000-0000DF060000}"/>
    <cellStyle name="Commentaire 2 6 26 3" xfId="1870" xr:uid="{00000000-0005-0000-0000-0000E0060000}"/>
    <cellStyle name="Commentaire 2 6 27" xfId="1871" xr:uid="{00000000-0005-0000-0000-0000E1060000}"/>
    <cellStyle name="Commentaire 2 6 27 2" xfId="1872" xr:uid="{00000000-0005-0000-0000-0000E2060000}"/>
    <cellStyle name="Commentaire 2 6 27 2 2" xfId="1873" xr:uid="{00000000-0005-0000-0000-0000E3060000}"/>
    <cellStyle name="Commentaire 2 6 27 3" xfId="1874" xr:uid="{00000000-0005-0000-0000-0000E4060000}"/>
    <cellStyle name="Commentaire 2 6 28" xfId="1875" xr:uid="{00000000-0005-0000-0000-0000E5060000}"/>
    <cellStyle name="Commentaire 2 6 28 2" xfId="1876" xr:uid="{00000000-0005-0000-0000-0000E6060000}"/>
    <cellStyle name="Commentaire 2 6 29" xfId="1877" xr:uid="{00000000-0005-0000-0000-0000E7060000}"/>
    <cellStyle name="Commentaire 2 6 3" xfId="1878" xr:uid="{00000000-0005-0000-0000-0000E8060000}"/>
    <cellStyle name="Commentaire 2 6 3 2" xfId="1879" xr:uid="{00000000-0005-0000-0000-0000E9060000}"/>
    <cellStyle name="Commentaire 2 6 3 2 2" xfId="1880" xr:uid="{00000000-0005-0000-0000-0000EA060000}"/>
    <cellStyle name="Commentaire 2 6 3 3" xfId="1881" xr:uid="{00000000-0005-0000-0000-0000EB060000}"/>
    <cellStyle name="Commentaire 2 6 4" xfId="1882" xr:uid="{00000000-0005-0000-0000-0000EC060000}"/>
    <cellStyle name="Commentaire 2 6 4 2" xfId="1883" xr:uid="{00000000-0005-0000-0000-0000ED060000}"/>
    <cellStyle name="Commentaire 2 6 4 2 2" xfId="1884" xr:uid="{00000000-0005-0000-0000-0000EE060000}"/>
    <cellStyle name="Commentaire 2 6 4 3" xfId="1885" xr:uid="{00000000-0005-0000-0000-0000EF060000}"/>
    <cellStyle name="Commentaire 2 6 5" xfId="1886" xr:uid="{00000000-0005-0000-0000-0000F0060000}"/>
    <cellStyle name="Commentaire 2 6 5 2" xfId="1887" xr:uid="{00000000-0005-0000-0000-0000F1060000}"/>
    <cellStyle name="Commentaire 2 6 5 2 2" xfId="1888" xr:uid="{00000000-0005-0000-0000-0000F2060000}"/>
    <cellStyle name="Commentaire 2 6 5 3" xfId="1889" xr:uid="{00000000-0005-0000-0000-0000F3060000}"/>
    <cellStyle name="Commentaire 2 6 6" xfId="1890" xr:uid="{00000000-0005-0000-0000-0000F4060000}"/>
    <cellStyle name="Commentaire 2 6 6 2" xfId="1891" xr:uid="{00000000-0005-0000-0000-0000F5060000}"/>
    <cellStyle name="Commentaire 2 6 6 2 2" xfId="1892" xr:uid="{00000000-0005-0000-0000-0000F6060000}"/>
    <cellStyle name="Commentaire 2 6 6 3" xfId="1893" xr:uid="{00000000-0005-0000-0000-0000F7060000}"/>
    <cellStyle name="Commentaire 2 6 7" xfId="1894" xr:uid="{00000000-0005-0000-0000-0000F8060000}"/>
    <cellStyle name="Commentaire 2 6 7 2" xfId="1895" xr:uid="{00000000-0005-0000-0000-0000F9060000}"/>
    <cellStyle name="Commentaire 2 6 7 2 2" xfId="1896" xr:uid="{00000000-0005-0000-0000-0000FA060000}"/>
    <cellStyle name="Commentaire 2 6 7 3" xfId="1897" xr:uid="{00000000-0005-0000-0000-0000FB060000}"/>
    <cellStyle name="Commentaire 2 6 8" xfId="1898" xr:uid="{00000000-0005-0000-0000-0000FC060000}"/>
    <cellStyle name="Commentaire 2 6 8 2" xfId="1899" xr:uid="{00000000-0005-0000-0000-0000FD060000}"/>
    <cellStyle name="Commentaire 2 6 8 2 2" xfId="1900" xr:uid="{00000000-0005-0000-0000-0000FE060000}"/>
    <cellStyle name="Commentaire 2 6 8 3" xfId="1901" xr:uid="{00000000-0005-0000-0000-0000FF060000}"/>
    <cellStyle name="Commentaire 2 6 9" xfId="1902" xr:uid="{00000000-0005-0000-0000-000000070000}"/>
    <cellStyle name="Commentaire 2 6 9 2" xfId="1903" xr:uid="{00000000-0005-0000-0000-000001070000}"/>
    <cellStyle name="Commentaire 2 6 9 2 2" xfId="1904" xr:uid="{00000000-0005-0000-0000-000002070000}"/>
    <cellStyle name="Commentaire 2 6 9 3" xfId="1905" xr:uid="{00000000-0005-0000-0000-000003070000}"/>
    <cellStyle name="Commentaire 2 7" xfId="1906" xr:uid="{00000000-0005-0000-0000-000004070000}"/>
    <cellStyle name="Commentaire 2 7 2" xfId="1907" xr:uid="{00000000-0005-0000-0000-000005070000}"/>
    <cellStyle name="Commentaire 2 7 2 2" xfId="1908" xr:uid="{00000000-0005-0000-0000-000006070000}"/>
    <cellStyle name="Commentaire 2 7 3" xfId="1909" xr:uid="{00000000-0005-0000-0000-000007070000}"/>
    <cellStyle name="Commentaire 2 8" xfId="1910" xr:uid="{00000000-0005-0000-0000-000008070000}"/>
    <cellStyle name="Commentaire 2 8 2" xfId="1911" xr:uid="{00000000-0005-0000-0000-000009070000}"/>
    <cellStyle name="Commentaire 2 8 2 2" xfId="1912" xr:uid="{00000000-0005-0000-0000-00000A070000}"/>
    <cellStyle name="Commentaire 2 8 3" xfId="1913" xr:uid="{00000000-0005-0000-0000-00000B070000}"/>
    <cellStyle name="Commentaire 2 9" xfId="1914" xr:uid="{00000000-0005-0000-0000-00000C070000}"/>
    <cellStyle name="Commentaire 2 9 2" xfId="1915" xr:uid="{00000000-0005-0000-0000-00000D070000}"/>
    <cellStyle name="Commentaire 2 9 2 2" xfId="1916" xr:uid="{00000000-0005-0000-0000-00000E070000}"/>
    <cellStyle name="Commentaire 2 9 3" xfId="1917" xr:uid="{00000000-0005-0000-0000-00000F070000}"/>
    <cellStyle name="Commentaire 3" xfId="31" xr:uid="{00000000-0005-0000-0000-000010070000}"/>
    <cellStyle name="Commentaire 3 2" xfId="80" xr:uid="{00000000-0005-0000-0000-000011070000}"/>
    <cellStyle name="Commentaire 3 2 2" xfId="1918" xr:uid="{00000000-0005-0000-0000-000012070000}"/>
    <cellStyle name="Commentaire 3 2 3" xfId="1919" xr:uid="{00000000-0005-0000-0000-000013070000}"/>
    <cellStyle name="Commentaire 3 2 4" xfId="1920" xr:uid="{00000000-0005-0000-0000-000014070000}"/>
    <cellStyle name="Commentaire 3 2 5" xfId="3736" xr:uid="{B5A9B2FE-C303-485A-8848-905C471D64B6}"/>
    <cellStyle name="Commentaire 3 3" xfId="123" xr:uid="{00000000-0005-0000-0000-000015070000}"/>
    <cellStyle name="Commentaire 3 3 2" xfId="3651" xr:uid="{8CE2F9ED-BE3F-4161-8842-3D446D4FEE94}"/>
    <cellStyle name="Commentaire 3 4" xfId="1921" xr:uid="{00000000-0005-0000-0000-000016070000}"/>
    <cellStyle name="Commentaire 3 5" xfId="1922" xr:uid="{00000000-0005-0000-0000-000017070000}"/>
    <cellStyle name="Commentaire 3 6" xfId="3573" xr:uid="{83A288FC-C0CA-4F87-B1E8-A28BEB6A092A}"/>
    <cellStyle name="Commentaire 4" xfId="1923" xr:uid="{00000000-0005-0000-0000-000018070000}"/>
    <cellStyle name="Commentaire 4 2" xfId="1924" xr:uid="{00000000-0005-0000-0000-000019070000}"/>
    <cellStyle name="Commentaire 4 2 2" xfId="1925" xr:uid="{00000000-0005-0000-0000-00001A070000}"/>
    <cellStyle name="Commentaire 4 2 3" xfId="1926" xr:uid="{00000000-0005-0000-0000-00001B070000}"/>
    <cellStyle name="Commentaire 4 2 4" xfId="1927" xr:uid="{00000000-0005-0000-0000-00001C070000}"/>
    <cellStyle name="Commentaire 4 3" xfId="1928" xr:uid="{00000000-0005-0000-0000-00001D070000}"/>
    <cellStyle name="Commentaire 4 4" xfId="1929" xr:uid="{00000000-0005-0000-0000-00001E070000}"/>
    <cellStyle name="Commentaire 4 5" xfId="1930" xr:uid="{00000000-0005-0000-0000-00001F070000}"/>
    <cellStyle name="Commentaire 5" xfId="1931" xr:uid="{00000000-0005-0000-0000-000020070000}"/>
    <cellStyle name="Commentaire 5 2" xfId="1932" xr:uid="{00000000-0005-0000-0000-000021070000}"/>
    <cellStyle name="Commentaire 5 2 2" xfId="1933" xr:uid="{00000000-0005-0000-0000-000022070000}"/>
    <cellStyle name="Commentaire 5 2 3" xfId="1934" xr:uid="{00000000-0005-0000-0000-000023070000}"/>
    <cellStyle name="Commentaire 5 2 4" xfId="1935" xr:uid="{00000000-0005-0000-0000-000024070000}"/>
    <cellStyle name="Commentaire 5 3" xfId="1936" xr:uid="{00000000-0005-0000-0000-000025070000}"/>
    <cellStyle name="Commentaire 5 4" xfId="1937" xr:uid="{00000000-0005-0000-0000-000026070000}"/>
    <cellStyle name="Commentaire 5 5" xfId="1938" xr:uid="{00000000-0005-0000-0000-000027070000}"/>
    <cellStyle name="Commentaire 6" xfId="1939" xr:uid="{00000000-0005-0000-0000-000028070000}"/>
    <cellStyle name="Commentaire 6 2" xfId="1940" xr:uid="{00000000-0005-0000-0000-000029070000}"/>
    <cellStyle name="Commentaire 6 3" xfId="1941" xr:uid="{00000000-0005-0000-0000-00002A070000}"/>
    <cellStyle name="Commentaire 6 4" xfId="1942" xr:uid="{00000000-0005-0000-0000-00002B070000}"/>
    <cellStyle name="Commentaire 7" xfId="1943" xr:uid="{00000000-0005-0000-0000-00002C070000}"/>
    <cellStyle name="Commentaire 7 2" xfId="1944" xr:uid="{00000000-0005-0000-0000-00002D070000}"/>
    <cellStyle name="Commentaire 7 3" xfId="1945" xr:uid="{00000000-0005-0000-0000-00002E070000}"/>
    <cellStyle name="Commentaire 7 4" xfId="1946" xr:uid="{00000000-0005-0000-0000-00002F070000}"/>
    <cellStyle name="Commentaire 8" xfId="1947" xr:uid="{00000000-0005-0000-0000-000030070000}"/>
    <cellStyle name="Commentaire 8 2" xfId="1948" xr:uid="{00000000-0005-0000-0000-000031070000}"/>
    <cellStyle name="Commentaire 8 3" xfId="1949" xr:uid="{00000000-0005-0000-0000-000032070000}"/>
    <cellStyle name="Commentaire 8 4" xfId="1950" xr:uid="{00000000-0005-0000-0000-000033070000}"/>
    <cellStyle name="Commentaire 9" xfId="1951" xr:uid="{00000000-0005-0000-0000-000034070000}"/>
    <cellStyle name="Commentaire 9 2" xfId="1952" xr:uid="{00000000-0005-0000-0000-000035070000}"/>
    <cellStyle name="Commentaire 9 3" xfId="1953" xr:uid="{00000000-0005-0000-0000-000036070000}"/>
    <cellStyle name="Currency" xfId="156" builtinId="4"/>
    <cellStyle name="Entrée 2" xfId="32" xr:uid="{00000000-0005-0000-0000-000037070000}"/>
    <cellStyle name="Entrée 2 10" xfId="1954" xr:uid="{00000000-0005-0000-0000-000038070000}"/>
    <cellStyle name="Entrée 2 10 2" xfId="1955" xr:uid="{00000000-0005-0000-0000-000039070000}"/>
    <cellStyle name="Entrée 2 11" xfId="1956" xr:uid="{00000000-0005-0000-0000-00003A070000}"/>
    <cellStyle name="Entrée 2 11 2" xfId="1957" xr:uid="{00000000-0005-0000-0000-00003B070000}"/>
    <cellStyle name="Entrée 2 12" xfId="1958" xr:uid="{00000000-0005-0000-0000-00003C070000}"/>
    <cellStyle name="Entrée 2 12 2" xfId="1959" xr:uid="{00000000-0005-0000-0000-00003D070000}"/>
    <cellStyle name="Entrée 2 13" xfId="1960" xr:uid="{00000000-0005-0000-0000-00003E070000}"/>
    <cellStyle name="Entrée 2 13 2" xfId="1961" xr:uid="{00000000-0005-0000-0000-00003F070000}"/>
    <cellStyle name="Entrée 2 14" xfId="3569" xr:uid="{CA9FFE1C-176F-43F2-836D-600F7138E208}"/>
    <cellStyle name="Entrée 2 2" xfId="33" xr:uid="{00000000-0005-0000-0000-000040070000}"/>
    <cellStyle name="Entrée 2 2 10" xfId="1962" xr:uid="{00000000-0005-0000-0000-000041070000}"/>
    <cellStyle name="Entrée 2 2 10 2" xfId="1963" xr:uid="{00000000-0005-0000-0000-000042070000}"/>
    <cellStyle name="Entrée 2 2 11" xfId="1964" xr:uid="{00000000-0005-0000-0000-000043070000}"/>
    <cellStyle name="Entrée 2 2 11 2" xfId="1965" xr:uid="{00000000-0005-0000-0000-000044070000}"/>
    <cellStyle name="Entrée 2 2 12" xfId="1966" xr:uid="{00000000-0005-0000-0000-000045070000}"/>
    <cellStyle name="Entrée 2 2 12 2" xfId="1967" xr:uid="{00000000-0005-0000-0000-000046070000}"/>
    <cellStyle name="Entrée 2 2 13" xfId="3584" xr:uid="{D64B3A75-245A-4F62-A6B4-7D3A9B2F3617}"/>
    <cellStyle name="Entrée 2 2 2" xfId="82" xr:uid="{00000000-0005-0000-0000-000047070000}"/>
    <cellStyle name="Entrée 2 2 2 10" xfId="1968" xr:uid="{00000000-0005-0000-0000-000048070000}"/>
    <cellStyle name="Entrée 2 2 2 10 2" xfId="1969" xr:uid="{00000000-0005-0000-0000-000049070000}"/>
    <cellStyle name="Entrée 2 2 2 11" xfId="1970" xr:uid="{00000000-0005-0000-0000-00004A070000}"/>
    <cellStyle name="Entrée 2 2 2 11 2" xfId="1971" xr:uid="{00000000-0005-0000-0000-00004B070000}"/>
    <cellStyle name="Entrée 2 2 2 12" xfId="1972" xr:uid="{00000000-0005-0000-0000-00004C070000}"/>
    <cellStyle name="Entrée 2 2 2 12 2" xfId="1973" xr:uid="{00000000-0005-0000-0000-00004D070000}"/>
    <cellStyle name="Entrée 2 2 2 13" xfId="1974" xr:uid="{00000000-0005-0000-0000-00004E070000}"/>
    <cellStyle name="Entrée 2 2 2 13 2" xfId="1975" xr:uid="{00000000-0005-0000-0000-00004F070000}"/>
    <cellStyle name="Entrée 2 2 2 14" xfId="1976" xr:uid="{00000000-0005-0000-0000-000050070000}"/>
    <cellStyle name="Entrée 2 2 2 14 2" xfId="1977" xr:uid="{00000000-0005-0000-0000-000051070000}"/>
    <cellStyle name="Entrée 2 2 2 15" xfId="1978" xr:uid="{00000000-0005-0000-0000-000052070000}"/>
    <cellStyle name="Entrée 2 2 2 15 2" xfId="1979" xr:uid="{00000000-0005-0000-0000-000053070000}"/>
    <cellStyle name="Entrée 2 2 2 16" xfId="1980" xr:uid="{00000000-0005-0000-0000-000054070000}"/>
    <cellStyle name="Entrée 2 2 2 16 2" xfId="1981" xr:uid="{00000000-0005-0000-0000-000055070000}"/>
    <cellStyle name="Entrée 2 2 2 17" xfId="1982" xr:uid="{00000000-0005-0000-0000-000056070000}"/>
    <cellStyle name="Entrée 2 2 2 17 2" xfId="1983" xr:uid="{00000000-0005-0000-0000-000057070000}"/>
    <cellStyle name="Entrée 2 2 2 18" xfId="1984" xr:uid="{00000000-0005-0000-0000-000058070000}"/>
    <cellStyle name="Entrée 2 2 2 18 2" xfId="1985" xr:uid="{00000000-0005-0000-0000-000059070000}"/>
    <cellStyle name="Entrée 2 2 2 19" xfId="1986" xr:uid="{00000000-0005-0000-0000-00005A070000}"/>
    <cellStyle name="Entrée 2 2 2 19 2" xfId="1987" xr:uid="{00000000-0005-0000-0000-00005B070000}"/>
    <cellStyle name="Entrée 2 2 2 2" xfId="1988" xr:uid="{00000000-0005-0000-0000-00005C070000}"/>
    <cellStyle name="Entrée 2 2 2 2 2" xfId="1989" xr:uid="{00000000-0005-0000-0000-00005D070000}"/>
    <cellStyle name="Entrée 2 2 2 20" xfId="1990" xr:uid="{00000000-0005-0000-0000-00005E070000}"/>
    <cellStyle name="Entrée 2 2 2 20 2" xfId="1991" xr:uid="{00000000-0005-0000-0000-00005F070000}"/>
    <cellStyle name="Entrée 2 2 2 21" xfId="1992" xr:uid="{00000000-0005-0000-0000-000060070000}"/>
    <cellStyle name="Entrée 2 2 2 21 2" xfId="1993" xr:uid="{00000000-0005-0000-0000-000061070000}"/>
    <cellStyle name="Entrée 2 2 2 22" xfId="1994" xr:uid="{00000000-0005-0000-0000-000062070000}"/>
    <cellStyle name="Entrée 2 2 2 22 2" xfId="1995" xr:uid="{00000000-0005-0000-0000-000063070000}"/>
    <cellStyle name="Entrée 2 2 2 23" xfId="1996" xr:uid="{00000000-0005-0000-0000-000064070000}"/>
    <cellStyle name="Entrée 2 2 2 23 2" xfId="1997" xr:uid="{00000000-0005-0000-0000-000065070000}"/>
    <cellStyle name="Entrée 2 2 2 24" xfId="1998" xr:uid="{00000000-0005-0000-0000-000066070000}"/>
    <cellStyle name="Entrée 2 2 2 24 2" xfId="1999" xr:uid="{00000000-0005-0000-0000-000067070000}"/>
    <cellStyle name="Entrée 2 2 2 25" xfId="2000" xr:uid="{00000000-0005-0000-0000-000068070000}"/>
    <cellStyle name="Entrée 2 2 2 25 2" xfId="2001" xr:uid="{00000000-0005-0000-0000-000069070000}"/>
    <cellStyle name="Entrée 2 2 2 26" xfId="2002" xr:uid="{00000000-0005-0000-0000-00006A070000}"/>
    <cellStyle name="Entrée 2 2 2 26 2" xfId="2003" xr:uid="{00000000-0005-0000-0000-00006B070000}"/>
    <cellStyle name="Entrée 2 2 2 27" xfId="2004" xr:uid="{00000000-0005-0000-0000-00006C070000}"/>
    <cellStyle name="Entrée 2 2 2 27 2" xfId="2005" xr:uid="{00000000-0005-0000-0000-00006D070000}"/>
    <cellStyle name="Entrée 2 2 2 28" xfId="2006" xr:uid="{00000000-0005-0000-0000-00006E070000}"/>
    <cellStyle name="Entrée 2 2 2 28 2" xfId="2007" xr:uid="{00000000-0005-0000-0000-00006F070000}"/>
    <cellStyle name="Entrée 2 2 2 29" xfId="2008" xr:uid="{00000000-0005-0000-0000-000070070000}"/>
    <cellStyle name="Entrée 2 2 2 3" xfId="2009" xr:uid="{00000000-0005-0000-0000-000071070000}"/>
    <cellStyle name="Entrée 2 2 2 3 2" xfId="2010" xr:uid="{00000000-0005-0000-0000-000072070000}"/>
    <cellStyle name="Entrée 2 2 2 4" xfId="2011" xr:uid="{00000000-0005-0000-0000-000073070000}"/>
    <cellStyle name="Entrée 2 2 2 4 2" xfId="2012" xr:uid="{00000000-0005-0000-0000-000074070000}"/>
    <cellStyle name="Entrée 2 2 2 5" xfId="2013" xr:uid="{00000000-0005-0000-0000-000075070000}"/>
    <cellStyle name="Entrée 2 2 2 5 2" xfId="2014" xr:uid="{00000000-0005-0000-0000-000076070000}"/>
    <cellStyle name="Entrée 2 2 2 6" xfId="2015" xr:uid="{00000000-0005-0000-0000-000077070000}"/>
    <cellStyle name="Entrée 2 2 2 6 2" xfId="2016" xr:uid="{00000000-0005-0000-0000-000078070000}"/>
    <cellStyle name="Entrée 2 2 2 7" xfId="2017" xr:uid="{00000000-0005-0000-0000-000079070000}"/>
    <cellStyle name="Entrée 2 2 2 7 2" xfId="2018" xr:uid="{00000000-0005-0000-0000-00007A070000}"/>
    <cellStyle name="Entrée 2 2 2 8" xfId="2019" xr:uid="{00000000-0005-0000-0000-00007B070000}"/>
    <cellStyle name="Entrée 2 2 2 8 2" xfId="2020" xr:uid="{00000000-0005-0000-0000-00007C070000}"/>
    <cellStyle name="Entrée 2 2 2 9" xfId="2021" xr:uid="{00000000-0005-0000-0000-00007D070000}"/>
    <cellStyle name="Entrée 2 2 2 9 2" xfId="2022" xr:uid="{00000000-0005-0000-0000-00007E070000}"/>
    <cellStyle name="Entrée 2 2 3" xfId="125" xr:uid="{00000000-0005-0000-0000-00007F070000}"/>
    <cellStyle name="Entrée 2 2 3 10" xfId="2023" xr:uid="{00000000-0005-0000-0000-000080070000}"/>
    <cellStyle name="Entrée 2 2 3 10 2" xfId="2024" xr:uid="{00000000-0005-0000-0000-000081070000}"/>
    <cellStyle name="Entrée 2 2 3 11" xfId="2025" xr:uid="{00000000-0005-0000-0000-000082070000}"/>
    <cellStyle name="Entrée 2 2 3 11 2" xfId="2026" xr:uid="{00000000-0005-0000-0000-000083070000}"/>
    <cellStyle name="Entrée 2 2 3 12" xfId="2027" xr:uid="{00000000-0005-0000-0000-000084070000}"/>
    <cellStyle name="Entrée 2 2 3 12 2" xfId="2028" xr:uid="{00000000-0005-0000-0000-000085070000}"/>
    <cellStyle name="Entrée 2 2 3 13" xfId="2029" xr:uid="{00000000-0005-0000-0000-000086070000}"/>
    <cellStyle name="Entrée 2 2 3 13 2" xfId="2030" xr:uid="{00000000-0005-0000-0000-000087070000}"/>
    <cellStyle name="Entrée 2 2 3 14" xfId="2031" xr:uid="{00000000-0005-0000-0000-000088070000}"/>
    <cellStyle name="Entrée 2 2 3 14 2" xfId="2032" xr:uid="{00000000-0005-0000-0000-000089070000}"/>
    <cellStyle name="Entrée 2 2 3 15" xfId="2033" xr:uid="{00000000-0005-0000-0000-00008A070000}"/>
    <cellStyle name="Entrée 2 2 3 15 2" xfId="2034" xr:uid="{00000000-0005-0000-0000-00008B070000}"/>
    <cellStyle name="Entrée 2 2 3 16" xfId="2035" xr:uid="{00000000-0005-0000-0000-00008C070000}"/>
    <cellStyle name="Entrée 2 2 3 16 2" xfId="2036" xr:uid="{00000000-0005-0000-0000-00008D070000}"/>
    <cellStyle name="Entrée 2 2 3 17" xfId="2037" xr:uid="{00000000-0005-0000-0000-00008E070000}"/>
    <cellStyle name="Entrée 2 2 3 17 2" xfId="2038" xr:uid="{00000000-0005-0000-0000-00008F070000}"/>
    <cellStyle name="Entrée 2 2 3 18" xfId="2039" xr:uid="{00000000-0005-0000-0000-000090070000}"/>
    <cellStyle name="Entrée 2 2 3 18 2" xfId="2040" xr:uid="{00000000-0005-0000-0000-000091070000}"/>
    <cellStyle name="Entrée 2 2 3 19" xfId="2041" xr:uid="{00000000-0005-0000-0000-000092070000}"/>
    <cellStyle name="Entrée 2 2 3 19 2" xfId="2042" xr:uid="{00000000-0005-0000-0000-000093070000}"/>
    <cellStyle name="Entrée 2 2 3 2" xfId="2043" xr:uid="{00000000-0005-0000-0000-000094070000}"/>
    <cellStyle name="Entrée 2 2 3 2 2" xfId="2044" xr:uid="{00000000-0005-0000-0000-000095070000}"/>
    <cellStyle name="Entrée 2 2 3 20" xfId="2045" xr:uid="{00000000-0005-0000-0000-000096070000}"/>
    <cellStyle name="Entrée 2 2 3 20 2" xfId="2046" xr:uid="{00000000-0005-0000-0000-000097070000}"/>
    <cellStyle name="Entrée 2 2 3 21" xfId="2047" xr:uid="{00000000-0005-0000-0000-000098070000}"/>
    <cellStyle name="Entrée 2 2 3 21 2" xfId="2048" xr:uid="{00000000-0005-0000-0000-000099070000}"/>
    <cellStyle name="Entrée 2 2 3 22" xfId="2049" xr:uid="{00000000-0005-0000-0000-00009A070000}"/>
    <cellStyle name="Entrée 2 2 3 22 2" xfId="2050" xr:uid="{00000000-0005-0000-0000-00009B070000}"/>
    <cellStyle name="Entrée 2 2 3 23" xfId="2051" xr:uid="{00000000-0005-0000-0000-00009C070000}"/>
    <cellStyle name="Entrée 2 2 3 23 2" xfId="2052" xr:uid="{00000000-0005-0000-0000-00009D070000}"/>
    <cellStyle name="Entrée 2 2 3 24" xfId="2053" xr:uid="{00000000-0005-0000-0000-00009E070000}"/>
    <cellStyle name="Entrée 2 2 3 24 2" xfId="2054" xr:uid="{00000000-0005-0000-0000-00009F070000}"/>
    <cellStyle name="Entrée 2 2 3 25" xfId="2055" xr:uid="{00000000-0005-0000-0000-0000A0070000}"/>
    <cellStyle name="Entrée 2 2 3 25 2" xfId="2056" xr:uid="{00000000-0005-0000-0000-0000A1070000}"/>
    <cellStyle name="Entrée 2 2 3 26" xfId="2057" xr:uid="{00000000-0005-0000-0000-0000A2070000}"/>
    <cellStyle name="Entrée 2 2 3 26 2" xfId="2058" xr:uid="{00000000-0005-0000-0000-0000A3070000}"/>
    <cellStyle name="Entrée 2 2 3 27" xfId="2059" xr:uid="{00000000-0005-0000-0000-0000A4070000}"/>
    <cellStyle name="Entrée 2 2 3 27 2" xfId="2060" xr:uid="{00000000-0005-0000-0000-0000A5070000}"/>
    <cellStyle name="Entrée 2 2 3 28" xfId="2061" xr:uid="{00000000-0005-0000-0000-0000A6070000}"/>
    <cellStyle name="Entrée 2 2 3 28 2" xfId="2062" xr:uid="{00000000-0005-0000-0000-0000A7070000}"/>
    <cellStyle name="Entrée 2 2 3 29" xfId="2063" xr:uid="{00000000-0005-0000-0000-0000A8070000}"/>
    <cellStyle name="Entrée 2 2 3 3" xfId="2064" xr:uid="{00000000-0005-0000-0000-0000A9070000}"/>
    <cellStyle name="Entrée 2 2 3 3 2" xfId="2065" xr:uid="{00000000-0005-0000-0000-0000AA070000}"/>
    <cellStyle name="Entrée 2 2 3 4" xfId="2066" xr:uid="{00000000-0005-0000-0000-0000AB070000}"/>
    <cellStyle name="Entrée 2 2 3 4 2" xfId="2067" xr:uid="{00000000-0005-0000-0000-0000AC070000}"/>
    <cellStyle name="Entrée 2 2 3 5" xfId="2068" xr:uid="{00000000-0005-0000-0000-0000AD070000}"/>
    <cellStyle name="Entrée 2 2 3 5 2" xfId="2069" xr:uid="{00000000-0005-0000-0000-0000AE070000}"/>
    <cellStyle name="Entrée 2 2 3 6" xfId="2070" xr:uid="{00000000-0005-0000-0000-0000AF070000}"/>
    <cellStyle name="Entrée 2 2 3 6 2" xfId="2071" xr:uid="{00000000-0005-0000-0000-0000B0070000}"/>
    <cellStyle name="Entrée 2 2 3 7" xfId="2072" xr:uid="{00000000-0005-0000-0000-0000B1070000}"/>
    <cellStyle name="Entrée 2 2 3 7 2" xfId="2073" xr:uid="{00000000-0005-0000-0000-0000B2070000}"/>
    <cellStyle name="Entrée 2 2 3 8" xfId="2074" xr:uid="{00000000-0005-0000-0000-0000B3070000}"/>
    <cellStyle name="Entrée 2 2 3 8 2" xfId="2075" xr:uid="{00000000-0005-0000-0000-0000B4070000}"/>
    <cellStyle name="Entrée 2 2 3 9" xfId="2076" xr:uid="{00000000-0005-0000-0000-0000B5070000}"/>
    <cellStyle name="Entrée 2 2 3 9 2" xfId="2077" xr:uid="{00000000-0005-0000-0000-0000B6070000}"/>
    <cellStyle name="Entrée 2 2 4" xfId="2078" xr:uid="{00000000-0005-0000-0000-0000B7070000}"/>
    <cellStyle name="Entrée 2 2 4 10" xfId="2079" xr:uid="{00000000-0005-0000-0000-0000B8070000}"/>
    <cellStyle name="Entrée 2 2 4 10 2" xfId="2080" xr:uid="{00000000-0005-0000-0000-0000B9070000}"/>
    <cellStyle name="Entrée 2 2 4 11" xfId="2081" xr:uid="{00000000-0005-0000-0000-0000BA070000}"/>
    <cellStyle name="Entrée 2 2 4 11 2" xfId="2082" xr:uid="{00000000-0005-0000-0000-0000BB070000}"/>
    <cellStyle name="Entrée 2 2 4 12" xfId="2083" xr:uid="{00000000-0005-0000-0000-0000BC070000}"/>
    <cellStyle name="Entrée 2 2 4 12 2" xfId="2084" xr:uid="{00000000-0005-0000-0000-0000BD070000}"/>
    <cellStyle name="Entrée 2 2 4 13" xfId="2085" xr:uid="{00000000-0005-0000-0000-0000BE070000}"/>
    <cellStyle name="Entrée 2 2 4 13 2" xfId="2086" xr:uid="{00000000-0005-0000-0000-0000BF070000}"/>
    <cellStyle name="Entrée 2 2 4 14" xfId="2087" xr:uid="{00000000-0005-0000-0000-0000C0070000}"/>
    <cellStyle name="Entrée 2 2 4 14 2" xfId="2088" xr:uid="{00000000-0005-0000-0000-0000C1070000}"/>
    <cellStyle name="Entrée 2 2 4 15" xfId="2089" xr:uid="{00000000-0005-0000-0000-0000C2070000}"/>
    <cellStyle name="Entrée 2 2 4 15 2" xfId="2090" xr:uid="{00000000-0005-0000-0000-0000C3070000}"/>
    <cellStyle name="Entrée 2 2 4 16" xfId="2091" xr:uid="{00000000-0005-0000-0000-0000C4070000}"/>
    <cellStyle name="Entrée 2 2 4 16 2" xfId="2092" xr:uid="{00000000-0005-0000-0000-0000C5070000}"/>
    <cellStyle name="Entrée 2 2 4 17" xfId="2093" xr:uid="{00000000-0005-0000-0000-0000C6070000}"/>
    <cellStyle name="Entrée 2 2 4 17 2" xfId="2094" xr:uid="{00000000-0005-0000-0000-0000C7070000}"/>
    <cellStyle name="Entrée 2 2 4 18" xfId="2095" xr:uid="{00000000-0005-0000-0000-0000C8070000}"/>
    <cellStyle name="Entrée 2 2 4 18 2" xfId="2096" xr:uid="{00000000-0005-0000-0000-0000C9070000}"/>
    <cellStyle name="Entrée 2 2 4 19" xfId="2097" xr:uid="{00000000-0005-0000-0000-0000CA070000}"/>
    <cellStyle name="Entrée 2 2 4 19 2" xfId="2098" xr:uid="{00000000-0005-0000-0000-0000CB070000}"/>
    <cellStyle name="Entrée 2 2 4 2" xfId="2099" xr:uid="{00000000-0005-0000-0000-0000CC070000}"/>
    <cellStyle name="Entrée 2 2 4 2 2" xfId="2100" xr:uid="{00000000-0005-0000-0000-0000CD070000}"/>
    <cellStyle name="Entrée 2 2 4 20" xfId="2101" xr:uid="{00000000-0005-0000-0000-0000CE070000}"/>
    <cellStyle name="Entrée 2 2 4 20 2" xfId="2102" xr:uid="{00000000-0005-0000-0000-0000CF070000}"/>
    <cellStyle name="Entrée 2 2 4 21" xfId="2103" xr:uid="{00000000-0005-0000-0000-0000D0070000}"/>
    <cellStyle name="Entrée 2 2 4 21 2" xfId="2104" xr:uid="{00000000-0005-0000-0000-0000D1070000}"/>
    <cellStyle name="Entrée 2 2 4 22" xfId="2105" xr:uid="{00000000-0005-0000-0000-0000D2070000}"/>
    <cellStyle name="Entrée 2 2 4 22 2" xfId="2106" xr:uid="{00000000-0005-0000-0000-0000D3070000}"/>
    <cellStyle name="Entrée 2 2 4 23" xfId="2107" xr:uid="{00000000-0005-0000-0000-0000D4070000}"/>
    <cellStyle name="Entrée 2 2 4 23 2" xfId="2108" xr:uid="{00000000-0005-0000-0000-0000D5070000}"/>
    <cellStyle name="Entrée 2 2 4 24" xfId="2109" xr:uid="{00000000-0005-0000-0000-0000D6070000}"/>
    <cellStyle name="Entrée 2 2 4 24 2" xfId="2110" xr:uid="{00000000-0005-0000-0000-0000D7070000}"/>
    <cellStyle name="Entrée 2 2 4 25" xfId="2111" xr:uid="{00000000-0005-0000-0000-0000D8070000}"/>
    <cellStyle name="Entrée 2 2 4 25 2" xfId="2112" xr:uid="{00000000-0005-0000-0000-0000D9070000}"/>
    <cellStyle name="Entrée 2 2 4 26" xfId="2113" xr:uid="{00000000-0005-0000-0000-0000DA070000}"/>
    <cellStyle name="Entrée 2 2 4 26 2" xfId="2114" xr:uid="{00000000-0005-0000-0000-0000DB070000}"/>
    <cellStyle name="Entrée 2 2 4 27" xfId="2115" xr:uid="{00000000-0005-0000-0000-0000DC070000}"/>
    <cellStyle name="Entrée 2 2 4 27 2" xfId="2116" xr:uid="{00000000-0005-0000-0000-0000DD070000}"/>
    <cellStyle name="Entrée 2 2 4 28" xfId="2117" xr:uid="{00000000-0005-0000-0000-0000DE070000}"/>
    <cellStyle name="Entrée 2 2 4 28 2" xfId="2118" xr:uid="{00000000-0005-0000-0000-0000DF070000}"/>
    <cellStyle name="Entrée 2 2 4 29" xfId="2119" xr:uid="{00000000-0005-0000-0000-0000E0070000}"/>
    <cellStyle name="Entrée 2 2 4 3" xfId="2120" xr:uid="{00000000-0005-0000-0000-0000E1070000}"/>
    <cellStyle name="Entrée 2 2 4 3 2" xfId="2121" xr:uid="{00000000-0005-0000-0000-0000E2070000}"/>
    <cellStyle name="Entrée 2 2 4 4" xfId="2122" xr:uid="{00000000-0005-0000-0000-0000E3070000}"/>
    <cellStyle name="Entrée 2 2 4 4 2" xfId="2123" xr:uid="{00000000-0005-0000-0000-0000E4070000}"/>
    <cellStyle name="Entrée 2 2 4 5" xfId="2124" xr:uid="{00000000-0005-0000-0000-0000E5070000}"/>
    <cellStyle name="Entrée 2 2 4 5 2" xfId="2125" xr:uid="{00000000-0005-0000-0000-0000E6070000}"/>
    <cellStyle name="Entrée 2 2 4 6" xfId="2126" xr:uid="{00000000-0005-0000-0000-0000E7070000}"/>
    <cellStyle name="Entrée 2 2 4 6 2" xfId="2127" xr:uid="{00000000-0005-0000-0000-0000E8070000}"/>
    <cellStyle name="Entrée 2 2 4 7" xfId="2128" xr:uid="{00000000-0005-0000-0000-0000E9070000}"/>
    <cellStyle name="Entrée 2 2 4 7 2" xfId="2129" xr:uid="{00000000-0005-0000-0000-0000EA070000}"/>
    <cellStyle name="Entrée 2 2 4 8" xfId="2130" xr:uid="{00000000-0005-0000-0000-0000EB070000}"/>
    <cellStyle name="Entrée 2 2 4 8 2" xfId="2131" xr:uid="{00000000-0005-0000-0000-0000EC070000}"/>
    <cellStyle name="Entrée 2 2 4 9" xfId="2132" xr:uid="{00000000-0005-0000-0000-0000ED070000}"/>
    <cellStyle name="Entrée 2 2 4 9 2" xfId="2133" xr:uid="{00000000-0005-0000-0000-0000EE070000}"/>
    <cellStyle name="Entrée 2 2 5" xfId="2134" xr:uid="{00000000-0005-0000-0000-0000EF070000}"/>
    <cellStyle name="Entrée 2 2 5 10" xfId="2135" xr:uid="{00000000-0005-0000-0000-0000F0070000}"/>
    <cellStyle name="Entrée 2 2 5 10 2" xfId="2136" xr:uid="{00000000-0005-0000-0000-0000F1070000}"/>
    <cellStyle name="Entrée 2 2 5 11" xfId="2137" xr:uid="{00000000-0005-0000-0000-0000F2070000}"/>
    <cellStyle name="Entrée 2 2 5 11 2" xfId="2138" xr:uid="{00000000-0005-0000-0000-0000F3070000}"/>
    <cellStyle name="Entrée 2 2 5 12" xfId="2139" xr:uid="{00000000-0005-0000-0000-0000F4070000}"/>
    <cellStyle name="Entrée 2 2 5 12 2" xfId="2140" xr:uid="{00000000-0005-0000-0000-0000F5070000}"/>
    <cellStyle name="Entrée 2 2 5 13" xfId="2141" xr:uid="{00000000-0005-0000-0000-0000F6070000}"/>
    <cellStyle name="Entrée 2 2 5 13 2" xfId="2142" xr:uid="{00000000-0005-0000-0000-0000F7070000}"/>
    <cellStyle name="Entrée 2 2 5 14" xfId="2143" xr:uid="{00000000-0005-0000-0000-0000F8070000}"/>
    <cellStyle name="Entrée 2 2 5 14 2" xfId="2144" xr:uid="{00000000-0005-0000-0000-0000F9070000}"/>
    <cellStyle name="Entrée 2 2 5 15" xfId="2145" xr:uid="{00000000-0005-0000-0000-0000FA070000}"/>
    <cellStyle name="Entrée 2 2 5 15 2" xfId="2146" xr:uid="{00000000-0005-0000-0000-0000FB070000}"/>
    <cellStyle name="Entrée 2 2 5 16" xfId="2147" xr:uid="{00000000-0005-0000-0000-0000FC070000}"/>
    <cellStyle name="Entrée 2 2 5 16 2" xfId="2148" xr:uid="{00000000-0005-0000-0000-0000FD070000}"/>
    <cellStyle name="Entrée 2 2 5 17" xfId="2149" xr:uid="{00000000-0005-0000-0000-0000FE070000}"/>
    <cellStyle name="Entrée 2 2 5 17 2" xfId="2150" xr:uid="{00000000-0005-0000-0000-0000FF070000}"/>
    <cellStyle name="Entrée 2 2 5 18" xfId="2151" xr:uid="{00000000-0005-0000-0000-000000080000}"/>
    <cellStyle name="Entrée 2 2 5 18 2" xfId="2152" xr:uid="{00000000-0005-0000-0000-000001080000}"/>
    <cellStyle name="Entrée 2 2 5 19" xfId="2153" xr:uid="{00000000-0005-0000-0000-000002080000}"/>
    <cellStyle name="Entrée 2 2 5 19 2" xfId="2154" xr:uid="{00000000-0005-0000-0000-000003080000}"/>
    <cellStyle name="Entrée 2 2 5 2" xfId="2155" xr:uid="{00000000-0005-0000-0000-000004080000}"/>
    <cellStyle name="Entrée 2 2 5 2 2" xfId="2156" xr:uid="{00000000-0005-0000-0000-000005080000}"/>
    <cellStyle name="Entrée 2 2 5 20" xfId="2157" xr:uid="{00000000-0005-0000-0000-000006080000}"/>
    <cellStyle name="Entrée 2 2 5 20 2" xfId="2158" xr:uid="{00000000-0005-0000-0000-000007080000}"/>
    <cellStyle name="Entrée 2 2 5 21" xfId="2159" xr:uid="{00000000-0005-0000-0000-000008080000}"/>
    <cellStyle name="Entrée 2 2 5 21 2" xfId="2160" xr:uid="{00000000-0005-0000-0000-000009080000}"/>
    <cellStyle name="Entrée 2 2 5 22" xfId="2161" xr:uid="{00000000-0005-0000-0000-00000A080000}"/>
    <cellStyle name="Entrée 2 2 5 22 2" xfId="2162" xr:uid="{00000000-0005-0000-0000-00000B080000}"/>
    <cellStyle name="Entrée 2 2 5 23" xfId="2163" xr:uid="{00000000-0005-0000-0000-00000C080000}"/>
    <cellStyle name="Entrée 2 2 5 23 2" xfId="2164" xr:uid="{00000000-0005-0000-0000-00000D080000}"/>
    <cellStyle name="Entrée 2 2 5 24" xfId="2165" xr:uid="{00000000-0005-0000-0000-00000E080000}"/>
    <cellStyle name="Entrée 2 2 5 24 2" xfId="2166" xr:uid="{00000000-0005-0000-0000-00000F080000}"/>
    <cellStyle name="Entrée 2 2 5 25" xfId="2167" xr:uid="{00000000-0005-0000-0000-000010080000}"/>
    <cellStyle name="Entrée 2 2 5 25 2" xfId="2168" xr:uid="{00000000-0005-0000-0000-000011080000}"/>
    <cellStyle name="Entrée 2 2 5 26" xfId="2169" xr:uid="{00000000-0005-0000-0000-000012080000}"/>
    <cellStyle name="Entrée 2 2 5 26 2" xfId="2170" xr:uid="{00000000-0005-0000-0000-000013080000}"/>
    <cellStyle name="Entrée 2 2 5 27" xfId="2171" xr:uid="{00000000-0005-0000-0000-000014080000}"/>
    <cellStyle name="Entrée 2 2 5 27 2" xfId="2172" xr:uid="{00000000-0005-0000-0000-000015080000}"/>
    <cellStyle name="Entrée 2 2 5 28" xfId="2173" xr:uid="{00000000-0005-0000-0000-000016080000}"/>
    <cellStyle name="Entrée 2 2 5 3" xfId="2174" xr:uid="{00000000-0005-0000-0000-000017080000}"/>
    <cellStyle name="Entrée 2 2 5 3 2" xfId="2175" xr:uid="{00000000-0005-0000-0000-000018080000}"/>
    <cellStyle name="Entrée 2 2 5 4" xfId="2176" xr:uid="{00000000-0005-0000-0000-000019080000}"/>
    <cellStyle name="Entrée 2 2 5 4 2" xfId="2177" xr:uid="{00000000-0005-0000-0000-00001A080000}"/>
    <cellStyle name="Entrée 2 2 5 5" xfId="2178" xr:uid="{00000000-0005-0000-0000-00001B080000}"/>
    <cellStyle name="Entrée 2 2 5 5 2" xfId="2179" xr:uid="{00000000-0005-0000-0000-00001C080000}"/>
    <cellStyle name="Entrée 2 2 5 6" xfId="2180" xr:uid="{00000000-0005-0000-0000-00001D080000}"/>
    <cellStyle name="Entrée 2 2 5 6 2" xfId="2181" xr:uid="{00000000-0005-0000-0000-00001E080000}"/>
    <cellStyle name="Entrée 2 2 5 7" xfId="2182" xr:uid="{00000000-0005-0000-0000-00001F080000}"/>
    <cellStyle name="Entrée 2 2 5 7 2" xfId="2183" xr:uid="{00000000-0005-0000-0000-000020080000}"/>
    <cellStyle name="Entrée 2 2 5 8" xfId="2184" xr:uid="{00000000-0005-0000-0000-000021080000}"/>
    <cellStyle name="Entrée 2 2 5 8 2" xfId="2185" xr:uid="{00000000-0005-0000-0000-000022080000}"/>
    <cellStyle name="Entrée 2 2 5 9" xfId="2186" xr:uid="{00000000-0005-0000-0000-000023080000}"/>
    <cellStyle name="Entrée 2 2 5 9 2" xfId="2187" xr:uid="{00000000-0005-0000-0000-000024080000}"/>
    <cellStyle name="Entrée 2 2 6" xfId="2188" xr:uid="{00000000-0005-0000-0000-000025080000}"/>
    <cellStyle name="Entrée 2 2 6 2" xfId="2189" xr:uid="{00000000-0005-0000-0000-000026080000}"/>
    <cellStyle name="Entrée 2 2 7" xfId="2190" xr:uid="{00000000-0005-0000-0000-000027080000}"/>
    <cellStyle name="Entrée 2 2 7 2" xfId="2191" xr:uid="{00000000-0005-0000-0000-000028080000}"/>
    <cellStyle name="Entrée 2 2 8" xfId="2192" xr:uid="{00000000-0005-0000-0000-000029080000}"/>
    <cellStyle name="Entrée 2 2 8 2" xfId="2193" xr:uid="{00000000-0005-0000-0000-00002A080000}"/>
    <cellStyle name="Entrée 2 2 9" xfId="2194" xr:uid="{00000000-0005-0000-0000-00002B080000}"/>
    <cellStyle name="Entrée 2 2 9 2" xfId="2195" xr:uid="{00000000-0005-0000-0000-00002C080000}"/>
    <cellStyle name="Entrée 2 3" xfId="34" xr:uid="{00000000-0005-0000-0000-00002D080000}"/>
    <cellStyle name="Entrée 2 3 10" xfId="2196" xr:uid="{00000000-0005-0000-0000-00002E080000}"/>
    <cellStyle name="Entrée 2 3 10 2" xfId="2197" xr:uid="{00000000-0005-0000-0000-00002F080000}"/>
    <cellStyle name="Entrée 2 3 11" xfId="2198" xr:uid="{00000000-0005-0000-0000-000030080000}"/>
    <cellStyle name="Entrée 2 3 11 2" xfId="2199" xr:uid="{00000000-0005-0000-0000-000031080000}"/>
    <cellStyle name="Entrée 2 3 12" xfId="2200" xr:uid="{00000000-0005-0000-0000-000032080000}"/>
    <cellStyle name="Entrée 2 3 12 2" xfId="2201" xr:uid="{00000000-0005-0000-0000-000033080000}"/>
    <cellStyle name="Entrée 2 3 13" xfId="2202" xr:uid="{00000000-0005-0000-0000-000034080000}"/>
    <cellStyle name="Entrée 2 3 13 2" xfId="2203" xr:uid="{00000000-0005-0000-0000-000035080000}"/>
    <cellStyle name="Entrée 2 3 14" xfId="2204" xr:uid="{00000000-0005-0000-0000-000036080000}"/>
    <cellStyle name="Entrée 2 3 14 2" xfId="2205" xr:uid="{00000000-0005-0000-0000-000037080000}"/>
    <cellStyle name="Entrée 2 3 15" xfId="2206" xr:uid="{00000000-0005-0000-0000-000038080000}"/>
    <cellStyle name="Entrée 2 3 15 2" xfId="2207" xr:uid="{00000000-0005-0000-0000-000039080000}"/>
    <cellStyle name="Entrée 2 3 16" xfId="2208" xr:uid="{00000000-0005-0000-0000-00003A080000}"/>
    <cellStyle name="Entrée 2 3 16 2" xfId="2209" xr:uid="{00000000-0005-0000-0000-00003B080000}"/>
    <cellStyle name="Entrée 2 3 17" xfId="2210" xr:uid="{00000000-0005-0000-0000-00003C080000}"/>
    <cellStyle name="Entrée 2 3 17 2" xfId="2211" xr:uid="{00000000-0005-0000-0000-00003D080000}"/>
    <cellStyle name="Entrée 2 3 18" xfId="2212" xr:uid="{00000000-0005-0000-0000-00003E080000}"/>
    <cellStyle name="Entrée 2 3 18 2" xfId="2213" xr:uid="{00000000-0005-0000-0000-00003F080000}"/>
    <cellStyle name="Entrée 2 3 19" xfId="2214" xr:uid="{00000000-0005-0000-0000-000040080000}"/>
    <cellStyle name="Entrée 2 3 19 2" xfId="2215" xr:uid="{00000000-0005-0000-0000-000041080000}"/>
    <cellStyle name="Entrée 2 3 2" xfId="83" xr:uid="{00000000-0005-0000-0000-000042080000}"/>
    <cellStyle name="Entrée 2 3 2 2" xfId="2216" xr:uid="{00000000-0005-0000-0000-000043080000}"/>
    <cellStyle name="Entrée 2 3 20" xfId="2217" xr:uid="{00000000-0005-0000-0000-000044080000}"/>
    <cellStyle name="Entrée 2 3 20 2" xfId="2218" xr:uid="{00000000-0005-0000-0000-000045080000}"/>
    <cellStyle name="Entrée 2 3 21" xfId="2219" xr:uid="{00000000-0005-0000-0000-000046080000}"/>
    <cellStyle name="Entrée 2 3 21 2" xfId="2220" xr:uid="{00000000-0005-0000-0000-000047080000}"/>
    <cellStyle name="Entrée 2 3 22" xfId="2221" xr:uid="{00000000-0005-0000-0000-000048080000}"/>
    <cellStyle name="Entrée 2 3 22 2" xfId="2222" xr:uid="{00000000-0005-0000-0000-000049080000}"/>
    <cellStyle name="Entrée 2 3 23" xfId="2223" xr:uid="{00000000-0005-0000-0000-00004A080000}"/>
    <cellStyle name="Entrée 2 3 23 2" xfId="2224" xr:uid="{00000000-0005-0000-0000-00004B080000}"/>
    <cellStyle name="Entrée 2 3 24" xfId="2225" xr:uid="{00000000-0005-0000-0000-00004C080000}"/>
    <cellStyle name="Entrée 2 3 24 2" xfId="2226" xr:uid="{00000000-0005-0000-0000-00004D080000}"/>
    <cellStyle name="Entrée 2 3 25" xfId="2227" xr:uid="{00000000-0005-0000-0000-00004E080000}"/>
    <cellStyle name="Entrée 2 3 25 2" xfId="2228" xr:uid="{00000000-0005-0000-0000-00004F080000}"/>
    <cellStyle name="Entrée 2 3 26" xfId="2229" xr:uid="{00000000-0005-0000-0000-000050080000}"/>
    <cellStyle name="Entrée 2 3 26 2" xfId="2230" xr:uid="{00000000-0005-0000-0000-000051080000}"/>
    <cellStyle name="Entrée 2 3 27" xfId="2231" xr:uid="{00000000-0005-0000-0000-000052080000}"/>
    <cellStyle name="Entrée 2 3 27 2" xfId="2232" xr:uid="{00000000-0005-0000-0000-000053080000}"/>
    <cellStyle name="Entrée 2 3 28" xfId="2233" xr:uid="{00000000-0005-0000-0000-000054080000}"/>
    <cellStyle name="Entrée 2 3 28 2" xfId="2234" xr:uid="{00000000-0005-0000-0000-000055080000}"/>
    <cellStyle name="Entrée 2 3 29" xfId="2235" xr:uid="{00000000-0005-0000-0000-000056080000}"/>
    <cellStyle name="Entrée 2 3 3" xfId="126" xr:uid="{00000000-0005-0000-0000-000057080000}"/>
    <cellStyle name="Entrée 2 3 3 2" xfId="2236" xr:uid="{00000000-0005-0000-0000-000058080000}"/>
    <cellStyle name="Entrée 2 3 30" xfId="3594" xr:uid="{E874F73D-C70E-40B6-B5BB-7809D250B28C}"/>
    <cellStyle name="Entrée 2 3 4" xfId="2237" xr:uid="{00000000-0005-0000-0000-000059080000}"/>
    <cellStyle name="Entrée 2 3 4 2" xfId="2238" xr:uid="{00000000-0005-0000-0000-00005A080000}"/>
    <cellStyle name="Entrée 2 3 5" xfId="2239" xr:uid="{00000000-0005-0000-0000-00005B080000}"/>
    <cellStyle name="Entrée 2 3 5 2" xfId="2240" xr:uid="{00000000-0005-0000-0000-00005C080000}"/>
    <cellStyle name="Entrée 2 3 6" xfId="2241" xr:uid="{00000000-0005-0000-0000-00005D080000}"/>
    <cellStyle name="Entrée 2 3 6 2" xfId="2242" xr:uid="{00000000-0005-0000-0000-00005E080000}"/>
    <cellStyle name="Entrée 2 3 7" xfId="2243" xr:uid="{00000000-0005-0000-0000-00005F080000}"/>
    <cellStyle name="Entrée 2 3 7 2" xfId="2244" xr:uid="{00000000-0005-0000-0000-000060080000}"/>
    <cellStyle name="Entrée 2 3 8" xfId="2245" xr:uid="{00000000-0005-0000-0000-000061080000}"/>
    <cellStyle name="Entrée 2 3 8 2" xfId="2246" xr:uid="{00000000-0005-0000-0000-000062080000}"/>
    <cellStyle name="Entrée 2 3 9" xfId="2247" xr:uid="{00000000-0005-0000-0000-000063080000}"/>
    <cellStyle name="Entrée 2 3 9 2" xfId="2248" xr:uid="{00000000-0005-0000-0000-000064080000}"/>
    <cellStyle name="Entrée 2 4" xfId="35" xr:uid="{00000000-0005-0000-0000-000065080000}"/>
    <cellStyle name="Entrée 2 4 10" xfId="2249" xr:uid="{00000000-0005-0000-0000-000066080000}"/>
    <cellStyle name="Entrée 2 4 10 2" xfId="2250" xr:uid="{00000000-0005-0000-0000-000067080000}"/>
    <cellStyle name="Entrée 2 4 11" xfId="2251" xr:uid="{00000000-0005-0000-0000-000068080000}"/>
    <cellStyle name="Entrée 2 4 11 2" xfId="2252" xr:uid="{00000000-0005-0000-0000-000069080000}"/>
    <cellStyle name="Entrée 2 4 12" xfId="2253" xr:uid="{00000000-0005-0000-0000-00006A080000}"/>
    <cellStyle name="Entrée 2 4 12 2" xfId="2254" xr:uid="{00000000-0005-0000-0000-00006B080000}"/>
    <cellStyle name="Entrée 2 4 13" xfId="2255" xr:uid="{00000000-0005-0000-0000-00006C080000}"/>
    <cellStyle name="Entrée 2 4 13 2" xfId="2256" xr:uid="{00000000-0005-0000-0000-00006D080000}"/>
    <cellStyle name="Entrée 2 4 14" xfId="2257" xr:uid="{00000000-0005-0000-0000-00006E080000}"/>
    <cellStyle name="Entrée 2 4 14 2" xfId="2258" xr:uid="{00000000-0005-0000-0000-00006F080000}"/>
    <cellStyle name="Entrée 2 4 15" xfId="2259" xr:uid="{00000000-0005-0000-0000-000070080000}"/>
    <cellStyle name="Entrée 2 4 15 2" xfId="2260" xr:uid="{00000000-0005-0000-0000-000071080000}"/>
    <cellStyle name="Entrée 2 4 16" xfId="2261" xr:uid="{00000000-0005-0000-0000-000072080000}"/>
    <cellStyle name="Entrée 2 4 16 2" xfId="2262" xr:uid="{00000000-0005-0000-0000-000073080000}"/>
    <cellStyle name="Entrée 2 4 17" xfId="2263" xr:uid="{00000000-0005-0000-0000-000074080000}"/>
    <cellStyle name="Entrée 2 4 17 2" xfId="2264" xr:uid="{00000000-0005-0000-0000-000075080000}"/>
    <cellStyle name="Entrée 2 4 18" xfId="2265" xr:uid="{00000000-0005-0000-0000-000076080000}"/>
    <cellStyle name="Entrée 2 4 18 2" xfId="2266" xr:uid="{00000000-0005-0000-0000-000077080000}"/>
    <cellStyle name="Entrée 2 4 19" xfId="2267" xr:uid="{00000000-0005-0000-0000-000078080000}"/>
    <cellStyle name="Entrée 2 4 19 2" xfId="2268" xr:uid="{00000000-0005-0000-0000-000079080000}"/>
    <cellStyle name="Entrée 2 4 2" xfId="84" xr:uid="{00000000-0005-0000-0000-00007A080000}"/>
    <cellStyle name="Entrée 2 4 2 2" xfId="2269" xr:uid="{00000000-0005-0000-0000-00007B080000}"/>
    <cellStyle name="Entrée 2 4 20" xfId="2270" xr:uid="{00000000-0005-0000-0000-00007C080000}"/>
    <cellStyle name="Entrée 2 4 20 2" xfId="2271" xr:uid="{00000000-0005-0000-0000-00007D080000}"/>
    <cellStyle name="Entrée 2 4 21" xfId="2272" xr:uid="{00000000-0005-0000-0000-00007E080000}"/>
    <cellStyle name="Entrée 2 4 21 2" xfId="2273" xr:uid="{00000000-0005-0000-0000-00007F080000}"/>
    <cellStyle name="Entrée 2 4 22" xfId="2274" xr:uid="{00000000-0005-0000-0000-000080080000}"/>
    <cellStyle name="Entrée 2 4 22 2" xfId="2275" xr:uid="{00000000-0005-0000-0000-000081080000}"/>
    <cellStyle name="Entrée 2 4 23" xfId="2276" xr:uid="{00000000-0005-0000-0000-000082080000}"/>
    <cellStyle name="Entrée 2 4 23 2" xfId="2277" xr:uid="{00000000-0005-0000-0000-000083080000}"/>
    <cellStyle name="Entrée 2 4 24" xfId="2278" xr:uid="{00000000-0005-0000-0000-000084080000}"/>
    <cellStyle name="Entrée 2 4 24 2" xfId="2279" xr:uid="{00000000-0005-0000-0000-000085080000}"/>
    <cellStyle name="Entrée 2 4 25" xfId="2280" xr:uid="{00000000-0005-0000-0000-000086080000}"/>
    <cellStyle name="Entrée 2 4 25 2" xfId="2281" xr:uid="{00000000-0005-0000-0000-000087080000}"/>
    <cellStyle name="Entrée 2 4 26" xfId="2282" xr:uid="{00000000-0005-0000-0000-000088080000}"/>
    <cellStyle name="Entrée 2 4 26 2" xfId="2283" xr:uid="{00000000-0005-0000-0000-000089080000}"/>
    <cellStyle name="Entrée 2 4 27" xfId="2284" xr:uid="{00000000-0005-0000-0000-00008A080000}"/>
    <cellStyle name="Entrée 2 4 27 2" xfId="2285" xr:uid="{00000000-0005-0000-0000-00008B080000}"/>
    <cellStyle name="Entrée 2 4 28" xfId="2286" xr:uid="{00000000-0005-0000-0000-00008C080000}"/>
    <cellStyle name="Entrée 2 4 28 2" xfId="2287" xr:uid="{00000000-0005-0000-0000-00008D080000}"/>
    <cellStyle name="Entrée 2 4 29" xfId="2288" xr:uid="{00000000-0005-0000-0000-00008E080000}"/>
    <cellStyle name="Entrée 2 4 3" xfId="127" xr:uid="{00000000-0005-0000-0000-00008F080000}"/>
    <cellStyle name="Entrée 2 4 3 2" xfId="2289" xr:uid="{00000000-0005-0000-0000-000090080000}"/>
    <cellStyle name="Entrée 2 4 30" xfId="3603" xr:uid="{39B58901-BC29-4D32-9540-90A761ADB26F}"/>
    <cellStyle name="Entrée 2 4 4" xfId="2290" xr:uid="{00000000-0005-0000-0000-000091080000}"/>
    <cellStyle name="Entrée 2 4 4 2" xfId="2291" xr:uid="{00000000-0005-0000-0000-000092080000}"/>
    <cellStyle name="Entrée 2 4 5" xfId="2292" xr:uid="{00000000-0005-0000-0000-000093080000}"/>
    <cellStyle name="Entrée 2 4 5 2" xfId="2293" xr:uid="{00000000-0005-0000-0000-000094080000}"/>
    <cellStyle name="Entrée 2 4 6" xfId="2294" xr:uid="{00000000-0005-0000-0000-000095080000}"/>
    <cellStyle name="Entrée 2 4 6 2" xfId="2295" xr:uid="{00000000-0005-0000-0000-000096080000}"/>
    <cellStyle name="Entrée 2 4 7" xfId="2296" xr:uid="{00000000-0005-0000-0000-000097080000}"/>
    <cellStyle name="Entrée 2 4 7 2" xfId="2297" xr:uid="{00000000-0005-0000-0000-000098080000}"/>
    <cellStyle name="Entrée 2 4 8" xfId="2298" xr:uid="{00000000-0005-0000-0000-000099080000}"/>
    <cellStyle name="Entrée 2 4 8 2" xfId="2299" xr:uid="{00000000-0005-0000-0000-00009A080000}"/>
    <cellStyle name="Entrée 2 4 9" xfId="2300" xr:uid="{00000000-0005-0000-0000-00009B080000}"/>
    <cellStyle name="Entrée 2 4 9 2" xfId="2301" xr:uid="{00000000-0005-0000-0000-00009C080000}"/>
    <cellStyle name="Entrée 2 5" xfId="81" xr:uid="{00000000-0005-0000-0000-00009D080000}"/>
    <cellStyle name="Entrée 2 5 10" xfId="2302" xr:uid="{00000000-0005-0000-0000-00009E080000}"/>
    <cellStyle name="Entrée 2 5 10 2" xfId="2303" xr:uid="{00000000-0005-0000-0000-00009F080000}"/>
    <cellStyle name="Entrée 2 5 11" xfId="2304" xr:uid="{00000000-0005-0000-0000-0000A0080000}"/>
    <cellStyle name="Entrée 2 5 11 2" xfId="2305" xr:uid="{00000000-0005-0000-0000-0000A1080000}"/>
    <cellStyle name="Entrée 2 5 12" xfId="2306" xr:uid="{00000000-0005-0000-0000-0000A2080000}"/>
    <cellStyle name="Entrée 2 5 12 2" xfId="2307" xr:uid="{00000000-0005-0000-0000-0000A3080000}"/>
    <cellStyle name="Entrée 2 5 13" xfId="2308" xr:uid="{00000000-0005-0000-0000-0000A4080000}"/>
    <cellStyle name="Entrée 2 5 13 2" xfId="2309" xr:uid="{00000000-0005-0000-0000-0000A5080000}"/>
    <cellStyle name="Entrée 2 5 14" xfId="2310" xr:uid="{00000000-0005-0000-0000-0000A6080000}"/>
    <cellStyle name="Entrée 2 5 14 2" xfId="2311" xr:uid="{00000000-0005-0000-0000-0000A7080000}"/>
    <cellStyle name="Entrée 2 5 15" xfId="2312" xr:uid="{00000000-0005-0000-0000-0000A8080000}"/>
    <cellStyle name="Entrée 2 5 15 2" xfId="2313" xr:uid="{00000000-0005-0000-0000-0000A9080000}"/>
    <cellStyle name="Entrée 2 5 16" xfId="2314" xr:uid="{00000000-0005-0000-0000-0000AA080000}"/>
    <cellStyle name="Entrée 2 5 16 2" xfId="2315" xr:uid="{00000000-0005-0000-0000-0000AB080000}"/>
    <cellStyle name="Entrée 2 5 17" xfId="2316" xr:uid="{00000000-0005-0000-0000-0000AC080000}"/>
    <cellStyle name="Entrée 2 5 17 2" xfId="2317" xr:uid="{00000000-0005-0000-0000-0000AD080000}"/>
    <cellStyle name="Entrée 2 5 18" xfId="2318" xr:uid="{00000000-0005-0000-0000-0000AE080000}"/>
    <cellStyle name="Entrée 2 5 18 2" xfId="2319" xr:uid="{00000000-0005-0000-0000-0000AF080000}"/>
    <cellStyle name="Entrée 2 5 19" xfId="2320" xr:uid="{00000000-0005-0000-0000-0000B0080000}"/>
    <cellStyle name="Entrée 2 5 19 2" xfId="2321" xr:uid="{00000000-0005-0000-0000-0000B1080000}"/>
    <cellStyle name="Entrée 2 5 2" xfId="2322" xr:uid="{00000000-0005-0000-0000-0000B2080000}"/>
    <cellStyle name="Entrée 2 5 2 2" xfId="2323" xr:uid="{00000000-0005-0000-0000-0000B3080000}"/>
    <cellStyle name="Entrée 2 5 20" xfId="2324" xr:uid="{00000000-0005-0000-0000-0000B4080000}"/>
    <cellStyle name="Entrée 2 5 20 2" xfId="2325" xr:uid="{00000000-0005-0000-0000-0000B5080000}"/>
    <cellStyle name="Entrée 2 5 21" xfId="2326" xr:uid="{00000000-0005-0000-0000-0000B6080000}"/>
    <cellStyle name="Entrée 2 5 21 2" xfId="2327" xr:uid="{00000000-0005-0000-0000-0000B7080000}"/>
    <cellStyle name="Entrée 2 5 22" xfId="2328" xr:uid="{00000000-0005-0000-0000-0000B8080000}"/>
    <cellStyle name="Entrée 2 5 22 2" xfId="2329" xr:uid="{00000000-0005-0000-0000-0000B9080000}"/>
    <cellStyle name="Entrée 2 5 23" xfId="2330" xr:uid="{00000000-0005-0000-0000-0000BA080000}"/>
    <cellStyle name="Entrée 2 5 23 2" xfId="2331" xr:uid="{00000000-0005-0000-0000-0000BB080000}"/>
    <cellStyle name="Entrée 2 5 24" xfId="2332" xr:uid="{00000000-0005-0000-0000-0000BC080000}"/>
    <cellStyle name="Entrée 2 5 24 2" xfId="2333" xr:uid="{00000000-0005-0000-0000-0000BD080000}"/>
    <cellStyle name="Entrée 2 5 25" xfId="2334" xr:uid="{00000000-0005-0000-0000-0000BE080000}"/>
    <cellStyle name="Entrée 2 5 25 2" xfId="2335" xr:uid="{00000000-0005-0000-0000-0000BF080000}"/>
    <cellStyle name="Entrée 2 5 26" xfId="2336" xr:uid="{00000000-0005-0000-0000-0000C0080000}"/>
    <cellStyle name="Entrée 2 5 26 2" xfId="2337" xr:uid="{00000000-0005-0000-0000-0000C1080000}"/>
    <cellStyle name="Entrée 2 5 27" xfId="2338" xr:uid="{00000000-0005-0000-0000-0000C2080000}"/>
    <cellStyle name="Entrée 2 5 27 2" xfId="2339" xr:uid="{00000000-0005-0000-0000-0000C3080000}"/>
    <cellStyle name="Entrée 2 5 28" xfId="2340" xr:uid="{00000000-0005-0000-0000-0000C4080000}"/>
    <cellStyle name="Entrée 2 5 28 2" xfId="2341" xr:uid="{00000000-0005-0000-0000-0000C5080000}"/>
    <cellStyle name="Entrée 2 5 29" xfId="2342" xr:uid="{00000000-0005-0000-0000-0000C6080000}"/>
    <cellStyle name="Entrée 2 5 3" xfId="2343" xr:uid="{00000000-0005-0000-0000-0000C7080000}"/>
    <cellStyle name="Entrée 2 5 3 2" xfId="2344" xr:uid="{00000000-0005-0000-0000-0000C8080000}"/>
    <cellStyle name="Entrée 2 5 30" xfId="3652" xr:uid="{2D895A2F-592C-4DEE-A042-962FEB872227}"/>
    <cellStyle name="Entrée 2 5 4" xfId="2345" xr:uid="{00000000-0005-0000-0000-0000C9080000}"/>
    <cellStyle name="Entrée 2 5 4 2" xfId="2346" xr:uid="{00000000-0005-0000-0000-0000CA080000}"/>
    <cellStyle name="Entrée 2 5 5" xfId="2347" xr:uid="{00000000-0005-0000-0000-0000CB080000}"/>
    <cellStyle name="Entrée 2 5 5 2" xfId="2348" xr:uid="{00000000-0005-0000-0000-0000CC080000}"/>
    <cellStyle name="Entrée 2 5 6" xfId="2349" xr:uid="{00000000-0005-0000-0000-0000CD080000}"/>
    <cellStyle name="Entrée 2 5 6 2" xfId="2350" xr:uid="{00000000-0005-0000-0000-0000CE080000}"/>
    <cellStyle name="Entrée 2 5 7" xfId="2351" xr:uid="{00000000-0005-0000-0000-0000CF080000}"/>
    <cellStyle name="Entrée 2 5 7 2" xfId="2352" xr:uid="{00000000-0005-0000-0000-0000D0080000}"/>
    <cellStyle name="Entrée 2 5 8" xfId="2353" xr:uid="{00000000-0005-0000-0000-0000D1080000}"/>
    <cellStyle name="Entrée 2 5 8 2" xfId="2354" xr:uid="{00000000-0005-0000-0000-0000D2080000}"/>
    <cellStyle name="Entrée 2 5 9" xfId="2355" xr:uid="{00000000-0005-0000-0000-0000D3080000}"/>
    <cellStyle name="Entrée 2 5 9 2" xfId="2356" xr:uid="{00000000-0005-0000-0000-0000D4080000}"/>
    <cellStyle name="Entrée 2 6" xfId="124" xr:uid="{00000000-0005-0000-0000-0000D5080000}"/>
    <cellStyle name="Entrée 2 6 10" xfId="2357" xr:uid="{00000000-0005-0000-0000-0000D6080000}"/>
    <cellStyle name="Entrée 2 6 10 2" xfId="2358" xr:uid="{00000000-0005-0000-0000-0000D7080000}"/>
    <cellStyle name="Entrée 2 6 11" xfId="2359" xr:uid="{00000000-0005-0000-0000-0000D8080000}"/>
    <cellStyle name="Entrée 2 6 11 2" xfId="2360" xr:uid="{00000000-0005-0000-0000-0000D9080000}"/>
    <cellStyle name="Entrée 2 6 12" xfId="2361" xr:uid="{00000000-0005-0000-0000-0000DA080000}"/>
    <cellStyle name="Entrée 2 6 12 2" xfId="2362" xr:uid="{00000000-0005-0000-0000-0000DB080000}"/>
    <cellStyle name="Entrée 2 6 13" xfId="2363" xr:uid="{00000000-0005-0000-0000-0000DC080000}"/>
    <cellStyle name="Entrée 2 6 13 2" xfId="2364" xr:uid="{00000000-0005-0000-0000-0000DD080000}"/>
    <cellStyle name="Entrée 2 6 14" xfId="2365" xr:uid="{00000000-0005-0000-0000-0000DE080000}"/>
    <cellStyle name="Entrée 2 6 14 2" xfId="2366" xr:uid="{00000000-0005-0000-0000-0000DF080000}"/>
    <cellStyle name="Entrée 2 6 15" xfId="2367" xr:uid="{00000000-0005-0000-0000-0000E0080000}"/>
    <cellStyle name="Entrée 2 6 15 2" xfId="2368" xr:uid="{00000000-0005-0000-0000-0000E1080000}"/>
    <cellStyle name="Entrée 2 6 16" xfId="2369" xr:uid="{00000000-0005-0000-0000-0000E2080000}"/>
    <cellStyle name="Entrée 2 6 16 2" xfId="2370" xr:uid="{00000000-0005-0000-0000-0000E3080000}"/>
    <cellStyle name="Entrée 2 6 17" xfId="2371" xr:uid="{00000000-0005-0000-0000-0000E4080000}"/>
    <cellStyle name="Entrée 2 6 17 2" xfId="2372" xr:uid="{00000000-0005-0000-0000-0000E5080000}"/>
    <cellStyle name="Entrée 2 6 18" xfId="2373" xr:uid="{00000000-0005-0000-0000-0000E6080000}"/>
    <cellStyle name="Entrée 2 6 18 2" xfId="2374" xr:uid="{00000000-0005-0000-0000-0000E7080000}"/>
    <cellStyle name="Entrée 2 6 19" xfId="2375" xr:uid="{00000000-0005-0000-0000-0000E8080000}"/>
    <cellStyle name="Entrée 2 6 19 2" xfId="2376" xr:uid="{00000000-0005-0000-0000-0000E9080000}"/>
    <cellStyle name="Entrée 2 6 2" xfId="2377" xr:uid="{00000000-0005-0000-0000-0000EA080000}"/>
    <cellStyle name="Entrée 2 6 2 2" xfId="2378" xr:uid="{00000000-0005-0000-0000-0000EB080000}"/>
    <cellStyle name="Entrée 2 6 20" xfId="2379" xr:uid="{00000000-0005-0000-0000-0000EC080000}"/>
    <cellStyle name="Entrée 2 6 20 2" xfId="2380" xr:uid="{00000000-0005-0000-0000-0000ED080000}"/>
    <cellStyle name="Entrée 2 6 21" xfId="2381" xr:uid="{00000000-0005-0000-0000-0000EE080000}"/>
    <cellStyle name="Entrée 2 6 21 2" xfId="2382" xr:uid="{00000000-0005-0000-0000-0000EF080000}"/>
    <cellStyle name="Entrée 2 6 22" xfId="2383" xr:uid="{00000000-0005-0000-0000-0000F0080000}"/>
    <cellStyle name="Entrée 2 6 22 2" xfId="2384" xr:uid="{00000000-0005-0000-0000-0000F1080000}"/>
    <cellStyle name="Entrée 2 6 23" xfId="2385" xr:uid="{00000000-0005-0000-0000-0000F2080000}"/>
    <cellStyle name="Entrée 2 6 23 2" xfId="2386" xr:uid="{00000000-0005-0000-0000-0000F3080000}"/>
    <cellStyle name="Entrée 2 6 24" xfId="2387" xr:uid="{00000000-0005-0000-0000-0000F4080000}"/>
    <cellStyle name="Entrée 2 6 24 2" xfId="2388" xr:uid="{00000000-0005-0000-0000-0000F5080000}"/>
    <cellStyle name="Entrée 2 6 25" xfId="2389" xr:uid="{00000000-0005-0000-0000-0000F6080000}"/>
    <cellStyle name="Entrée 2 6 25 2" xfId="2390" xr:uid="{00000000-0005-0000-0000-0000F7080000}"/>
    <cellStyle name="Entrée 2 6 26" xfId="2391" xr:uid="{00000000-0005-0000-0000-0000F8080000}"/>
    <cellStyle name="Entrée 2 6 26 2" xfId="2392" xr:uid="{00000000-0005-0000-0000-0000F9080000}"/>
    <cellStyle name="Entrée 2 6 27" xfId="2393" xr:uid="{00000000-0005-0000-0000-0000FA080000}"/>
    <cellStyle name="Entrée 2 6 27 2" xfId="2394" xr:uid="{00000000-0005-0000-0000-0000FB080000}"/>
    <cellStyle name="Entrée 2 6 28" xfId="2395" xr:uid="{00000000-0005-0000-0000-0000FC080000}"/>
    <cellStyle name="Entrée 2 6 3" xfId="2396" xr:uid="{00000000-0005-0000-0000-0000FD080000}"/>
    <cellStyle name="Entrée 2 6 3 2" xfId="2397" xr:uid="{00000000-0005-0000-0000-0000FE080000}"/>
    <cellStyle name="Entrée 2 6 4" xfId="2398" xr:uid="{00000000-0005-0000-0000-0000FF080000}"/>
    <cellStyle name="Entrée 2 6 4 2" xfId="2399" xr:uid="{00000000-0005-0000-0000-000000090000}"/>
    <cellStyle name="Entrée 2 6 5" xfId="2400" xr:uid="{00000000-0005-0000-0000-000001090000}"/>
    <cellStyle name="Entrée 2 6 5 2" xfId="2401" xr:uid="{00000000-0005-0000-0000-000002090000}"/>
    <cellStyle name="Entrée 2 6 6" xfId="2402" xr:uid="{00000000-0005-0000-0000-000003090000}"/>
    <cellStyle name="Entrée 2 6 6 2" xfId="2403" xr:uid="{00000000-0005-0000-0000-000004090000}"/>
    <cellStyle name="Entrée 2 6 7" xfId="2404" xr:uid="{00000000-0005-0000-0000-000005090000}"/>
    <cellStyle name="Entrée 2 6 7 2" xfId="2405" xr:uid="{00000000-0005-0000-0000-000006090000}"/>
    <cellStyle name="Entrée 2 6 8" xfId="2406" xr:uid="{00000000-0005-0000-0000-000007090000}"/>
    <cellStyle name="Entrée 2 6 8 2" xfId="2407" xr:uid="{00000000-0005-0000-0000-000008090000}"/>
    <cellStyle name="Entrée 2 6 9" xfId="2408" xr:uid="{00000000-0005-0000-0000-000009090000}"/>
    <cellStyle name="Entrée 2 6 9 2" xfId="2409" xr:uid="{00000000-0005-0000-0000-00000A090000}"/>
    <cellStyle name="Entrée 2 7" xfId="2410" xr:uid="{00000000-0005-0000-0000-00000B090000}"/>
    <cellStyle name="Entrée 2 7 2" xfId="2411" xr:uid="{00000000-0005-0000-0000-00000C090000}"/>
    <cellStyle name="Entrée 2 8" xfId="2412" xr:uid="{00000000-0005-0000-0000-00000D090000}"/>
    <cellStyle name="Entrée 2 8 2" xfId="2413" xr:uid="{00000000-0005-0000-0000-00000E090000}"/>
    <cellStyle name="Entrée 2 9" xfId="2414" xr:uid="{00000000-0005-0000-0000-00000F090000}"/>
    <cellStyle name="Entrée 2 9 2" xfId="2415" xr:uid="{00000000-0005-0000-0000-000010090000}"/>
    <cellStyle name="Entrée 3" xfId="36" xr:uid="{00000000-0005-0000-0000-000011090000}"/>
    <cellStyle name="Entrée 3 2" xfId="37" xr:uid="{00000000-0005-0000-0000-000012090000}"/>
    <cellStyle name="Entrée 3 2 2" xfId="86" xr:uid="{00000000-0005-0000-0000-000013090000}"/>
    <cellStyle name="Entrée 3 2 3" xfId="129" xr:uid="{00000000-0005-0000-0000-000014090000}"/>
    <cellStyle name="Entrée 3 2 4" xfId="3580" xr:uid="{66079D8F-6B9F-4110-AEBE-D90BFB7504F4}"/>
    <cellStyle name="Entrée 3 3" xfId="38" xr:uid="{00000000-0005-0000-0000-000015090000}"/>
    <cellStyle name="Entrée 3 3 2" xfId="87" xr:uid="{00000000-0005-0000-0000-000016090000}"/>
    <cellStyle name="Entrée 3 3 3" xfId="130" xr:uid="{00000000-0005-0000-0000-000017090000}"/>
    <cellStyle name="Entrée 3 3 4" xfId="3590" xr:uid="{D6D2BBD7-B589-44A9-B9D5-6AD74B74C928}"/>
    <cellStyle name="Entrée 3 4" xfId="39" xr:uid="{00000000-0005-0000-0000-000018090000}"/>
    <cellStyle name="Entrée 3 4 2" xfId="68" xr:uid="{00000000-0005-0000-0000-000019090000}"/>
    <cellStyle name="Entrée 3 4 3" xfId="131" xr:uid="{00000000-0005-0000-0000-00001A090000}"/>
    <cellStyle name="Entrée 3 4 4" xfId="3599" xr:uid="{C9805CBE-6870-470E-9B7A-D2EA8F37288A}"/>
    <cellStyle name="Entrée 3 5" xfId="85" xr:uid="{00000000-0005-0000-0000-00001B090000}"/>
    <cellStyle name="Entrée 3 5 2" xfId="3653" xr:uid="{9B0FF859-29AC-48F0-9619-3984B6469133}"/>
    <cellStyle name="Entrée 3 6" xfId="128" xr:uid="{00000000-0005-0000-0000-00001C090000}"/>
    <cellStyle name="Entrée 3 7" xfId="3565" xr:uid="{0B813534-3D5C-4C2C-B44F-27A38316A819}"/>
    <cellStyle name="Entrée 4" xfId="40" xr:uid="{00000000-0005-0000-0000-00001D090000}"/>
    <cellStyle name="Entrée 4 2" xfId="73" xr:uid="{00000000-0005-0000-0000-00001E090000}"/>
    <cellStyle name="Entrée 4 3" xfId="132" xr:uid="{00000000-0005-0000-0000-00001F090000}"/>
    <cellStyle name="Entrée 4 4" xfId="3574" xr:uid="{C8BEA895-40A9-4517-97A4-91EF8ED3866B}"/>
    <cellStyle name="Entrée 5" xfId="3548" xr:uid="{CFA826ED-FC54-4028-BD23-A01C97E233D7}"/>
    <cellStyle name="Euro" xfId="41" xr:uid="{00000000-0005-0000-0000-000020090000}"/>
    <cellStyle name="Euro 2" xfId="2416" xr:uid="{00000000-0005-0000-0000-000021090000}"/>
    <cellStyle name="Euro 2 2" xfId="3656" xr:uid="{D58AF98F-94C5-4A1A-9EBF-2E3DB088D746}"/>
    <cellStyle name="Euro 2 2 2" xfId="3657" xr:uid="{3E973BD3-478D-4B16-883B-C6023B3EB806}"/>
    <cellStyle name="Euro 2 2 2 2" xfId="3737" xr:uid="{630173F2-5934-479D-9AD1-DF76AAC56F89}"/>
    <cellStyle name="Euro 2 2 3" xfId="3738" xr:uid="{7AD14688-50D3-49B5-AE37-36AC039F2C29}"/>
    <cellStyle name="Euro 2 3" xfId="3739" xr:uid="{456F805E-CD6B-43B0-9DD7-D67F5BAE4546}"/>
    <cellStyle name="Euro 2 4" xfId="3655" xr:uid="{8B298F66-0D53-45CB-8B5F-CCCF69E14E87}"/>
    <cellStyle name="Euro 3" xfId="2417" xr:uid="{00000000-0005-0000-0000-000022090000}"/>
    <cellStyle name="Euro 3 2" xfId="2418" xr:uid="{00000000-0005-0000-0000-000023090000}"/>
    <cellStyle name="Euro 3 2 2" xfId="2419" xr:uid="{00000000-0005-0000-0000-000024090000}"/>
    <cellStyle name="Euro 3 2 2 2" xfId="2420" xr:uid="{00000000-0005-0000-0000-000025090000}"/>
    <cellStyle name="Euro 3 2 2 3" xfId="2421" xr:uid="{00000000-0005-0000-0000-000026090000}"/>
    <cellStyle name="Euro 3 2 2 4" xfId="3740" xr:uid="{826692C4-6277-499C-8441-6F120CE05E01}"/>
    <cellStyle name="Euro 3 2 3" xfId="2422" xr:uid="{00000000-0005-0000-0000-000027090000}"/>
    <cellStyle name="Euro 3 2 4" xfId="2423" xr:uid="{00000000-0005-0000-0000-000028090000}"/>
    <cellStyle name="Euro 3 2 5" xfId="3659" xr:uid="{883B1104-8ACF-4165-ACE5-FE65ECF8092E}"/>
    <cellStyle name="Euro 3 3" xfId="2424" xr:uid="{00000000-0005-0000-0000-000029090000}"/>
    <cellStyle name="Euro 3 3 2" xfId="2425" xr:uid="{00000000-0005-0000-0000-00002A090000}"/>
    <cellStyle name="Euro 3 3 3" xfId="2426" xr:uid="{00000000-0005-0000-0000-00002B090000}"/>
    <cellStyle name="Euro 3 3 4" xfId="3741" xr:uid="{B3ACA228-C1FB-4533-842D-017B03585C9E}"/>
    <cellStyle name="Euro 3 4" xfId="2427" xr:uid="{00000000-0005-0000-0000-00002C090000}"/>
    <cellStyle name="Euro 3 5" xfId="2428" xr:uid="{00000000-0005-0000-0000-00002D090000}"/>
    <cellStyle name="Euro 3 6" xfId="3658" xr:uid="{17BC615E-A9D4-49E1-8E6B-461574C3ED9F}"/>
    <cellStyle name="Euro 4" xfId="2429" xr:uid="{00000000-0005-0000-0000-00002E090000}"/>
    <cellStyle name="Euro 4 2" xfId="2430" xr:uid="{00000000-0005-0000-0000-00002F090000}"/>
    <cellStyle name="Euro 4 2 2" xfId="2431" xr:uid="{00000000-0005-0000-0000-000030090000}"/>
    <cellStyle name="Euro 4 2 2 2" xfId="2432" xr:uid="{00000000-0005-0000-0000-000031090000}"/>
    <cellStyle name="Euro 4 2 2 3" xfId="2433" xr:uid="{00000000-0005-0000-0000-000032090000}"/>
    <cellStyle name="Euro 4 2 3" xfId="2434" xr:uid="{00000000-0005-0000-0000-000033090000}"/>
    <cellStyle name="Euro 4 2 4" xfId="2435" xr:uid="{00000000-0005-0000-0000-000034090000}"/>
    <cellStyle name="Euro 4 2 5" xfId="3742" xr:uid="{D6114609-0578-4B41-8E8D-89EF3B4CD53E}"/>
    <cellStyle name="Euro 4 3" xfId="3660" xr:uid="{A456520B-8F08-4F53-B47E-EF9B78BDF253}"/>
    <cellStyle name="Euro 5" xfId="2436" xr:uid="{00000000-0005-0000-0000-000035090000}"/>
    <cellStyle name="Euro 5 2" xfId="2437" xr:uid="{00000000-0005-0000-0000-000036090000}"/>
    <cellStyle name="Euro 5 2 2" xfId="2438" xr:uid="{00000000-0005-0000-0000-000037090000}"/>
    <cellStyle name="Euro 5 2 3" xfId="2439" xr:uid="{00000000-0005-0000-0000-000038090000}"/>
    <cellStyle name="Euro 5 3" xfId="2440" xr:uid="{00000000-0005-0000-0000-000039090000}"/>
    <cellStyle name="Euro 5 4" xfId="2441" xr:uid="{00000000-0005-0000-0000-00003A090000}"/>
    <cellStyle name="Euro 5 5" xfId="3654" xr:uid="{E0785F33-D3AF-4FBB-BAA8-D721E712EABC}"/>
    <cellStyle name="Euro 6" xfId="2442" xr:uid="{00000000-0005-0000-0000-00003B090000}"/>
    <cellStyle name="Euro 6 2" xfId="2443" xr:uid="{00000000-0005-0000-0000-00003C090000}"/>
    <cellStyle name="Euro 6 3" xfId="2444" xr:uid="{00000000-0005-0000-0000-00003D090000}"/>
    <cellStyle name="Euro 7" xfId="2445" xr:uid="{00000000-0005-0000-0000-00003E090000}"/>
    <cellStyle name="Euro 8" xfId="2446" xr:uid="{00000000-0005-0000-0000-00003F090000}"/>
    <cellStyle name="Euro 9" xfId="3549" xr:uid="{776DB997-A8DB-45C3-812E-0AE09F4A3DCE}"/>
    <cellStyle name="Explanatory Text 2" xfId="3661" xr:uid="{C8D96FE7-1C56-4CE4-AE72-C2220C966EA9}"/>
    <cellStyle name="Good 2" xfId="3662" xr:uid="{3F9896C0-6072-499B-B37F-731669E961ED}"/>
    <cellStyle name="Heading 1 2" xfId="3663" xr:uid="{4ABC4726-13E9-4131-B6F4-B60AC0F11C75}"/>
    <cellStyle name="Heading 2 2" xfId="3664" xr:uid="{DBE7D37D-90F3-44FC-8BBB-B4779E7B9DAD}"/>
    <cellStyle name="Heading 3 2" xfId="3665" xr:uid="{77674866-EE8D-4751-8A63-F5262ACB6277}"/>
    <cellStyle name="Heading 4 2" xfId="3666" xr:uid="{F618A314-09FD-4A80-9C7D-9B9DD8451AEA}"/>
    <cellStyle name="Hyperlink" xfId="3514" xr:uid="{00000000-0005-0000-0000-000040090000}"/>
    <cellStyle name="Input 2" xfId="3667" xr:uid="{038B336B-946B-4B17-A152-5423E3B023F4}"/>
    <cellStyle name="Insatisfaisant 2" xfId="2447" xr:uid="{00000000-0005-0000-0000-000041090000}"/>
    <cellStyle name="Insatisfaisant 3" xfId="3668" xr:uid="{9B63D166-6E84-44C8-840C-66F391DD8F50}"/>
    <cellStyle name="Insatisfaisant 4" xfId="3550" xr:uid="{C096C679-7614-45B8-9BAB-026C1CC5A311}"/>
    <cellStyle name="Lien hypertexte 2" xfId="3" xr:uid="{00000000-0005-0000-0000-000042090000}"/>
    <cellStyle name="Lien hypertexte 2 2" xfId="3692" xr:uid="{3406728E-1D66-4122-A340-181A82711C52}"/>
    <cellStyle name="Lien hypertexte 3" xfId="65" xr:uid="{00000000-0005-0000-0000-000043090000}"/>
    <cellStyle name="Lien hypertexte 4" xfId="66" xr:uid="{00000000-0005-0000-0000-000044090000}"/>
    <cellStyle name="Linked Cell 2" xfId="3669" xr:uid="{7D4A1E84-E6B4-40C0-B7C7-48BDD43604ED}"/>
    <cellStyle name="Milliers 2" xfId="42" xr:uid="{00000000-0005-0000-0000-000045090000}"/>
    <cellStyle name="Milliers 2 2" xfId="2448" xr:uid="{00000000-0005-0000-0000-000046090000}"/>
    <cellStyle name="Milliers 2 2 2" xfId="2449" xr:uid="{00000000-0005-0000-0000-000047090000}"/>
    <cellStyle name="Milliers 2 2 2 2" xfId="2450" xr:uid="{00000000-0005-0000-0000-000048090000}"/>
    <cellStyle name="Milliers 2 2 2 3" xfId="2451" xr:uid="{00000000-0005-0000-0000-000049090000}"/>
    <cellStyle name="Milliers 2 2 3" xfId="2452" xr:uid="{00000000-0005-0000-0000-00004A090000}"/>
    <cellStyle name="Milliers 2 2 4" xfId="2453" xr:uid="{00000000-0005-0000-0000-00004B090000}"/>
    <cellStyle name="Milliers 2 3" xfId="2454" xr:uid="{00000000-0005-0000-0000-00004C090000}"/>
    <cellStyle name="Milliers 2 3 2" xfId="2455" xr:uid="{00000000-0005-0000-0000-00004D090000}"/>
    <cellStyle name="Milliers 2 3 3" xfId="2456" xr:uid="{00000000-0005-0000-0000-00004E090000}"/>
    <cellStyle name="Milliers 2 4" xfId="2457" xr:uid="{00000000-0005-0000-0000-00004F090000}"/>
    <cellStyle name="Milliers 2 5" xfId="2458" xr:uid="{00000000-0005-0000-0000-000050090000}"/>
    <cellStyle name="Milliers 2 6" xfId="3562" xr:uid="{E023B901-39F1-4B9D-AAAA-0C23DF89E8DB}"/>
    <cellStyle name="Milliers 3" xfId="2459" xr:uid="{00000000-0005-0000-0000-000051090000}"/>
    <cellStyle name="Milliers 3 2" xfId="3670" xr:uid="{3CBDB1CA-44B9-4EBE-BC42-A0A75B82F35D}"/>
    <cellStyle name="Milliers 3 2 2" xfId="3743" xr:uid="{4E82B720-F39D-4D2C-A41D-5E99BECB9E4D}"/>
    <cellStyle name="Milliers 3 3" xfId="3744" xr:uid="{57AF3308-E581-4478-8821-E60E4B4B88A2}"/>
    <cellStyle name="Milliers 4" xfId="3518" xr:uid="{34922FB2-08F1-4324-A265-4D1DCC87D74B}"/>
    <cellStyle name="Milliers 5" xfId="3771" xr:uid="{F2F59A38-DF2B-4957-A4A0-066B0750B9AA}"/>
    <cellStyle name="Monétaire 2" xfId="4" xr:uid="{00000000-0005-0000-0000-000053090000}"/>
    <cellStyle name="Monétaire 2 2" xfId="8" xr:uid="{00000000-0005-0000-0000-000054090000}"/>
    <cellStyle name="Monétaire 2 3" xfId="9" xr:uid="{00000000-0005-0000-0000-000055090000}"/>
    <cellStyle name="Monétaire 2 4" xfId="3760" xr:uid="{096212B6-4825-41F8-925C-F85E445D2E07}"/>
    <cellStyle name="Monétaire 3" xfId="158" xr:uid="{00000000-0005-0000-0000-000056090000}"/>
    <cellStyle name="Monétaire 3 2" xfId="3765" xr:uid="{21934CC0-4EE7-4B90-8713-B12F47143FF4}"/>
    <cellStyle name="Monétaire 4" xfId="2460" xr:uid="{00000000-0005-0000-0000-000057090000}"/>
    <cellStyle name="Monétaire 4 2" xfId="3767" xr:uid="{E35E1BCC-2C02-4F41-9114-CF37A855C745}"/>
    <cellStyle name="Monétaire 5" xfId="2461" xr:uid="{00000000-0005-0000-0000-000058090000}"/>
    <cellStyle name="Monétaire 5 2" xfId="3671" xr:uid="{8D459EC8-89A4-4A2A-B988-D107FCC8558F}"/>
    <cellStyle name="Monétaire 6" xfId="2462" xr:uid="{00000000-0005-0000-0000-000059090000}"/>
    <cellStyle name="Monétaire 7" xfId="2463" xr:uid="{00000000-0005-0000-0000-00005A090000}"/>
    <cellStyle name="Monétaire 8" xfId="3517" xr:uid="{31F2FE26-0D56-4496-9261-A1F41DA600B5}"/>
    <cellStyle name="Neutral 2" xfId="3672" xr:uid="{4C4DFE56-595A-4FB3-A00C-AB8B0829ADD3}"/>
    <cellStyle name="Neutre 2" xfId="2464" xr:uid="{00000000-0005-0000-0000-00005B090000}"/>
    <cellStyle name="Neutre 3" xfId="3673" xr:uid="{79D88A61-FF9D-4701-8A7A-018878E4422C}"/>
    <cellStyle name="Neutre 4" xfId="3551" xr:uid="{1EEEA352-56D2-41D6-82C3-6B9ABD2F86DF}"/>
    <cellStyle name="Normal" xfId="0" builtinId="0"/>
    <cellStyle name="Normal 10" xfId="2465" xr:uid="{00000000-0005-0000-0000-00005D090000}"/>
    <cellStyle name="Normal 10 2" xfId="2466" xr:uid="{00000000-0005-0000-0000-00005E090000}"/>
    <cellStyle name="Normal 10 5" xfId="153" xr:uid="{00000000-0005-0000-0000-00005F090000}"/>
    <cellStyle name="Normal 11" xfId="2467" xr:uid="{00000000-0005-0000-0000-000060090000}"/>
    <cellStyle name="Normal 11 2" xfId="2468" xr:uid="{00000000-0005-0000-0000-000061090000}"/>
    <cellStyle name="Normal 12" xfId="2469" xr:uid="{00000000-0005-0000-0000-000062090000}"/>
    <cellStyle name="Normal 12 2" xfId="2470" xr:uid="{00000000-0005-0000-0000-000063090000}"/>
    <cellStyle name="Normal 13" xfId="2471" xr:uid="{00000000-0005-0000-0000-000064090000}"/>
    <cellStyle name="Normal 13 2" xfId="2472" xr:uid="{00000000-0005-0000-0000-000065090000}"/>
    <cellStyle name="Normal 14" xfId="2473" xr:uid="{00000000-0005-0000-0000-000066090000}"/>
    <cellStyle name="Normal 14 2" xfId="2474" xr:uid="{00000000-0005-0000-0000-000067090000}"/>
    <cellStyle name="Normal 15" xfId="2475" xr:uid="{00000000-0005-0000-0000-000068090000}"/>
    <cellStyle name="Normal 15 2" xfId="2476" xr:uid="{00000000-0005-0000-0000-000069090000}"/>
    <cellStyle name="Normal 15 3" xfId="2477" xr:uid="{00000000-0005-0000-0000-00006A090000}"/>
    <cellStyle name="Normal 16" xfId="2478" xr:uid="{00000000-0005-0000-0000-00006B090000}"/>
    <cellStyle name="Normal 16 2" xfId="2479" xr:uid="{00000000-0005-0000-0000-00006C090000}"/>
    <cellStyle name="Normal 16 3" xfId="2480" xr:uid="{00000000-0005-0000-0000-00006D090000}"/>
    <cellStyle name="Normal 17" xfId="2481" xr:uid="{00000000-0005-0000-0000-00006E090000}"/>
    <cellStyle name="Normal 17 2" xfId="2482" xr:uid="{00000000-0005-0000-0000-00006F090000}"/>
    <cellStyle name="Normal 18" xfId="2483" xr:uid="{00000000-0005-0000-0000-000070090000}"/>
    <cellStyle name="Normal 18 2" xfId="2484" xr:uid="{00000000-0005-0000-0000-000071090000}"/>
    <cellStyle name="Normal 19" xfId="2485" xr:uid="{00000000-0005-0000-0000-000072090000}"/>
    <cellStyle name="Normal 19 2" xfId="2486" xr:uid="{00000000-0005-0000-0000-000073090000}"/>
    <cellStyle name="Normal 19 2 2" xfId="2487" xr:uid="{00000000-0005-0000-0000-000074090000}"/>
    <cellStyle name="Normal 19 3" xfId="2488" xr:uid="{00000000-0005-0000-0000-000075090000}"/>
    <cellStyle name="Normal 2" xfId="43" xr:uid="{00000000-0005-0000-0000-000076090000}"/>
    <cellStyle name="Normal 2 2" xfId="2489" xr:uid="{00000000-0005-0000-0000-000077090000}"/>
    <cellStyle name="Normal 2 2 2" xfId="3745" xr:uid="{F7A91C42-1039-44F0-B223-6B9A6B96B922}"/>
    <cellStyle name="Normal 2 3" xfId="2490" xr:uid="{00000000-0005-0000-0000-000078090000}"/>
    <cellStyle name="Normal 2 3 2" xfId="3746" xr:uid="{0B75270C-90AD-4B26-ABFA-7C40AB64722B}"/>
    <cellStyle name="Normal 20" xfId="2491" xr:uid="{00000000-0005-0000-0000-000079090000}"/>
    <cellStyle name="Normal 20 2" xfId="2492" xr:uid="{00000000-0005-0000-0000-00007A090000}"/>
    <cellStyle name="Normal 20 2 2" xfId="2493" xr:uid="{00000000-0005-0000-0000-00007B090000}"/>
    <cellStyle name="Normal 20 3" xfId="2494" xr:uid="{00000000-0005-0000-0000-00007C090000}"/>
    <cellStyle name="Normal 21" xfId="2495" xr:uid="{00000000-0005-0000-0000-00007D090000}"/>
    <cellStyle name="Normal 21 2" xfId="2496" xr:uid="{00000000-0005-0000-0000-00007E090000}"/>
    <cellStyle name="Normal 21 2 2" xfId="2497" xr:uid="{00000000-0005-0000-0000-00007F090000}"/>
    <cellStyle name="Normal 21 3" xfId="2498" xr:uid="{00000000-0005-0000-0000-000080090000}"/>
    <cellStyle name="Normal 22" xfId="2499" xr:uid="{00000000-0005-0000-0000-000081090000}"/>
    <cellStyle name="Normal 22 2" xfId="2500" xr:uid="{00000000-0005-0000-0000-000082090000}"/>
    <cellStyle name="Normal 22 3" xfId="3770" xr:uid="{94157097-B738-423E-A98B-54F3003D96E0}"/>
    <cellStyle name="Normal 23" xfId="2501" xr:uid="{00000000-0005-0000-0000-000083090000}"/>
    <cellStyle name="Normal 23 2" xfId="2502" xr:uid="{00000000-0005-0000-0000-000084090000}"/>
    <cellStyle name="Normal 23 2 2" xfId="2503" xr:uid="{00000000-0005-0000-0000-000085090000}"/>
    <cellStyle name="Normal 23 3" xfId="2504" xr:uid="{00000000-0005-0000-0000-000086090000}"/>
    <cellStyle name="Normal 236" xfId="154" xr:uid="{00000000-0005-0000-0000-000087090000}"/>
    <cellStyle name="Normal 24" xfId="2505" xr:uid="{00000000-0005-0000-0000-000088090000}"/>
    <cellStyle name="Normal 24 2" xfId="2506" xr:uid="{00000000-0005-0000-0000-000089090000}"/>
    <cellStyle name="Normal 25" xfId="2507" xr:uid="{00000000-0005-0000-0000-00008A090000}"/>
    <cellStyle name="Normal 25 2" xfId="2508" xr:uid="{00000000-0005-0000-0000-00008B090000}"/>
    <cellStyle name="Normal 26" xfId="2509" xr:uid="{00000000-0005-0000-0000-00008C090000}"/>
    <cellStyle name="Normal 26 2" xfId="2510" xr:uid="{00000000-0005-0000-0000-00008D090000}"/>
    <cellStyle name="Normal 27" xfId="2511" xr:uid="{00000000-0005-0000-0000-00008E090000}"/>
    <cellStyle name="Normal 28" xfId="2512" xr:uid="{00000000-0005-0000-0000-00008F090000}"/>
    <cellStyle name="Normal 28 2" xfId="2513" xr:uid="{00000000-0005-0000-0000-000090090000}"/>
    <cellStyle name="Normal 29" xfId="2514" xr:uid="{00000000-0005-0000-0000-000091090000}"/>
    <cellStyle name="Normal 29 2" xfId="2515" xr:uid="{00000000-0005-0000-0000-000092090000}"/>
    <cellStyle name="Normal 3" xfId="155" xr:uid="{00000000-0005-0000-0000-000093090000}"/>
    <cellStyle name="Normal 3 2" xfId="2516" xr:uid="{00000000-0005-0000-0000-000094090000}"/>
    <cellStyle name="Normal 3 2 2" xfId="3747" xr:uid="{F8CD2CB9-83CC-49A1-89F8-1651753C86F8}"/>
    <cellStyle name="Normal 3 3" xfId="2517" xr:uid="{00000000-0005-0000-0000-000095090000}"/>
    <cellStyle name="Normal 3 3 2" xfId="2518" xr:uid="{00000000-0005-0000-0000-000096090000}"/>
    <cellStyle name="Normal 3 3 3" xfId="3764" xr:uid="{B75DE5A0-E4E0-4E60-B84E-E2C679E12DB4}"/>
    <cellStyle name="Normal 30" xfId="2519" xr:uid="{00000000-0005-0000-0000-000097090000}"/>
    <cellStyle name="Normal 30 2" xfId="2520" xr:uid="{00000000-0005-0000-0000-000098090000}"/>
    <cellStyle name="Normal 31" xfId="2521" xr:uid="{00000000-0005-0000-0000-000099090000}"/>
    <cellStyle name="Normal 32" xfId="2522" xr:uid="{00000000-0005-0000-0000-00009A090000}"/>
    <cellStyle name="Normal 33" xfId="2523" xr:uid="{00000000-0005-0000-0000-00009B090000}"/>
    <cellStyle name="Normal 34" xfId="2524" xr:uid="{00000000-0005-0000-0000-00009C090000}"/>
    <cellStyle name="Normal 35" xfId="2525" xr:uid="{00000000-0005-0000-0000-00009D090000}"/>
    <cellStyle name="Normal 36" xfId="2526" xr:uid="{00000000-0005-0000-0000-00009E090000}"/>
    <cellStyle name="Normal 36 2" xfId="2527" xr:uid="{00000000-0005-0000-0000-00009F090000}"/>
    <cellStyle name="Normal 37" xfId="5" xr:uid="{00000000-0005-0000-0000-0000A0090000}"/>
    <cellStyle name="Normal 37 2" xfId="2528" xr:uid="{00000000-0005-0000-0000-0000A1090000}"/>
    <cellStyle name="Normal 37 3" xfId="2529" xr:uid="{00000000-0005-0000-0000-0000A2090000}"/>
    <cellStyle name="Normal 38" xfId="2530" xr:uid="{00000000-0005-0000-0000-0000A3090000}"/>
    <cellStyle name="Normal 38 2" xfId="2531" xr:uid="{00000000-0005-0000-0000-0000A4090000}"/>
    <cellStyle name="Normal 39" xfId="2532" xr:uid="{00000000-0005-0000-0000-0000A5090000}"/>
    <cellStyle name="Normal 39 2" xfId="2533" xr:uid="{00000000-0005-0000-0000-0000A6090000}"/>
    <cellStyle name="Normal 4" xfId="6" xr:uid="{00000000-0005-0000-0000-0000A7090000}"/>
    <cellStyle name="Normal 4 2" xfId="2534" xr:uid="{00000000-0005-0000-0000-0000A8090000}"/>
    <cellStyle name="Normal 4 2 2" xfId="2535" xr:uid="{00000000-0005-0000-0000-0000A9090000}"/>
    <cellStyle name="Normal 4 3" xfId="2536" xr:uid="{00000000-0005-0000-0000-0000AA090000}"/>
    <cellStyle name="Normal 4 4" xfId="3674" xr:uid="{FB658AD7-AABE-4F88-8325-D8613568D3F8}"/>
    <cellStyle name="Normal 40" xfId="2537" xr:uid="{00000000-0005-0000-0000-0000AB090000}"/>
    <cellStyle name="Normal 41" xfId="2538" xr:uid="{00000000-0005-0000-0000-0000AC090000}"/>
    <cellStyle name="Normal 42" xfId="2539" xr:uid="{00000000-0005-0000-0000-0000AD090000}"/>
    <cellStyle name="Normal 43" xfId="2540" xr:uid="{00000000-0005-0000-0000-0000AE090000}"/>
    <cellStyle name="Normal 44" xfId="3515" xr:uid="{00000000-0005-0000-0000-0000AF090000}"/>
    <cellStyle name="Normal 45" xfId="3516" xr:uid="{C81CD690-9E8E-4719-B2DA-96B37EDBE1F6}"/>
    <cellStyle name="Normal 46" xfId="3519" xr:uid="{1C674DCF-5F49-4762-9416-533CB218573E}"/>
    <cellStyle name="Normal 5" xfId="7" xr:uid="{00000000-0005-0000-0000-0000B0090000}"/>
    <cellStyle name="Normal 5 2" xfId="2541" xr:uid="{00000000-0005-0000-0000-0000B1090000}"/>
    <cellStyle name="Normal 5 3" xfId="2542" xr:uid="{00000000-0005-0000-0000-0000B2090000}"/>
    <cellStyle name="Normal 5 4" xfId="3748" xr:uid="{7532E945-003C-471B-853D-F5D4D0FA2BE1}"/>
    <cellStyle name="Normal 6" xfId="157" xr:uid="{00000000-0005-0000-0000-0000B3090000}"/>
    <cellStyle name="Normal 6 2" xfId="2543" xr:uid="{00000000-0005-0000-0000-0000B4090000}"/>
    <cellStyle name="Normal 6 3" xfId="2544" xr:uid="{00000000-0005-0000-0000-0000B5090000}"/>
    <cellStyle name="Normal 6 4" xfId="3691" xr:uid="{EDCE7504-A9B2-40A5-B0AE-8ED7D4B20D19}"/>
    <cellStyle name="Normal 7" xfId="2545" xr:uid="{00000000-0005-0000-0000-0000B6090000}"/>
    <cellStyle name="Normal 7 2" xfId="2546" xr:uid="{00000000-0005-0000-0000-0000B7090000}"/>
    <cellStyle name="Normal 7 3" xfId="2547" xr:uid="{00000000-0005-0000-0000-0000B8090000}"/>
    <cellStyle name="Normal 7 4" xfId="3762" xr:uid="{1A367C96-C46D-4F3E-A11C-128BBA0EF385}"/>
    <cellStyle name="Normal 8" xfId="2548" xr:uid="{00000000-0005-0000-0000-0000B9090000}"/>
    <cellStyle name="Normal 8 2" xfId="2549" xr:uid="{00000000-0005-0000-0000-0000BA090000}"/>
    <cellStyle name="Normal 8 2 2 2 2 2 2 2 2" xfId="3768" xr:uid="{688E7616-631E-4592-8C5B-0F230DAD9F69}"/>
    <cellStyle name="Normal 8 2 8" xfId="3769" xr:uid="{A458F2D4-D69B-448D-AE8B-B8066C0F06ED}"/>
    <cellStyle name="Normal 8 3" xfId="3763" xr:uid="{670D3C54-17EE-462D-B1F5-76180B39BCFD}"/>
    <cellStyle name="Normal 9" xfId="2550" xr:uid="{00000000-0005-0000-0000-0000BB090000}"/>
    <cellStyle name="Normal 9 2" xfId="2551" xr:uid="{00000000-0005-0000-0000-0000BC090000}"/>
    <cellStyle name="Normal 9 3" xfId="3766" xr:uid="{4AF0C6FD-753C-45B6-979F-B0EECBC9F19A}"/>
    <cellStyle name="Note 2" xfId="3675" xr:uid="{9F12A778-8D59-4594-94E1-6224C47D129E}"/>
    <cellStyle name="Note 2 2" xfId="3749" xr:uid="{0F265396-F90C-4240-9AB2-98AF70D96E10}"/>
    <cellStyle name="Note 3" xfId="3547" xr:uid="{56F4E3F1-2CE6-4ADB-9899-EA268028412D}"/>
    <cellStyle name="Output 2" xfId="3676" xr:uid="{75526C43-FBCC-4308-A205-AB82014907D3}"/>
    <cellStyle name="Pourcentage 2" xfId="2552" xr:uid="{00000000-0005-0000-0000-0000BE090000}"/>
    <cellStyle name="Pourcentage 2 2" xfId="2553" xr:uid="{00000000-0005-0000-0000-0000BF090000}"/>
    <cellStyle name="Pourcentage 2 3" xfId="2554" xr:uid="{00000000-0005-0000-0000-0000C0090000}"/>
    <cellStyle name="Pourcentage 2 4" xfId="2555" xr:uid="{00000000-0005-0000-0000-0000C1090000}"/>
    <cellStyle name="Pourcentage 2 5" xfId="2556" xr:uid="{00000000-0005-0000-0000-0000C2090000}"/>
    <cellStyle name="Pourcentage 2 6" xfId="2557" xr:uid="{00000000-0005-0000-0000-0000C3090000}"/>
    <cellStyle name="Pourcentage 3" xfId="2558" xr:uid="{00000000-0005-0000-0000-0000C4090000}"/>
    <cellStyle name="Pourcentage 3 2" xfId="2559" xr:uid="{00000000-0005-0000-0000-0000C5090000}"/>
    <cellStyle name="Satisfaisant 2" xfId="2560" xr:uid="{00000000-0005-0000-0000-0000C6090000}"/>
    <cellStyle name="Satisfaisant 3" xfId="3677" xr:uid="{BB9CCC02-0747-433A-91EF-CC1BD3AAF75D}"/>
    <cellStyle name="Satisfaisant 4" xfId="3552" xr:uid="{87B05C2F-D7E8-467A-B1E5-0CA80819997D}"/>
    <cellStyle name="Siret" xfId="44" xr:uid="{00000000-0005-0000-0000-0000C7090000}"/>
    <cellStyle name="Siret 2" xfId="45" xr:uid="{00000000-0005-0000-0000-0000C8090000}"/>
    <cellStyle name="Siret 2 2" xfId="46" xr:uid="{00000000-0005-0000-0000-0000C9090000}"/>
    <cellStyle name="Siret 2 2 2" xfId="88" xr:uid="{00000000-0005-0000-0000-0000CA090000}"/>
    <cellStyle name="Siret 2 2 3" xfId="135" xr:uid="{00000000-0005-0000-0000-0000CB090000}"/>
    <cellStyle name="Siret 2 2 4" xfId="3585" xr:uid="{3ADF2C25-7308-4289-811C-95B3C44BD18D}"/>
    <cellStyle name="Siret 2 3" xfId="47" xr:uid="{00000000-0005-0000-0000-0000CC090000}"/>
    <cellStyle name="Siret 2 3 2" xfId="69" xr:uid="{00000000-0005-0000-0000-0000CD090000}"/>
    <cellStyle name="Siret 2 3 3" xfId="136" xr:uid="{00000000-0005-0000-0000-0000CE090000}"/>
    <cellStyle name="Siret 2 3 4" xfId="3595" xr:uid="{3274FC61-EFEC-4A3D-8E59-E3A63259060B}"/>
    <cellStyle name="Siret 2 4" xfId="48" xr:uid="{00000000-0005-0000-0000-0000CF090000}"/>
    <cellStyle name="Siret 2 4 2" xfId="70" xr:uid="{00000000-0005-0000-0000-0000D0090000}"/>
    <cellStyle name="Siret 2 4 3" xfId="137" xr:uid="{00000000-0005-0000-0000-0000D1090000}"/>
    <cellStyle name="Siret 2 4 4" xfId="3604" xr:uid="{8F801E6B-0AC5-4292-8DFA-DCDD690AE370}"/>
    <cellStyle name="Siret 2 5" xfId="67" xr:uid="{00000000-0005-0000-0000-0000D2090000}"/>
    <cellStyle name="Siret 2 6" xfId="134" xr:uid="{00000000-0005-0000-0000-0000D3090000}"/>
    <cellStyle name="Siret 2 7" xfId="3570" xr:uid="{6C2D697C-7401-4141-89B9-21E715236C8C}"/>
    <cellStyle name="Siret 3" xfId="49" xr:uid="{00000000-0005-0000-0000-0000D4090000}"/>
    <cellStyle name="Siret 3 2" xfId="71" xr:uid="{00000000-0005-0000-0000-0000D5090000}"/>
    <cellStyle name="Siret 3 3" xfId="138" xr:uid="{00000000-0005-0000-0000-0000D6090000}"/>
    <cellStyle name="Siret 3 4" xfId="3577" xr:uid="{CA2CABAA-17AB-420D-9E9B-7A995952B889}"/>
    <cellStyle name="Siret 4" xfId="50" xr:uid="{00000000-0005-0000-0000-0000D7090000}"/>
    <cellStyle name="Siret 4 2" xfId="89" xr:uid="{00000000-0005-0000-0000-0000D8090000}"/>
    <cellStyle name="Siret 4 3" xfId="139" xr:uid="{00000000-0005-0000-0000-0000D9090000}"/>
    <cellStyle name="Siret 4 4" xfId="3587" xr:uid="{0BE55ADA-C02C-473C-B3B0-8AA7AC70574F}"/>
    <cellStyle name="Siret 5" xfId="51" xr:uid="{00000000-0005-0000-0000-0000DA090000}"/>
    <cellStyle name="Siret 5 2" xfId="90" xr:uid="{00000000-0005-0000-0000-0000DB090000}"/>
    <cellStyle name="Siret 5 3" xfId="140" xr:uid="{00000000-0005-0000-0000-0000DC090000}"/>
    <cellStyle name="Siret 5 4" xfId="3596" xr:uid="{454F78BB-3616-40A9-902A-7F434EED7CD7}"/>
    <cellStyle name="Siret 6" xfId="72" xr:uid="{00000000-0005-0000-0000-0000DD090000}"/>
    <cellStyle name="Siret 7" xfId="133" xr:uid="{00000000-0005-0000-0000-0000DE090000}"/>
    <cellStyle name="Siret 8" xfId="3561" xr:uid="{49128386-4D1C-419F-855D-B133C4212E7E}"/>
    <cellStyle name="Sortie 2" xfId="52" xr:uid="{00000000-0005-0000-0000-0000DF090000}"/>
    <cellStyle name="Sortie 2 10" xfId="2561" xr:uid="{00000000-0005-0000-0000-0000E0090000}"/>
    <cellStyle name="Sortie 2 10 2" xfId="2562" xr:uid="{00000000-0005-0000-0000-0000E1090000}"/>
    <cellStyle name="Sortie 2 11" xfId="2563" xr:uid="{00000000-0005-0000-0000-0000E2090000}"/>
    <cellStyle name="Sortie 2 11 2" xfId="2564" xr:uid="{00000000-0005-0000-0000-0000E3090000}"/>
    <cellStyle name="Sortie 2 12" xfId="2565" xr:uid="{00000000-0005-0000-0000-0000E4090000}"/>
    <cellStyle name="Sortie 2 12 2" xfId="2566" xr:uid="{00000000-0005-0000-0000-0000E5090000}"/>
    <cellStyle name="Sortie 2 13" xfId="2567" xr:uid="{00000000-0005-0000-0000-0000E6090000}"/>
    <cellStyle name="Sortie 2 13 2" xfId="2568" xr:uid="{00000000-0005-0000-0000-0000E7090000}"/>
    <cellStyle name="Sortie 2 14" xfId="2569" xr:uid="{00000000-0005-0000-0000-0000E8090000}"/>
    <cellStyle name="Sortie 2 14 2" xfId="2570" xr:uid="{00000000-0005-0000-0000-0000E9090000}"/>
    <cellStyle name="Sortie 2 15" xfId="2571" xr:uid="{00000000-0005-0000-0000-0000EA090000}"/>
    <cellStyle name="Sortie 2 15 2" xfId="2572" xr:uid="{00000000-0005-0000-0000-0000EB090000}"/>
    <cellStyle name="Sortie 2 16" xfId="2573" xr:uid="{00000000-0005-0000-0000-0000EC090000}"/>
    <cellStyle name="Sortie 2 16 2" xfId="2574" xr:uid="{00000000-0005-0000-0000-0000ED090000}"/>
    <cellStyle name="Sortie 2 17" xfId="3564" xr:uid="{085710FB-71AF-4245-B047-6BBD2D8C6F32}"/>
    <cellStyle name="Sortie 2 2" xfId="53" xr:uid="{00000000-0005-0000-0000-0000EE090000}"/>
    <cellStyle name="Sortie 2 2 10" xfId="2575" xr:uid="{00000000-0005-0000-0000-0000EF090000}"/>
    <cellStyle name="Sortie 2 2 10 2" xfId="2576" xr:uid="{00000000-0005-0000-0000-0000F0090000}"/>
    <cellStyle name="Sortie 2 2 11" xfId="2577" xr:uid="{00000000-0005-0000-0000-0000F1090000}"/>
    <cellStyle name="Sortie 2 2 11 2" xfId="2578" xr:uid="{00000000-0005-0000-0000-0000F2090000}"/>
    <cellStyle name="Sortie 2 2 12" xfId="2579" xr:uid="{00000000-0005-0000-0000-0000F3090000}"/>
    <cellStyle name="Sortie 2 2 12 2" xfId="2580" xr:uid="{00000000-0005-0000-0000-0000F4090000}"/>
    <cellStyle name="Sortie 2 2 13" xfId="2581" xr:uid="{00000000-0005-0000-0000-0000F5090000}"/>
    <cellStyle name="Sortie 2 2 13 2" xfId="2582" xr:uid="{00000000-0005-0000-0000-0000F6090000}"/>
    <cellStyle name="Sortie 2 2 14" xfId="2583" xr:uid="{00000000-0005-0000-0000-0000F7090000}"/>
    <cellStyle name="Sortie 2 2 14 2" xfId="2584" xr:uid="{00000000-0005-0000-0000-0000F8090000}"/>
    <cellStyle name="Sortie 2 2 15" xfId="2585" xr:uid="{00000000-0005-0000-0000-0000F9090000}"/>
    <cellStyle name="Sortie 2 2 15 2" xfId="2586" xr:uid="{00000000-0005-0000-0000-0000FA090000}"/>
    <cellStyle name="Sortie 2 2 16" xfId="3579" xr:uid="{15877091-70D3-4123-A26B-C6B7031D6AA7}"/>
    <cellStyle name="Sortie 2 2 2" xfId="92" xr:uid="{00000000-0005-0000-0000-0000FB090000}"/>
    <cellStyle name="Sortie 2 2 2 10" xfId="2587" xr:uid="{00000000-0005-0000-0000-0000FC090000}"/>
    <cellStyle name="Sortie 2 2 2 10 2" xfId="2588" xr:uid="{00000000-0005-0000-0000-0000FD090000}"/>
    <cellStyle name="Sortie 2 2 2 11" xfId="2589" xr:uid="{00000000-0005-0000-0000-0000FE090000}"/>
    <cellStyle name="Sortie 2 2 2 11 2" xfId="2590" xr:uid="{00000000-0005-0000-0000-0000FF090000}"/>
    <cellStyle name="Sortie 2 2 2 12" xfId="2591" xr:uid="{00000000-0005-0000-0000-0000000A0000}"/>
    <cellStyle name="Sortie 2 2 2 12 2" xfId="2592" xr:uid="{00000000-0005-0000-0000-0000010A0000}"/>
    <cellStyle name="Sortie 2 2 2 13" xfId="2593" xr:uid="{00000000-0005-0000-0000-0000020A0000}"/>
    <cellStyle name="Sortie 2 2 2 13 2" xfId="2594" xr:uid="{00000000-0005-0000-0000-0000030A0000}"/>
    <cellStyle name="Sortie 2 2 2 14" xfId="2595" xr:uid="{00000000-0005-0000-0000-0000040A0000}"/>
    <cellStyle name="Sortie 2 2 2 14 2" xfId="2596" xr:uid="{00000000-0005-0000-0000-0000050A0000}"/>
    <cellStyle name="Sortie 2 2 2 15" xfId="2597" xr:uid="{00000000-0005-0000-0000-0000060A0000}"/>
    <cellStyle name="Sortie 2 2 2 15 2" xfId="2598" xr:uid="{00000000-0005-0000-0000-0000070A0000}"/>
    <cellStyle name="Sortie 2 2 2 16" xfId="2599" xr:uid="{00000000-0005-0000-0000-0000080A0000}"/>
    <cellStyle name="Sortie 2 2 2 16 2" xfId="2600" xr:uid="{00000000-0005-0000-0000-0000090A0000}"/>
    <cellStyle name="Sortie 2 2 2 17" xfId="2601" xr:uid="{00000000-0005-0000-0000-00000A0A0000}"/>
    <cellStyle name="Sortie 2 2 2 17 2" xfId="2602" xr:uid="{00000000-0005-0000-0000-00000B0A0000}"/>
    <cellStyle name="Sortie 2 2 2 18" xfId="2603" xr:uid="{00000000-0005-0000-0000-00000C0A0000}"/>
    <cellStyle name="Sortie 2 2 2 18 2" xfId="2604" xr:uid="{00000000-0005-0000-0000-00000D0A0000}"/>
    <cellStyle name="Sortie 2 2 2 19" xfId="2605" xr:uid="{00000000-0005-0000-0000-00000E0A0000}"/>
    <cellStyle name="Sortie 2 2 2 19 2" xfId="2606" xr:uid="{00000000-0005-0000-0000-00000F0A0000}"/>
    <cellStyle name="Sortie 2 2 2 2" xfId="2607" xr:uid="{00000000-0005-0000-0000-0000100A0000}"/>
    <cellStyle name="Sortie 2 2 2 2 2" xfId="2608" xr:uid="{00000000-0005-0000-0000-0000110A0000}"/>
    <cellStyle name="Sortie 2 2 2 20" xfId="2609" xr:uid="{00000000-0005-0000-0000-0000120A0000}"/>
    <cellStyle name="Sortie 2 2 2 20 2" xfId="2610" xr:uid="{00000000-0005-0000-0000-0000130A0000}"/>
    <cellStyle name="Sortie 2 2 2 21" xfId="2611" xr:uid="{00000000-0005-0000-0000-0000140A0000}"/>
    <cellStyle name="Sortie 2 2 2 21 2" xfId="2612" xr:uid="{00000000-0005-0000-0000-0000150A0000}"/>
    <cellStyle name="Sortie 2 2 2 22" xfId="2613" xr:uid="{00000000-0005-0000-0000-0000160A0000}"/>
    <cellStyle name="Sortie 2 2 2 22 2" xfId="2614" xr:uid="{00000000-0005-0000-0000-0000170A0000}"/>
    <cellStyle name="Sortie 2 2 2 23" xfId="2615" xr:uid="{00000000-0005-0000-0000-0000180A0000}"/>
    <cellStyle name="Sortie 2 2 2 23 2" xfId="2616" xr:uid="{00000000-0005-0000-0000-0000190A0000}"/>
    <cellStyle name="Sortie 2 2 2 24" xfId="2617" xr:uid="{00000000-0005-0000-0000-00001A0A0000}"/>
    <cellStyle name="Sortie 2 2 2 24 2" xfId="2618" xr:uid="{00000000-0005-0000-0000-00001B0A0000}"/>
    <cellStyle name="Sortie 2 2 2 25" xfId="2619" xr:uid="{00000000-0005-0000-0000-00001C0A0000}"/>
    <cellStyle name="Sortie 2 2 2 25 2" xfId="2620" xr:uid="{00000000-0005-0000-0000-00001D0A0000}"/>
    <cellStyle name="Sortie 2 2 2 26" xfId="2621" xr:uid="{00000000-0005-0000-0000-00001E0A0000}"/>
    <cellStyle name="Sortie 2 2 2 26 2" xfId="2622" xr:uid="{00000000-0005-0000-0000-00001F0A0000}"/>
    <cellStyle name="Sortie 2 2 2 27" xfId="2623" xr:uid="{00000000-0005-0000-0000-0000200A0000}"/>
    <cellStyle name="Sortie 2 2 2 27 2" xfId="2624" xr:uid="{00000000-0005-0000-0000-0000210A0000}"/>
    <cellStyle name="Sortie 2 2 2 28" xfId="2625" xr:uid="{00000000-0005-0000-0000-0000220A0000}"/>
    <cellStyle name="Sortie 2 2 2 28 2" xfId="2626" xr:uid="{00000000-0005-0000-0000-0000230A0000}"/>
    <cellStyle name="Sortie 2 2 2 29" xfId="2627" xr:uid="{00000000-0005-0000-0000-0000240A0000}"/>
    <cellStyle name="Sortie 2 2 2 3" xfId="2628" xr:uid="{00000000-0005-0000-0000-0000250A0000}"/>
    <cellStyle name="Sortie 2 2 2 3 2" xfId="2629" xr:uid="{00000000-0005-0000-0000-0000260A0000}"/>
    <cellStyle name="Sortie 2 2 2 4" xfId="2630" xr:uid="{00000000-0005-0000-0000-0000270A0000}"/>
    <cellStyle name="Sortie 2 2 2 4 2" xfId="2631" xr:uid="{00000000-0005-0000-0000-0000280A0000}"/>
    <cellStyle name="Sortie 2 2 2 5" xfId="2632" xr:uid="{00000000-0005-0000-0000-0000290A0000}"/>
    <cellStyle name="Sortie 2 2 2 5 2" xfId="2633" xr:uid="{00000000-0005-0000-0000-00002A0A0000}"/>
    <cellStyle name="Sortie 2 2 2 6" xfId="2634" xr:uid="{00000000-0005-0000-0000-00002B0A0000}"/>
    <cellStyle name="Sortie 2 2 2 6 2" xfId="2635" xr:uid="{00000000-0005-0000-0000-00002C0A0000}"/>
    <cellStyle name="Sortie 2 2 2 7" xfId="2636" xr:uid="{00000000-0005-0000-0000-00002D0A0000}"/>
    <cellStyle name="Sortie 2 2 2 7 2" xfId="2637" xr:uid="{00000000-0005-0000-0000-00002E0A0000}"/>
    <cellStyle name="Sortie 2 2 2 8" xfId="2638" xr:uid="{00000000-0005-0000-0000-00002F0A0000}"/>
    <cellStyle name="Sortie 2 2 2 8 2" xfId="2639" xr:uid="{00000000-0005-0000-0000-0000300A0000}"/>
    <cellStyle name="Sortie 2 2 2 9" xfId="2640" xr:uid="{00000000-0005-0000-0000-0000310A0000}"/>
    <cellStyle name="Sortie 2 2 2 9 2" xfId="2641" xr:uid="{00000000-0005-0000-0000-0000320A0000}"/>
    <cellStyle name="Sortie 2 2 3" xfId="142" xr:uid="{00000000-0005-0000-0000-0000330A0000}"/>
    <cellStyle name="Sortie 2 2 3 10" xfId="2642" xr:uid="{00000000-0005-0000-0000-0000340A0000}"/>
    <cellStyle name="Sortie 2 2 3 10 2" xfId="2643" xr:uid="{00000000-0005-0000-0000-0000350A0000}"/>
    <cellStyle name="Sortie 2 2 3 11" xfId="2644" xr:uid="{00000000-0005-0000-0000-0000360A0000}"/>
    <cellStyle name="Sortie 2 2 3 11 2" xfId="2645" xr:uid="{00000000-0005-0000-0000-0000370A0000}"/>
    <cellStyle name="Sortie 2 2 3 12" xfId="2646" xr:uid="{00000000-0005-0000-0000-0000380A0000}"/>
    <cellStyle name="Sortie 2 2 3 12 2" xfId="2647" xr:uid="{00000000-0005-0000-0000-0000390A0000}"/>
    <cellStyle name="Sortie 2 2 3 13" xfId="2648" xr:uid="{00000000-0005-0000-0000-00003A0A0000}"/>
    <cellStyle name="Sortie 2 2 3 13 2" xfId="2649" xr:uid="{00000000-0005-0000-0000-00003B0A0000}"/>
    <cellStyle name="Sortie 2 2 3 14" xfId="2650" xr:uid="{00000000-0005-0000-0000-00003C0A0000}"/>
    <cellStyle name="Sortie 2 2 3 14 2" xfId="2651" xr:uid="{00000000-0005-0000-0000-00003D0A0000}"/>
    <cellStyle name="Sortie 2 2 3 15" xfId="2652" xr:uid="{00000000-0005-0000-0000-00003E0A0000}"/>
    <cellStyle name="Sortie 2 2 3 15 2" xfId="2653" xr:uid="{00000000-0005-0000-0000-00003F0A0000}"/>
    <cellStyle name="Sortie 2 2 3 16" xfId="2654" xr:uid="{00000000-0005-0000-0000-0000400A0000}"/>
    <cellStyle name="Sortie 2 2 3 16 2" xfId="2655" xr:uid="{00000000-0005-0000-0000-0000410A0000}"/>
    <cellStyle name="Sortie 2 2 3 17" xfId="2656" xr:uid="{00000000-0005-0000-0000-0000420A0000}"/>
    <cellStyle name="Sortie 2 2 3 17 2" xfId="2657" xr:uid="{00000000-0005-0000-0000-0000430A0000}"/>
    <cellStyle name="Sortie 2 2 3 18" xfId="2658" xr:uid="{00000000-0005-0000-0000-0000440A0000}"/>
    <cellStyle name="Sortie 2 2 3 18 2" xfId="2659" xr:uid="{00000000-0005-0000-0000-0000450A0000}"/>
    <cellStyle name="Sortie 2 2 3 19" xfId="2660" xr:uid="{00000000-0005-0000-0000-0000460A0000}"/>
    <cellStyle name="Sortie 2 2 3 19 2" xfId="2661" xr:uid="{00000000-0005-0000-0000-0000470A0000}"/>
    <cellStyle name="Sortie 2 2 3 2" xfId="2662" xr:uid="{00000000-0005-0000-0000-0000480A0000}"/>
    <cellStyle name="Sortie 2 2 3 2 2" xfId="2663" xr:uid="{00000000-0005-0000-0000-0000490A0000}"/>
    <cellStyle name="Sortie 2 2 3 20" xfId="2664" xr:uid="{00000000-0005-0000-0000-00004A0A0000}"/>
    <cellStyle name="Sortie 2 2 3 20 2" xfId="2665" xr:uid="{00000000-0005-0000-0000-00004B0A0000}"/>
    <cellStyle name="Sortie 2 2 3 21" xfId="2666" xr:uid="{00000000-0005-0000-0000-00004C0A0000}"/>
    <cellStyle name="Sortie 2 2 3 21 2" xfId="2667" xr:uid="{00000000-0005-0000-0000-00004D0A0000}"/>
    <cellStyle name="Sortie 2 2 3 22" xfId="2668" xr:uid="{00000000-0005-0000-0000-00004E0A0000}"/>
    <cellStyle name="Sortie 2 2 3 22 2" xfId="2669" xr:uid="{00000000-0005-0000-0000-00004F0A0000}"/>
    <cellStyle name="Sortie 2 2 3 23" xfId="2670" xr:uid="{00000000-0005-0000-0000-0000500A0000}"/>
    <cellStyle name="Sortie 2 2 3 23 2" xfId="2671" xr:uid="{00000000-0005-0000-0000-0000510A0000}"/>
    <cellStyle name="Sortie 2 2 3 24" xfId="2672" xr:uid="{00000000-0005-0000-0000-0000520A0000}"/>
    <cellStyle name="Sortie 2 2 3 24 2" xfId="2673" xr:uid="{00000000-0005-0000-0000-0000530A0000}"/>
    <cellStyle name="Sortie 2 2 3 25" xfId="2674" xr:uid="{00000000-0005-0000-0000-0000540A0000}"/>
    <cellStyle name="Sortie 2 2 3 25 2" xfId="2675" xr:uid="{00000000-0005-0000-0000-0000550A0000}"/>
    <cellStyle name="Sortie 2 2 3 26" xfId="2676" xr:uid="{00000000-0005-0000-0000-0000560A0000}"/>
    <cellStyle name="Sortie 2 2 3 26 2" xfId="2677" xr:uid="{00000000-0005-0000-0000-0000570A0000}"/>
    <cellStyle name="Sortie 2 2 3 27" xfId="2678" xr:uid="{00000000-0005-0000-0000-0000580A0000}"/>
    <cellStyle name="Sortie 2 2 3 27 2" xfId="2679" xr:uid="{00000000-0005-0000-0000-0000590A0000}"/>
    <cellStyle name="Sortie 2 2 3 28" xfId="2680" xr:uid="{00000000-0005-0000-0000-00005A0A0000}"/>
    <cellStyle name="Sortie 2 2 3 28 2" xfId="2681" xr:uid="{00000000-0005-0000-0000-00005B0A0000}"/>
    <cellStyle name="Sortie 2 2 3 29" xfId="2682" xr:uid="{00000000-0005-0000-0000-00005C0A0000}"/>
    <cellStyle name="Sortie 2 2 3 3" xfId="2683" xr:uid="{00000000-0005-0000-0000-00005D0A0000}"/>
    <cellStyle name="Sortie 2 2 3 3 2" xfId="2684" xr:uid="{00000000-0005-0000-0000-00005E0A0000}"/>
    <cellStyle name="Sortie 2 2 3 4" xfId="2685" xr:uid="{00000000-0005-0000-0000-00005F0A0000}"/>
    <cellStyle name="Sortie 2 2 3 4 2" xfId="2686" xr:uid="{00000000-0005-0000-0000-0000600A0000}"/>
    <cellStyle name="Sortie 2 2 3 5" xfId="2687" xr:uid="{00000000-0005-0000-0000-0000610A0000}"/>
    <cellStyle name="Sortie 2 2 3 5 2" xfId="2688" xr:uid="{00000000-0005-0000-0000-0000620A0000}"/>
    <cellStyle name="Sortie 2 2 3 6" xfId="2689" xr:uid="{00000000-0005-0000-0000-0000630A0000}"/>
    <cellStyle name="Sortie 2 2 3 6 2" xfId="2690" xr:uid="{00000000-0005-0000-0000-0000640A0000}"/>
    <cellStyle name="Sortie 2 2 3 7" xfId="2691" xr:uid="{00000000-0005-0000-0000-0000650A0000}"/>
    <cellStyle name="Sortie 2 2 3 7 2" xfId="2692" xr:uid="{00000000-0005-0000-0000-0000660A0000}"/>
    <cellStyle name="Sortie 2 2 3 8" xfId="2693" xr:uid="{00000000-0005-0000-0000-0000670A0000}"/>
    <cellStyle name="Sortie 2 2 3 8 2" xfId="2694" xr:uid="{00000000-0005-0000-0000-0000680A0000}"/>
    <cellStyle name="Sortie 2 2 3 9" xfId="2695" xr:uid="{00000000-0005-0000-0000-0000690A0000}"/>
    <cellStyle name="Sortie 2 2 3 9 2" xfId="2696" xr:uid="{00000000-0005-0000-0000-00006A0A0000}"/>
    <cellStyle name="Sortie 2 2 4" xfId="2697" xr:uid="{00000000-0005-0000-0000-00006B0A0000}"/>
    <cellStyle name="Sortie 2 2 4 10" xfId="2698" xr:uid="{00000000-0005-0000-0000-00006C0A0000}"/>
    <cellStyle name="Sortie 2 2 4 10 2" xfId="2699" xr:uid="{00000000-0005-0000-0000-00006D0A0000}"/>
    <cellStyle name="Sortie 2 2 4 11" xfId="2700" xr:uid="{00000000-0005-0000-0000-00006E0A0000}"/>
    <cellStyle name="Sortie 2 2 4 11 2" xfId="2701" xr:uid="{00000000-0005-0000-0000-00006F0A0000}"/>
    <cellStyle name="Sortie 2 2 4 12" xfId="2702" xr:uid="{00000000-0005-0000-0000-0000700A0000}"/>
    <cellStyle name="Sortie 2 2 4 12 2" xfId="2703" xr:uid="{00000000-0005-0000-0000-0000710A0000}"/>
    <cellStyle name="Sortie 2 2 4 13" xfId="2704" xr:uid="{00000000-0005-0000-0000-0000720A0000}"/>
    <cellStyle name="Sortie 2 2 4 13 2" xfId="2705" xr:uid="{00000000-0005-0000-0000-0000730A0000}"/>
    <cellStyle name="Sortie 2 2 4 14" xfId="2706" xr:uid="{00000000-0005-0000-0000-0000740A0000}"/>
    <cellStyle name="Sortie 2 2 4 14 2" xfId="2707" xr:uid="{00000000-0005-0000-0000-0000750A0000}"/>
    <cellStyle name="Sortie 2 2 4 15" xfId="2708" xr:uid="{00000000-0005-0000-0000-0000760A0000}"/>
    <cellStyle name="Sortie 2 2 4 15 2" xfId="2709" xr:uid="{00000000-0005-0000-0000-0000770A0000}"/>
    <cellStyle name="Sortie 2 2 4 16" xfId="2710" xr:uid="{00000000-0005-0000-0000-0000780A0000}"/>
    <cellStyle name="Sortie 2 2 4 16 2" xfId="2711" xr:uid="{00000000-0005-0000-0000-0000790A0000}"/>
    <cellStyle name="Sortie 2 2 4 17" xfId="2712" xr:uid="{00000000-0005-0000-0000-00007A0A0000}"/>
    <cellStyle name="Sortie 2 2 4 17 2" xfId="2713" xr:uid="{00000000-0005-0000-0000-00007B0A0000}"/>
    <cellStyle name="Sortie 2 2 4 18" xfId="2714" xr:uid="{00000000-0005-0000-0000-00007C0A0000}"/>
    <cellStyle name="Sortie 2 2 4 18 2" xfId="2715" xr:uid="{00000000-0005-0000-0000-00007D0A0000}"/>
    <cellStyle name="Sortie 2 2 4 19" xfId="2716" xr:uid="{00000000-0005-0000-0000-00007E0A0000}"/>
    <cellStyle name="Sortie 2 2 4 19 2" xfId="2717" xr:uid="{00000000-0005-0000-0000-00007F0A0000}"/>
    <cellStyle name="Sortie 2 2 4 2" xfId="2718" xr:uid="{00000000-0005-0000-0000-0000800A0000}"/>
    <cellStyle name="Sortie 2 2 4 2 2" xfId="2719" xr:uid="{00000000-0005-0000-0000-0000810A0000}"/>
    <cellStyle name="Sortie 2 2 4 20" xfId="2720" xr:uid="{00000000-0005-0000-0000-0000820A0000}"/>
    <cellStyle name="Sortie 2 2 4 20 2" xfId="2721" xr:uid="{00000000-0005-0000-0000-0000830A0000}"/>
    <cellStyle name="Sortie 2 2 4 21" xfId="2722" xr:uid="{00000000-0005-0000-0000-0000840A0000}"/>
    <cellStyle name="Sortie 2 2 4 21 2" xfId="2723" xr:uid="{00000000-0005-0000-0000-0000850A0000}"/>
    <cellStyle name="Sortie 2 2 4 22" xfId="2724" xr:uid="{00000000-0005-0000-0000-0000860A0000}"/>
    <cellStyle name="Sortie 2 2 4 22 2" xfId="2725" xr:uid="{00000000-0005-0000-0000-0000870A0000}"/>
    <cellStyle name="Sortie 2 2 4 23" xfId="2726" xr:uid="{00000000-0005-0000-0000-0000880A0000}"/>
    <cellStyle name="Sortie 2 2 4 23 2" xfId="2727" xr:uid="{00000000-0005-0000-0000-0000890A0000}"/>
    <cellStyle name="Sortie 2 2 4 24" xfId="2728" xr:uid="{00000000-0005-0000-0000-00008A0A0000}"/>
    <cellStyle name="Sortie 2 2 4 24 2" xfId="2729" xr:uid="{00000000-0005-0000-0000-00008B0A0000}"/>
    <cellStyle name="Sortie 2 2 4 25" xfId="2730" xr:uid="{00000000-0005-0000-0000-00008C0A0000}"/>
    <cellStyle name="Sortie 2 2 4 25 2" xfId="2731" xr:uid="{00000000-0005-0000-0000-00008D0A0000}"/>
    <cellStyle name="Sortie 2 2 4 26" xfId="2732" xr:uid="{00000000-0005-0000-0000-00008E0A0000}"/>
    <cellStyle name="Sortie 2 2 4 26 2" xfId="2733" xr:uid="{00000000-0005-0000-0000-00008F0A0000}"/>
    <cellStyle name="Sortie 2 2 4 27" xfId="2734" xr:uid="{00000000-0005-0000-0000-0000900A0000}"/>
    <cellStyle name="Sortie 2 2 4 27 2" xfId="2735" xr:uid="{00000000-0005-0000-0000-0000910A0000}"/>
    <cellStyle name="Sortie 2 2 4 28" xfId="2736" xr:uid="{00000000-0005-0000-0000-0000920A0000}"/>
    <cellStyle name="Sortie 2 2 4 28 2" xfId="2737" xr:uid="{00000000-0005-0000-0000-0000930A0000}"/>
    <cellStyle name="Sortie 2 2 4 29" xfId="2738" xr:uid="{00000000-0005-0000-0000-0000940A0000}"/>
    <cellStyle name="Sortie 2 2 4 3" xfId="2739" xr:uid="{00000000-0005-0000-0000-0000950A0000}"/>
    <cellStyle name="Sortie 2 2 4 3 2" xfId="2740" xr:uid="{00000000-0005-0000-0000-0000960A0000}"/>
    <cellStyle name="Sortie 2 2 4 4" xfId="2741" xr:uid="{00000000-0005-0000-0000-0000970A0000}"/>
    <cellStyle name="Sortie 2 2 4 4 2" xfId="2742" xr:uid="{00000000-0005-0000-0000-0000980A0000}"/>
    <cellStyle name="Sortie 2 2 4 5" xfId="2743" xr:uid="{00000000-0005-0000-0000-0000990A0000}"/>
    <cellStyle name="Sortie 2 2 4 5 2" xfId="2744" xr:uid="{00000000-0005-0000-0000-00009A0A0000}"/>
    <cellStyle name="Sortie 2 2 4 6" xfId="2745" xr:uid="{00000000-0005-0000-0000-00009B0A0000}"/>
    <cellStyle name="Sortie 2 2 4 6 2" xfId="2746" xr:uid="{00000000-0005-0000-0000-00009C0A0000}"/>
    <cellStyle name="Sortie 2 2 4 7" xfId="2747" xr:uid="{00000000-0005-0000-0000-00009D0A0000}"/>
    <cellStyle name="Sortie 2 2 4 7 2" xfId="2748" xr:uid="{00000000-0005-0000-0000-00009E0A0000}"/>
    <cellStyle name="Sortie 2 2 4 8" xfId="2749" xr:uid="{00000000-0005-0000-0000-00009F0A0000}"/>
    <cellStyle name="Sortie 2 2 4 8 2" xfId="2750" xr:uid="{00000000-0005-0000-0000-0000A00A0000}"/>
    <cellStyle name="Sortie 2 2 4 9" xfId="2751" xr:uid="{00000000-0005-0000-0000-0000A10A0000}"/>
    <cellStyle name="Sortie 2 2 4 9 2" xfId="2752" xr:uid="{00000000-0005-0000-0000-0000A20A0000}"/>
    <cellStyle name="Sortie 2 2 5" xfId="2753" xr:uid="{00000000-0005-0000-0000-0000A30A0000}"/>
    <cellStyle name="Sortie 2 2 5 10" xfId="2754" xr:uid="{00000000-0005-0000-0000-0000A40A0000}"/>
    <cellStyle name="Sortie 2 2 5 10 2" xfId="2755" xr:uid="{00000000-0005-0000-0000-0000A50A0000}"/>
    <cellStyle name="Sortie 2 2 5 11" xfId="2756" xr:uid="{00000000-0005-0000-0000-0000A60A0000}"/>
    <cellStyle name="Sortie 2 2 5 11 2" xfId="2757" xr:uid="{00000000-0005-0000-0000-0000A70A0000}"/>
    <cellStyle name="Sortie 2 2 5 12" xfId="2758" xr:uid="{00000000-0005-0000-0000-0000A80A0000}"/>
    <cellStyle name="Sortie 2 2 5 12 2" xfId="2759" xr:uid="{00000000-0005-0000-0000-0000A90A0000}"/>
    <cellStyle name="Sortie 2 2 5 13" xfId="2760" xr:uid="{00000000-0005-0000-0000-0000AA0A0000}"/>
    <cellStyle name="Sortie 2 2 5 13 2" xfId="2761" xr:uid="{00000000-0005-0000-0000-0000AB0A0000}"/>
    <cellStyle name="Sortie 2 2 5 14" xfId="2762" xr:uid="{00000000-0005-0000-0000-0000AC0A0000}"/>
    <cellStyle name="Sortie 2 2 5 14 2" xfId="2763" xr:uid="{00000000-0005-0000-0000-0000AD0A0000}"/>
    <cellStyle name="Sortie 2 2 5 15" xfId="2764" xr:uid="{00000000-0005-0000-0000-0000AE0A0000}"/>
    <cellStyle name="Sortie 2 2 5 15 2" xfId="2765" xr:uid="{00000000-0005-0000-0000-0000AF0A0000}"/>
    <cellStyle name="Sortie 2 2 5 16" xfId="2766" xr:uid="{00000000-0005-0000-0000-0000B00A0000}"/>
    <cellStyle name="Sortie 2 2 5 16 2" xfId="2767" xr:uid="{00000000-0005-0000-0000-0000B10A0000}"/>
    <cellStyle name="Sortie 2 2 5 17" xfId="2768" xr:uid="{00000000-0005-0000-0000-0000B20A0000}"/>
    <cellStyle name="Sortie 2 2 5 17 2" xfId="2769" xr:uid="{00000000-0005-0000-0000-0000B30A0000}"/>
    <cellStyle name="Sortie 2 2 5 18" xfId="2770" xr:uid="{00000000-0005-0000-0000-0000B40A0000}"/>
    <cellStyle name="Sortie 2 2 5 18 2" xfId="2771" xr:uid="{00000000-0005-0000-0000-0000B50A0000}"/>
    <cellStyle name="Sortie 2 2 5 19" xfId="2772" xr:uid="{00000000-0005-0000-0000-0000B60A0000}"/>
    <cellStyle name="Sortie 2 2 5 19 2" xfId="2773" xr:uid="{00000000-0005-0000-0000-0000B70A0000}"/>
    <cellStyle name="Sortie 2 2 5 2" xfId="2774" xr:uid="{00000000-0005-0000-0000-0000B80A0000}"/>
    <cellStyle name="Sortie 2 2 5 2 2" xfId="2775" xr:uid="{00000000-0005-0000-0000-0000B90A0000}"/>
    <cellStyle name="Sortie 2 2 5 20" xfId="2776" xr:uid="{00000000-0005-0000-0000-0000BA0A0000}"/>
    <cellStyle name="Sortie 2 2 5 20 2" xfId="2777" xr:uid="{00000000-0005-0000-0000-0000BB0A0000}"/>
    <cellStyle name="Sortie 2 2 5 21" xfId="2778" xr:uid="{00000000-0005-0000-0000-0000BC0A0000}"/>
    <cellStyle name="Sortie 2 2 5 21 2" xfId="2779" xr:uid="{00000000-0005-0000-0000-0000BD0A0000}"/>
    <cellStyle name="Sortie 2 2 5 22" xfId="2780" xr:uid="{00000000-0005-0000-0000-0000BE0A0000}"/>
    <cellStyle name="Sortie 2 2 5 22 2" xfId="2781" xr:uid="{00000000-0005-0000-0000-0000BF0A0000}"/>
    <cellStyle name="Sortie 2 2 5 23" xfId="2782" xr:uid="{00000000-0005-0000-0000-0000C00A0000}"/>
    <cellStyle name="Sortie 2 2 5 23 2" xfId="2783" xr:uid="{00000000-0005-0000-0000-0000C10A0000}"/>
    <cellStyle name="Sortie 2 2 5 24" xfId="2784" xr:uid="{00000000-0005-0000-0000-0000C20A0000}"/>
    <cellStyle name="Sortie 2 2 5 24 2" xfId="2785" xr:uid="{00000000-0005-0000-0000-0000C30A0000}"/>
    <cellStyle name="Sortie 2 2 5 25" xfId="2786" xr:uid="{00000000-0005-0000-0000-0000C40A0000}"/>
    <cellStyle name="Sortie 2 2 5 25 2" xfId="2787" xr:uid="{00000000-0005-0000-0000-0000C50A0000}"/>
    <cellStyle name="Sortie 2 2 5 26" xfId="2788" xr:uid="{00000000-0005-0000-0000-0000C60A0000}"/>
    <cellStyle name="Sortie 2 2 5 26 2" xfId="2789" xr:uid="{00000000-0005-0000-0000-0000C70A0000}"/>
    <cellStyle name="Sortie 2 2 5 27" xfId="2790" xr:uid="{00000000-0005-0000-0000-0000C80A0000}"/>
    <cellStyle name="Sortie 2 2 5 27 2" xfId="2791" xr:uid="{00000000-0005-0000-0000-0000C90A0000}"/>
    <cellStyle name="Sortie 2 2 5 28" xfId="2792" xr:uid="{00000000-0005-0000-0000-0000CA0A0000}"/>
    <cellStyle name="Sortie 2 2 5 3" xfId="2793" xr:uid="{00000000-0005-0000-0000-0000CB0A0000}"/>
    <cellStyle name="Sortie 2 2 5 3 2" xfId="2794" xr:uid="{00000000-0005-0000-0000-0000CC0A0000}"/>
    <cellStyle name="Sortie 2 2 5 4" xfId="2795" xr:uid="{00000000-0005-0000-0000-0000CD0A0000}"/>
    <cellStyle name="Sortie 2 2 5 4 2" xfId="2796" xr:uid="{00000000-0005-0000-0000-0000CE0A0000}"/>
    <cellStyle name="Sortie 2 2 5 5" xfId="2797" xr:uid="{00000000-0005-0000-0000-0000CF0A0000}"/>
    <cellStyle name="Sortie 2 2 5 5 2" xfId="2798" xr:uid="{00000000-0005-0000-0000-0000D00A0000}"/>
    <cellStyle name="Sortie 2 2 5 6" xfId="2799" xr:uid="{00000000-0005-0000-0000-0000D10A0000}"/>
    <cellStyle name="Sortie 2 2 5 6 2" xfId="2800" xr:uid="{00000000-0005-0000-0000-0000D20A0000}"/>
    <cellStyle name="Sortie 2 2 5 7" xfId="2801" xr:uid="{00000000-0005-0000-0000-0000D30A0000}"/>
    <cellStyle name="Sortie 2 2 5 7 2" xfId="2802" xr:uid="{00000000-0005-0000-0000-0000D40A0000}"/>
    <cellStyle name="Sortie 2 2 5 8" xfId="2803" xr:uid="{00000000-0005-0000-0000-0000D50A0000}"/>
    <cellStyle name="Sortie 2 2 5 8 2" xfId="2804" xr:uid="{00000000-0005-0000-0000-0000D60A0000}"/>
    <cellStyle name="Sortie 2 2 5 9" xfId="2805" xr:uid="{00000000-0005-0000-0000-0000D70A0000}"/>
    <cellStyle name="Sortie 2 2 5 9 2" xfId="2806" xr:uid="{00000000-0005-0000-0000-0000D80A0000}"/>
    <cellStyle name="Sortie 2 2 6" xfId="2807" xr:uid="{00000000-0005-0000-0000-0000D90A0000}"/>
    <cellStyle name="Sortie 2 2 6 2" xfId="2808" xr:uid="{00000000-0005-0000-0000-0000DA0A0000}"/>
    <cellStyle name="Sortie 2 2 7" xfId="2809" xr:uid="{00000000-0005-0000-0000-0000DB0A0000}"/>
    <cellStyle name="Sortie 2 2 7 2" xfId="2810" xr:uid="{00000000-0005-0000-0000-0000DC0A0000}"/>
    <cellStyle name="Sortie 2 2 8" xfId="2811" xr:uid="{00000000-0005-0000-0000-0000DD0A0000}"/>
    <cellStyle name="Sortie 2 2 8 2" xfId="2812" xr:uid="{00000000-0005-0000-0000-0000DE0A0000}"/>
    <cellStyle name="Sortie 2 2 9" xfId="2813" xr:uid="{00000000-0005-0000-0000-0000DF0A0000}"/>
    <cellStyle name="Sortie 2 2 9 2" xfId="2814" xr:uid="{00000000-0005-0000-0000-0000E00A0000}"/>
    <cellStyle name="Sortie 2 3" xfId="54" xr:uid="{00000000-0005-0000-0000-0000E10A0000}"/>
    <cellStyle name="Sortie 2 3 10" xfId="2815" xr:uid="{00000000-0005-0000-0000-0000E20A0000}"/>
    <cellStyle name="Sortie 2 3 10 2" xfId="2816" xr:uid="{00000000-0005-0000-0000-0000E30A0000}"/>
    <cellStyle name="Sortie 2 3 11" xfId="2817" xr:uid="{00000000-0005-0000-0000-0000E40A0000}"/>
    <cellStyle name="Sortie 2 3 11 2" xfId="2818" xr:uid="{00000000-0005-0000-0000-0000E50A0000}"/>
    <cellStyle name="Sortie 2 3 12" xfId="2819" xr:uid="{00000000-0005-0000-0000-0000E60A0000}"/>
    <cellStyle name="Sortie 2 3 12 2" xfId="2820" xr:uid="{00000000-0005-0000-0000-0000E70A0000}"/>
    <cellStyle name="Sortie 2 3 13" xfId="2821" xr:uid="{00000000-0005-0000-0000-0000E80A0000}"/>
    <cellStyle name="Sortie 2 3 13 2" xfId="2822" xr:uid="{00000000-0005-0000-0000-0000E90A0000}"/>
    <cellStyle name="Sortie 2 3 14" xfId="2823" xr:uid="{00000000-0005-0000-0000-0000EA0A0000}"/>
    <cellStyle name="Sortie 2 3 14 2" xfId="2824" xr:uid="{00000000-0005-0000-0000-0000EB0A0000}"/>
    <cellStyle name="Sortie 2 3 15" xfId="2825" xr:uid="{00000000-0005-0000-0000-0000EC0A0000}"/>
    <cellStyle name="Sortie 2 3 15 2" xfId="2826" xr:uid="{00000000-0005-0000-0000-0000ED0A0000}"/>
    <cellStyle name="Sortie 2 3 16" xfId="2827" xr:uid="{00000000-0005-0000-0000-0000EE0A0000}"/>
    <cellStyle name="Sortie 2 3 16 2" xfId="2828" xr:uid="{00000000-0005-0000-0000-0000EF0A0000}"/>
    <cellStyle name="Sortie 2 3 17" xfId="2829" xr:uid="{00000000-0005-0000-0000-0000F00A0000}"/>
    <cellStyle name="Sortie 2 3 17 2" xfId="2830" xr:uid="{00000000-0005-0000-0000-0000F10A0000}"/>
    <cellStyle name="Sortie 2 3 18" xfId="2831" xr:uid="{00000000-0005-0000-0000-0000F20A0000}"/>
    <cellStyle name="Sortie 2 3 18 2" xfId="2832" xr:uid="{00000000-0005-0000-0000-0000F30A0000}"/>
    <cellStyle name="Sortie 2 3 19" xfId="2833" xr:uid="{00000000-0005-0000-0000-0000F40A0000}"/>
    <cellStyle name="Sortie 2 3 19 2" xfId="2834" xr:uid="{00000000-0005-0000-0000-0000F50A0000}"/>
    <cellStyle name="Sortie 2 3 2" xfId="93" xr:uid="{00000000-0005-0000-0000-0000F60A0000}"/>
    <cellStyle name="Sortie 2 3 2 2" xfId="2835" xr:uid="{00000000-0005-0000-0000-0000F70A0000}"/>
    <cellStyle name="Sortie 2 3 20" xfId="2836" xr:uid="{00000000-0005-0000-0000-0000F80A0000}"/>
    <cellStyle name="Sortie 2 3 20 2" xfId="2837" xr:uid="{00000000-0005-0000-0000-0000F90A0000}"/>
    <cellStyle name="Sortie 2 3 21" xfId="2838" xr:uid="{00000000-0005-0000-0000-0000FA0A0000}"/>
    <cellStyle name="Sortie 2 3 21 2" xfId="2839" xr:uid="{00000000-0005-0000-0000-0000FB0A0000}"/>
    <cellStyle name="Sortie 2 3 22" xfId="2840" xr:uid="{00000000-0005-0000-0000-0000FC0A0000}"/>
    <cellStyle name="Sortie 2 3 22 2" xfId="2841" xr:uid="{00000000-0005-0000-0000-0000FD0A0000}"/>
    <cellStyle name="Sortie 2 3 23" xfId="2842" xr:uid="{00000000-0005-0000-0000-0000FE0A0000}"/>
    <cellStyle name="Sortie 2 3 23 2" xfId="2843" xr:uid="{00000000-0005-0000-0000-0000FF0A0000}"/>
    <cellStyle name="Sortie 2 3 24" xfId="2844" xr:uid="{00000000-0005-0000-0000-0000000B0000}"/>
    <cellStyle name="Sortie 2 3 24 2" xfId="2845" xr:uid="{00000000-0005-0000-0000-0000010B0000}"/>
    <cellStyle name="Sortie 2 3 25" xfId="2846" xr:uid="{00000000-0005-0000-0000-0000020B0000}"/>
    <cellStyle name="Sortie 2 3 25 2" xfId="2847" xr:uid="{00000000-0005-0000-0000-0000030B0000}"/>
    <cellStyle name="Sortie 2 3 26" xfId="2848" xr:uid="{00000000-0005-0000-0000-0000040B0000}"/>
    <cellStyle name="Sortie 2 3 26 2" xfId="2849" xr:uid="{00000000-0005-0000-0000-0000050B0000}"/>
    <cellStyle name="Sortie 2 3 27" xfId="2850" xr:uid="{00000000-0005-0000-0000-0000060B0000}"/>
    <cellStyle name="Sortie 2 3 27 2" xfId="2851" xr:uid="{00000000-0005-0000-0000-0000070B0000}"/>
    <cellStyle name="Sortie 2 3 28" xfId="2852" xr:uid="{00000000-0005-0000-0000-0000080B0000}"/>
    <cellStyle name="Sortie 2 3 28 2" xfId="2853" xr:uid="{00000000-0005-0000-0000-0000090B0000}"/>
    <cellStyle name="Sortie 2 3 29" xfId="2854" xr:uid="{00000000-0005-0000-0000-00000A0B0000}"/>
    <cellStyle name="Sortie 2 3 3" xfId="143" xr:uid="{00000000-0005-0000-0000-00000B0B0000}"/>
    <cellStyle name="Sortie 2 3 3 2" xfId="2855" xr:uid="{00000000-0005-0000-0000-00000C0B0000}"/>
    <cellStyle name="Sortie 2 3 30" xfId="3589" xr:uid="{E2749678-8796-4FBF-91CA-3C113121AD6B}"/>
    <cellStyle name="Sortie 2 3 4" xfId="2856" xr:uid="{00000000-0005-0000-0000-00000D0B0000}"/>
    <cellStyle name="Sortie 2 3 4 2" xfId="2857" xr:uid="{00000000-0005-0000-0000-00000E0B0000}"/>
    <cellStyle name="Sortie 2 3 5" xfId="2858" xr:uid="{00000000-0005-0000-0000-00000F0B0000}"/>
    <cellStyle name="Sortie 2 3 5 2" xfId="2859" xr:uid="{00000000-0005-0000-0000-0000100B0000}"/>
    <cellStyle name="Sortie 2 3 6" xfId="2860" xr:uid="{00000000-0005-0000-0000-0000110B0000}"/>
    <cellStyle name="Sortie 2 3 6 2" xfId="2861" xr:uid="{00000000-0005-0000-0000-0000120B0000}"/>
    <cellStyle name="Sortie 2 3 7" xfId="2862" xr:uid="{00000000-0005-0000-0000-0000130B0000}"/>
    <cellStyle name="Sortie 2 3 7 2" xfId="2863" xr:uid="{00000000-0005-0000-0000-0000140B0000}"/>
    <cellStyle name="Sortie 2 3 8" xfId="2864" xr:uid="{00000000-0005-0000-0000-0000150B0000}"/>
    <cellStyle name="Sortie 2 3 8 2" xfId="2865" xr:uid="{00000000-0005-0000-0000-0000160B0000}"/>
    <cellStyle name="Sortie 2 3 9" xfId="2866" xr:uid="{00000000-0005-0000-0000-0000170B0000}"/>
    <cellStyle name="Sortie 2 3 9 2" xfId="2867" xr:uid="{00000000-0005-0000-0000-0000180B0000}"/>
    <cellStyle name="Sortie 2 4" xfId="55" xr:uid="{00000000-0005-0000-0000-0000190B0000}"/>
    <cellStyle name="Sortie 2 4 10" xfId="2868" xr:uid="{00000000-0005-0000-0000-00001A0B0000}"/>
    <cellStyle name="Sortie 2 4 10 2" xfId="2869" xr:uid="{00000000-0005-0000-0000-00001B0B0000}"/>
    <cellStyle name="Sortie 2 4 11" xfId="2870" xr:uid="{00000000-0005-0000-0000-00001C0B0000}"/>
    <cellStyle name="Sortie 2 4 11 2" xfId="2871" xr:uid="{00000000-0005-0000-0000-00001D0B0000}"/>
    <cellStyle name="Sortie 2 4 12" xfId="2872" xr:uid="{00000000-0005-0000-0000-00001E0B0000}"/>
    <cellStyle name="Sortie 2 4 12 2" xfId="2873" xr:uid="{00000000-0005-0000-0000-00001F0B0000}"/>
    <cellStyle name="Sortie 2 4 13" xfId="2874" xr:uid="{00000000-0005-0000-0000-0000200B0000}"/>
    <cellStyle name="Sortie 2 4 13 2" xfId="2875" xr:uid="{00000000-0005-0000-0000-0000210B0000}"/>
    <cellStyle name="Sortie 2 4 14" xfId="2876" xr:uid="{00000000-0005-0000-0000-0000220B0000}"/>
    <cellStyle name="Sortie 2 4 14 2" xfId="2877" xr:uid="{00000000-0005-0000-0000-0000230B0000}"/>
    <cellStyle name="Sortie 2 4 15" xfId="2878" xr:uid="{00000000-0005-0000-0000-0000240B0000}"/>
    <cellStyle name="Sortie 2 4 15 2" xfId="2879" xr:uid="{00000000-0005-0000-0000-0000250B0000}"/>
    <cellStyle name="Sortie 2 4 16" xfId="2880" xr:uid="{00000000-0005-0000-0000-0000260B0000}"/>
    <cellStyle name="Sortie 2 4 16 2" xfId="2881" xr:uid="{00000000-0005-0000-0000-0000270B0000}"/>
    <cellStyle name="Sortie 2 4 17" xfId="2882" xr:uid="{00000000-0005-0000-0000-0000280B0000}"/>
    <cellStyle name="Sortie 2 4 17 2" xfId="2883" xr:uid="{00000000-0005-0000-0000-0000290B0000}"/>
    <cellStyle name="Sortie 2 4 18" xfId="2884" xr:uid="{00000000-0005-0000-0000-00002A0B0000}"/>
    <cellStyle name="Sortie 2 4 18 2" xfId="2885" xr:uid="{00000000-0005-0000-0000-00002B0B0000}"/>
    <cellStyle name="Sortie 2 4 19" xfId="2886" xr:uid="{00000000-0005-0000-0000-00002C0B0000}"/>
    <cellStyle name="Sortie 2 4 19 2" xfId="2887" xr:uid="{00000000-0005-0000-0000-00002D0B0000}"/>
    <cellStyle name="Sortie 2 4 2" xfId="103" xr:uid="{00000000-0005-0000-0000-00002E0B0000}"/>
    <cellStyle name="Sortie 2 4 2 2" xfId="2888" xr:uid="{00000000-0005-0000-0000-00002F0B0000}"/>
    <cellStyle name="Sortie 2 4 20" xfId="2889" xr:uid="{00000000-0005-0000-0000-0000300B0000}"/>
    <cellStyle name="Sortie 2 4 20 2" xfId="2890" xr:uid="{00000000-0005-0000-0000-0000310B0000}"/>
    <cellStyle name="Sortie 2 4 21" xfId="2891" xr:uid="{00000000-0005-0000-0000-0000320B0000}"/>
    <cellStyle name="Sortie 2 4 21 2" xfId="2892" xr:uid="{00000000-0005-0000-0000-0000330B0000}"/>
    <cellStyle name="Sortie 2 4 22" xfId="2893" xr:uid="{00000000-0005-0000-0000-0000340B0000}"/>
    <cellStyle name="Sortie 2 4 22 2" xfId="2894" xr:uid="{00000000-0005-0000-0000-0000350B0000}"/>
    <cellStyle name="Sortie 2 4 23" xfId="2895" xr:uid="{00000000-0005-0000-0000-0000360B0000}"/>
    <cellStyle name="Sortie 2 4 23 2" xfId="2896" xr:uid="{00000000-0005-0000-0000-0000370B0000}"/>
    <cellStyle name="Sortie 2 4 24" xfId="2897" xr:uid="{00000000-0005-0000-0000-0000380B0000}"/>
    <cellStyle name="Sortie 2 4 24 2" xfId="2898" xr:uid="{00000000-0005-0000-0000-0000390B0000}"/>
    <cellStyle name="Sortie 2 4 25" xfId="2899" xr:uid="{00000000-0005-0000-0000-00003A0B0000}"/>
    <cellStyle name="Sortie 2 4 25 2" xfId="2900" xr:uid="{00000000-0005-0000-0000-00003B0B0000}"/>
    <cellStyle name="Sortie 2 4 26" xfId="2901" xr:uid="{00000000-0005-0000-0000-00003C0B0000}"/>
    <cellStyle name="Sortie 2 4 26 2" xfId="2902" xr:uid="{00000000-0005-0000-0000-00003D0B0000}"/>
    <cellStyle name="Sortie 2 4 27" xfId="2903" xr:uid="{00000000-0005-0000-0000-00003E0B0000}"/>
    <cellStyle name="Sortie 2 4 27 2" xfId="2904" xr:uid="{00000000-0005-0000-0000-00003F0B0000}"/>
    <cellStyle name="Sortie 2 4 28" xfId="2905" xr:uid="{00000000-0005-0000-0000-0000400B0000}"/>
    <cellStyle name="Sortie 2 4 28 2" xfId="2906" xr:uid="{00000000-0005-0000-0000-0000410B0000}"/>
    <cellStyle name="Sortie 2 4 29" xfId="2907" xr:uid="{00000000-0005-0000-0000-0000420B0000}"/>
    <cellStyle name="Sortie 2 4 3" xfId="144" xr:uid="{00000000-0005-0000-0000-0000430B0000}"/>
    <cellStyle name="Sortie 2 4 3 2" xfId="2908" xr:uid="{00000000-0005-0000-0000-0000440B0000}"/>
    <cellStyle name="Sortie 2 4 30" xfId="3598" xr:uid="{7C5EB1C3-3335-4894-BDF5-DA488C2AC2DF}"/>
    <cellStyle name="Sortie 2 4 4" xfId="2909" xr:uid="{00000000-0005-0000-0000-0000450B0000}"/>
    <cellStyle name="Sortie 2 4 4 2" xfId="2910" xr:uid="{00000000-0005-0000-0000-0000460B0000}"/>
    <cellStyle name="Sortie 2 4 5" xfId="2911" xr:uid="{00000000-0005-0000-0000-0000470B0000}"/>
    <cellStyle name="Sortie 2 4 5 2" xfId="2912" xr:uid="{00000000-0005-0000-0000-0000480B0000}"/>
    <cellStyle name="Sortie 2 4 6" xfId="2913" xr:uid="{00000000-0005-0000-0000-0000490B0000}"/>
    <cellStyle name="Sortie 2 4 6 2" xfId="2914" xr:uid="{00000000-0005-0000-0000-00004A0B0000}"/>
    <cellStyle name="Sortie 2 4 7" xfId="2915" xr:uid="{00000000-0005-0000-0000-00004B0B0000}"/>
    <cellStyle name="Sortie 2 4 7 2" xfId="2916" xr:uid="{00000000-0005-0000-0000-00004C0B0000}"/>
    <cellStyle name="Sortie 2 4 8" xfId="2917" xr:uid="{00000000-0005-0000-0000-00004D0B0000}"/>
    <cellStyle name="Sortie 2 4 8 2" xfId="2918" xr:uid="{00000000-0005-0000-0000-00004E0B0000}"/>
    <cellStyle name="Sortie 2 4 9" xfId="2919" xr:uid="{00000000-0005-0000-0000-00004F0B0000}"/>
    <cellStyle name="Sortie 2 4 9 2" xfId="2920" xr:uid="{00000000-0005-0000-0000-0000500B0000}"/>
    <cellStyle name="Sortie 2 5" xfId="91" xr:uid="{00000000-0005-0000-0000-0000510B0000}"/>
    <cellStyle name="Sortie 2 5 10" xfId="2921" xr:uid="{00000000-0005-0000-0000-0000520B0000}"/>
    <cellStyle name="Sortie 2 5 10 2" xfId="2922" xr:uid="{00000000-0005-0000-0000-0000530B0000}"/>
    <cellStyle name="Sortie 2 5 11" xfId="2923" xr:uid="{00000000-0005-0000-0000-0000540B0000}"/>
    <cellStyle name="Sortie 2 5 11 2" xfId="2924" xr:uid="{00000000-0005-0000-0000-0000550B0000}"/>
    <cellStyle name="Sortie 2 5 12" xfId="2925" xr:uid="{00000000-0005-0000-0000-0000560B0000}"/>
    <cellStyle name="Sortie 2 5 12 2" xfId="2926" xr:uid="{00000000-0005-0000-0000-0000570B0000}"/>
    <cellStyle name="Sortie 2 5 13" xfId="2927" xr:uid="{00000000-0005-0000-0000-0000580B0000}"/>
    <cellStyle name="Sortie 2 5 13 2" xfId="2928" xr:uid="{00000000-0005-0000-0000-0000590B0000}"/>
    <cellStyle name="Sortie 2 5 14" xfId="2929" xr:uid="{00000000-0005-0000-0000-00005A0B0000}"/>
    <cellStyle name="Sortie 2 5 14 2" xfId="2930" xr:uid="{00000000-0005-0000-0000-00005B0B0000}"/>
    <cellStyle name="Sortie 2 5 15" xfId="2931" xr:uid="{00000000-0005-0000-0000-00005C0B0000}"/>
    <cellStyle name="Sortie 2 5 15 2" xfId="2932" xr:uid="{00000000-0005-0000-0000-00005D0B0000}"/>
    <cellStyle name="Sortie 2 5 16" xfId="2933" xr:uid="{00000000-0005-0000-0000-00005E0B0000}"/>
    <cellStyle name="Sortie 2 5 16 2" xfId="2934" xr:uid="{00000000-0005-0000-0000-00005F0B0000}"/>
    <cellStyle name="Sortie 2 5 17" xfId="2935" xr:uid="{00000000-0005-0000-0000-0000600B0000}"/>
    <cellStyle name="Sortie 2 5 17 2" xfId="2936" xr:uid="{00000000-0005-0000-0000-0000610B0000}"/>
    <cellStyle name="Sortie 2 5 18" xfId="2937" xr:uid="{00000000-0005-0000-0000-0000620B0000}"/>
    <cellStyle name="Sortie 2 5 18 2" xfId="2938" xr:uid="{00000000-0005-0000-0000-0000630B0000}"/>
    <cellStyle name="Sortie 2 5 19" xfId="2939" xr:uid="{00000000-0005-0000-0000-0000640B0000}"/>
    <cellStyle name="Sortie 2 5 19 2" xfId="2940" xr:uid="{00000000-0005-0000-0000-0000650B0000}"/>
    <cellStyle name="Sortie 2 5 2" xfId="2941" xr:uid="{00000000-0005-0000-0000-0000660B0000}"/>
    <cellStyle name="Sortie 2 5 2 2" xfId="2942" xr:uid="{00000000-0005-0000-0000-0000670B0000}"/>
    <cellStyle name="Sortie 2 5 20" xfId="2943" xr:uid="{00000000-0005-0000-0000-0000680B0000}"/>
    <cellStyle name="Sortie 2 5 20 2" xfId="2944" xr:uid="{00000000-0005-0000-0000-0000690B0000}"/>
    <cellStyle name="Sortie 2 5 21" xfId="2945" xr:uid="{00000000-0005-0000-0000-00006A0B0000}"/>
    <cellStyle name="Sortie 2 5 21 2" xfId="2946" xr:uid="{00000000-0005-0000-0000-00006B0B0000}"/>
    <cellStyle name="Sortie 2 5 22" xfId="2947" xr:uid="{00000000-0005-0000-0000-00006C0B0000}"/>
    <cellStyle name="Sortie 2 5 22 2" xfId="2948" xr:uid="{00000000-0005-0000-0000-00006D0B0000}"/>
    <cellStyle name="Sortie 2 5 23" xfId="2949" xr:uid="{00000000-0005-0000-0000-00006E0B0000}"/>
    <cellStyle name="Sortie 2 5 23 2" xfId="2950" xr:uid="{00000000-0005-0000-0000-00006F0B0000}"/>
    <cellStyle name="Sortie 2 5 24" xfId="2951" xr:uid="{00000000-0005-0000-0000-0000700B0000}"/>
    <cellStyle name="Sortie 2 5 24 2" xfId="2952" xr:uid="{00000000-0005-0000-0000-0000710B0000}"/>
    <cellStyle name="Sortie 2 5 25" xfId="2953" xr:uid="{00000000-0005-0000-0000-0000720B0000}"/>
    <cellStyle name="Sortie 2 5 25 2" xfId="2954" xr:uid="{00000000-0005-0000-0000-0000730B0000}"/>
    <cellStyle name="Sortie 2 5 26" xfId="2955" xr:uid="{00000000-0005-0000-0000-0000740B0000}"/>
    <cellStyle name="Sortie 2 5 26 2" xfId="2956" xr:uid="{00000000-0005-0000-0000-0000750B0000}"/>
    <cellStyle name="Sortie 2 5 27" xfId="2957" xr:uid="{00000000-0005-0000-0000-0000760B0000}"/>
    <cellStyle name="Sortie 2 5 27 2" xfId="2958" xr:uid="{00000000-0005-0000-0000-0000770B0000}"/>
    <cellStyle name="Sortie 2 5 28" xfId="2959" xr:uid="{00000000-0005-0000-0000-0000780B0000}"/>
    <cellStyle name="Sortie 2 5 28 2" xfId="2960" xr:uid="{00000000-0005-0000-0000-0000790B0000}"/>
    <cellStyle name="Sortie 2 5 29" xfId="2961" xr:uid="{00000000-0005-0000-0000-00007A0B0000}"/>
    <cellStyle name="Sortie 2 5 3" xfId="2962" xr:uid="{00000000-0005-0000-0000-00007B0B0000}"/>
    <cellStyle name="Sortie 2 5 3 2" xfId="2963" xr:uid="{00000000-0005-0000-0000-00007C0B0000}"/>
    <cellStyle name="Sortie 2 5 30" xfId="3678" xr:uid="{B360BF79-2175-4652-8A09-CA248DD15FB7}"/>
    <cellStyle name="Sortie 2 5 4" xfId="2964" xr:uid="{00000000-0005-0000-0000-00007D0B0000}"/>
    <cellStyle name="Sortie 2 5 4 2" xfId="2965" xr:uid="{00000000-0005-0000-0000-00007E0B0000}"/>
    <cellStyle name="Sortie 2 5 5" xfId="2966" xr:uid="{00000000-0005-0000-0000-00007F0B0000}"/>
    <cellStyle name="Sortie 2 5 5 2" xfId="2967" xr:uid="{00000000-0005-0000-0000-0000800B0000}"/>
    <cellStyle name="Sortie 2 5 6" xfId="2968" xr:uid="{00000000-0005-0000-0000-0000810B0000}"/>
    <cellStyle name="Sortie 2 5 6 2" xfId="2969" xr:uid="{00000000-0005-0000-0000-0000820B0000}"/>
    <cellStyle name="Sortie 2 5 7" xfId="2970" xr:uid="{00000000-0005-0000-0000-0000830B0000}"/>
    <cellStyle name="Sortie 2 5 7 2" xfId="2971" xr:uid="{00000000-0005-0000-0000-0000840B0000}"/>
    <cellStyle name="Sortie 2 5 8" xfId="2972" xr:uid="{00000000-0005-0000-0000-0000850B0000}"/>
    <cellStyle name="Sortie 2 5 8 2" xfId="2973" xr:uid="{00000000-0005-0000-0000-0000860B0000}"/>
    <cellStyle name="Sortie 2 5 9" xfId="2974" xr:uid="{00000000-0005-0000-0000-0000870B0000}"/>
    <cellStyle name="Sortie 2 5 9 2" xfId="2975" xr:uid="{00000000-0005-0000-0000-0000880B0000}"/>
    <cellStyle name="Sortie 2 6" xfId="141" xr:uid="{00000000-0005-0000-0000-0000890B0000}"/>
    <cellStyle name="Sortie 2 6 10" xfId="2976" xr:uid="{00000000-0005-0000-0000-00008A0B0000}"/>
    <cellStyle name="Sortie 2 6 10 2" xfId="2977" xr:uid="{00000000-0005-0000-0000-00008B0B0000}"/>
    <cellStyle name="Sortie 2 6 11" xfId="2978" xr:uid="{00000000-0005-0000-0000-00008C0B0000}"/>
    <cellStyle name="Sortie 2 6 11 2" xfId="2979" xr:uid="{00000000-0005-0000-0000-00008D0B0000}"/>
    <cellStyle name="Sortie 2 6 12" xfId="2980" xr:uid="{00000000-0005-0000-0000-00008E0B0000}"/>
    <cellStyle name="Sortie 2 6 12 2" xfId="2981" xr:uid="{00000000-0005-0000-0000-00008F0B0000}"/>
    <cellStyle name="Sortie 2 6 13" xfId="2982" xr:uid="{00000000-0005-0000-0000-0000900B0000}"/>
    <cellStyle name="Sortie 2 6 13 2" xfId="2983" xr:uid="{00000000-0005-0000-0000-0000910B0000}"/>
    <cellStyle name="Sortie 2 6 14" xfId="2984" xr:uid="{00000000-0005-0000-0000-0000920B0000}"/>
    <cellStyle name="Sortie 2 6 14 2" xfId="2985" xr:uid="{00000000-0005-0000-0000-0000930B0000}"/>
    <cellStyle name="Sortie 2 6 15" xfId="2986" xr:uid="{00000000-0005-0000-0000-0000940B0000}"/>
    <cellStyle name="Sortie 2 6 15 2" xfId="2987" xr:uid="{00000000-0005-0000-0000-0000950B0000}"/>
    <cellStyle name="Sortie 2 6 16" xfId="2988" xr:uid="{00000000-0005-0000-0000-0000960B0000}"/>
    <cellStyle name="Sortie 2 6 16 2" xfId="2989" xr:uid="{00000000-0005-0000-0000-0000970B0000}"/>
    <cellStyle name="Sortie 2 6 17" xfId="2990" xr:uid="{00000000-0005-0000-0000-0000980B0000}"/>
    <cellStyle name="Sortie 2 6 17 2" xfId="2991" xr:uid="{00000000-0005-0000-0000-0000990B0000}"/>
    <cellStyle name="Sortie 2 6 18" xfId="2992" xr:uid="{00000000-0005-0000-0000-00009A0B0000}"/>
    <cellStyle name="Sortie 2 6 18 2" xfId="2993" xr:uid="{00000000-0005-0000-0000-00009B0B0000}"/>
    <cellStyle name="Sortie 2 6 19" xfId="2994" xr:uid="{00000000-0005-0000-0000-00009C0B0000}"/>
    <cellStyle name="Sortie 2 6 19 2" xfId="2995" xr:uid="{00000000-0005-0000-0000-00009D0B0000}"/>
    <cellStyle name="Sortie 2 6 2" xfId="2996" xr:uid="{00000000-0005-0000-0000-00009E0B0000}"/>
    <cellStyle name="Sortie 2 6 2 2" xfId="2997" xr:uid="{00000000-0005-0000-0000-00009F0B0000}"/>
    <cellStyle name="Sortie 2 6 20" xfId="2998" xr:uid="{00000000-0005-0000-0000-0000A00B0000}"/>
    <cellStyle name="Sortie 2 6 20 2" xfId="2999" xr:uid="{00000000-0005-0000-0000-0000A10B0000}"/>
    <cellStyle name="Sortie 2 6 21" xfId="3000" xr:uid="{00000000-0005-0000-0000-0000A20B0000}"/>
    <cellStyle name="Sortie 2 6 21 2" xfId="3001" xr:uid="{00000000-0005-0000-0000-0000A30B0000}"/>
    <cellStyle name="Sortie 2 6 22" xfId="3002" xr:uid="{00000000-0005-0000-0000-0000A40B0000}"/>
    <cellStyle name="Sortie 2 6 22 2" xfId="3003" xr:uid="{00000000-0005-0000-0000-0000A50B0000}"/>
    <cellStyle name="Sortie 2 6 23" xfId="3004" xr:uid="{00000000-0005-0000-0000-0000A60B0000}"/>
    <cellStyle name="Sortie 2 6 23 2" xfId="3005" xr:uid="{00000000-0005-0000-0000-0000A70B0000}"/>
    <cellStyle name="Sortie 2 6 24" xfId="3006" xr:uid="{00000000-0005-0000-0000-0000A80B0000}"/>
    <cellStyle name="Sortie 2 6 24 2" xfId="3007" xr:uid="{00000000-0005-0000-0000-0000A90B0000}"/>
    <cellStyle name="Sortie 2 6 25" xfId="3008" xr:uid="{00000000-0005-0000-0000-0000AA0B0000}"/>
    <cellStyle name="Sortie 2 6 25 2" xfId="3009" xr:uid="{00000000-0005-0000-0000-0000AB0B0000}"/>
    <cellStyle name="Sortie 2 6 26" xfId="3010" xr:uid="{00000000-0005-0000-0000-0000AC0B0000}"/>
    <cellStyle name="Sortie 2 6 26 2" xfId="3011" xr:uid="{00000000-0005-0000-0000-0000AD0B0000}"/>
    <cellStyle name="Sortie 2 6 27" xfId="3012" xr:uid="{00000000-0005-0000-0000-0000AE0B0000}"/>
    <cellStyle name="Sortie 2 6 27 2" xfId="3013" xr:uid="{00000000-0005-0000-0000-0000AF0B0000}"/>
    <cellStyle name="Sortie 2 6 28" xfId="3014" xr:uid="{00000000-0005-0000-0000-0000B00B0000}"/>
    <cellStyle name="Sortie 2 6 3" xfId="3015" xr:uid="{00000000-0005-0000-0000-0000B10B0000}"/>
    <cellStyle name="Sortie 2 6 3 2" xfId="3016" xr:uid="{00000000-0005-0000-0000-0000B20B0000}"/>
    <cellStyle name="Sortie 2 6 4" xfId="3017" xr:uid="{00000000-0005-0000-0000-0000B30B0000}"/>
    <cellStyle name="Sortie 2 6 4 2" xfId="3018" xr:uid="{00000000-0005-0000-0000-0000B40B0000}"/>
    <cellStyle name="Sortie 2 6 5" xfId="3019" xr:uid="{00000000-0005-0000-0000-0000B50B0000}"/>
    <cellStyle name="Sortie 2 6 5 2" xfId="3020" xr:uid="{00000000-0005-0000-0000-0000B60B0000}"/>
    <cellStyle name="Sortie 2 6 6" xfId="3021" xr:uid="{00000000-0005-0000-0000-0000B70B0000}"/>
    <cellStyle name="Sortie 2 6 6 2" xfId="3022" xr:uid="{00000000-0005-0000-0000-0000B80B0000}"/>
    <cellStyle name="Sortie 2 6 7" xfId="3023" xr:uid="{00000000-0005-0000-0000-0000B90B0000}"/>
    <cellStyle name="Sortie 2 6 7 2" xfId="3024" xr:uid="{00000000-0005-0000-0000-0000BA0B0000}"/>
    <cellStyle name="Sortie 2 6 8" xfId="3025" xr:uid="{00000000-0005-0000-0000-0000BB0B0000}"/>
    <cellStyle name="Sortie 2 6 8 2" xfId="3026" xr:uid="{00000000-0005-0000-0000-0000BC0B0000}"/>
    <cellStyle name="Sortie 2 6 9" xfId="3027" xr:uid="{00000000-0005-0000-0000-0000BD0B0000}"/>
    <cellStyle name="Sortie 2 6 9 2" xfId="3028" xr:uid="{00000000-0005-0000-0000-0000BE0B0000}"/>
    <cellStyle name="Sortie 2 7" xfId="3029" xr:uid="{00000000-0005-0000-0000-0000BF0B0000}"/>
    <cellStyle name="Sortie 2 7 2" xfId="3030" xr:uid="{00000000-0005-0000-0000-0000C00B0000}"/>
    <cellStyle name="Sortie 2 8" xfId="3031" xr:uid="{00000000-0005-0000-0000-0000C10B0000}"/>
    <cellStyle name="Sortie 2 8 2" xfId="3032" xr:uid="{00000000-0005-0000-0000-0000C20B0000}"/>
    <cellStyle name="Sortie 2 9" xfId="3033" xr:uid="{00000000-0005-0000-0000-0000C30B0000}"/>
    <cellStyle name="Sortie 2 9 2" xfId="3034" xr:uid="{00000000-0005-0000-0000-0000C40B0000}"/>
    <cellStyle name="Sortie 3" xfId="56" xr:uid="{00000000-0005-0000-0000-0000C50B0000}"/>
    <cellStyle name="Sortie 3 2" xfId="94" xr:uid="{00000000-0005-0000-0000-0000C60B0000}"/>
    <cellStyle name="Sortie 3 2 2" xfId="3679" xr:uid="{71BDEB50-07B9-42BA-9477-84A43378EB86}"/>
    <cellStyle name="Sortie 3 3" xfId="145" xr:uid="{00000000-0005-0000-0000-0000C70B0000}"/>
    <cellStyle name="Sortie 3 4" xfId="3575" xr:uid="{30629846-3491-4D41-90C3-CE22BB37777E}"/>
    <cellStyle name="Sortie 4" xfId="57" xr:uid="{00000000-0005-0000-0000-0000C80B0000}"/>
    <cellStyle name="Sortie 4 2" xfId="95" xr:uid="{00000000-0005-0000-0000-0000C90B0000}"/>
    <cellStyle name="Sortie 4 3" xfId="146" xr:uid="{00000000-0005-0000-0000-0000CA0B0000}"/>
    <cellStyle name="Sortie 4 4" xfId="3571" xr:uid="{6C6EA500-2E62-40EA-B2A2-5DA72D11E0F6}"/>
    <cellStyle name="Sortie 5" xfId="3553" xr:uid="{3CF3CA9D-CE3B-40A8-B4EB-51512D60B551}"/>
    <cellStyle name="Style 1" xfId="58" xr:uid="{00000000-0005-0000-0000-0000CB0B0000}"/>
    <cellStyle name="Style 1 2" xfId="3761" xr:uid="{ED7EF829-1C4A-4AD0-9AFA-7C4F2DD65DC6}"/>
    <cellStyle name="test" xfId="3035" xr:uid="{00000000-0005-0000-0000-0000CC0B0000}"/>
    <cellStyle name="Texte explicatif 2" xfId="3036" xr:uid="{00000000-0005-0000-0000-0000CD0B0000}"/>
    <cellStyle name="Texte explicatif 3" xfId="3680" xr:uid="{37BB3DE4-DB01-4792-818E-D88EB85915E0}"/>
    <cellStyle name="Texte explicatif 4" xfId="3554" xr:uid="{55EC866E-497C-4E23-8FE2-1AD613F8B573}"/>
    <cellStyle name="Title 2" xfId="3681" xr:uid="{5F5429A8-406F-4EE4-9D88-A258D17F690B}"/>
    <cellStyle name="Titre 2" xfId="3037" xr:uid="{00000000-0005-0000-0000-0000CE0B0000}"/>
    <cellStyle name="Titre 3" xfId="3038" xr:uid="{00000000-0005-0000-0000-0000CF0B0000}"/>
    <cellStyle name="Titre 3 2" xfId="3039" xr:uid="{00000000-0005-0000-0000-0000D00B0000}"/>
    <cellStyle name="Titre 3 3" xfId="3682" xr:uid="{0E46937F-38D1-4184-9BFC-82C3C4C24D85}"/>
    <cellStyle name="Titre 4" xfId="3040" xr:uid="{00000000-0005-0000-0000-0000D10B0000}"/>
    <cellStyle name="Titre 5" xfId="3041" xr:uid="{00000000-0005-0000-0000-0000D20B0000}"/>
    <cellStyle name="Titre 6" xfId="3042" xr:uid="{00000000-0005-0000-0000-0000D30B0000}"/>
    <cellStyle name="Titre 1 2" xfId="3043" xr:uid="{00000000-0005-0000-0000-0000D40B0000}"/>
    <cellStyle name="Titre 1 3" xfId="3683" xr:uid="{40D8EEAD-AB1C-4953-B800-D01BDA455073}"/>
    <cellStyle name="Titre 1 4" xfId="3555" xr:uid="{9875491F-E031-4E45-9D25-AF35E7F7CD7F}"/>
    <cellStyle name="Titre 2 2" xfId="3044" xr:uid="{00000000-0005-0000-0000-0000D50B0000}"/>
    <cellStyle name="Titre 2 3" xfId="3684" xr:uid="{6517573B-C53A-4073-B435-6E1B0935C9B0}"/>
    <cellStyle name="Titre 2 4" xfId="3556" xr:uid="{60843CE0-90C8-442F-A22C-854B136C9982}"/>
    <cellStyle name="Titre 3 2" xfId="3045" xr:uid="{00000000-0005-0000-0000-0000D60B0000}"/>
    <cellStyle name="Titre 3 3" xfId="3685" xr:uid="{A10464EA-90C0-41AA-8F82-1FCF2133451E}"/>
    <cellStyle name="Titre 3 4" xfId="3557" xr:uid="{7F6DCC5F-47EA-43C8-8B2B-22F72AF1A49B}"/>
    <cellStyle name="Titre 4 2" xfId="3046" xr:uid="{00000000-0005-0000-0000-0000D70B0000}"/>
    <cellStyle name="Titre 4 3" xfId="3686" xr:uid="{27BB7A03-CF41-4196-A387-A29B9FEED1D1}"/>
    <cellStyle name="Titre 4 4" xfId="3558" xr:uid="{2D2F6852-8878-4DF6-BACE-53798D65C80A}"/>
    <cellStyle name="Total 2" xfId="59" xr:uid="{00000000-0005-0000-0000-0000D80B0000}"/>
    <cellStyle name="Total 2 10" xfId="3047" xr:uid="{00000000-0005-0000-0000-0000D90B0000}"/>
    <cellStyle name="Total 2 10 2" xfId="3048" xr:uid="{00000000-0005-0000-0000-0000DA0B0000}"/>
    <cellStyle name="Total 2 11" xfId="3049" xr:uid="{00000000-0005-0000-0000-0000DB0B0000}"/>
    <cellStyle name="Total 2 11 2" xfId="3050" xr:uid="{00000000-0005-0000-0000-0000DC0B0000}"/>
    <cellStyle name="Total 2 12" xfId="3051" xr:uid="{00000000-0005-0000-0000-0000DD0B0000}"/>
    <cellStyle name="Total 2 12 2" xfId="3052" xr:uid="{00000000-0005-0000-0000-0000DE0B0000}"/>
    <cellStyle name="Total 2 13" xfId="3053" xr:uid="{00000000-0005-0000-0000-0000DF0B0000}"/>
    <cellStyle name="Total 2 13 2" xfId="3054" xr:uid="{00000000-0005-0000-0000-0000E00B0000}"/>
    <cellStyle name="Total 2 14" xfId="3055" xr:uid="{00000000-0005-0000-0000-0000E10B0000}"/>
    <cellStyle name="Total 2 14 2" xfId="3056" xr:uid="{00000000-0005-0000-0000-0000E20B0000}"/>
    <cellStyle name="Total 2 15" xfId="3563" xr:uid="{68805525-D9F7-49AD-9E9E-24020EDB6BEA}"/>
    <cellStyle name="Total 2 2" xfId="60" xr:uid="{00000000-0005-0000-0000-0000E30B0000}"/>
    <cellStyle name="Total 2 2 10" xfId="3057" xr:uid="{00000000-0005-0000-0000-0000E40B0000}"/>
    <cellStyle name="Total 2 2 10 2" xfId="3058" xr:uid="{00000000-0005-0000-0000-0000E50B0000}"/>
    <cellStyle name="Total 2 2 11" xfId="3059" xr:uid="{00000000-0005-0000-0000-0000E60B0000}"/>
    <cellStyle name="Total 2 2 11 2" xfId="3060" xr:uid="{00000000-0005-0000-0000-0000E70B0000}"/>
    <cellStyle name="Total 2 2 12" xfId="3061" xr:uid="{00000000-0005-0000-0000-0000E80B0000}"/>
    <cellStyle name="Total 2 2 12 2" xfId="3062" xr:uid="{00000000-0005-0000-0000-0000E90B0000}"/>
    <cellStyle name="Total 2 2 13" xfId="3063" xr:uid="{00000000-0005-0000-0000-0000EA0B0000}"/>
    <cellStyle name="Total 2 2 13 2" xfId="3064" xr:uid="{00000000-0005-0000-0000-0000EB0B0000}"/>
    <cellStyle name="Total 2 2 14" xfId="3578" xr:uid="{0AA9813C-C3E2-41F6-80E4-4C87E4DF5171}"/>
    <cellStyle name="Total 2 2 2" xfId="104" xr:uid="{00000000-0005-0000-0000-0000EC0B0000}"/>
    <cellStyle name="Total 2 2 2 10" xfId="3065" xr:uid="{00000000-0005-0000-0000-0000ED0B0000}"/>
    <cellStyle name="Total 2 2 2 10 2" xfId="3066" xr:uid="{00000000-0005-0000-0000-0000EE0B0000}"/>
    <cellStyle name="Total 2 2 2 11" xfId="3067" xr:uid="{00000000-0005-0000-0000-0000EF0B0000}"/>
    <cellStyle name="Total 2 2 2 11 2" xfId="3068" xr:uid="{00000000-0005-0000-0000-0000F00B0000}"/>
    <cellStyle name="Total 2 2 2 12" xfId="3069" xr:uid="{00000000-0005-0000-0000-0000F10B0000}"/>
    <cellStyle name="Total 2 2 2 12 2" xfId="3070" xr:uid="{00000000-0005-0000-0000-0000F20B0000}"/>
    <cellStyle name="Total 2 2 2 13" xfId="3071" xr:uid="{00000000-0005-0000-0000-0000F30B0000}"/>
    <cellStyle name="Total 2 2 2 13 2" xfId="3072" xr:uid="{00000000-0005-0000-0000-0000F40B0000}"/>
    <cellStyle name="Total 2 2 2 14" xfId="3073" xr:uid="{00000000-0005-0000-0000-0000F50B0000}"/>
    <cellStyle name="Total 2 2 2 14 2" xfId="3074" xr:uid="{00000000-0005-0000-0000-0000F60B0000}"/>
    <cellStyle name="Total 2 2 2 15" xfId="3075" xr:uid="{00000000-0005-0000-0000-0000F70B0000}"/>
    <cellStyle name="Total 2 2 2 15 2" xfId="3076" xr:uid="{00000000-0005-0000-0000-0000F80B0000}"/>
    <cellStyle name="Total 2 2 2 16" xfId="3077" xr:uid="{00000000-0005-0000-0000-0000F90B0000}"/>
    <cellStyle name="Total 2 2 2 16 2" xfId="3078" xr:uid="{00000000-0005-0000-0000-0000FA0B0000}"/>
    <cellStyle name="Total 2 2 2 17" xfId="3079" xr:uid="{00000000-0005-0000-0000-0000FB0B0000}"/>
    <cellStyle name="Total 2 2 2 17 2" xfId="3080" xr:uid="{00000000-0005-0000-0000-0000FC0B0000}"/>
    <cellStyle name="Total 2 2 2 18" xfId="3081" xr:uid="{00000000-0005-0000-0000-0000FD0B0000}"/>
    <cellStyle name="Total 2 2 2 18 2" xfId="3082" xr:uid="{00000000-0005-0000-0000-0000FE0B0000}"/>
    <cellStyle name="Total 2 2 2 19" xfId="3083" xr:uid="{00000000-0005-0000-0000-0000FF0B0000}"/>
    <cellStyle name="Total 2 2 2 19 2" xfId="3084" xr:uid="{00000000-0005-0000-0000-0000000C0000}"/>
    <cellStyle name="Total 2 2 2 2" xfId="3085" xr:uid="{00000000-0005-0000-0000-0000010C0000}"/>
    <cellStyle name="Total 2 2 2 2 2" xfId="3086" xr:uid="{00000000-0005-0000-0000-0000020C0000}"/>
    <cellStyle name="Total 2 2 2 20" xfId="3087" xr:uid="{00000000-0005-0000-0000-0000030C0000}"/>
    <cellStyle name="Total 2 2 2 20 2" xfId="3088" xr:uid="{00000000-0005-0000-0000-0000040C0000}"/>
    <cellStyle name="Total 2 2 2 21" xfId="3089" xr:uid="{00000000-0005-0000-0000-0000050C0000}"/>
    <cellStyle name="Total 2 2 2 21 2" xfId="3090" xr:uid="{00000000-0005-0000-0000-0000060C0000}"/>
    <cellStyle name="Total 2 2 2 22" xfId="3091" xr:uid="{00000000-0005-0000-0000-0000070C0000}"/>
    <cellStyle name="Total 2 2 2 22 2" xfId="3092" xr:uid="{00000000-0005-0000-0000-0000080C0000}"/>
    <cellStyle name="Total 2 2 2 23" xfId="3093" xr:uid="{00000000-0005-0000-0000-0000090C0000}"/>
    <cellStyle name="Total 2 2 2 23 2" xfId="3094" xr:uid="{00000000-0005-0000-0000-00000A0C0000}"/>
    <cellStyle name="Total 2 2 2 24" xfId="3095" xr:uid="{00000000-0005-0000-0000-00000B0C0000}"/>
    <cellStyle name="Total 2 2 2 24 2" xfId="3096" xr:uid="{00000000-0005-0000-0000-00000C0C0000}"/>
    <cellStyle name="Total 2 2 2 25" xfId="3097" xr:uid="{00000000-0005-0000-0000-00000D0C0000}"/>
    <cellStyle name="Total 2 2 2 25 2" xfId="3098" xr:uid="{00000000-0005-0000-0000-00000E0C0000}"/>
    <cellStyle name="Total 2 2 2 26" xfId="3099" xr:uid="{00000000-0005-0000-0000-00000F0C0000}"/>
    <cellStyle name="Total 2 2 2 26 2" xfId="3100" xr:uid="{00000000-0005-0000-0000-0000100C0000}"/>
    <cellStyle name="Total 2 2 2 27" xfId="3101" xr:uid="{00000000-0005-0000-0000-0000110C0000}"/>
    <cellStyle name="Total 2 2 2 27 2" xfId="3102" xr:uid="{00000000-0005-0000-0000-0000120C0000}"/>
    <cellStyle name="Total 2 2 2 28" xfId="3103" xr:uid="{00000000-0005-0000-0000-0000130C0000}"/>
    <cellStyle name="Total 2 2 2 28 2" xfId="3104" xr:uid="{00000000-0005-0000-0000-0000140C0000}"/>
    <cellStyle name="Total 2 2 2 29" xfId="3105" xr:uid="{00000000-0005-0000-0000-0000150C0000}"/>
    <cellStyle name="Total 2 2 2 3" xfId="3106" xr:uid="{00000000-0005-0000-0000-0000160C0000}"/>
    <cellStyle name="Total 2 2 2 3 2" xfId="3107" xr:uid="{00000000-0005-0000-0000-0000170C0000}"/>
    <cellStyle name="Total 2 2 2 4" xfId="3108" xr:uid="{00000000-0005-0000-0000-0000180C0000}"/>
    <cellStyle name="Total 2 2 2 4 2" xfId="3109" xr:uid="{00000000-0005-0000-0000-0000190C0000}"/>
    <cellStyle name="Total 2 2 2 5" xfId="3110" xr:uid="{00000000-0005-0000-0000-00001A0C0000}"/>
    <cellStyle name="Total 2 2 2 5 2" xfId="3111" xr:uid="{00000000-0005-0000-0000-00001B0C0000}"/>
    <cellStyle name="Total 2 2 2 6" xfId="3112" xr:uid="{00000000-0005-0000-0000-00001C0C0000}"/>
    <cellStyle name="Total 2 2 2 6 2" xfId="3113" xr:uid="{00000000-0005-0000-0000-00001D0C0000}"/>
    <cellStyle name="Total 2 2 2 7" xfId="3114" xr:uid="{00000000-0005-0000-0000-00001E0C0000}"/>
    <cellStyle name="Total 2 2 2 7 2" xfId="3115" xr:uid="{00000000-0005-0000-0000-00001F0C0000}"/>
    <cellStyle name="Total 2 2 2 8" xfId="3116" xr:uid="{00000000-0005-0000-0000-0000200C0000}"/>
    <cellStyle name="Total 2 2 2 8 2" xfId="3117" xr:uid="{00000000-0005-0000-0000-0000210C0000}"/>
    <cellStyle name="Total 2 2 2 9" xfId="3118" xr:uid="{00000000-0005-0000-0000-0000220C0000}"/>
    <cellStyle name="Total 2 2 2 9 2" xfId="3119" xr:uid="{00000000-0005-0000-0000-0000230C0000}"/>
    <cellStyle name="Total 2 2 3" xfId="148" xr:uid="{00000000-0005-0000-0000-0000240C0000}"/>
    <cellStyle name="Total 2 2 3 10" xfId="3120" xr:uid="{00000000-0005-0000-0000-0000250C0000}"/>
    <cellStyle name="Total 2 2 3 10 2" xfId="3121" xr:uid="{00000000-0005-0000-0000-0000260C0000}"/>
    <cellStyle name="Total 2 2 3 11" xfId="3122" xr:uid="{00000000-0005-0000-0000-0000270C0000}"/>
    <cellStyle name="Total 2 2 3 11 2" xfId="3123" xr:uid="{00000000-0005-0000-0000-0000280C0000}"/>
    <cellStyle name="Total 2 2 3 12" xfId="3124" xr:uid="{00000000-0005-0000-0000-0000290C0000}"/>
    <cellStyle name="Total 2 2 3 12 2" xfId="3125" xr:uid="{00000000-0005-0000-0000-00002A0C0000}"/>
    <cellStyle name="Total 2 2 3 13" xfId="3126" xr:uid="{00000000-0005-0000-0000-00002B0C0000}"/>
    <cellStyle name="Total 2 2 3 13 2" xfId="3127" xr:uid="{00000000-0005-0000-0000-00002C0C0000}"/>
    <cellStyle name="Total 2 2 3 14" xfId="3128" xr:uid="{00000000-0005-0000-0000-00002D0C0000}"/>
    <cellStyle name="Total 2 2 3 14 2" xfId="3129" xr:uid="{00000000-0005-0000-0000-00002E0C0000}"/>
    <cellStyle name="Total 2 2 3 15" xfId="3130" xr:uid="{00000000-0005-0000-0000-00002F0C0000}"/>
    <cellStyle name="Total 2 2 3 15 2" xfId="3131" xr:uid="{00000000-0005-0000-0000-0000300C0000}"/>
    <cellStyle name="Total 2 2 3 16" xfId="3132" xr:uid="{00000000-0005-0000-0000-0000310C0000}"/>
    <cellStyle name="Total 2 2 3 16 2" xfId="3133" xr:uid="{00000000-0005-0000-0000-0000320C0000}"/>
    <cellStyle name="Total 2 2 3 17" xfId="3134" xr:uid="{00000000-0005-0000-0000-0000330C0000}"/>
    <cellStyle name="Total 2 2 3 17 2" xfId="3135" xr:uid="{00000000-0005-0000-0000-0000340C0000}"/>
    <cellStyle name="Total 2 2 3 18" xfId="3136" xr:uid="{00000000-0005-0000-0000-0000350C0000}"/>
    <cellStyle name="Total 2 2 3 18 2" xfId="3137" xr:uid="{00000000-0005-0000-0000-0000360C0000}"/>
    <cellStyle name="Total 2 2 3 19" xfId="3138" xr:uid="{00000000-0005-0000-0000-0000370C0000}"/>
    <cellStyle name="Total 2 2 3 19 2" xfId="3139" xr:uid="{00000000-0005-0000-0000-0000380C0000}"/>
    <cellStyle name="Total 2 2 3 2" xfId="3140" xr:uid="{00000000-0005-0000-0000-0000390C0000}"/>
    <cellStyle name="Total 2 2 3 2 2" xfId="3141" xr:uid="{00000000-0005-0000-0000-00003A0C0000}"/>
    <cellStyle name="Total 2 2 3 20" xfId="3142" xr:uid="{00000000-0005-0000-0000-00003B0C0000}"/>
    <cellStyle name="Total 2 2 3 20 2" xfId="3143" xr:uid="{00000000-0005-0000-0000-00003C0C0000}"/>
    <cellStyle name="Total 2 2 3 21" xfId="3144" xr:uid="{00000000-0005-0000-0000-00003D0C0000}"/>
    <cellStyle name="Total 2 2 3 21 2" xfId="3145" xr:uid="{00000000-0005-0000-0000-00003E0C0000}"/>
    <cellStyle name="Total 2 2 3 22" xfId="3146" xr:uid="{00000000-0005-0000-0000-00003F0C0000}"/>
    <cellStyle name="Total 2 2 3 22 2" xfId="3147" xr:uid="{00000000-0005-0000-0000-0000400C0000}"/>
    <cellStyle name="Total 2 2 3 23" xfId="3148" xr:uid="{00000000-0005-0000-0000-0000410C0000}"/>
    <cellStyle name="Total 2 2 3 23 2" xfId="3149" xr:uid="{00000000-0005-0000-0000-0000420C0000}"/>
    <cellStyle name="Total 2 2 3 24" xfId="3150" xr:uid="{00000000-0005-0000-0000-0000430C0000}"/>
    <cellStyle name="Total 2 2 3 24 2" xfId="3151" xr:uid="{00000000-0005-0000-0000-0000440C0000}"/>
    <cellStyle name="Total 2 2 3 25" xfId="3152" xr:uid="{00000000-0005-0000-0000-0000450C0000}"/>
    <cellStyle name="Total 2 2 3 25 2" xfId="3153" xr:uid="{00000000-0005-0000-0000-0000460C0000}"/>
    <cellStyle name="Total 2 2 3 26" xfId="3154" xr:uid="{00000000-0005-0000-0000-0000470C0000}"/>
    <cellStyle name="Total 2 2 3 26 2" xfId="3155" xr:uid="{00000000-0005-0000-0000-0000480C0000}"/>
    <cellStyle name="Total 2 2 3 27" xfId="3156" xr:uid="{00000000-0005-0000-0000-0000490C0000}"/>
    <cellStyle name="Total 2 2 3 27 2" xfId="3157" xr:uid="{00000000-0005-0000-0000-00004A0C0000}"/>
    <cellStyle name="Total 2 2 3 28" xfId="3158" xr:uid="{00000000-0005-0000-0000-00004B0C0000}"/>
    <cellStyle name="Total 2 2 3 28 2" xfId="3159" xr:uid="{00000000-0005-0000-0000-00004C0C0000}"/>
    <cellStyle name="Total 2 2 3 29" xfId="3160" xr:uid="{00000000-0005-0000-0000-00004D0C0000}"/>
    <cellStyle name="Total 2 2 3 3" xfId="3161" xr:uid="{00000000-0005-0000-0000-00004E0C0000}"/>
    <cellStyle name="Total 2 2 3 3 2" xfId="3162" xr:uid="{00000000-0005-0000-0000-00004F0C0000}"/>
    <cellStyle name="Total 2 2 3 4" xfId="3163" xr:uid="{00000000-0005-0000-0000-0000500C0000}"/>
    <cellStyle name="Total 2 2 3 4 2" xfId="3164" xr:uid="{00000000-0005-0000-0000-0000510C0000}"/>
    <cellStyle name="Total 2 2 3 5" xfId="3165" xr:uid="{00000000-0005-0000-0000-0000520C0000}"/>
    <cellStyle name="Total 2 2 3 5 2" xfId="3166" xr:uid="{00000000-0005-0000-0000-0000530C0000}"/>
    <cellStyle name="Total 2 2 3 6" xfId="3167" xr:uid="{00000000-0005-0000-0000-0000540C0000}"/>
    <cellStyle name="Total 2 2 3 6 2" xfId="3168" xr:uid="{00000000-0005-0000-0000-0000550C0000}"/>
    <cellStyle name="Total 2 2 3 7" xfId="3169" xr:uid="{00000000-0005-0000-0000-0000560C0000}"/>
    <cellStyle name="Total 2 2 3 7 2" xfId="3170" xr:uid="{00000000-0005-0000-0000-0000570C0000}"/>
    <cellStyle name="Total 2 2 3 8" xfId="3171" xr:uid="{00000000-0005-0000-0000-0000580C0000}"/>
    <cellStyle name="Total 2 2 3 8 2" xfId="3172" xr:uid="{00000000-0005-0000-0000-0000590C0000}"/>
    <cellStyle name="Total 2 2 3 9" xfId="3173" xr:uid="{00000000-0005-0000-0000-00005A0C0000}"/>
    <cellStyle name="Total 2 2 3 9 2" xfId="3174" xr:uid="{00000000-0005-0000-0000-00005B0C0000}"/>
    <cellStyle name="Total 2 2 4" xfId="3175" xr:uid="{00000000-0005-0000-0000-00005C0C0000}"/>
    <cellStyle name="Total 2 2 4 10" xfId="3176" xr:uid="{00000000-0005-0000-0000-00005D0C0000}"/>
    <cellStyle name="Total 2 2 4 10 2" xfId="3177" xr:uid="{00000000-0005-0000-0000-00005E0C0000}"/>
    <cellStyle name="Total 2 2 4 11" xfId="3178" xr:uid="{00000000-0005-0000-0000-00005F0C0000}"/>
    <cellStyle name="Total 2 2 4 11 2" xfId="3179" xr:uid="{00000000-0005-0000-0000-0000600C0000}"/>
    <cellStyle name="Total 2 2 4 12" xfId="3180" xr:uid="{00000000-0005-0000-0000-0000610C0000}"/>
    <cellStyle name="Total 2 2 4 12 2" xfId="3181" xr:uid="{00000000-0005-0000-0000-0000620C0000}"/>
    <cellStyle name="Total 2 2 4 13" xfId="3182" xr:uid="{00000000-0005-0000-0000-0000630C0000}"/>
    <cellStyle name="Total 2 2 4 13 2" xfId="3183" xr:uid="{00000000-0005-0000-0000-0000640C0000}"/>
    <cellStyle name="Total 2 2 4 14" xfId="3184" xr:uid="{00000000-0005-0000-0000-0000650C0000}"/>
    <cellStyle name="Total 2 2 4 14 2" xfId="3185" xr:uid="{00000000-0005-0000-0000-0000660C0000}"/>
    <cellStyle name="Total 2 2 4 15" xfId="3186" xr:uid="{00000000-0005-0000-0000-0000670C0000}"/>
    <cellStyle name="Total 2 2 4 15 2" xfId="3187" xr:uid="{00000000-0005-0000-0000-0000680C0000}"/>
    <cellStyle name="Total 2 2 4 16" xfId="3188" xr:uid="{00000000-0005-0000-0000-0000690C0000}"/>
    <cellStyle name="Total 2 2 4 16 2" xfId="3189" xr:uid="{00000000-0005-0000-0000-00006A0C0000}"/>
    <cellStyle name="Total 2 2 4 17" xfId="3190" xr:uid="{00000000-0005-0000-0000-00006B0C0000}"/>
    <cellStyle name="Total 2 2 4 17 2" xfId="3191" xr:uid="{00000000-0005-0000-0000-00006C0C0000}"/>
    <cellStyle name="Total 2 2 4 18" xfId="3192" xr:uid="{00000000-0005-0000-0000-00006D0C0000}"/>
    <cellStyle name="Total 2 2 4 18 2" xfId="3193" xr:uid="{00000000-0005-0000-0000-00006E0C0000}"/>
    <cellStyle name="Total 2 2 4 19" xfId="3194" xr:uid="{00000000-0005-0000-0000-00006F0C0000}"/>
    <cellStyle name="Total 2 2 4 19 2" xfId="3195" xr:uid="{00000000-0005-0000-0000-0000700C0000}"/>
    <cellStyle name="Total 2 2 4 2" xfId="3196" xr:uid="{00000000-0005-0000-0000-0000710C0000}"/>
    <cellStyle name="Total 2 2 4 2 2" xfId="3197" xr:uid="{00000000-0005-0000-0000-0000720C0000}"/>
    <cellStyle name="Total 2 2 4 20" xfId="3198" xr:uid="{00000000-0005-0000-0000-0000730C0000}"/>
    <cellStyle name="Total 2 2 4 20 2" xfId="3199" xr:uid="{00000000-0005-0000-0000-0000740C0000}"/>
    <cellStyle name="Total 2 2 4 21" xfId="3200" xr:uid="{00000000-0005-0000-0000-0000750C0000}"/>
    <cellStyle name="Total 2 2 4 21 2" xfId="3201" xr:uid="{00000000-0005-0000-0000-0000760C0000}"/>
    <cellStyle name="Total 2 2 4 22" xfId="3202" xr:uid="{00000000-0005-0000-0000-0000770C0000}"/>
    <cellStyle name="Total 2 2 4 22 2" xfId="3203" xr:uid="{00000000-0005-0000-0000-0000780C0000}"/>
    <cellStyle name="Total 2 2 4 23" xfId="3204" xr:uid="{00000000-0005-0000-0000-0000790C0000}"/>
    <cellStyle name="Total 2 2 4 23 2" xfId="3205" xr:uid="{00000000-0005-0000-0000-00007A0C0000}"/>
    <cellStyle name="Total 2 2 4 24" xfId="3206" xr:uid="{00000000-0005-0000-0000-00007B0C0000}"/>
    <cellStyle name="Total 2 2 4 24 2" xfId="3207" xr:uid="{00000000-0005-0000-0000-00007C0C0000}"/>
    <cellStyle name="Total 2 2 4 25" xfId="3208" xr:uid="{00000000-0005-0000-0000-00007D0C0000}"/>
    <cellStyle name="Total 2 2 4 25 2" xfId="3209" xr:uid="{00000000-0005-0000-0000-00007E0C0000}"/>
    <cellStyle name="Total 2 2 4 26" xfId="3210" xr:uid="{00000000-0005-0000-0000-00007F0C0000}"/>
    <cellStyle name="Total 2 2 4 26 2" xfId="3211" xr:uid="{00000000-0005-0000-0000-0000800C0000}"/>
    <cellStyle name="Total 2 2 4 27" xfId="3212" xr:uid="{00000000-0005-0000-0000-0000810C0000}"/>
    <cellStyle name="Total 2 2 4 27 2" xfId="3213" xr:uid="{00000000-0005-0000-0000-0000820C0000}"/>
    <cellStyle name="Total 2 2 4 28" xfId="3214" xr:uid="{00000000-0005-0000-0000-0000830C0000}"/>
    <cellStyle name="Total 2 2 4 28 2" xfId="3215" xr:uid="{00000000-0005-0000-0000-0000840C0000}"/>
    <cellStyle name="Total 2 2 4 29" xfId="3216" xr:uid="{00000000-0005-0000-0000-0000850C0000}"/>
    <cellStyle name="Total 2 2 4 3" xfId="3217" xr:uid="{00000000-0005-0000-0000-0000860C0000}"/>
    <cellStyle name="Total 2 2 4 3 2" xfId="3218" xr:uid="{00000000-0005-0000-0000-0000870C0000}"/>
    <cellStyle name="Total 2 2 4 4" xfId="3219" xr:uid="{00000000-0005-0000-0000-0000880C0000}"/>
    <cellStyle name="Total 2 2 4 4 2" xfId="3220" xr:uid="{00000000-0005-0000-0000-0000890C0000}"/>
    <cellStyle name="Total 2 2 4 5" xfId="3221" xr:uid="{00000000-0005-0000-0000-00008A0C0000}"/>
    <cellStyle name="Total 2 2 4 5 2" xfId="3222" xr:uid="{00000000-0005-0000-0000-00008B0C0000}"/>
    <cellStyle name="Total 2 2 4 6" xfId="3223" xr:uid="{00000000-0005-0000-0000-00008C0C0000}"/>
    <cellStyle name="Total 2 2 4 6 2" xfId="3224" xr:uid="{00000000-0005-0000-0000-00008D0C0000}"/>
    <cellStyle name="Total 2 2 4 7" xfId="3225" xr:uid="{00000000-0005-0000-0000-00008E0C0000}"/>
    <cellStyle name="Total 2 2 4 7 2" xfId="3226" xr:uid="{00000000-0005-0000-0000-00008F0C0000}"/>
    <cellStyle name="Total 2 2 4 8" xfId="3227" xr:uid="{00000000-0005-0000-0000-0000900C0000}"/>
    <cellStyle name="Total 2 2 4 8 2" xfId="3228" xr:uid="{00000000-0005-0000-0000-0000910C0000}"/>
    <cellStyle name="Total 2 2 4 9" xfId="3229" xr:uid="{00000000-0005-0000-0000-0000920C0000}"/>
    <cellStyle name="Total 2 2 4 9 2" xfId="3230" xr:uid="{00000000-0005-0000-0000-0000930C0000}"/>
    <cellStyle name="Total 2 2 5" xfId="3231" xr:uid="{00000000-0005-0000-0000-0000940C0000}"/>
    <cellStyle name="Total 2 2 5 10" xfId="3232" xr:uid="{00000000-0005-0000-0000-0000950C0000}"/>
    <cellStyle name="Total 2 2 5 10 2" xfId="3233" xr:uid="{00000000-0005-0000-0000-0000960C0000}"/>
    <cellStyle name="Total 2 2 5 11" xfId="3234" xr:uid="{00000000-0005-0000-0000-0000970C0000}"/>
    <cellStyle name="Total 2 2 5 11 2" xfId="3235" xr:uid="{00000000-0005-0000-0000-0000980C0000}"/>
    <cellStyle name="Total 2 2 5 12" xfId="3236" xr:uid="{00000000-0005-0000-0000-0000990C0000}"/>
    <cellStyle name="Total 2 2 5 12 2" xfId="3237" xr:uid="{00000000-0005-0000-0000-00009A0C0000}"/>
    <cellStyle name="Total 2 2 5 13" xfId="3238" xr:uid="{00000000-0005-0000-0000-00009B0C0000}"/>
    <cellStyle name="Total 2 2 5 13 2" xfId="3239" xr:uid="{00000000-0005-0000-0000-00009C0C0000}"/>
    <cellStyle name="Total 2 2 5 14" xfId="3240" xr:uid="{00000000-0005-0000-0000-00009D0C0000}"/>
    <cellStyle name="Total 2 2 5 14 2" xfId="3241" xr:uid="{00000000-0005-0000-0000-00009E0C0000}"/>
    <cellStyle name="Total 2 2 5 15" xfId="3242" xr:uid="{00000000-0005-0000-0000-00009F0C0000}"/>
    <cellStyle name="Total 2 2 5 15 2" xfId="3243" xr:uid="{00000000-0005-0000-0000-0000A00C0000}"/>
    <cellStyle name="Total 2 2 5 16" xfId="3244" xr:uid="{00000000-0005-0000-0000-0000A10C0000}"/>
    <cellStyle name="Total 2 2 5 16 2" xfId="3245" xr:uid="{00000000-0005-0000-0000-0000A20C0000}"/>
    <cellStyle name="Total 2 2 5 17" xfId="3246" xr:uid="{00000000-0005-0000-0000-0000A30C0000}"/>
    <cellStyle name="Total 2 2 5 17 2" xfId="3247" xr:uid="{00000000-0005-0000-0000-0000A40C0000}"/>
    <cellStyle name="Total 2 2 5 18" xfId="3248" xr:uid="{00000000-0005-0000-0000-0000A50C0000}"/>
    <cellStyle name="Total 2 2 5 18 2" xfId="3249" xr:uid="{00000000-0005-0000-0000-0000A60C0000}"/>
    <cellStyle name="Total 2 2 5 19" xfId="3250" xr:uid="{00000000-0005-0000-0000-0000A70C0000}"/>
    <cellStyle name="Total 2 2 5 19 2" xfId="3251" xr:uid="{00000000-0005-0000-0000-0000A80C0000}"/>
    <cellStyle name="Total 2 2 5 2" xfId="3252" xr:uid="{00000000-0005-0000-0000-0000A90C0000}"/>
    <cellStyle name="Total 2 2 5 2 2" xfId="3253" xr:uid="{00000000-0005-0000-0000-0000AA0C0000}"/>
    <cellStyle name="Total 2 2 5 20" xfId="3254" xr:uid="{00000000-0005-0000-0000-0000AB0C0000}"/>
    <cellStyle name="Total 2 2 5 20 2" xfId="3255" xr:uid="{00000000-0005-0000-0000-0000AC0C0000}"/>
    <cellStyle name="Total 2 2 5 21" xfId="3256" xr:uid="{00000000-0005-0000-0000-0000AD0C0000}"/>
    <cellStyle name="Total 2 2 5 21 2" xfId="3257" xr:uid="{00000000-0005-0000-0000-0000AE0C0000}"/>
    <cellStyle name="Total 2 2 5 22" xfId="3258" xr:uid="{00000000-0005-0000-0000-0000AF0C0000}"/>
    <cellStyle name="Total 2 2 5 22 2" xfId="3259" xr:uid="{00000000-0005-0000-0000-0000B00C0000}"/>
    <cellStyle name="Total 2 2 5 23" xfId="3260" xr:uid="{00000000-0005-0000-0000-0000B10C0000}"/>
    <cellStyle name="Total 2 2 5 23 2" xfId="3261" xr:uid="{00000000-0005-0000-0000-0000B20C0000}"/>
    <cellStyle name="Total 2 2 5 24" xfId="3262" xr:uid="{00000000-0005-0000-0000-0000B30C0000}"/>
    <cellStyle name="Total 2 2 5 24 2" xfId="3263" xr:uid="{00000000-0005-0000-0000-0000B40C0000}"/>
    <cellStyle name="Total 2 2 5 25" xfId="3264" xr:uid="{00000000-0005-0000-0000-0000B50C0000}"/>
    <cellStyle name="Total 2 2 5 25 2" xfId="3265" xr:uid="{00000000-0005-0000-0000-0000B60C0000}"/>
    <cellStyle name="Total 2 2 5 26" xfId="3266" xr:uid="{00000000-0005-0000-0000-0000B70C0000}"/>
    <cellStyle name="Total 2 2 5 26 2" xfId="3267" xr:uid="{00000000-0005-0000-0000-0000B80C0000}"/>
    <cellStyle name="Total 2 2 5 27" xfId="3268" xr:uid="{00000000-0005-0000-0000-0000B90C0000}"/>
    <cellStyle name="Total 2 2 5 27 2" xfId="3269" xr:uid="{00000000-0005-0000-0000-0000BA0C0000}"/>
    <cellStyle name="Total 2 2 5 28" xfId="3270" xr:uid="{00000000-0005-0000-0000-0000BB0C0000}"/>
    <cellStyle name="Total 2 2 5 3" xfId="3271" xr:uid="{00000000-0005-0000-0000-0000BC0C0000}"/>
    <cellStyle name="Total 2 2 5 3 2" xfId="3272" xr:uid="{00000000-0005-0000-0000-0000BD0C0000}"/>
    <cellStyle name="Total 2 2 5 4" xfId="3273" xr:uid="{00000000-0005-0000-0000-0000BE0C0000}"/>
    <cellStyle name="Total 2 2 5 4 2" xfId="3274" xr:uid="{00000000-0005-0000-0000-0000BF0C0000}"/>
    <cellStyle name="Total 2 2 5 5" xfId="3275" xr:uid="{00000000-0005-0000-0000-0000C00C0000}"/>
    <cellStyle name="Total 2 2 5 5 2" xfId="3276" xr:uid="{00000000-0005-0000-0000-0000C10C0000}"/>
    <cellStyle name="Total 2 2 5 6" xfId="3277" xr:uid="{00000000-0005-0000-0000-0000C20C0000}"/>
    <cellStyle name="Total 2 2 5 6 2" xfId="3278" xr:uid="{00000000-0005-0000-0000-0000C30C0000}"/>
    <cellStyle name="Total 2 2 5 7" xfId="3279" xr:uid="{00000000-0005-0000-0000-0000C40C0000}"/>
    <cellStyle name="Total 2 2 5 7 2" xfId="3280" xr:uid="{00000000-0005-0000-0000-0000C50C0000}"/>
    <cellStyle name="Total 2 2 5 8" xfId="3281" xr:uid="{00000000-0005-0000-0000-0000C60C0000}"/>
    <cellStyle name="Total 2 2 5 8 2" xfId="3282" xr:uid="{00000000-0005-0000-0000-0000C70C0000}"/>
    <cellStyle name="Total 2 2 5 9" xfId="3283" xr:uid="{00000000-0005-0000-0000-0000C80C0000}"/>
    <cellStyle name="Total 2 2 5 9 2" xfId="3284" xr:uid="{00000000-0005-0000-0000-0000C90C0000}"/>
    <cellStyle name="Total 2 2 6" xfId="3285" xr:uid="{00000000-0005-0000-0000-0000CA0C0000}"/>
    <cellStyle name="Total 2 2 6 2" xfId="3286" xr:uid="{00000000-0005-0000-0000-0000CB0C0000}"/>
    <cellStyle name="Total 2 2 7" xfId="3287" xr:uid="{00000000-0005-0000-0000-0000CC0C0000}"/>
    <cellStyle name="Total 2 2 7 2" xfId="3288" xr:uid="{00000000-0005-0000-0000-0000CD0C0000}"/>
    <cellStyle name="Total 2 2 8" xfId="3289" xr:uid="{00000000-0005-0000-0000-0000CE0C0000}"/>
    <cellStyle name="Total 2 2 8 2" xfId="3290" xr:uid="{00000000-0005-0000-0000-0000CF0C0000}"/>
    <cellStyle name="Total 2 2 9" xfId="3291" xr:uid="{00000000-0005-0000-0000-0000D00C0000}"/>
    <cellStyle name="Total 2 2 9 2" xfId="3292" xr:uid="{00000000-0005-0000-0000-0000D10C0000}"/>
    <cellStyle name="Total 2 3" xfId="61" xr:uid="{00000000-0005-0000-0000-0000D20C0000}"/>
    <cellStyle name="Total 2 3 10" xfId="3293" xr:uid="{00000000-0005-0000-0000-0000D30C0000}"/>
    <cellStyle name="Total 2 3 10 2" xfId="3294" xr:uid="{00000000-0005-0000-0000-0000D40C0000}"/>
    <cellStyle name="Total 2 3 11" xfId="3295" xr:uid="{00000000-0005-0000-0000-0000D50C0000}"/>
    <cellStyle name="Total 2 3 11 2" xfId="3296" xr:uid="{00000000-0005-0000-0000-0000D60C0000}"/>
    <cellStyle name="Total 2 3 12" xfId="3297" xr:uid="{00000000-0005-0000-0000-0000D70C0000}"/>
    <cellStyle name="Total 2 3 12 2" xfId="3298" xr:uid="{00000000-0005-0000-0000-0000D80C0000}"/>
    <cellStyle name="Total 2 3 13" xfId="3299" xr:uid="{00000000-0005-0000-0000-0000D90C0000}"/>
    <cellStyle name="Total 2 3 13 2" xfId="3300" xr:uid="{00000000-0005-0000-0000-0000DA0C0000}"/>
    <cellStyle name="Total 2 3 14" xfId="3301" xr:uid="{00000000-0005-0000-0000-0000DB0C0000}"/>
    <cellStyle name="Total 2 3 14 2" xfId="3302" xr:uid="{00000000-0005-0000-0000-0000DC0C0000}"/>
    <cellStyle name="Total 2 3 15" xfId="3303" xr:uid="{00000000-0005-0000-0000-0000DD0C0000}"/>
    <cellStyle name="Total 2 3 15 2" xfId="3304" xr:uid="{00000000-0005-0000-0000-0000DE0C0000}"/>
    <cellStyle name="Total 2 3 16" xfId="3305" xr:uid="{00000000-0005-0000-0000-0000DF0C0000}"/>
    <cellStyle name="Total 2 3 16 2" xfId="3306" xr:uid="{00000000-0005-0000-0000-0000E00C0000}"/>
    <cellStyle name="Total 2 3 17" xfId="3307" xr:uid="{00000000-0005-0000-0000-0000E10C0000}"/>
    <cellStyle name="Total 2 3 17 2" xfId="3308" xr:uid="{00000000-0005-0000-0000-0000E20C0000}"/>
    <cellStyle name="Total 2 3 18" xfId="3309" xr:uid="{00000000-0005-0000-0000-0000E30C0000}"/>
    <cellStyle name="Total 2 3 18 2" xfId="3310" xr:uid="{00000000-0005-0000-0000-0000E40C0000}"/>
    <cellStyle name="Total 2 3 19" xfId="3311" xr:uid="{00000000-0005-0000-0000-0000E50C0000}"/>
    <cellStyle name="Total 2 3 19 2" xfId="3312" xr:uid="{00000000-0005-0000-0000-0000E60C0000}"/>
    <cellStyle name="Total 2 3 2" xfId="106" xr:uid="{00000000-0005-0000-0000-0000E70C0000}"/>
    <cellStyle name="Total 2 3 2 2" xfId="3313" xr:uid="{00000000-0005-0000-0000-0000E80C0000}"/>
    <cellStyle name="Total 2 3 20" xfId="3314" xr:uid="{00000000-0005-0000-0000-0000E90C0000}"/>
    <cellStyle name="Total 2 3 20 2" xfId="3315" xr:uid="{00000000-0005-0000-0000-0000EA0C0000}"/>
    <cellStyle name="Total 2 3 21" xfId="3316" xr:uid="{00000000-0005-0000-0000-0000EB0C0000}"/>
    <cellStyle name="Total 2 3 21 2" xfId="3317" xr:uid="{00000000-0005-0000-0000-0000EC0C0000}"/>
    <cellStyle name="Total 2 3 22" xfId="3318" xr:uid="{00000000-0005-0000-0000-0000ED0C0000}"/>
    <cellStyle name="Total 2 3 22 2" xfId="3319" xr:uid="{00000000-0005-0000-0000-0000EE0C0000}"/>
    <cellStyle name="Total 2 3 23" xfId="3320" xr:uid="{00000000-0005-0000-0000-0000EF0C0000}"/>
    <cellStyle name="Total 2 3 23 2" xfId="3321" xr:uid="{00000000-0005-0000-0000-0000F00C0000}"/>
    <cellStyle name="Total 2 3 24" xfId="3322" xr:uid="{00000000-0005-0000-0000-0000F10C0000}"/>
    <cellStyle name="Total 2 3 24 2" xfId="3323" xr:uid="{00000000-0005-0000-0000-0000F20C0000}"/>
    <cellStyle name="Total 2 3 25" xfId="3324" xr:uid="{00000000-0005-0000-0000-0000F30C0000}"/>
    <cellStyle name="Total 2 3 25 2" xfId="3325" xr:uid="{00000000-0005-0000-0000-0000F40C0000}"/>
    <cellStyle name="Total 2 3 26" xfId="3326" xr:uid="{00000000-0005-0000-0000-0000F50C0000}"/>
    <cellStyle name="Total 2 3 26 2" xfId="3327" xr:uid="{00000000-0005-0000-0000-0000F60C0000}"/>
    <cellStyle name="Total 2 3 27" xfId="3328" xr:uid="{00000000-0005-0000-0000-0000F70C0000}"/>
    <cellStyle name="Total 2 3 27 2" xfId="3329" xr:uid="{00000000-0005-0000-0000-0000F80C0000}"/>
    <cellStyle name="Total 2 3 28" xfId="3330" xr:uid="{00000000-0005-0000-0000-0000F90C0000}"/>
    <cellStyle name="Total 2 3 28 2" xfId="3331" xr:uid="{00000000-0005-0000-0000-0000FA0C0000}"/>
    <cellStyle name="Total 2 3 29" xfId="3332" xr:uid="{00000000-0005-0000-0000-0000FB0C0000}"/>
    <cellStyle name="Total 2 3 3" xfId="149" xr:uid="{00000000-0005-0000-0000-0000FC0C0000}"/>
    <cellStyle name="Total 2 3 3 2" xfId="3333" xr:uid="{00000000-0005-0000-0000-0000FD0C0000}"/>
    <cellStyle name="Total 2 3 30" xfId="3588" xr:uid="{4C62AF36-0076-4216-A92C-CA022670D6AB}"/>
    <cellStyle name="Total 2 3 4" xfId="3334" xr:uid="{00000000-0005-0000-0000-0000FE0C0000}"/>
    <cellStyle name="Total 2 3 4 2" xfId="3335" xr:uid="{00000000-0005-0000-0000-0000FF0C0000}"/>
    <cellStyle name="Total 2 3 5" xfId="3336" xr:uid="{00000000-0005-0000-0000-0000000D0000}"/>
    <cellStyle name="Total 2 3 5 2" xfId="3337" xr:uid="{00000000-0005-0000-0000-0000010D0000}"/>
    <cellStyle name="Total 2 3 6" xfId="3338" xr:uid="{00000000-0005-0000-0000-0000020D0000}"/>
    <cellStyle name="Total 2 3 6 2" xfId="3339" xr:uid="{00000000-0005-0000-0000-0000030D0000}"/>
    <cellStyle name="Total 2 3 7" xfId="3340" xr:uid="{00000000-0005-0000-0000-0000040D0000}"/>
    <cellStyle name="Total 2 3 7 2" xfId="3341" xr:uid="{00000000-0005-0000-0000-0000050D0000}"/>
    <cellStyle name="Total 2 3 8" xfId="3342" xr:uid="{00000000-0005-0000-0000-0000060D0000}"/>
    <cellStyle name="Total 2 3 8 2" xfId="3343" xr:uid="{00000000-0005-0000-0000-0000070D0000}"/>
    <cellStyle name="Total 2 3 9" xfId="3344" xr:uid="{00000000-0005-0000-0000-0000080D0000}"/>
    <cellStyle name="Total 2 3 9 2" xfId="3345" xr:uid="{00000000-0005-0000-0000-0000090D0000}"/>
    <cellStyle name="Total 2 4" xfId="62" xr:uid="{00000000-0005-0000-0000-00000A0D0000}"/>
    <cellStyle name="Total 2 4 10" xfId="3346" xr:uid="{00000000-0005-0000-0000-00000B0D0000}"/>
    <cellStyle name="Total 2 4 10 2" xfId="3347" xr:uid="{00000000-0005-0000-0000-00000C0D0000}"/>
    <cellStyle name="Total 2 4 11" xfId="3348" xr:uid="{00000000-0005-0000-0000-00000D0D0000}"/>
    <cellStyle name="Total 2 4 11 2" xfId="3349" xr:uid="{00000000-0005-0000-0000-00000E0D0000}"/>
    <cellStyle name="Total 2 4 12" xfId="3350" xr:uid="{00000000-0005-0000-0000-00000F0D0000}"/>
    <cellStyle name="Total 2 4 12 2" xfId="3351" xr:uid="{00000000-0005-0000-0000-0000100D0000}"/>
    <cellStyle name="Total 2 4 13" xfId="3352" xr:uid="{00000000-0005-0000-0000-0000110D0000}"/>
    <cellStyle name="Total 2 4 13 2" xfId="3353" xr:uid="{00000000-0005-0000-0000-0000120D0000}"/>
    <cellStyle name="Total 2 4 14" xfId="3354" xr:uid="{00000000-0005-0000-0000-0000130D0000}"/>
    <cellStyle name="Total 2 4 14 2" xfId="3355" xr:uid="{00000000-0005-0000-0000-0000140D0000}"/>
    <cellStyle name="Total 2 4 15" xfId="3356" xr:uid="{00000000-0005-0000-0000-0000150D0000}"/>
    <cellStyle name="Total 2 4 15 2" xfId="3357" xr:uid="{00000000-0005-0000-0000-0000160D0000}"/>
    <cellStyle name="Total 2 4 16" xfId="3358" xr:uid="{00000000-0005-0000-0000-0000170D0000}"/>
    <cellStyle name="Total 2 4 16 2" xfId="3359" xr:uid="{00000000-0005-0000-0000-0000180D0000}"/>
    <cellStyle name="Total 2 4 17" xfId="3360" xr:uid="{00000000-0005-0000-0000-0000190D0000}"/>
    <cellStyle name="Total 2 4 17 2" xfId="3361" xr:uid="{00000000-0005-0000-0000-00001A0D0000}"/>
    <cellStyle name="Total 2 4 18" xfId="3362" xr:uid="{00000000-0005-0000-0000-00001B0D0000}"/>
    <cellStyle name="Total 2 4 18 2" xfId="3363" xr:uid="{00000000-0005-0000-0000-00001C0D0000}"/>
    <cellStyle name="Total 2 4 19" xfId="3364" xr:uid="{00000000-0005-0000-0000-00001D0D0000}"/>
    <cellStyle name="Total 2 4 19 2" xfId="3365" xr:uid="{00000000-0005-0000-0000-00001E0D0000}"/>
    <cellStyle name="Total 2 4 2" xfId="107" xr:uid="{00000000-0005-0000-0000-00001F0D0000}"/>
    <cellStyle name="Total 2 4 2 2" xfId="3366" xr:uid="{00000000-0005-0000-0000-0000200D0000}"/>
    <cellStyle name="Total 2 4 20" xfId="3367" xr:uid="{00000000-0005-0000-0000-0000210D0000}"/>
    <cellStyle name="Total 2 4 20 2" xfId="3368" xr:uid="{00000000-0005-0000-0000-0000220D0000}"/>
    <cellStyle name="Total 2 4 21" xfId="3369" xr:uid="{00000000-0005-0000-0000-0000230D0000}"/>
    <cellStyle name="Total 2 4 21 2" xfId="3370" xr:uid="{00000000-0005-0000-0000-0000240D0000}"/>
    <cellStyle name="Total 2 4 22" xfId="3371" xr:uid="{00000000-0005-0000-0000-0000250D0000}"/>
    <cellStyle name="Total 2 4 22 2" xfId="3372" xr:uid="{00000000-0005-0000-0000-0000260D0000}"/>
    <cellStyle name="Total 2 4 23" xfId="3373" xr:uid="{00000000-0005-0000-0000-0000270D0000}"/>
    <cellStyle name="Total 2 4 23 2" xfId="3374" xr:uid="{00000000-0005-0000-0000-0000280D0000}"/>
    <cellStyle name="Total 2 4 24" xfId="3375" xr:uid="{00000000-0005-0000-0000-0000290D0000}"/>
    <cellStyle name="Total 2 4 24 2" xfId="3376" xr:uid="{00000000-0005-0000-0000-00002A0D0000}"/>
    <cellStyle name="Total 2 4 25" xfId="3377" xr:uid="{00000000-0005-0000-0000-00002B0D0000}"/>
    <cellStyle name="Total 2 4 25 2" xfId="3378" xr:uid="{00000000-0005-0000-0000-00002C0D0000}"/>
    <cellStyle name="Total 2 4 26" xfId="3379" xr:uid="{00000000-0005-0000-0000-00002D0D0000}"/>
    <cellStyle name="Total 2 4 26 2" xfId="3380" xr:uid="{00000000-0005-0000-0000-00002E0D0000}"/>
    <cellStyle name="Total 2 4 27" xfId="3381" xr:uid="{00000000-0005-0000-0000-00002F0D0000}"/>
    <cellStyle name="Total 2 4 27 2" xfId="3382" xr:uid="{00000000-0005-0000-0000-0000300D0000}"/>
    <cellStyle name="Total 2 4 28" xfId="3383" xr:uid="{00000000-0005-0000-0000-0000310D0000}"/>
    <cellStyle name="Total 2 4 28 2" xfId="3384" xr:uid="{00000000-0005-0000-0000-0000320D0000}"/>
    <cellStyle name="Total 2 4 29" xfId="3385" xr:uid="{00000000-0005-0000-0000-0000330D0000}"/>
    <cellStyle name="Total 2 4 3" xfId="150" xr:uid="{00000000-0005-0000-0000-0000340D0000}"/>
    <cellStyle name="Total 2 4 3 2" xfId="3386" xr:uid="{00000000-0005-0000-0000-0000350D0000}"/>
    <cellStyle name="Total 2 4 30" xfId="3597" xr:uid="{6C4CC0A6-1EF1-4A44-8810-8505C6EC12E9}"/>
    <cellStyle name="Total 2 4 4" xfId="3387" xr:uid="{00000000-0005-0000-0000-0000360D0000}"/>
    <cellStyle name="Total 2 4 4 2" xfId="3388" xr:uid="{00000000-0005-0000-0000-0000370D0000}"/>
    <cellStyle name="Total 2 4 5" xfId="3389" xr:uid="{00000000-0005-0000-0000-0000380D0000}"/>
    <cellStyle name="Total 2 4 5 2" xfId="3390" xr:uid="{00000000-0005-0000-0000-0000390D0000}"/>
    <cellStyle name="Total 2 4 6" xfId="3391" xr:uid="{00000000-0005-0000-0000-00003A0D0000}"/>
    <cellStyle name="Total 2 4 6 2" xfId="3392" xr:uid="{00000000-0005-0000-0000-00003B0D0000}"/>
    <cellStyle name="Total 2 4 7" xfId="3393" xr:uid="{00000000-0005-0000-0000-00003C0D0000}"/>
    <cellStyle name="Total 2 4 7 2" xfId="3394" xr:uid="{00000000-0005-0000-0000-00003D0D0000}"/>
    <cellStyle name="Total 2 4 8" xfId="3395" xr:uid="{00000000-0005-0000-0000-00003E0D0000}"/>
    <cellStyle name="Total 2 4 8 2" xfId="3396" xr:uid="{00000000-0005-0000-0000-00003F0D0000}"/>
    <cellStyle name="Total 2 4 9" xfId="3397" xr:uid="{00000000-0005-0000-0000-0000400D0000}"/>
    <cellStyle name="Total 2 4 9 2" xfId="3398" xr:uid="{00000000-0005-0000-0000-0000410D0000}"/>
    <cellStyle name="Total 2 5" xfId="96" xr:uid="{00000000-0005-0000-0000-0000420D0000}"/>
    <cellStyle name="Total 2 5 10" xfId="3399" xr:uid="{00000000-0005-0000-0000-0000430D0000}"/>
    <cellStyle name="Total 2 5 10 2" xfId="3400" xr:uid="{00000000-0005-0000-0000-0000440D0000}"/>
    <cellStyle name="Total 2 5 11" xfId="3401" xr:uid="{00000000-0005-0000-0000-0000450D0000}"/>
    <cellStyle name="Total 2 5 11 2" xfId="3402" xr:uid="{00000000-0005-0000-0000-0000460D0000}"/>
    <cellStyle name="Total 2 5 12" xfId="3403" xr:uid="{00000000-0005-0000-0000-0000470D0000}"/>
    <cellStyle name="Total 2 5 12 2" xfId="3404" xr:uid="{00000000-0005-0000-0000-0000480D0000}"/>
    <cellStyle name="Total 2 5 13" xfId="3405" xr:uid="{00000000-0005-0000-0000-0000490D0000}"/>
    <cellStyle name="Total 2 5 13 2" xfId="3406" xr:uid="{00000000-0005-0000-0000-00004A0D0000}"/>
    <cellStyle name="Total 2 5 14" xfId="3407" xr:uid="{00000000-0005-0000-0000-00004B0D0000}"/>
    <cellStyle name="Total 2 5 14 2" xfId="3408" xr:uid="{00000000-0005-0000-0000-00004C0D0000}"/>
    <cellStyle name="Total 2 5 15" xfId="3409" xr:uid="{00000000-0005-0000-0000-00004D0D0000}"/>
    <cellStyle name="Total 2 5 15 2" xfId="3410" xr:uid="{00000000-0005-0000-0000-00004E0D0000}"/>
    <cellStyle name="Total 2 5 16" xfId="3411" xr:uid="{00000000-0005-0000-0000-00004F0D0000}"/>
    <cellStyle name="Total 2 5 16 2" xfId="3412" xr:uid="{00000000-0005-0000-0000-0000500D0000}"/>
    <cellStyle name="Total 2 5 17" xfId="3413" xr:uid="{00000000-0005-0000-0000-0000510D0000}"/>
    <cellStyle name="Total 2 5 17 2" xfId="3414" xr:uid="{00000000-0005-0000-0000-0000520D0000}"/>
    <cellStyle name="Total 2 5 18" xfId="3415" xr:uid="{00000000-0005-0000-0000-0000530D0000}"/>
    <cellStyle name="Total 2 5 18 2" xfId="3416" xr:uid="{00000000-0005-0000-0000-0000540D0000}"/>
    <cellStyle name="Total 2 5 19" xfId="3417" xr:uid="{00000000-0005-0000-0000-0000550D0000}"/>
    <cellStyle name="Total 2 5 19 2" xfId="3418" xr:uid="{00000000-0005-0000-0000-0000560D0000}"/>
    <cellStyle name="Total 2 5 2" xfId="3419" xr:uid="{00000000-0005-0000-0000-0000570D0000}"/>
    <cellStyle name="Total 2 5 2 2" xfId="3420" xr:uid="{00000000-0005-0000-0000-0000580D0000}"/>
    <cellStyle name="Total 2 5 20" xfId="3421" xr:uid="{00000000-0005-0000-0000-0000590D0000}"/>
    <cellStyle name="Total 2 5 20 2" xfId="3422" xr:uid="{00000000-0005-0000-0000-00005A0D0000}"/>
    <cellStyle name="Total 2 5 21" xfId="3423" xr:uid="{00000000-0005-0000-0000-00005B0D0000}"/>
    <cellStyle name="Total 2 5 21 2" xfId="3424" xr:uid="{00000000-0005-0000-0000-00005C0D0000}"/>
    <cellStyle name="Total 2 5 22" xfId="3425" xr:uid="{00000000-0005-0000-0000-00005D0D0000}"/>
    <cellStyle name="Total 2 5 22 2" xfId="3426" xr:uid="{00000000-0005-0000-0000-00005E0D0000}"/>
    <cellStyle name="Total 2 5 23" xfId="3427" xr:uid="{00000000-0005-0000-0000-00005F0D0000}"/>
    <cellStyle name="Total 2 5 23 2" xfId="3428" xr:uid="{00000000-0005-0000-0000-0000600D0000}"/>
    <cellStyle name="Total 2 5 24" xfId="3429" xr:uid="{00000000-0005-0000-0000-0000610D0000}"/>
    <cellStyle name="Total 2 5 24 2" xfId="3430" xr:uid="{00000000-0005-0000-0000-0000620D0000}"/>
    <cellStyle name="Total 2 5 25" xfId="3431" xr:uid="{00000000-0005-0000-0000-0000630D0000}"/>
    <cellStyle name="Total 2 5 25 2" xfId="3432" xr:uid="{00000000-0005-0000-0000-0000640D0000}"/>
    <cellStyle name="Total 2 5 26" xfId="3433" xr:uid="{00000000-0005-0000-0000-0000650D0000}"/>
    <cellStyle name="Total 2 5 26 2" xfId="3434" xr:uid="{00000000-0005-0000-0000-0000660D0000}"/>
    <cellStyle name="Total 2 5 27" xfId="3435" xr:uid="{00000000-0005-0000-0000-0000670D0000}"/>
    <cellStyle name="Total 2 5 27 2" xfId="3436" xr:uid="{00000000-0005-0000-0000-0000680D0000}"/>
    <cellStyle name="Total 2 5 28" xfId="3437" xr:uid="{00000000-0005-0000-0000-0000690D0000}"/>
    <cellStyle name="Total 2 5 28 2" xfId="3438" xr:uid="{00000000-0005-0000-0000-00006A0D0000}"/>
    <cellStyle name="Total 2 5 29" xfId="3439" xr:uid="{00000000-0005-0000-0000-00006B0D0000}"/>
    <cellStyle name="Total 2 5 3" xfId="3440" xr:uid="{00000000-0005-0000-0000-00006C0D0000}"/>
    <cellStyle name="Total 2 5 3 2" xfId="3441" xr:uid="{00000000-0005-0000-0000-00006D0D0000}"/>
    <cellStyle name="Total 2 5 30" xfId="3687" xr:uid="{226827DE-181F-4B50-8B32-F134F5290C18}"/>
    <cellStyle name="Total 2 5 4" xfId="3442" xr:uid="{00000000-0005-0000-0000-00006E0D0000}"/>
    <cellStyle name="Total 2 5 4 2" xfId="3443" xr:uid="{00000000-0005-0000-0000-00006F0D0000}"/>
    <cellStyle name="Total 2 5 5" xfId="3444" xr:uid="{00000000-0005-0000-0000-0000700D0000}"/>
    <cellStyle name="Total 2 5 5 2" xfId="3445" xr:uid="{00000000-0005-0000-0000-0000710D0000}"/>
    <cellStyle name="Total 2 5 6" xfId="3446" xr:uid="{00000000-0005-0000-0000-0000720D0000}"/>
    <cellStyle name="Total 2 5 6 2" xfId="3447" xr:uid="{00000000-0005-0000-0000-0000730D0000}"/>
    <cellStyle name="Total 2 5 7" xfId="3448" xr:uid="{00000000-0005-0000-0000-0000740D0000}"/>
    <cellStyle name="Total 2 5 7 2" xfId="3449" xr:uid="{00000000-0005-0000-0000-0000750D0000}"/>
    <cellStyle name="Total 2 5 8" xfId="3450" xr:uid="{00000000-0005-0000-0000-0000760D0000}"/>
    <cellStyle name="Total 2 5 8 2" xfId="3451" xr:uid="{00000000-0005-0000-0000-0000770D0000}"/>
    <cellStyle name="Total 2 5 9" xfId="3452" xr:uid="{00000000-0005-0000-0000-0000780D0000}"/>
    <cellStyle name="Total 2 5 9 2" xfId="3453" xr:uid="{00000000-0005-0000-0000-0000790D0000}"/>
    <cellStyle name="Total 2 6" xfId="147" xr:uid="{00000000-0005-0000-0000-00007A0D0000}"/>
    <cellStyle name="Total 2 6 10" xfId="3454" xr:uid="{00000000-0005-0000-0000-00007B0D0000}"/>
    <cellStyle name="Total 2 6 10 2" xfId="3455" xr:uid="{00000000-0005-0000-0000-00007C0D0000}"/>
    <cellStyle name="Total 2 6 11" xfId="3456" xr:uid="{00000000-0005-0000-0000-00007D0D0000}"/>
    <cellStyle name="Total 2 6 11 2" xfId="3457" xr:uid="{00000000-0005-0000-0000-00007E0D0000}"/>
    <cellStyle name="Total 2 6 12" xfId="3458" xr:uid="{00000000-0005-0000-0000-00007F0D0000}"/>
    <cellStyle name="Total 2 6 12 2" xfId="3459" xr:uid="{00000000-0005-0000-0000-0000800D0000}"/>
    <cellStyle name="Total 2 6 13" xfId="3460" xr:uid="{00000000-0005-0000-0000-0000810D0000}"/>
    <cellStyle name="Total 2 6 13 2" xfId="3461" xr:uid="{00000000-0005-0000-0000-0000820D0000}"/>
    <cellStyle name="Total 2 6 14" xfId="3462" xr:uid="{00000000-0005-0000-0000-0000830D0000}"/>
    <cellStyle name="Total 2 6 14 2" xfId="3463" xr:uid="{00000000-0005-0000-0000-0000840D0000}"/>
    <cellStyle name="Total 2 6 15" xfId="3464" xr:uid="{00000000-0005-0000-0000-0000850D0000}"/>
    <cellStyle name="Total 2 6 15 2" xfId="3465" xr:uid="{00000000-0005-0000-0000-0000860D0000}"/>
    <cellStyle name="Total 2 6 16" xfId="3466" xr:uid="{00000000-0005-0000-0000-0000870D0000}"/>
    <cellStyle name="Total 2 6 16 2" xfId="3467" xr:uid="{00000000-0005-0000-0000-0000880D0000}"/>
    <cellStyle name="Total 2 6 17" xfId="3468" xr:uid="{00000000-0005-0000-0000-0000890D0000}"/>
    <cellStyle name="Total 2 6 17 2" xfId="3469" xr:uid="{00000000-0005-0000-0000-00008A0D0000}"/>
    <cellStyle name="Total 2 6 18" xfId="3470" xr:uid="{00000000-0005-0000-0000-00008B0D0000}"/>
    <cellStyle name="Total 2 6 18 2" xfId="3471" xr:uid="{00000000-0005-0000-0000-00008C0D0000}"/>
    <cellStyle name="Total 2 6 19" xfId="3472" xr:uid="{00000000-0005-0000-0000-00008D0D0000}"/>
    <cellStyle name="Total 2 6 19 2" xfId="3473" xr:uid="{00000000-0005-0000-0000-00008E0D0000}"/>
    <cellStyle name="Total 2 6 2" xfId="3474" xr:uid="{00000000-0005-0000-0000-00008F0D0000}"/>
    <cellStyle name="Total 2 6 2 2" xfId="3475" xr:uid="{00000000-0005-0000-0000-0000900D0000}"/>
    <cellStyle name="Total 2 6 20" xfId="3476" xr:uid="{00000000-0005-0000-0000-0000910D0000}"/>
    <cellStyle name="Total 2 6 20 2" xfId="3477" xr:uid="{00000000-0005-0000-0000-0000920D0000}"/>
    <cellStyle name="Total 2 6 21" xfId="3478" xr:uid="{00000000-0005-0000-0000-0000930D0000}"/>
    <cellStyle name="Total 2 6 21 2" xfId="3479" xr:uid="{00000000-0005-0000-0000-0000940D0000}"/>
    <cellStyle name="Total 2 6 22" xfId="3480" xr:uid="{00000000-0005-0000-0000-0000950D0000}"/>
    <cellStyle name="Total 2 6 22 2" xfId="3481" xr:uid="{00000000-0005-0000-0000-0000960D0000}"/>
    <cellStyle name="Total 2 6 23" xfId="3482" xr:uid="{00000000-0005-0000-0000-0000970D0000}"/>
    <cellStyle name="Total 2 6 23 2" xfId="3483" xr:uid="{00000000-0005-0000-0000-0000980D0000}"/>
    <cellStyle name="Total 2 6 24" xfId="3484" xr:uid="{00000000-0005-0000-0000-0000990D0000}"/>
    <cellStyle name="Total 2 6 24 2" xfId="3485" xr:uid="{00000000-0005-0000-0000-00009A0D0000}"/>
    <cellStyle name="Total 2 6 25" xfId="3486" xr:uid="{00000000-0005-0000-0000-00009B0D0000}"/>
    <cellStyle name="Total 2 6 25 2" xfId="3487" xr:uid="{00000000-0005-0000-0000-00009C0D0000}"/>
    <cellStyle name="Total 2 6 26" xfId="3488" xr:uid="{00000000-0005-0000-0000-00009D0D0000}"/>
    <cellStyle name="Total 2 6 26 2" xfId="3489" xr:uid="{00000000-0005-0000-0000-00009E0D0000}"/>
    <cellStyle name="Total 2 6 27" xfId="3490" xr:uid="{00000000-0005-0000-0000-00009F0D0000}"/>
    <cellStyle name="Total 2 6 27 2" xfId="3491" xr:uid="{00000000-0005-0000-0000-0000A00D0000}"/>
    <cellStyle name="Total 2 6 28" xfId="3492" xr:uid="{00000000-0005-0000-0000-0000A10D0000}"/>
    <cellStyle name="Total 2 6 3" xfId="3493" xr:uid="{00000000-0005-0000-0000-0000A20D0000}"/>
    <cellStyle name="Total 2 6 3 2" xfId="3494" xr:uid="{00000000-0005-0000-0000-0000A30D0000}"/>
    <cellStyle name="Total 2 6 4" xfId="3495" xr:uid="{00000000-0005-0000-0000-0000A40D0000}"/>
    <cellStyle name="Total 2 6 4 2" xfId="3496" xr:uid="{00000000-0005-0000-0000-0000A50D0000}"/>
    <cellStyle name="Total 2 6 5" xfId="3497" xr:uid="{00000000-0005-0000-0000-0000A60D0000}"/>
    <cellStyle name="Total 2 6 5 2" xfId="3498" xr:uid="{00000000-0005-0000-0000-0000A70D0000}"/>
    <cellStyle name="Total 2 6 6" xfId="3499" xr:uid="{00000000-0005-0000-0000-0000A80D0000}"/>
    <cellStyle name="Total 2 6 6 2" xfId="3500" xr:uid="{00000000-0005-0000-0000-0000A90D0000}"/>
    <cellStyle name="Total 2 6 7" xfId="3501" xr:uid="{00000000-0005-0000-0000-0000AA0D0000}"/>
    <cellStyle name="Total 2 6 7 2" xfId="3502" xr:uid="{00000000-0005-0000-0000-0000AB0D0000}"/>
    <cellStyle name="Total 2 6 8" xfId="3503" xr:uid="{00000000-0005-0000-0000-0000AC0D0000}"/>
    <cellStyle name="Total 2 6 8 2" xfId="3504" xr:uid="{00000000-0005-0000-0000-0000AD0D0000}"/>
    <cellStyle name="Total 2 6 9" xfId="3505" xr:uid="{00000000-0005-0000-0000-0000AE0D0000}"/>
    <cellStyle name="Total 2 6 9 2" xfId="3506" xr:uid="{00000000-0005-0000-0000-0000AF0D0000}"/>
    <cellStyle name="Total 2 7" xfId="3507" xr:uid="{00000000-0005-0000-0000-0000B00D0000}"/>
    <cellStyle name="Total 2 7 2" xfId="3508" xr:uid="{00000000-0005-0000-0000-0000B10D0000}"/>
    <cellStyle name="Total 2 8" xfId="3509" xr:uid="{00000000-0005-0000-0000-0000B20D0000}"/>
    <cellStyle name="Total 2 8 2" xfId="3510" xr:uid="{00000000-0005-0000-0000-0000B30D0000}"/>
    <cellStyle name="Total 2 9" xfId="3511" xr:uid="{00000000-0005-0000-0000-0000B40D0000}"/>
    <cellStyle name="Total 2 9 2" xfId="3512" xr:uid="{00000000-0005-0000-0000-0000B50D0000}"/>
    <cellStyle name="Total 3" xfId="63" xr:uid="{00000000-0005-0000-0000-0000B60D0000}"/>
    <cellStyle name="Total 3 2" xfId="108" xr:uid="{00000000-0005-0000-0000-0000B70D0000}"/>
    <cellStyle name="Total 3 3" xfId="151" xr:uid="{00000000-0005-0000-0000-0000B80D0000}"/>
    <cellStyle name="Total 3 4" xfId="3576" xr:uid="{AD09530A-0DF0-4C85-BD35-7B311DE6ED99}"/>
    <cellStyle name="Total 4" xfId="64" xr:uid="{00000000-0005-0000-0000-0000B90D0000}"/>
    <cellStyle name="Total 4 2" xfId="109" xr:uid="{00000000-0005-0000-0000-0000BA0D0000}"/>
    <cellStyle name="Total 4 3" xfId="152" xr:uid="{00000000-0005-0000-0000-0000BB0D0000}"/>
    <cellStyle name="Total 4 4" xfId="3586" xr:uid="{A767AE66-3AB4-47CC-8016-1ED40E355BB3}"/>
    <cellStyle name="Total 5" xfId="3559" xr:uid="{57000889-56B8-4B3B-AD71-9EDD187F36DF}"/>
    <cellStyle name="Vérification 2" xfId="3513" xr:uid="{00000000-0005-0000-0000-0000BC0D0000}"/>
    <cellStyle name="Vérification 3" xfId="3688" xr:uid="{F468481B-3AB6-4964-A7E0-0C80AD48D9A2}"/>
    <cellStyle name="Vérification 4" xfId="3560" xr:uid="{D51B9A15-860E-4CDB-AAE5-39A01F22A701}"/>
    <cellStyle name="Warning Text 2" xfId="3689" xr:uid="{4F28FFC5-CCF1-413E-B61D-48D36B00008A}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left" vertical="top" textRotation="0" wrapText="0" indent="0" justifyLastLine="0" shrinkToFit="0" readingOrder="0"/>
      <border outline="0">
        <left style="thin">
          <color rgb="FFCAC9D9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left" vertical="top" textRotation="0" wrapText="0" indent="0" justifyLastLine="0" shrinkToFit="0" readingOrder="0"/>
      <border outline="0">
        <right style="thin">
          <color rgb="FFCAC9D9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family val="2"/>
        <scheme val="none"/>
      </font>
      <numFmt numFmtId="179" formatCode="dd\/mm\/yyyy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rgb="FFCAC9D9"/>
        </left>
        <right style="thin">
          <color rgb="FFCAC9D9"/>
        </right>
        <top style="thin">
          <color rgb="FFCAC9D9"/>
        </top>
        <bottom style="thin">
          <color rgb="FFCAC9D9"/>
        </bottom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top style="thin">
          <color auto="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363636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numFmt numFmtId="180" formatCode="d/m/yy;@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numFmt numFmtId="180" formatCode="d/m/yy;@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\ &quot;€&quot;_-;\-* #,##0\ &quot;€&quot;_-;_-* &quot;-&quot;??\ &quot;€&quot;_-;_-@_-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\ &quot;€&quot;_-;\-* #,##0\ &quot;€&quot;_-;_-* &quot;-&quot;??\ &quot;€&quot;_-;_-@_-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\ &quot;€&quot;_-;\-* #,##0\ &quot;€&quot;_-;_-* &quot;-&quot;??\ &quot;€&quot;_-;_-@_-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\ &quot;€&quot;_-;\-* #,##0\ &quot;€&quot;_-;_-* &quot;-&quot;??\ &quot;€&quot;_-;_-@_-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\ &quot;€&quot;_-;\-* #,##0\ &quot;€&quot;_-;_-* &quot;-&quot;??\ &quot;€&quot;_-;_-@_-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\ &quot;€&quot;_-;\-* #,##0\ &quot;€&quot;_-;_-* &quot;-&quot;??\ &quot;€&quot;_-;_-@_-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\ &quot;€&quot;_-;\-* #,##0\ &quot;€&quot;_-;_-* &quot;-&quot;??\ &quot;€&quot;_-;_-@_-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\ &quot;€&quot;_-;\-* #,##0\ &quot;€&quot;_-;_-* &quot;-&quot;??\ &quot;€&quot;_-;_-@_-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\ &quot;€&quot;_-;\-* #,##0\ &quot;€&quot;_-;_-* &quot;-&quot;??\ &quot;€&quot;_-;_-@_-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\ &quot;€&quot;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\ &quot;€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rgb="FFFFFFFF"/>
          <bgColor rgb="FF000000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solid">
          <fgColor indexed="64"/>
          <bgColor theme="8" tint="0.79998168889431442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1960F"/>
      <color rgb="FFFFCCFF"/>
      <color rgb="FFFF6600"/>
      <color rgb="FF0000FF"/>
      <color rgb="FFFFA3A3"/>
      <color rgb="FFFA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640080</xdr:colOff>
          <xdr:row>0</xdr:row>
          <xdr:rowOff>342900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0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Synchroniser Couleurs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1752600</xdr:colOff>
      <xdr:row>379</xdr:row>
      <xdr:rowOff>57150</xdr:rowOff>
    </xdr:from>
    <xdr:to>
      <xdr:col>35</xdr:col>
      <xdr:colOff>911579</xdr:colOff>
      <xdr:row>401</xdr:row>
      <xdr:rowOff>170893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ADCE614-A4DC-42F2-8D6C-E2AF7D6BD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22000" y="3905250"/>
          <a:ext cx="2873729" cy="4514293"/>
        </a:xfrm>
        <a:prstGeom prst="rect">
          <a:avLst/>
        </a:prstGeom>
      </xdr:spPr>
    </xdr:pic>
    <xdr:clientData/>
  </xdr:twoCellAnchor>
  <xdr:twoCellAnchor editAs="oneCell">
    <xdr:from>
      <xdr:col>54</xdr:col>
      <xdr:colOff>828675</xdr:colOff>
      <xdr:row>10</xdr:row>
      <xdr:rowOff>28575</xdr:rowOff>
    </xdr:from>
    <xdr:to>
      <xdr:col>55</xdr:col>
      <xdr:colOff>1848205</xdr:colOff>
      <xdr:row>26</xdr:row>
      <xdr:rowOff>8969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B662EF0-CF57-4664-BE0C-BD3B872C8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802950" y="1266825"/>
          <a:ext cx="2876905" cy="4514294"/>
        </a:xfrm>
        <a:prstGeom prst="rect">
          <a:avLst/>
        </a:prstGeom>
      </xdr:spPr>
    </xdr:pic>
    <xdr:clientData/>
  </xdr:twoCellAnchor>
  <xdr:twoCellAnchor editAs="oneCell">
    <xdr:from>
      <xdr:col>57</xdr:col>
      <xdr:colOff>619125</xdr:colOff>
      <xdr:row>12</xdr:row>
      <xdr:rowOff>123825</xdr:rowOff>
    </xdr:from>
    <xdr:to>
      <xdr:col>58</xdr:col>
      <xdr:colOff>1627860</xdr:colOff>
      <xdr:row>28</xdr:row>
      <xdr:rowOff>172164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0629E2A-5DF9-4BEA-8310-544F9AF62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165525" y="1857375"/>
          <a:ext cx="2866110" cy="45060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3</xdr:row>
          <xdr:rowOff>68580</xdr:rowOff>
        </xdr:from>
        <xdr:to>
          <xdr:col>1</xdr:col>
          <xdr:colOff>609600</xdr:colOff>
          <xdr:row>3</xdr:row>
          <xdr:rowOff>411480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Synchroniser Couleurs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range0-my.sharepoint.com/personal/sophie_baudry_orange_com/Documents/1-%20EDF/RIN5/02-%20Devis-Pricing/Devis%20et%20commandes/EDF_RIN5_BPU_Devis_2025_Avenant.xlsx" TargetMode="External"/><Relationship Id="rId1" Type="http://schemas.openxmlformats.org/officeDocument/2006/relationships/externalLinkPath" Target="/personal/sophie_baudry_orange_com/Documents/1-%20EDF/RIN5/02-%20Devis-Pricing/Devis%20et%20commandes/EDF_RIN5_BPU_Devis_2025_Avenan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range0-my.sharepoint.com/personal/sophie_baudry_orange_com/Documents/1-%20EDF/RIN5/02-%20Devis-Pricing/Devis%20et%20commandes/EDF_RIN5_BPU_Devis_2024.xlsx" TargetMode="External"/><Relationship Id="rId1" Type="http://schemas.openxmlformats.org/officeDocument/2006/relationships/externalLinkPath" Target="/personal/sophie_baudry_orange_com/Documents/1-%20EDF/RIN5/02-%20Devis-Pricing/Devis%20et%20commandes/EDF_RIN5_BPU_Devis_202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OAB7424/Documents/1-%20EDF/RIN5/02-%20Devis-Pricing/Devis%20et%20commandes/EDF_RIN5_BPU_Devi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nts%20and%20Settings\ldcg01242\Mes%20documents\neuf%20cegetel\EDF\RIN4\r&#233;ponse%20RIN4\Bordereau%20commercial\version%20du%2030.06.2009\r&#233;ponse%20financi&#232;re\PL%20et%20catalogue%20v4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p.itn.ftgroup/sites/rin5/FTSharedDocuments/Documents%20and%20Settings/ldcg01242/Mes%20documents/neuf%20cegetel/EDF/RIN4/r&#233;ponse%20RIN4/Bordereau%20commercial/version%20du%2030.06.2009/r&#233;ponse%20financi&#232;re/PL%20et%20catalogue%20v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3545\data9c2\Documents%20and%20Settings\ldcg03101\Local%20Settings\Temporary%20Internet%20Files\OLK117\SI_Marketing_Group\Costing%20et%20P&amp;L\OUTILS%20P&amp;L\P&amp;L%20VOIX\PL%20voix%20DIVGE-MP%20V1.8%20draft%20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OAB7424/Documents/1-%20EDF/RIN5/02-%20Devis-Pricing/Devis%20et%20commandes/EDF_RIN5_BPU_Devis_%20202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3545\data9c2\Documents%20and%20Settings\ldcg03101\Local%20Settings\Temporary%20Internet%20Files\OLK117\Documents%20and%20Settings\HeleCo\Local%20Settings\Temporary%20Internet%20Files\OLKDB\Co&#251;ts_CP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ON009\Groupes\Sc\Pole%20Production%20et%20Support\Equipe%20Complexes\P&#244;leComplexesArchivageFacturation\Factures_RIN3-Josette\RIN3\RIN3\Factures\Factures%20RIN3%202010\092010\RIN3-SUI011-Facture_092010-VA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3545\data9c2\Documents%20and%20Settings\ldcg03101\Local%20Settings\Temporary%20Internet%20Files\OLK117\Dossiers%20ST\9IPNet%20Evol\100%25%20garanti\GP_9IPNET_Evolution_V9_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3545\data9c2\Documents%20and%20Settings\ldcg03101\Local%20Settings\Temporary%20Internet%20Files\OLK117\WINNT\Profiles\HeleCo\Temporary%20Internet%20Files\OLK9\guide%20des%20prix%205.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MZV0742/Downloads/EDF-RNG-RIN5-Dashboard-2019-05-03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range0.sharepoint.com/sites/EDFconnectivit/Documents%20partages/Contrat%20RIN5/Suivi%20RUN/2026/20260216-Parc%20RIN5%20SATIN%20BVPN%20V3.xlsx" TargetMode="External"/><Relationship Id="rId1" Type="http://schemas.openxmlformats.org/officeDocument/2006/relationships/externalLinkPath" Target="/personal/mameale_seye_orange_com/Documents/Documents/OBS-OBF/Facturation/20260216-Parc%20RIN5%20SATIN%20BVPN%20V3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OAD7322\AppData\Local\Microsoft\Windows\Temporary%20Internet%20Files\Content.Outlook\QVMS0XT0\20260225-%20GTR%20RIN5%20&#224;%20confirmer%20(002).xlsx" TargetMode="External"/><Relationship Id="rId1" Type="http://schemas.openxmlformats.org/officeDocument/2006/relationships/externalLinkPath" Target="/Users/POAD7322/AppData/Local/Microsoft/Windows/Temporary%20Internet%20Files/Content.Outlook/QVMS0XT0/20260225-%20GTR%20RIN5%20&#224;%20confirmer%20(002).xlsx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OAD7322\AppData\Local\Temp\Contrat-Facturation%20RIN5%20(006).zed_%7bA2912C78-386F-4F4C-B863-905769E5658B%7d\Fichier%20Facture%20EDF%20RIN5%20Mars%202026.xlsm" TargetMode="External"/><Relationship Id="rId1" Type="http://schemas.openxmlformats.org/officeDocument/2006/relationships/externalLinkPath" Target="file:///C:\Users\POAD7322\AppData\Local\Temp\Contrat-Facturation%20RIN5%20(006).zed_%7bA2912C78-386F-4F4C-B863-905769E5658B%7d\Fichier%20Facture%20EDF%20RIN5%20Mars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2"/>
      <sheetName val="Parc en facturation"/>
      <sheetName val="Devis "/>
      <sheetName val="Impact Facturation Cuivre"/>
      <sheetName val="Cnx voix"/>
      <sheetName val="Sommaire"/>
      <sheetName val="BPU PA B-S-G-PM"/>
      <sheetName val="BPU PA Dual LB"/>
      <sheetName val="BPU Datacenters"/>
      <sheetName val="BPU PA B-S-PM FTTHE_4G_5G"/>
      <sheetName val="BPU DomTom"/>
      <sheetName val="BPU options"/>
      <sheetName val="BPU PA Platinum"/>
      <sheetName val="BPU Routeurs"/>
      <sheetName val="BPU autres"/>
      <sheetName val="BPU Sécurité"/>
      <sheetName val="Modèles routeurs"/>
      <sheetName val="Desserte intern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vis "/>
      <sheetName val="Cnx voix"/>
      <sheetName val="Sommaire"/>
      <sheetName val="BPU PA B-S-G-PM"/>
      <sheetName val="BPU PA Dual LB"/>
      <sheetName val="BPU Datacenters"/>
      <sheetName val="BPU DomTom"/>
      <sheetName val="BPU options"/>
      <sheetName val="BPU PA Platinum"/>
      <sheetName val="BPU Routeurs"/>
      <sheetName val="BPU autres"/>
      <sheetName val="BPU Sécurité"/>
      <sheetName val="Modèles routeurs"/>
      <sheetName val="Desserte interne"/>
      <sheetName val="Feuil2"/>
      <sheetName val="Feuil1"/>
    </sheetNames>
    <sheetDataSet>
      <sheetData sheetId="0"/>
      <sheetData sheetId="1">
        <row r="1">
          <cell r="B1" t="str">
            <v>Bande Passante Voix incluse dans la connectivité</v>
          </cell>
        </row>
      </sheetData>
      <sheetData sheetId="2"/>
      <sheetData sheetId="3">
        <row r="11">
          <cell r="D11">
            <v>356</v>
          </cell>
        </row>
        <row r="15">
          <cell r="F15">
            <v>1288</v>
          </cell>
        </row>
        <row r="79">
          <cell r="D79">
            <v>1148.8564263010346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F6">
            <v>12</v>
          </cell>
        </row>
        <row r="11">
          <cell r="F11">
            <v>22.2</v>
          </cell>
        </row>
        <row r="12">
          <cell r="F12">
            <v>35.299999999999997</v>
          </cell>
        </row>
        <row r="29">
          <cell r="F29">
            <v>8</v>
          </cell>
        </row>
        <row r="30">
          <cell r="F30">
            <v>20</v>
          </cell>
        </row>
        <row r="34">
          <cell r="F34">
            <v>3.240892486113562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vis "/>
      <sheetName val="Cnx voix"/>
      <sheetName val="Sommaire"/>
      <sheetName val="BPU PA B-S-G-PM"/>
      <sheetName val="BPU PA Dual LB"/>
      <sheetName val="BPU Datacenters"/>
      <sheetName val="BPU DomTom"/>
      <sheetName val="BPU options"/>
      <sheetName val="BPU PA Platinum"/>
      <sheetName val="BPU Routeurs"/>
      <sheetName val="BPU autres"/>
      <sheetName val="BPU Sécurité"/>
      <sheetName val="Modèles routeurs"/>
      <sheetName val="Desserte interne"/>
      <sheetName val="Feuil2"/>
      <sheetName val="En cou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volutions"/>
      <sheetName val="Prix Prises"/>
      <sheetName val="Coûts Options"/>
      <sheetName val="Prix Options"/>
      <sheetName val="Coûts Voix"/>
      <sheetName val="Prix des sites él. lot 1 PV"/>
      <sheetName val="Prix des sites él. lot 2 PV"/>
      <sheetName val="Prix des sites él. lot 1"/>
      <sheetName val="Prix des sites él. lot 2"/>
      <sheetName val="CATALOG PV lot 2"/>
      <sheetName val="CATALOG PV lot 1"/>
      <sheetName val="CATALOG"/>
      <sheetName val="Coûts Prises"/>
      <sheetName val="Liste Prestas"/>
      <sheetName val="Hypothèses"/>
      <sheetName val="Mode d'emploi"/>
      <sheetName val="Services"/>
      <sheetName val="Synthèse"/>
      <sheetName val="ComInvest Globale"/>
      <sheetName val="ComInvest Unit"/>
      <sheetName val="ComInvest Synthèse"/>
      <sheetName val="SPC2"/>
      <sheetName val="détail CPE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 refreshError="1"/>
      <sheetData sheetId="16"/>
      <sheetData sheetId="17"/>
      <sheetData sheetId="18" refreshError="1"/>
      <sheetData sheetId="19" refreshError="1"/>
      <sheetData sheetId="20" refreshError="1"/>
      <sheetData sheetId="21"/>
      <sheetData sheetId="2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volutions"/>
      <sheetName val="Prix Prises"/>
      <sheetName val="Coûts Options"/>
      <sheetName val="Prix Options"/>
      <sheetName val="Coûts Voix"/>
      <sheetName val="Prix des sites él. lot 1 PV"/>
      <sheetName val="Prix des sites él. lot 2 PV"/>
      <sheetName val="Prix des sites él. lot 1"/>
      <sheetName val="Prix des sites él. lot 2"/>
      <sheetName val="CATALOG PV lot 2"/>
      <sheetName val="CATALOG PV lot 1"/>
      <sheetName val="CATALOG"/>
      <sheetName val="Coûts Prises"/>
      <sheetName val="Liste Prestas"/>
      <sheetName val="Hypothèses"/>
      <sheetName val="Mode d'emploi"/>
      <sheetName val="Services"/>
      <sheetName val="Synthèse"/>
      <sheetName val="ComInvest Globale"/>
      <sheetName val="ComInvest Unit"/>
      <sheetName val="ComInvest Synthèse"/>
      <sheetName val="SPC2"/>
      <sheetName val="détail CPE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 refreshError="1"/>
      <sheetData sheetId="16"/>
      <sheetData sheetId="17"/>
      <sheetData sheetId="18" refreshError="1"/>
      <sheetData sheetId="19" refreshError="1"/>
      <sheetData sheetId="20" refreshError="1"/>
      <sheetData sheetId="21"/>
      <sheetData sheetId="2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volutions"/>
      <sheetName val="Synth Générale"/>
      <sheetName val="Détail Coûts"/>
      <sheetName val="Synth service"/>
      <sheetName val="special HC"/>
      <sheetName val="Coûts LA-LPT"/>
    </sheetNames>
    <sheetDataSet>
      <sheetData sheetId="0" refreshError="1"/>
      <sheetData sheetId="1" refreshError="1"/>
      <sheetData sheetId="2" refreshError="1">
        <row r="5">
          <cell r="B5">
            <v>5.0000000000000001E-3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vis "/>
      <sheetName val="Cnx voix"/>
      <sheetName val="Sommaire"/>
      <sheetName val="BPU PA B-S-G-PM"/>
      <sheetName val="BPU PA Dual LB"/>
      <sheetName val="BPU PA Platinum"/>
      <sheetName val="BPU Datacenters"/>
      <sheetName val="BPU DomTom"/>
      <sheetName val="BPU options"/>
      <sheetName val="BPU Routeurs"/>
      <sheetName val="Modèles routeurs"/>
      <sheetName val="BPU autres"/>
      <sheetName val="BPU Sécurité"/>
      <sheetName val="Desserte intern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ide"/>
      <sheetName val="Hypothèses_générales"/>
      <sheetName val="Price_Liste_NCR_Cisco"/>
      <sheetName val="Informations_complémentaires"/>
      <sheetName val="Coûts_Marges_Packages"/>
      <sheetName val="Liste Routeurs"/>
    </sheetNames>
    <sheetDataSet>
      <sheetData sheetId="0" refreshError="1"/>
      <sheetData sheetId="1" refreshError="1"/>
      <sheetData sheetId="2" refreshError="1"/>
      <sheetData sheetId="3" refreshError="1">
        <row r="40">
          <cell r="A40" t="str">
            <v>CISCO1401</v>
          </cell>
          <cell r="B40">
            <v>1060.8</v>
          </cell>
        </row>
        <row r="41">
          <cell r="A41" t="str">
            <v>S14CHL-12210</v>
          </cell>
          <cell r="B41">
            <v>640</v>
          </cell>
        </row>
        <row r="42">
          <cell r="A42" t="str">
            <v>MEM1400-16U24D</v>
          </cell>
          <cell r="B42">
            <v>992</v>
          </cell>
        </row>
        <row r="43">
          <cell r="A43" t="str">
            <v>MEM1400-4U6FC</v>
          </cell>
          <cell r="B43">
            <v>353.6</v>
          </cell>
        </row>
        <row r="44">
          <cell r="A44" t="str">
            <v>CISCO3640</v>
          </cell>
          <cell r="B44">
            <v>6110</v>
          </cell>
        </row>
        <row r="45">
          <cell r="A45" t="str">
            <v>MEM-NPE-400-D-128M</v>
          </cell>
          <cell r="B45">
            <v>0</v>
          </cell>
        </row>
        <row r="46">
          <cell r="A46" t="str">
            <v>MEM-I/O-D-FLD48M</v>
          </cell>
          <cell r="B46">
            <v>0</v>
          </cell>
        </row>
        <row r="47">
          <cell r="A47" t="str">
            <v>PA-E3-CPE</v>
          </cell>
          <cell r="B47">
            <v>0</v>
          </cell>
        </row>
        <row r="48">
          <cell r="A48" t="str">
            <v>PWR-7200</v>
          </cell>
          <cell r="B48">
            <v>0</v>
          </cell>
        </row>
        <row r="49">
          <cell r="A49" t="str">
            <v>CISCOSOHO77</v>
          </cell>
          <cell r="B49">
            <v>516.05999999999995</v>
          </cell>
        </row>
        <row r="50">
          <cell r="A50" t="str">
            <v>SSOHO70C-12204YA</v>
          </cell>
          <cell r="B50">
            <v>14.1</v>
          </cell>
        </row>
        <row r="51">
          <cell r="A51" t="str">
            <v>S366BHP-12204T</v>
          </cell>
          <cell r="B51" t="e">
            <v>#N/A</v>
          </cell>
        </row>
        <row r="52">
          <cell r="A52" t="str">
            <v>S366BP-12210</v>
          </cell>
          <cell r="B52">
            <v>1034</v>
          </cell>
        </row>
        <row r="53">
          <cell r="A53" t="str">
            <v>S366C-12210</v>
          </cell>
          <cell r="B53">
            <v>0</v>
          </cell>
        </row>
        <row r="54">
          <cell r="A54" t="str">
            <v>S366CH-12210</v>
          </cell>
          <cell r="B54">
            <v>1128</v>
          </cell>
        </row>
        <row r="55">
          <cell r="A55" t="str">
            <v>S366CP-12204T</v>
          </cell>
          <cell r="B55">
            <v>658</v>
          </cell>
        </row>
        <row r="56">
          <cell r="A56" t="str">
            <v>S72BHS-12204T</v>
          </cell>
          <cell r="B56">
            <v>5640</v>
          </cell>
        </row>
        <row r="57">
          <cell r="A57" t="str">
            <v>S72C-12204T</v>
          </cell>
          <cell r="B57">
            <v>0</v>
          </cell>
        </row>
        <row r="58">
          <cell r="A58" t="str">
            <v>S72CH-12204T</v>
          </cell>
          <cell r="B58">
            <v>4700</v>
          </cell>
        </row>
        <row r="59">
          <cell r="A59" t="str">
            <v>S800BP-12116</v>
          </cell>
          <cell r="B59">
            <v>188</v>
          </cell>
        </row>
        <row r="60">
          <cell r="A60" t="str">
            <v>S820C-12204YA3</v>
          </cell>
          <cell r="B60">
            <v>0</v>
          </cell>
        </row>
        <row r="61">
          <cell r="A61" t="str">
            <v>S820C-12208YN</v>
          </cell>
          <cell r="B61">
            <v>0</v>
          </cell>
        </row>
        <row r="62">
          <cell r="A62" t="str">
            <v>S828C-12213T</v>
          </cell>
          <cell r="B62">
            <v>9.57</v>
          </cell>
        </row>
      </sheetData>
      <sheetData sheetId="4" refreshError="1"/>
      <sheetData sheetId="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cture SEPTEMBRE 2010"/>
      <sheetName val="Calcul remise 092010"/>
      <sheetName val="Récap. postes"/>
      <sheetName val="Mouvements "/>
      <sheetName val="GRIN"/>
      <sheetName val="Liste de choix"/>
      <sheetName val="Tarifs RIN3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"/>
      <sheetName val="REMISES"/>
      <sheetName val="Tarifs packagés"/>
      <sheetName val="Tarifs Modulaires"/>
      <sheetName val="Evolution"/>
    </sheetNames>
    <sheetDataSet>
      <sheetData sheetId="0"/>
      <sheetData sheetId="1"/>
      <sheetData sheetId="2" refreshError="1">
        <row r="11">
          <cell r="E11">
            <v>0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3"/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"/>
      <sheetName val="REMISES"/>
      <sheetName val="Tarifs packagés"/>
      <sheetName val="Tarifs Modulaires"/>
      <sheetName val="Evolution"/>
    </sheetNames>
    <sheetDataSet>
      <sheetData sheetId="0"/>
      <sheetData sheetId="1"/>
      <sheetData sheetId="2">
        <row r="11">
          <cell r="E11">
            <v>0</v>
          </cell>
        </row>
      </sheetData>
      <sheetData sheetId="3"/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ésentation"/>
      <sheetName val="Fiche de Synthèse"/>
      <sheetName val="ref"/>
      <sheetName val="prevision"/>
      <sheetName val="etapes"/>
      <sheetName val="courbes"/>
      <sheetName val="Avancement par étape"/>
      <sheetName val="Suivi déploiement"/>
      <sheetName val="Stats"/>
      <sheetName val="Date_Cliente"/>
      <sheetName val="Annuair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c Satin"/>
    </sheetNames>
    <sheetDataSet>
      <sheetData sheetId="0" refreshError="1">
        <row r="1">
          <cell r="CK1" t="str">
            <v>Nominal C2E Secours C2E</v>
          </cell>
        </row>
        <row r="2">
          <cell r="CK2" t="str">
            <v>Nominal C2E CN2 sans Secours
Nominal C2E sans Secours
Nominal C2E Secours C2E
Nominal LL2048K sans Secours</v>
          </cell>
        </row>
        <row r="4">
          <cell r="L4" t="str">
            <v>SIT- Nom du site</v>
          </cell>
          <cell r="CK4" t="str">
            <v>Architecture retenue</v>
          </cell>
        </row>
        <row r="5">
          <cell r="L5" t="str">
            <v>92COLO011AOG</v>
          </cell>
          <cell r="CK5" t="str">
            <v>Nominal InterLan 1.0 Secours InterLan 1.0</v>
          </cell>
        </row>
        <row r="6">
          <cell r="L6" t="str">
            <v>20AJAC011AOG</v>
          </cell>
          <cell r="CK6" t="str">
            <v>Nominal InterLan 1.0 Secours C2E Fibre</v>
          </cell>
        </row>
        <row r="7">
          <cell r="L7" t="str">
            <v>75PARI011AOG</v>
          </cell>
          <cell r="CK7" t="str">
            <v>Nominal InterLan 1.0 Secours InterLan 1.0</v>
          </cell>
        </row>
        <row r="8">
          <cell r="L8" t="str">
            <v>54MAXE011AOG</v>
          </cell>
          <cell r="CK8" t="str">
            <v>Nominal InterLan 1.0 Secours InterLan 1.0</v>
          </cell>
        </row>
        <row r="9">
          <cell r="L9" t="str">
            <v>97LAME011AOG</v>
          </cell>
          <cell r="CK9" t="str">
            <v>Nominal InterLan 1.0 Secours C2E Fibre</v>
          </cell>
        </row>
        <row r="10">
          <cell r="L10" t="str">
            <v>97MATO011AOG</v>
          </cell>
          <cell r="CK10" t="str">
            <v>Nominal C2E Fibre Secours C2E Fibre</v>
          </cell>
        </row>
        <row r="11">
          <cell r="L11" t="str">
            <v>97MORN011AOG</v>
          </cell>
          <cell r="CK11" t="str">
            <v>Nominal C2E Fibre Secours C2E Fibre</v>
          </cell>
        </row>
        <row r="12">
          <cell r="L12" t="str">
            <v>27VALD012AOP</v>
          </cell>
          <cell r="CK12" t="str">
            <v>Nominal InterLan 1.0 Secours InterLan 1.0</v>
          </cell>
        </row>
        <row r="13">
          <cell r="L13" t="str">
            <v>27PACY012AOP</v>
          </cell>
          <cell r="CK13" t="str">
            <v>Nominal InterLan 1.0 Secours InterLan 1.0</v>
          </cell>
        </row>
        <row r="14">
          <cell r="L14" t="str">
            <v>16ISLE011AOG</v>
          </cell>
          <cell r="CK14" t="str">
            <v>Nominal InterLan 1.0 Secours InterLan 1.0</v>
          </cell>
        </row>
        <row r="15">
          <cell r="L15" t="str">
            <v>33BORD011AOG</v>
          </cell>
          <cell r="CK15" t="str">
            <v>Nominal InterLan 1.0 Secours InterLan 1.0</v>
          </cell>
        </row>
        <row r="16">
          <cell r="L16" t="str">
            <v>38STGE011AOS</v>
          </cell>
          <cell r="CK16" t="str">
            <v>Nominal C2E Fibre Secours C2E Fibre</v>
          </cell>
        </row>
        <row r="17">
          <cell r="L17" t="str">
            <v>38STJE011AOB</v>
          </cell>
          <cell r="CK17" t="str">
            <v>Nominal FTTE Actif Optimum sans Secours</v>
          </cell>
        </row>
        <row r="18">
          <cell r="L18" t="str">
            <v>43MONI011AOG</v>
          </cell>
          <cell r="CK18" t="str">
            <v>Nominal C2E Fibre Secours C2E Fibre</v>
          </cell>
        </row>
        <row r="19">
          <cell r="L19" t="str">
            <v>59MARL011AOG</v>
          </cell>
          <cell r="CK19" t="str">
            <v>Nominal InterLan 1.0 Secours InterLan 1.0</v>
          </cell>
        </row>
        <row r="20">
          <cell r="L20" t="str">
            <v>66PRAT011AOG</v>
          </cell>
          <cell r="CK20" t="str">
            <v>Nominal C2E Fibre Secours C2E Fibre</v>
          </cell>
        </row>
        <row r="21">
          <cell r="L21" t="str">
            <v>77LIEU011AOG</v>
          </cell>
          <cell r="CK21" t="str">
            <v>Nominal C2E Fibre Secours C2E Fibre</v>
          </cell>
        </row>
        <row r="22">
          <cell r="L22" t="str">
            <v>78CHAT011AOG</v>
          </cell>
          <cell r="CK22" t="str">
            <v>Nominal InterLan 1.0 Secours InterLan 1.0</v>
          </cell>
        </row>
        <row r="23">
          <cell r="L23" t="str">
            <v>93STOU011AOP</v>
          </cell>
          <cell r="CK23" t="str">
            <v>Nominal InterLan 1.0 Secours InterLan 1.0</v>
          </cell>
        </row>
        <row r="24">
          <cell r="L24" t="str">
            <v>35CESS011AOP</v>
          </cell>
          <cell r="CK24" t="str">
            <v>Nominal InterLan 1.0 Secours InterLan 1.0</v>
          </cell>
        </row>
        <row r="25">
          <cell r="L25" t="str">
            <v>36CUZI011AOS</v>
          </cell>
          <cell r="CK25" t="str">
            <v>Nominal C2E Fibre Secours C2E Fibre</v>
          </cell>
        </row>
        <row r="26">
          <cell r="L26" t="str">
            <v>13MARS021AOP</v>
          </cell>
          <cell r="CK26" t="str">
            <v>Nominal InterLan 1.0 Secours InterLan 1.0</v>
          </cell>
        </row>
        <row r="27">
          <cell r="L27" t="str">
            <v>19ARGE011AOG</v>
          </cell>
          <cell r="CK27" t="str">
            <v>Nominal C2E Fibre Secours C2E Fibre</v>
          </cell>
        </row>
        <row r="28">
          <cell r="L28" t="str">
            <v>33CENO011AOG</v>
          </cell>
          <cell r="CK28" t="str">
            <v>Nominal InterLan 1.0 Secours InterLan 1.0</v>
          </cell>
        </row>
        <row r="29">
          <cell r="L29" t="str">
            <v>39LONS011AOG</v>
          </cell>
          <cell r="CK29" t="str">
            <v>Nominal C2E Fibre Secours C2E Fibre</v>
          </cell>
        </row>
        <row r="30">
          <cell r="L30" t="str">
            <v>46LUZE011AOG</v>
          </cell>
          <cell r="CK30" t="str">
            <v>Nominal C2E Fibre Secours C2E Fibre</v>
          </cell>
        </row>
        <row r="31">
          <cell r="L31" t="str">
            <v>50LESP021AOB</v>
          </cell>
          <cell r="CK31" t="str">
            <v>Nominal C2E Fibre sans Secours</v>
          </cell>
        </row>
        <row r="32">
          <cell r="L32" t="str">
            <v>52BETT011AOG</v>
          </cell>
          <cell r="CK32" t="str">
            <v>Nominal C2E Fibre Secours C2E Fibre</v>
          </cell>
        </row>
        <row r="33">
          <cell r="L33" t="str">
            <v>57LAMA011AOG</v>
          </cell>
          <cell r="CK33" t="str">
            <v>Nominal InterLan 1.0 Secours InterLan 1.0</v>
          </cell>
        </row>
        <row r="34">
          <cell r="L34" t="str">
            <v>59GRAV021AOB</v>
          </cell>
          <cell r="CK34" t="str">
            <v>Nominal C2E Fibre sans Secours</v>
          </cell>
        </row>
        <row r="35">
          <cell r="L35" t="str">
            <v>59MARC011AOG</v>
          </cell>
          <cell r="CK35" t="str">
            <v>Nominal InterLan 1.0 Secours InterLan 1.0</v>
          </cell>
        </row>
        <row r="36">
          <cell r="L36" t="str">
            <v>59VILL011AOP</v>
          </cell>
          <cell r="CK36" t="str">
            <v>Nominal InterLan 1.0 Secours InterLan 1.0</v>
          </cell>
        </row>
        <row r="37">
          <cell r="L37" t="str">
            <v>63AUBI011AOG</v>
          </cell>
          <cell r="CK37" t="str">
            <v>Nominal InterLan 1.0 Secours InterLan 1.0</v>
          </cell>
        </row>
        <row r="38">
          <cell r="L38" t="str">
            <v>64ANGL011AOG</v>
          </cell>
          <cell r="CK38" t="str">
            <v>Nominal InterLan 1.0 Secours InterLan 1.0</v>
          </cell>
        </row>
        <row r="39">
          <cell r="L39" t="str">
            <v>68MULH021AOG</v>
          </cell>
          <cell r="CK39" t="str">
            <v>Nominal C2E Fibre Secours C2E Fibre</v>
          </cell>
        </row>
        <row r="40">
          <cell r="L40" t="str">
            <v>71CHAL011AOG</v>
          </cell>
          <cell r="CK40" t="str">
            <v>Nominal InterLan 1.0 Secours C2E Fibre</v>
          </cell>
        </row>
        <row r="41">
          <cell r="L41" t="str">
            <v>71CHAL021AOB</v>
          </cell>
          <cell r="CK41" t="str">
            <v>Nominal C2E Fibre sans Secours</v>
          </cell>
        </row>
        <row r="42">
          <cell r="L42" t="str">
            <v>73ALBE021AOG</v>
          </cell>
          <cell r="CK42" t="str">
            <v>Nominal C2E Fibre Secours C2E Fibre</v>
          </cell>
        </row>
        <row r="43">
          <cell r="L43" t="str">
            <v>73MOUT011AOG</v>
          </cell>
          <cell r="CK43" t="str">
            <v>Nominal C2E Fibre Secours C2E Fibre</v>
          </cell>
        </row>
        <row r="44">
          <cell r="L44" t="str">
            <v>73MOUT021AOG</v>
          </cell>
          <cell r="CK44" t="str">
            <v>Nominal C2E Fibre Secours C2E Fibre</v>
          </cell>
        </row>
        <row r="45">
          <cell r="L45" t="str">
            <v>76LEHA011AOB</v>
          </cell>
          <cell r="CK45" t="str">
            <v>Nominal InterLan 1.0 sans Secours</v>
          </cell>
        </row>
        <row r="46">
          <cell r="L46" t="str">
            <v>83TANN011AOG</v>
          </cell>
          <cell r="CK46" t="str">
            <v>Nominal C2E Fibre Secours C2E Fibre</v>
          </cell>
        </row>
        <row r="47">
          <cell r="L47" t="str">
            <v>87FEYT011AOG</v>
          </cell>
          <cell r="CK47" t="str">
            <v>Nominal InterLan 1.0 Secours InterLan 1.0</v>
          </cell>
        </row>
        <row r="48">
          <cell r="L48" t="str">
            <v>87LIMO011AOG</v>
          </cell>
          <cell r="CK48" t="str">
            <v>Nominal InterLan 1.0 Secours InterLan 1.0</v>
          </cell>
        </row>
        <row r="49">
          <cell r="L49" t="str">
            <v>89DOME011AOS</v>
          </cell>
          <cell r="CK49" t="str">
            <v>Nominal C2E Fibre Secours C2E Fibre</v>
          </cell>
        </row>
        <row r="50">
          <cell r="L50" t="str">
            <v>07LESS011AOG</v>
          </cell>
          <cell r="CK50" t="str">
            <v>Nominal C2E Fibre Secours C2E Fibre</v>
          </cell>
        </row>
        <row r="51">
          <cell r="L51" t="str">
            <v>08ROCR011AOG</v>
          </cell>
          <cell r="CK51" t="str">
            <v>Nominal C2E Fibre Secours C2E Fibre</v>
          </cell>
        </row>
        <row r="52">
          <cell r="L52" t="str">
            <v>97BAIE011AOG</v>
          </cell>
          <cell r="CK52" t="str">
            <v>Nominal InterLan 1.0 Secours InterLan 1.0</v>
          </cell>
        </row>
        <row r="53">
          <cell r="L53" t="str">
            <v>12MURD011AOG</v>
          </cell>
          <cell r="CK53" t="str">
            <v>Nominal C2E Fibre Secours C2E Fibre</v>
          </cell>
        </row>
        <row r="54">
          <cell r="L54" t="str">
            <v>20BAST011AOG</v>
          </cell>
          <cell r="CK54" t="str">
            <v>Nominal C2E Fibre Secours C2E Fibre</v>
          </cell>
        </row>
        <row r="55">
          <cell r="L55" t="str">
            <v>44NANT021AOG</v>
          </cell>
          <cell r="CK55" t="str">
            <v>Nominal InterLan 1.0 Secours InterLan 1.0</v>
          </cell>
        </row>
        <row r="56">
          <cell r="L56" t="str">
            <v>35DINA011AOG</v>
          </cell>
          <cell r="CK56" t="str">
            <v>Nominal C2E Fibre Secours C2E Fibre</v>
          </cell>
        </row>
        <row r="57">
          <cell r="L57" t="str">
            <v>35LARI011AOG</v>
          </cell>
          <cell r="CK57" t="str">
            <v>Nominal C2E Fibre Secours C2E Fibre</v>
          </cell>
        </row>
        <row r="58">
          <cell r="L58" t="str">
            <v>97BAIE021AOM</v>
          </cell>
          <cell r="CK58" t="str">
            <v>Nominal InterLan 1.0 sans Secours</v>
          </cell>
        </row>
        <row r="59">
          <cell r="L59" t="str">
            <v>97CAYE021AOG</v>
          </cell>
          <cell r="CK59" t="str">
            <v>Nominal C2E Fibre Secours C2E Fibre</v>
          </cell>
        </row>
        <row r="60">
          <cell r="L60" t="str">
            <v>97GOUR011AOG</v>
          </cell>
          <cell r="CK60" t="str">
            <v>Nominal C2E Fibre Secours C2E Fibre</v>
          </cell>
        </row>
        <row r="61">
          <cell r="L61" t="str">
            <v>97KOUR011AOG</v>
          </cell>
          <cell r="CK61" t="str">
            <v>Nominal C2E Fibre Secours C2E Fibre</v>
          </cell>
        </row>
        <row r="62">
          <cell r="L62" t="str">
            <v>97LADE011AOS</v>
          </cell>
          <cell r="CK62" t="str">
            <v>Nominal C2E Secours C2E</v>
          </cell>
        </row>
        <row r="63">
          <cell r="L63" t="str">
            <v>97POIN011AOM</v>
          </cell>
          <cell r="CK63" t="str">
            <v>Nominal InterLan 1.0 sans Secours</v>
          </cell>
        </row>
        <row r="64">
          <cell r="L64" t="str">
            <v>97STLA011AOG</v>
          </cell>
          <cell r="CK64" t="str">
            <v>Nominal C2E Fibre Secours C2E Fibre</v>
          </cell>
        </row>
        <row r="65">
          <cell r="L65" t="str">
            <v>97STMA011AOG</v>
          </cell>
          <cell r="CK65" t="str">
            <v>Nominal C2E Fibre Secours C2E Fibre</v>
          </cell>
        </row>
        <row r="66">
          <cell r="L66" t="str">
            <v>97STMA021AOG</v>
          </cell>
          <cell r="CK66" t="str">
            <v>Nominal C2E Fibre Secours C2E Fibre</v>
          </cell>
        </row>
        <row r="67">
          <cell r="L67" t="str">
            <v>97TERR011AOS</v>
          </cell>
          <cell r="CK67" t="str">
            <v>Nominal C2E Secours C2E</v>
          </cell>
        </row>
        <row r="68">
          <cell r="L68" t="str">
            <v>97TRIN011AOG</v>
          </cell>
          <cell r="CK68" t="str">
            <v>Nominal C2E Fibre Secours C2E Fibre</v>
          </cell>
        </row>
        <row r="69">
          <cell r="L69" t="str">
            <v>97STBA011AOS</v>
          </cell>
          <cell r="CK69" t="str">
            <v>Nominal C2E Secours C2E</v>
          </cell>
        </row>
        <row r="70">
          <cell r="L70" t="str">
            <v>83TOUL011AOG</v>
          </cell>
          <cell r="CK70" t="str">
            <v>Nominal InterLan 1.0 Secours InterLan 1.0</v>
          </cell>
        </row>
        <row r="71">
          <cell r="L71" t="str">
            <v>15AURI011AOG</v>
          </cell>
          <cell r="CK71" t="str">
            <v>Nominal C2E Fibre Secours C2E Fibre</v>
          </cell>
        </row>
        <row r="72">
          <cell r="L72" t="str">
            <v>21DIJO011AOG</v>
          </cell>
          <cell r="CK72" t="str">
            <v>Nominal InterLan 1.0 Secours InterLan 1.0</v>
          </cell>
        </row>
        <row r="73">
          <cell r="L73" t="str">
            <v>59EURA011AOG</v>
          </cell>
          <cell r="CK73" t="str">
            <v>Nominal InterLan 1.0 Secours InterLan 1.0</v>
          </cell>
        </row>
        <row r="74">
          <cell r="L74" t="str">
            <v>73BOZE011AOB</v>
          </cell>
          <cell r="CK74" t="str">
            <v>Nominal C2E sans Secours</v>
          </cell>
        </row>
        <row r="75">
          <cell r="L75" t="str">
            <v>25CHAR011AOB</v>
          </cell>
          <cell r="CK75" t="str">
            <v>Nominal C2E sans Secours</v>
          </cell>
        </row>
        <row r="76">
          <cell r="L76" t="str">
            <v>26BEAU011AOB</v>
          </cell>
          <cell r="CK76" t="str">
            <v>Nominal C2E sans Secours</v>
          </cell>
        </row>
        <row r="77">
          <cell r="L77" t="str">
            <v>37TOUR011AOP</v>
          </cell>
          <cell r="CK77" t="str">
            <v>Nominal InterLan 1.0 Secours InterLan 1.0</v>
          </cell>
        </row>
        <row r="78">
          <cell r="L78" t="str">
            <v>38LEPO011AOG</v>
          </cell>
          <cell r="CK78" t="str">
            <v>Nominal InterLan 1.0 Secours InterLan 1.0</v>
          </cell>
        </row>
        <row r="79">
          <cell r="L79" t="str">
            <v>97CAYE011AOG</v>
          </cell>
          <cell r="CK79" t="str">
            <v>Nominal InterLan 1.0 Secours C2E Fibre</v>
          </cell>
        </row>
        <row r="80">
          <cell r="L80" t="str">
            <v>01SAMO011AOB</v>
          </cell>
          <cell r="CK80" t="str">
            <v>Nominal C2E CN2 sans Secours</v>
          </cell>
        </row>
        <row r="81">
          <cell r="L81" t="str">
            <v>05LARA011AOG</v>
          </cell>
          <cell r="CK81" t="str">
            <v>Nominal C2E Fibre Secours C2E Fibre</v>
          </cell>
        </row>
        <row r="82">
          <cell r="L82" t="str">
            <v>26PIZA011AOG</v>
          </cell>
          <cell r="CK82" t="str">
            <v>Nominal C2E Fibre Secours C2E Fibre</v>
          </cell>
        </row>
        <row r="83">
          <cell r="L83" t="str">
            <v>97MARI011AOS</v>
          </cell>
          <cell r="CK83" t="str">
            <v>Nominal C2E Secours C2E</v>
          </cell>
        </row>
        <row r="84">
          <cell r="L84" t="str">
            <v>73ALBE031AOB</v>
          </cell>
          <cell r="CK84" t="str">
            <v>Nominal C2E Fibre sans Secours</v>
          </cell>
        </row>
        <row r="85">
          <cell r="L85" t="str">
            <v>43MONI021AOS</v>
          </cell>
          <cell r="CK85" t="str">
            <v>Nominal C2E Fibre Secours C2E Fibre</v>
          </cell>
        </row>
        <row r="86">
          <cell r="L86" t="str">
            <v>06STDA011AOS</v>
          </cell>
          <cell r="CK86" t="str">
            <v>Nominal C2E Fibre Secours C2E Fibre</v>
          </cell>
        </row>
        <row r="87">
          <cell r="L87" t="str">
            <v>38SINA011AOB</v>
          </cell>
          <cell r="CK87" t="str">
            <v>Nominal C2E sans Secours</v>
          </cell>
        </row>
        <row r="88">
          <cell r="L88" t="str">
            <v>57UCKA011AOB</v>
          </cell>
          <cell r="CK88" t="str">
            <v>Nominal C2E sans Secours</v>
          </cell>
        </row>
        <row r="89">
          <cell r="L89" t="str">
            <v>59SEQU011AOG</v>
          </cell>
          <cell r="CK89" t="str">
            <v>Nominal InterLan 1.0 Secours InterLan 1.0</v>
          </cell>
        </row>
        <row r="90">
          <cell r="L90" t="str">
            <v>76ROUE031AOP</v>
          </cell>
          <cell r="CK90" t="str">
            <v>Nominal InterLan 1.0 Secours InterLan 1.0</v>
          </cell>
        </row>
        <row r="91">
          <cell r="L91" t="str">
            <v>78PORC011AOB</v>
          </cell>
          <cell r="CK91" t="str">
            <v>Nominal C2E Fibre sans Secours</v>
          </cell>
        </row>
        <row r="92">
          <cell r="L92" t="str">
            <v>91PALA011AOP</v>
          </cell>
          <cell r="CK92" t="str">
            <v>Nominal InterLan 1.0 Secours InterLan 1.0</v>
          </cell>
        </row>
        <row r="93">
          <cell r="L93" t="str">
            <v>34PREM011AOB</v>
          </cell>
          <cell r="CK93" t="str">
            <v>Nominal C2E sans Secours</v>
          </cell>
        </row>
        <row r="94">
          <cell r="L94" t="str">
            <v>52CHAU021AOB</v>
          </cell>
          <cell r="CK94" t="str">
            <v>Nominal C2E Fibre sans Secours</v>
          </cell>
        </row>
        <row r="95">
          <cell r="L95" t="str">
            <v>74PASS011AOG</v>
          </cell>
          <cell r="CK95" t="str">
            <v>Nominal C2E Fibre Secours C2E Fibre</v>
          </cell>
        </row>
        <row r="97">
          <cell r="L97" t="str">
            <v>01STVU021AOB</v>
          </cell>
          <cell r="CK97" t="str">
            <v>Nominal C2E Fibre sans Secours</v>
          </cell>
        </row>
        <row r="98">
          <cell r="L98" t="str">
            <v>07MONT011AOG</v>
          </cell>
          <cell r="CK98" t="str">
            <v>Nominal C2E Fibre Secours C2E Fibre</v>
          </cell>
        </row>
        <row r="99">
          <cell r="L99" t="str">
            <v>09TARA011AOS</v>
          </cell>
          <cell r="CK99" t="str">
            <v>Nominal C2E Fibre Secours C2E Fibre</v>
          </cell>
        </row>
        <row r="100">
          <cell r="L100" t="str">
            <v>10PONT011AOG</v>
          </cell>
          <cell r="CK100" t="str">
            <v>Nominal InterLan 1.0 Secours C2E Fibre</v>
          </cell>
        </row>
        <row r="101">
          <cell r="L101" t="str">
            <v>12ENTR011AOM</v>
          </cell>
          <cell r="CK101" t="str">
            <v>Nominal C2E Fibre sans Secours</v>
          </cell>
        </row>
        <row r="102">
          <cell r="L102" t="str">
            <v>14HERO011AOP</v>
          </cell>
          <cell r="CK102" t="str">
            <v>Nominal InterLan 1.0 Secours InterLan 1.0</v>
          </cell>
        </row>
        <row r="103">
          <cell r="L103" t="str">
            <v>19TULL021AOS</v>
          </cell>
          <cell r="CK103" t="str">
            <v>Nominal C2E Fibre Secours C2E Fibre</v>
          </cell>
        </row>
        <row r="104">
          <cell r="L104" t="str">
            <v>20BAST021AOG</v>
          </cell>
          <cell r="CK104" t="str">
            <v>Nominal InterLan 1.0 Secours C2E Fibre</v>
          </cell>
        </row>
        <row r="105">
          <cell r="L105" t="str">
            <v>20CALV011AOS</v>
          </cell>
          <cell r="CK105" t="str">
            <v>Nominal C2E Fibre Secours C2E Fibre</v>
          </cell>
        </row>
        <row r="106">
          <cell r="L106" t="str">
            <v>21DIJO021AOG</v>
          </cell>
          <cell r="CK106" t="str">
            <v>Nominal InterLan 1.0 Secours InterLan 1.0</v>
          </cell>
        </row>
        <row r="107">
          <cell r="L107" t="str">
            <v>27VALD013AOM</v>
          </cell>
          <cell r="CK107" t="str">
            <v>Nominal InterLan 1.0 sans Secours</v>
          </cell>
        </row>
        <row r="108">
          <cell r="L108" t="str">
            <v>38CHAM011AOG</v>
          </cell>
          <cell r="CK108" t="str">
            <v>Nominal C2E Fibre Secours C2E Fibre</v>
          </cell>
        </row>
        <row r="109">
          <cell r="L109" t="str">
            <v>38LAVE011AOG</v>
          </cell>
          <cell r="CK109" t="str">
            <v>Nominal InterLan 1.0 Secours InterLan 1.0</v>
          </cell>
        </row>
        <row r="110">
          <cell r="L110" t="str">
            <v>38LEBO021AOS</v>
          </cell>
          <cell r="CK110" t="str">
            <v>Nominal C2E Fibre Secours C2E Fibre</v>
          </cell>
        </row>
        <row r="111">
          <cell r="L111" t="str">
            <v>38STEG021AOM</v>
          </cell>
          <cell r="CK111" t="str">
            <v>Nominal C2E Fibre sans Secours</v>
          </cell>
        </row>
        <row r="112">
          <cell r="L112" t="str">
            <v>43BRIV011AOS</v>
          </cell>
          <cell r="CK112" t="str">
            <v>Nominal C2E Fibre Secours C2E Fibre</v>
          </cell>
        </row>
        <row r="113">
          <cell r="L113" t="str">
            <v>43ESPA011AOS</v>
          </cell>
          <cell r="CK113" t="str">
            <v>Nominal C2E Fibre Secours C2E Fibre</v>
          </cell>
        </row>
        <row r="114">
          <cell r="L114" t="str">
            <v>49ANGE011AOG</v>
          </cell>
          <cell r="CK114" t="str">
            <v>Nominal InterLan 1.0 Secours InterLan 1.0</v>
          </cell>
        </row>
        <row r="115">
          <cell r="L115" t="str">
            <v>51REIM011AOG</v>
          </cell>
          <cell r="CK115" t="str">
            <v>Nominal InterLan 1.0 Secours InterLan 1.0</v>
          </cell>
        </row>
        <row r="116">
          <cell r="L116" t="str">
            <v>54NANC021AOP</v>
          </cell>
          <cell r="CK116" t="str">
            <v>Nominal InterLan 1.0 Secours InterLan 1.0</v>
          </cell>
        </row>
        <row r="117">
          <cell r="L117" t="str">
            <v>62STMA011AOG</v>
          </cell>
          <cell r="CK117" t="str">
            <v>Nominal C2E Fibre Secours C2E Fibre</v>
          </cell>
        </row>
        <row r="118">
          <cell r="L118" t="str">
            <v>65ARGE011AOS</v>
          </cell>
          <cell r="CK118" t="str">
            <v>Nominal C2E Fibre Secours C2E Fibre</v>
          </cell>
        </row>
        <row r="119">
          <cell r="L119" t="str">
            <v>65BAGN011AOG</v>
          </cell>
          <cell r="CK119" t="str">
            <v>Nominal C2E Fibre Secours C2E Fibre</v>
          </cell>
        </row>
        <row r="120">
          <cell r="L120" t="str">
            <v>66RIVE011AOG</v>
          </cell>
          <cell r="CK120" t="str">
            <v>Nominal C2E Fibre Secours C2E Fibre</v>
          </cell>
        </row>
        <row r="121">
          <cell r="L121" t="str">
            <v>68MULH011AOP</v>
          </cell>
          <cell r="CK121" t="str">
            <v>Nominal InterLan 1.0 Secours InterLan 1.0</v>
          </cell>
        </row>
        <row r="122">
          <cell r="L122" t="str">
            <v>69VILL011AOG</v>
          </cell>
          <cell r="CK122" t="str">
            <v>Nominal InterLan 1.0 Secours InterLan 1.0</v>
          </cell>
        </row>
        <row r="123">
          <cell r="L123" t="str">
            <v>73MONT011AOS</v>
          </cell>
          <cell r="CK123" t="str">
            <v>Nominal C2E Fibre Secours C2E Fibre</v>
          </cell>
        </row>
        <row r="124">
          <cell r="L124" t="str">
            <v>74CLUS011AOS</v>
          </cell>
          <cell r="CK124" t="str">
            <v>Nominal C2E Fibre Secours C2E Fibre</v>
          </cell>
        </row>
        <row r="125">
          <cell r="L125" t="str">
            <v>74THON011AOB</v>
          </cell>
          <cell r="CK125" t="str">
            <v>Nominal LL2048K sans Secours</v>
          </cell>
        </row>
        <row r="126">
          <cell r="L126" t="str">
            <v>81ALBI011AOG</v>
          </cell>
          <cell r="CK126" t="str">
            <v>Nominal InterLan 1.0 Secours C2E Fibre</v>
          </cell>
        </row>
        <row r="127">
          <cell r="L127" t="str">
            <v>81CAST011AOG</v>
          </cell>
          <cell r="CK127" t="str">
            <v>Nominal InterLan 1.0 Secours C2E Fibre</v>
          </cell>
        </row>
        <row r="128">
          <cell r="L128" t="str">
            <v>81GAIL011AOG</v>
          </cell>
          <cell r="CK128" t="str">
            <v>Nominal C2E Fibre Secours C2E Fibre</v>
          </cell>
        </row>
        <row r="129">
          <cell r="L129" t="str">
            <v>93NOIS011AOG</v>
          </cell>
          <cell r="CK129" t="str">
            <v>Nominal InterLan 1.0 Secours InterLan 1.0</v>
          </cell>
        </row>
        <row r="130">
          <cell r="L130" t="str">
            <v>93NOIS011AOG</v>
          </cell>
          <cell r="CK130" t="str">
            <v>Nominal InterLan 1.0 Secours InterLan 1.0</v>
          </cell>
        </row>
        <row r="131">
          <cell r="L131" t="str">
            <v>06NICE011AOG</v>
          </cell>
          <cell r="CK131" t="str">
            <v>Nominal InterLan 1.0 Secours InterLan 1.0</v>
          </cell>
        </row>
        <row r="132">
          <cell r="L132" t="str">
            <v>06NICE021AOG</v>
          </cell>
          <cell r="CK132" t="str">
            <v>Nominal InterLan 1.0 Secours InterLan 1.0</v>
          </cell>
        </row>
        <row r="133">
          <cell r="L133" t="str">
            <v>11AXAT011AOG</v>
          </cell>
          <cell r="CK133" t="str">
            <v>Nominal C2E Fibre Secours C2E Fibre</v>
          </cell>
        </row>
        <row r="134">
          <cell r="L134" t="str">
            <v>59LILL011AOG</v>
          </cell>
          <cell r="CK134" t="str">
            <v>Nominal InterLan 1.0 Secours InterLan 1.0</v>
          </cell>
        </row>
        <row r="135">
          <cell r="L135" t="str">
            <v>90BELF011AOG</v>
          </cell>
          <cell r="CK135" t="str">
            <v>Nominal InterLan 1.0 Secours C2E Fibre</v>
          </cell>
        </row>
        <row r="136">
          <cell r="L136" t="str">
            <v>87AMBA011AOS</v>
          </cell>
          <cell r="CK136" t="str">
            <v>Nominal C2E Fibre Secours C2E Fibre</v>
          </cell>
        </row>
        <row r="137">
          <cell r="L137" t="str">
            <v>80AMIE011AOG</v>
          </cell>
          <cell r="CK137" t="str">
            <v>Nominal InterLan 1.0 Secours InterLan 1.0</v>
          </cell>
        </row>
        <row r="138">
          <cell r="L138" t="str">
            <v>31BLAG011AOG</v>
          </cell>
          <cell r="CK138" t="str">
            <v>Nominal InterLan 1.0 Secours InterLan 1.0</v>
          </cell>
        </row>
        <row r="139">
          <cell r="L139" t="str">
            <v>31ESTA011AOG</v>
          </cell>
          <cell r="CK139" t="str">
            <v>Nominal C2E Fibre Secours C2E Fibre</v>
          </cell>
        </row>
        <row r="140">
          <cell r="L140" t="str">
            <v>59LILL031AOG</v>
          </cell>
          <cell r="CK140" t="str">
            <v>Nominal InterLan 1.0 Secours InterLan 1.0</v>
          </cell>
        </row>
        <row r="141">
          <cell r="L141" t="str">
            <v>69LYON021AOM</v>
          </cell>
          <cell r="CK141" t="str">
            <v>Nominal InterLan 1.0 sans Secours</v>
          </cell>
        </row>
        <row r="142">
          <cell r="L142" t="str">
            <v>69LYON031AOM</v>
          </cell>
          <cell r="CK142" t="str">
            <v>Nominal InterLan 1.0 sans Secours</v>
          </cell>
        </row>
        <row r="143">
          <cell r="L143" t="str">
            <v>76ROUE021AOG</v>
          </cell>
          <cell r="CK143" t="str">
            <v>Nominal InterLan 1.0 Secours InterLan 1.0</v>
          </cell>
        </row>
        <row r="144">
          <cell r="L144" t="str">
            <v>68COLM011AOG</v>
          </cell>
          <cell r="CK144" t="str">
            <v>Nominal InterLan 1.0 Secours C2E Fibre</v>
          </cell>
        </row>
        <row r="145">
          <cell r="L145" t="str">
            <v>38PONT011AOM</v>
          </cell>
          <cell r="CK145" t="str">
            <v>Nominal C2E Fibre sans Secours</v>
          </cell>
        </row>
        <row r="146">
          <cell r="L146" t="str">
            <v>97CAYE031AOG</v>
          </cell>
          <cell r="CK146" t="str">
            <v>Nominal C2E Secours C2E</v>
          </cell>
        </row>
        <row r="147">
          <cell r="L147" t="str">
            <v>97MATO021AOG</v>
          </cell>
          <cell r="CK147" t="str">
            <v>Nominal C2E Fibre Secours C2E Fibre</v>
          </cell>
        </row>
        <row r="148">
          <cell r="L148" t="str">
            <v>97STLA021AOG</v>
          </cell>
          <cell r="CK148" t="str">
            <v>Nominal C2E Fibre Secours C2E Fibre</v>
          </cell>
        </row>
        <row r="149">
          <cell r="L149" t="str">
            <v>31MURE011AOS</v>
          </cell>
          <cell r="CK149" t="str">
            <v>Nominal C2E Fibre Secours C2E Fibre</v>
          </cell>
        </row>
        <row r="150">
          <cell r="L150" t="str">
            <v>42STET011AOG</v>
          </cell>
          <cell r="CK150" t="str">
            <v>Nominal InterLan 1.0 Secours InterLan 1.0</v>
          </cell>
        </row>
        <row r="151">
          <cell r="L151" t="str">
            <v>29GUIP011AOG</v>
          </cell>
          <cell r="CK151" t="str">
            <v>Nominal InterLan 1.0 Secours InterLan 1.0</v>
          </cell>
        </row>
        <row r="152">
          <cell r="L152" t="str">
            <v>30NIME011AOG</v>
          </cell>
          <cell r="CK152" t="str">
            <v>Nominal InterLan 1.0 Secours InterLan 1.0</v>
          </cell>
        </row>
        <row r="153">
          <cell r="L153" t="str">
            <v>20BAST041AOG</v>
          </cell>
          <cell r="CK153" t="str">
            <v>Nominal InterLan 1.0 Secours C2E Fibre</v>
          </cell>
        </row>
        <row r="154">
          <cell r="L154" t="str">
            <v>20BORG011AOB</v>
          </cell>
          <cell r="CK154" t="str">
            <v>Nominal C2E Fibre sans Secours</v>
          </cell>
        </row>
        <row r="155">
          <cell r="L155" t="str">
            <v>20AJAC071AOG</v>
          </cell>
          <cell r="CK155" t="str">
            <v>Nominal InterLan 1.0 Secours C2E Fibre</v>
          </cell>
        </row>
        <row r="156">
          <cell r="L156" t="str">
            <v>74ANNE011AOG</v>
          </cell>
          <cell r="CK156" t="str">
            <v>Nominal InterLan 1.0 Secours InterLan 1.0</v>
          </cell>
        </row>
        <row r="157">
          <cell r="L157" t="str">
            <v>20AJAC041AOS</v>
          </cell>
          <cell r="CK157" t="str">
            <v>Nominal C2E Fibre Secours C2E Fibre</v>
          </cell>
        </row>
        <row r="158">
          <cell r="L158" t="str">
            <v>56VANN011AOG</v>
          </cell>
          <cell r="CK158" t="str">
            <v>Nominal InterLan 1.0 Secours InterLan 1.0</v>
          </cell>
        </row>
        <row r="159">
          <cell r="L159" t="str">
            <v>64PAUZ021AOG</v>
          </cell>
          <cell r="CK159" t="str">
            <v>Nominal InterLan 1.0 Secours InterLan 1.0</v>
          </cell>
        </row>
        <row r="160">
          <cell r="L160" t="str">
            <v>25BESA011AOB</v>
          </cell>
          <cell r="CK160" t="str">
            <v>Nominal InterLan 1.0 sans Secours</v>
          </cell>
        </row>
        <row r="161">
          <cell r="L161" t="str">
            <v>33MERI021AOS</v>
          </cell>
          <cell r="CK161" t="str">
            <v>Nominal InterLan 1.0 Secours InterLan 1.0</v>
          </cell>
        </row>
        <row r="162">
          <cell r="L162" t="str">
            <v>42STJU011AOG</v>
          </cell>
          <cell r="CK162" t="str">
            <v>Nominal InterLan 1.0 Secours C2E Fibre</v>
          </cell>
        </row>
        <row r="163">
          <cell r="L163" t="str">
            <v>26VALE021AOG</v>
          </cell>
          <cell r="CK163" t="str">
            <v>Nominal InterLan 1.0 Secours InterLan 1.0</v>
          </cell>
        </row>
        <row r="164">
          <cell r="L164" t="str">
            <v>12GOLI011AOB</v>
          </cell>
          <cell r="CK164" t="str">
            <v>Nominal C2E CN2 sans Secours</v>
          </cell>
        </row>
        <row r="165">
          <cell r="L165" t="str">
            <v>31LABA011AOB</v>
          </cell>
          <cell r="CK165" t="str">
            <v>Nominal C2E sans Secours</v>
          </cell>
        </row>
        <row r="166">
          <cell r="L166" t="str">
            <v>78CHAT012AOG</v>
          </cell>
          <cell r="CK166" t="str">
            <v>Nominal InterLan 1.0 Secours InterLan 1.0</v>
          </cell>
        </row>
        <row r="167">
          <cell r="L167" t="str">
            <v>77ORVA011AOG</v>
          </cell>
          <cell r="CK167" t="str">
            <v>Nominal InterLan 1.0 Secours C2E Fibre</v>
          </cell>
        </row>
        <row r="168">
          <cell r="L168" t="str">
            <v>55BARL011AOB</v>
          </cell>
          <cell r="CK168" t="str">
            <v>Nominal C2E sans Secours</v>
          </cell>
        </row>
        <row r="169">
          <cell r="L169" t="str">
            <v>47VILL011AOB</v>
          </cell>
          <cell r="CK169" t="str">
            <v>Nominal C2E Fibre sans Secours</v>
          </cell>
        </row>
        <row r="170">
          <cell r="L170" t="str">
            <v>01BOUR011AOB</v>
          </cell>
          <cell r="CK170" t="str">
            <v>Nominal InterLan 1.0 sans Secours</v>
          </cell>
        </row>
        <row r="171">
          <cell r="L171" t="str">
            <v>45FLEU011AOG</v>
          </cell>
          <cell r="CK171" t="str">
            <v>Nominal InterLan 1.0 Secours InterLan 1.0</v>
          </cell>
        </row>
        <row r="172">
          <cell r="L172" t="str">
            <v>67STRA031AOG</v>
          </cell>
          <cell r="CK172" t="str">
            <v>Nominal InterLan 1.0 Secours InterLan 1.0</v>
          </cell>
        </row>
        <row r="173">
          <cell r="L173" t="str">
            <v>97MIQU011AOB</v>
          </cell>
          <cell r="CK173" t="str">
            <v>Nominal HYBRID Offnet</v>
          </cell>
        </row>
        <row r="174">
          <cell r="L174" t="str">
            <v>97STPI011AOB</v>
          </cell>
          <cell r="CK174" t="str">
            <v>Nominal HYBRID Offnet</v>
          </cell>
        </row>
        <row r="175">
          <cell r="L175" t="str">
            <v>06STMA022AOB</v>
          </cell>
          <cell r="CK175" t="str">
            <v>Nominal C2E Fibre sans Secours</v>
          </cell>
        </row>
        <row r="176">
          <cell r="L176" t="str">
            <v>92MONT032AOP</v>
          </cell>
          <cell r="CK176" t="str">
            <v>Nominal InterLan 1.0 Secours InterLan 1.0</v>
          </cell>
        </row>
        <row r="177">
          <cell r="L177" t="str">
            <v>13AIXE033AOG</v>
          </cell>
          <cell r="CK177" t="str">
            <v>Nominal InterLan 1.0 Secours InterLan 1.0</v>
          </cell>
        </row>
        <row r="178">
          <cell r="L178" t="str">
            <v>69LYON041AOP</v>
          </cell>
          <cell r="CK178" t="str">
            <v>Nominal InterLan 1.0 Secours InterLan 1.0</v>
          </cell>
        </row>
        <row r="179">
          <cell r="L179" t="str">
            <v>38CHAT011AOB</v>
          </cell>
          <cell r="CK179" t="str">
            <v>Nominal C2E Fibre sans Secours</v>
          </cell>
        </row>
        <row r="180">
          <cell r="L180" t="str">
            <v>37BEAU031AOS</v>
          </cell>
          <cell r="CK180" t="str">
            <v>Nominal C2E Fibre Secours C2E Fibre</v>
          </cell>
        </row>
        <row r="181">
          <cell r="L181" t="str">
            <v>38LEPE011AOB</v>
          </cell>
          <cell r="CK181" t="str">
            <v>Nominal C2E Fibre sans Secours</v>
          </cell>
        </row>
        <row r="182">
          <cell r="L182" t="str">
            <v>29ILED011AOB</v>
          </cell>
          <cell r="CK182" t="str">
            <v>Nominal C2E sans Secours</v>
          </cell>
        </row>
        <row r="183">
          <cell r="L183" t="str">
            <v>69LYON051AOP</v>
          </cell>
          <cell r="CK183" t="str">
            <v>Nominal InterLan 1.0 Secours InterLan 1.0</v>
          </cell>
        </row>
        <row r="184">
          <cell r="L184" t="str">
            <v>76PENL011AOP</v>
          </cell>
          <cell r="CK184" t="str">
            <v>Nominal C2E Fibre Secours C2E Fibre</v>
          </cell>
        </row>
        <row r="185">
          <cell r="L185" t="str">
            <v>37TOUR031AOG</v>
          </cell>
          <cell r="CK185" t="str">
            <v>Nominal InterLan 1.0 Secours InterLan 1.0</v>
          </cell>
        </row>
        <row r="186">
          <cell r="L186" t="str">
            <v>69LYON061AOP</v>
          </cell>
          <cell r="CK186" t="str">
            <v>Nominal InterLan 1.0 Secours InterLan 1.0</v>
          </cell>
        </row>
        <row r="187">
          <cell r="L187" t="str">
            <v>69LYON071AOP</v>
          </cell>
          <cell r="CK187" t="str">
            <v>Nominal InterLan 1.0 Secours InterLan 1.0</v>
          </cell>
        </row>
        <row r="188">
          <cell r="L188" t="str">
            <v>97CAYE041AOG</v>
          </cell>
          <cell r="CK188" t="str">
            <v>Nominal InterLan 1.0 Secours InterLan 1.0</v>
          </cell>
        </row>
        <row r="189">
          <cell r="L189" t="str">
            <v>69LYON081AOP</v>
          </cell>
          <cell r="CK189" t="str">
            <v>Nominal InterLan 1.0 Secours InterLan 1.0</v>
          </cell>
        </row>
        <row r="190">
          <cell r="L190" t="str">
            <v>67GAMB013AOS</v>
          </cell>
          <cell r="CK190" t="str">
            <v>Nominal C2E Fibre Secours C2E Fibre</v>
          </cell>
        </row>
        <row r="191">
          <cell r="L191" t="str">
            <v>13MARS091AOS</v>
          </cell>
          <cell r="CK191" t="str">
            <v>Nominal InterLan 1.0 Secours InterLan 1.0</v>
          </cell>
        </row>
        <row r="192">
          <cell r="L192" t="str">
            <v>97BAIE031AOM</v>
          </cell>
          <cell r="CK192" t="str">
            <v>Nominal InterLan 1.0 sans Secours</v>
          </cell>
        </row>
        <row r="193">
          <cell r="L193" t="str">
            <v>44STHE011AOG</v>
          </cell>
          <cell r="CK193" t="str">
            <v>Nominal InterLan 1.0 Secours InterLan 1.0</v>
          </cell>
        </row>
        <row r="194">
          <cell r="L194" t="str">
            <v>35RENN021AOS</v>
          </cell>
          <cell r="CK194" t="str">
            <v>Nominal InterLan 1.0 Secours InterLan 1.0</v>
          </cell>
        </row>
        <row r="195">
          <cell r="L195" t="str">
            <v>75PARI051AOP</v>
          </cell>
          <cell r="CK195" t="str">
            <v>Nominal InterLan 1.0 Secours InterLan 1.0</v>
          </cell>
        </row>
        <row r="196">
          <cell r="L196" t="str">
            <v>97MATO051AOS</v>
          </cell>
          <cell r="CK196" t="str">
            <v>Nominal C2E Fibre Secours C2E Fibre</v>
          </cell>
        </row>
        <row r="197">
          <cell r="L197" t="str">
            <v>69LYON091AOP</v>
          </cell>
          <cell r="CK197" t="str">
            <v>Nominal InterLan 1.0 Secours InterLan 1.0</v>
          </cell>
        </row>
        <row r="198">
          <cell r="L198" t="str">
            <v>97BAIE041AOB</v>
          </cell>
          <cell r="CK198" t="str">
            <v>Nominal InterLan 1.0 sans Secours</v>
          </cell>
        </row>
        <row r="199">
          <cell r="L199" t="str">
            <v>69LYON101AOG</v>
          </cell>
          <cell r="CK199" t="str">
            <v>Nominal InterLan 1.0 Secours InterLan 1.0</v>
          </cell>
        </row>
        <row r="200">
          <cell r="L200" t="str">
            <v>37TOUR061AOG</v>
          </cell>
          <cell r="CK200" t="str">
            <v>Nominal InterLan 1.0 Secours InterLan 1.0</v>
          </cell>
        </row>
        <row r="201">
          <cell r="L201" t="str">
            <v>17PERI021AOG</v>
          </cell>
          <cell r="CK201" t="str">
            <v>Nominal InterLan 1.0 Secours InterLan 1.0</v>
          </cell>
        </row>
        <row r="202">
          <cell r="L202" t="str">
            <v>31TOUL071AOG</v>
          </cell>
          <cell r="CK202" t="str">
            <v>Nominal InterLan 1.0 Secours InterLan 1.0</v>
          </cell>
        </row>
        <row r="203">
          <cell r="L203" t="str">
            <v>31TOUL081AOG</v>
          </cell>
          <cell r="CK203" t="str">
            <v>Nominal InterLan 1.0 Secours InterLan 1.0</v>
          </cell>
        </row>
        <row r="204">
          <cell r="L204" t="str">
            <v>31TOUL091AOS</v>
          </cell>
          <cell r="CK204" t="str">
            <v>Nominal InterLan 1.0 Secours InterLan 1.0</v>
          </cell>
        </row>
        <row r="205">
          <cell r="L205" t="str">
            <v>69VENI011AOG</v>
          </cell>
          <cell r="CK205" t="str">
            <v>Nominal InterLan 1.0 Secours InterLan 1.0</v>
          </cell>
        </row>
        <row r="206">
          <cell r="L206" t="str">
            <v>44NANT051AOB</v>
          </cell>
          <cell r="CK206" t="str">
            <v>Nominal InterLan 1.0 sans Secours</v>
          </cell>
        </row>
        <row r="207">
          <cell r="L207" t="str">
            <v>13MARS101AOG</v>
          </cell>
          <cell r="CK207" t="str">
            <v>Nominal InterLan 1.0 Secours InterLan 1.0</v>
          </cell>
        </row>
        <row r="208">
          <cell r="L208" t="str">
            <v>44STLU011AOG</v>
          </cell>
          <cell r="CK208" t="str">
            <v>Nominal InterLan 1.0 Secours InterLan 1.0</v>
          </cell>
        </row>
        <row r="209">
          <cell r="L209" t="str">
            <v>05ESPI013AOB</v>
          </cell>
          <cell r="CK209" t="str">
            <v>Nominal C2E Fibre sans Secours</v>
          </cell>
        </row>
        <row r="210">
          <cell r="L210" t="str">
            <v>59DUNK011AOB</v>
          </cell>
          <cell r="CK210" t="str">
            <v>Nominal InterLan 1.0 sans Secours</v>
          </cell>
        </row>
        <row r="211">
          <cell r="L211" t="str">
            <v>37AVOI021AOB</v>
          </cell>
          <cell r="CK211" t="str">
            <v>Nominal C2E Fibre sans Secours</v>
          </cell>
        </row>
        <row r="212">
          <cell r="L212" t="str">
            <v>97REMI011AOS</v>
          </cell>
          <cell r="CK212" t="str">
            <v>Nominal C2E Fibre Secours C2E Fibre</v>
          </cell>
        </row>
        <row r="213">
          <cell r="L213" t="str">
            <v>20CAST011AOB</v>
          </cell>
          <cell r="CK213" t="str">
            <v>Nominal FTTE Actif Optimum sans Secours</v>
          </cell>
        </row>
        <row r="214">
          <cell r="L214" t="str">
            <v>20GHIS021AOB</v>
          </cell>
          <cell r="CK214" t="str">
            <v>Nominal FTTE Actif Optimum sans Secours</v>
          </cell>
        </row>
        <row r="215">
          <cell r="L215" t="str">
            <v>69LYON121AOP</v>
          </cell>
          <cell r="CK215" t="str">
            <v>Nominal InterLan 1.0 Secours InterLan 1.0</v>
          </cell>
        </row>
        <row r="216">
          <cell r="L216" t="str">
            <v>95CHAM012AOB</v>
          </cell>
          <cell r="CK216" t="str">
            <v>Nominal C2E Fibre sans Secours</v>
          </cell>
        </row>
        <row r="217">
          <cell r="L217" t="str">
            <v>14CAEN021AOG</v>
          </cell>
          <cell r="CK217" t="str">
            <v>Nominal InterLan 1.0 Secours InterLan 1.0</v>
          </cell>
        </row>
        <row r="218">
          <cell r="L218" t="str">
            <v>57LAMA021AOB</v>
          </cell>
          <cell r="CK218" t="str">
            <v>Nominal InterLan 1.0 sans Secours</v>
          </cell>
        </row>
        <row r="219">
          <cell r="L219" t="str">
            <v>57METZ021AOG</v>
          </cell>
          <cell r="CK219" t="str">
            <v>Nominal InterLan 1.0 Secours InterLan 1.0</v>
          </cell>
        </row>
        <row r="220">
          <cell r="L220" t="str">
            <v>64PAUZ031AOP</v>
          </cell>
          <cell r="CK220" t="str">
            <v>Nominal InterLan 1.0 Secours InterLan 1.0</v>
          </cell>
        </row>
        <row r="221">
          <cell r="L221" t="str">
            <v>76STVA011AOB</v>
          </cell>
          <cell r="CK221" t="str">
            <v>Nominal C2E Fibre sans Secours</v>
          </cell>
        </row>
        <row r="222">
          <cell r="L222" t="str">
            <v>80AMIE021AOP</v>
          </cell>
          <cell r="CK222" t="str">
            <v>Nominal InterLan 1.0 Secours InterLan 1.0</v>
          </cell>
        </row>
        <row r="223">
          <cell r="L223" t="str">
            <v>86CHAS011AOP</v>
          </cell>
          <cell r="CK223" t="str">
            <v>Nominal InterLan 1.0 Secours InterLan 1.0</v>
          </cell>
        </row>
        <row r="224">
          <cell r="L224" t="str">
            <v>60LACR011AOG</v>
          </cell>
          <cell r="CK224" t="str">
            <v>Nominal InterLan 1.0 Secours C2E Fibre</v>
          </cell>
        </row>
        <row r="225">
          <cell r="L225" t="str">
            <v>64OLOR011AOG</v>
          </cell>
          <cell r="CK225" t="str">
            <v>Nominal C2E Fibre Secours C2E Fibre</v>
          </cell>
        </row>
        <row r="226">
          <cell r="L226" t="str">
            <v>20CORT011AOS</v>
          </cell>
          <cell r="CK226" t="str">
            <v>Nominal C2E Secours C2E</v>
          </cell>
        </row>
        <row r="227">
          <cell r="L227" t="str">
            <v>33MERI031AOG</v>
          </cell>
          <cell r="CK227" t="str">
            <v>Nominal InterLan 1.0 Secours InterLan 1.0</v>
          </cell>
        </row>
        <row r="228">
          <cell r="L228" t="str">
            <v>23CHAT011AOB</v>
          </cell>
          <cell r="CK228" t="str">
            <v>Nominal C2E sans Secours</v>
          </cell>
        </row>
        <row r="229">
          <cell r="L229" t="str">
            <v>65JUIL011AOB</v>
          </cell>
          <cell r="CK229" t="str">
            <v>Nominal C2E sans Secours</v>
          </cell>
        </row>
        <row r="230">
          <cell r="L230" t="str">
            <v>34MONT041AOG</v>
          </cell>
          <cell r="CK230" t="str">
            <v>Nominal InterLan 1.0 Secours InterLan 1.0</v>
          </cell>
        </row>
        <row r="231">
          <cell r="L231" t="str">
            <v>31TOUL051AOG</v>
          </cell>
          <cell r="CK231" t="str">
            <v>Nominal InterLan 1.0 Secours InterLan 1.0</v>
          </cell>
        </row>
        <row r="232">
          <cell r="L232" t="str">
            <v>09SOUE011AOB</v>
          </cell>
          <cell r="CK232" t="str">
            <v>Nominal C2E CN2 sans Secours</v>
          </cell>
        </row>
        <row r="233">
          <cell r="L233" t="str">
            <v>50CHER011AOG</v>
          </cell>
          <cell r="CK233" t="str">
            <v>Nominal C2E Fibre Secours C2E Fibre</v>
          </cell>
        </row>
        <row r="234">
          <cell r="L234" t="str">
            <v>27PACY013AOM</v>
          </cell>
          <cell r="CK234" t="str">
            <v>Nominal InterLan 1.0 sans Secours</v>
          </cell>
        </row>
        <row r="235">
          <cell r="L235" t="str">
            <v>20PROP011AOG</v>
          </cell>
          <cell r="CK235" t="str">
            <v>Nominal C2E Fibre Secours C2E Fibre</v>
          </cell>
        </row>
        <row r="236">
          <cell r="L236" t="str">
            <v>22MURD011AOS</v>
          </cell>
          <cell r="CK236" t="str">
            <v>Nominal C2E Fibre Secours C2E Fibre</v>
          </cell>
        </row>
        <row r="237">
          <cell r="L237" t="str">
            <v>30PONT011AOG</v>
          </cell>
          <cell r="CK237" t="str">
            <v>Nominal C2E Fibre Secours C2E Fibre</v>
          </cell>
        </row>
        <row r="238">
          <cell r="L238" t="str">
            <v>43BRIV021AOB</v>
          </cell>
          <cell r="CK238" t="str">
            <v>Nominal InterLan 1.0 sans Secours</v>
          </cell>
        </row>
        <row r="239">
          <cell r="L239" t="str">
            <v>63STGE011AOS</v>
          </cell>
          <cell r="CK239" t="str">
            <v>Nominal C2E Fibre Secours C2E Fibre</v>
          </cell>
        </row>
        <row r="240">
          <cell r="L240" t="str">
            <v>63THIE011AOG</v>
          </cell>
          <cell r="CK240" t="str">
            <v>Nominal C2E Fibre Secours C2E Fibre</v>
          </cell>
        </row>
        <row r="241">
          <cell r="L241" t="str">
            <v>73STMI011AOM</v>
          </cell>
          <cell r="CK241" t="str">
            <v>Nominal C2E Fibre sans Secours</v>
          </cell>
        </row>
        <row r="242">
          <cell r="L242" t="str">
            <v>82GOLF011AOG</v>
          </cell>
          <cell r="CK242" t="str">
            <v>Nominal C2E Fibre Secours C2E Fibre</v>
          </cell>
        </row>
        <row r="243">
          <cell r="L243" t="str">
            <v>05LARG011AOG</v>
          </cell>
          <cell r="CK243" t="str">
            <v>Nominal C2E Fibre Secours C2E Fibre</v>
          </cell>
        </row>
        <row r="244">
          <cell r="L244" t="str">
            <v>20FURI011AOG</v>
          </cell>
          <cell r="CK244" t="str">
            <v>Nominal InterLan 1.0 Secours C2E Fibre</v>
          </cell>
        </row>
        <row r="245">
          <cell r="L245" t="str">
            <v>69GIVO011AOB</v>
          </cell>
          <cell r="CK245" t="str">
            <v>Nominal C2E Fibre sans Secours</v>
          </cell>
        </row>
        <row r="246">
          <cell r="L246" t="str">
            <v>73STJE011AOM</v>
          </cell>
          <cell r="CK246" t="str">
            <v>Nominal C2E Fibre sans Secours</v>
          </cell>
        </row>
        <row r="247">
          <cell r="L247" t="str">
            <v>81BOUT011AOM</v>
          </cell>
          <cell r="CK247" t="str">
            <v>Nominal C2E Fibre sans Secours</v>
          </cell>
        </row>
        <row r="248">
          <cell r="L248" t="str">
            <v>81BRAS011AOM</v>
          </cell>
          <cell r="CK248" t="str">
            <v>Nominal C2E Fibre sans Secours</v>
          </cell>
        </row>
        <row r="249">
          <cell r="L249" t="str">
            <v>83VINO011AOS</v>
          </cell>
          <cell r="CK249" t="str">
            <v>Nominal C2E Fibre Secours C2E Fibre</v>
          </cell>
        </row>
        <row r="250">
          <cell r="L250" t="str">
            <v>86LISL011AOG</v>
          </cell>
          <cell r="CK250" t="str">
            <v>Nominal C2E Fibre Secours C2E Fibre</v>
          </cell>
        </row>
        <row r="251">
          <cell r="L251" t="str">
            <v>97FORT021AOS</v>
          </cell>
          <cell r="CK251" t="str">
            <v>Nominal C2E Secours C2E</v>
          </cell>
        </row>
        <row r="252">
          <cell r="L252" t="str">
            <v>97FORT041AOM</v>
          </cell>
          <cell r="CK252" t="str">
            <v>Nominal InterLan 1.0 sans Secours</v>
          </cell>
        </row>
        <row r="253">
          <cell r="L253" t="str">
            <v>97RIVI011AOS</v>
          </cell>
          <cell r="CK253" t="str">
            <v>Nominal C2E Fibre Secours C2E Fibre</v>
          </cell>
        </row>
        <row r="254">
          <cell r="L254" t="str">
            <v>97SCHO011AOS</v>
          </cell>
          <cell r="CK254" t="str">
            <v>Nominal C2E Fibre Secours C2E Fibre</v>
          </cell>
        </row>
        <row r="255">
          <cell r="L255" t="str">
            <v>20LUCC011AOG</v>
          </cell>
          <cell r="CK255" t="str">
            <v>Nominal C2E Fibre Secours C2E Fibre</v>
          </cell>
        </row>
        <row r="256">
          <cell r="L256" t="str">
            <v>97CASE011AOS</v>
          </cell>
          <cell r="CK256" t="str">
            <v>Nominal C2E Fibre Secours C2E Fibre</v>
          </cell>
        </row>
        <row r="257">
          <cell r="L257" t="str">
            <v>07CRUA021AOB</v>
          </cell>
          <cell r="CK257" t="str">
            <v>Nominal C2E sans Secours</v>
          </cell>
        </row>
        <row r="258">
          <cell r="L258" t="str">
            <v>97FORT011AOM</v>
          </cell>
          <cell r="CK258" t="str">
            <v>Nominal InterLan 1.0 sans Secours</v>
          </cell>
        </row>
        <row r="259">
          <cell r="L259" t="str">
            <v>65LUZS011AOG</v>
          </cell>
          <cell r="CK259" t="str">
            <v>Nominal C2E Fibre Secours C2E Fibre</v>
          </cell>
        </row>
        <row r="260">
          <cell r="L260" t="str">
            <v>38LIVE011AOS</v>
          </cell>
          <cell r="CK260" t="str">
            <v>Nominal C2E Fibre Secours C2E Fibre</v>
          </cell>
        </row>
        <row r="261">
          <cell r="L261" t="str">
            <v>42COMM011AOG</v>
          </cell>
          <cell r="CK261" t="str">
            <v>Nominal C2E Fibre Secours C2E Fibre</v>
          </cell>
        </row>
        <row r="262">
          <cell r="L262" t="str">
            <v>20PORT011AOG</v>
          </cell>
          <cell r="CK262" t="str">
            <v>Nominal C2E Secours C2E</v>
          </cell>
        </row>
        <row r="263">
          <cell r="L263" t="str">
            <v>77VERN011AOB</v>
          </cell>
          <cell r="CK263" t="str">
            <v>Nominal C2E sans Secours</v>
          </cell>
        </row>
        <row r="264">
          <cell r="L264" t="str">
            <v>11AXAT021AOM</v>
          </cell>
          <cell r="CK264" t="str">
            <v>Nominal C2E Fibre sans Secours</v>
          </cell>
        </row>
        <row r="265">
          <cell r="L265" t="str">
            <v>26STPA021AOB</v>
          </cell>
          <cell r="CK265" t="str">
            <v>Nominal C2E sans Secours</v>
          </cell>
        </row>
        <row r="266">
          <cell r="L266" t="str">
            <v>69GIVO011AOB</v>
          </cell>
          <cell r="CK266" t="str">
            <v>Nominal C2E sans Secours</v>
          </cell>
        </row>
        <row r="267">
          <cell r="L267" t="str">
            <v>74CHAM011AOB</v>
          </cell>
          <cell r="CK267" t="str">
            <v>Nominal C2E CN2 sans Secours</v>
          </cell>
        </row>
        <row r="268">
          <cell r="L268" t="str">
            <v>95CHAM011AOB</v>
          </cell>
          <cell r="CK268" t="str">
            <v>Nominal C2E Fibre sans Secours</v>
          </cell>
        </row>
        <row r="269">
          <cell r="L269" t="str">
            <v>09FOIX031AOB</v>
          </cell>
          <cell r="CK269" t="str">
            <v>Nominal C2E CN2 sans Secours</v>
          </cell>
        </row>
        <row r="270">
          <cell r="L270" t="str">
            <v>86LISL021AOB</v>
          </cell>
          <cell r="CK270" t="str">
            <v>Nominal C2E sans Secours</v>
          </cell>
        </row>
        <row r="271">
          <cell r="L271" t="str">
            <v>65STLA011AOS</v>
          </cell>
          <cell r="CK271" t="str">
            <v>Nominal C2E Fibre Secours C2E Fibre</v>
          </cell>
        </row>
        <row r="272">
          <cell r="L272" t="str">
            <v>19LEST011AOG</v>
          </cell>
          <cell r="CK272" t="str">
            <v>Nominal C2E Fibre Secours C2E Fibre</v>
          </cell>
        </row>
        <row r="273">
          <cell r="L273" t="str">
            <v>77CHAL011AOB</v>
          </cell>
          <cell r="CK273" t="str">
            <v>Nominal C2E Fibre sans Secours</v>
          </cell>
        </row>
        <row r="274">
          <cell r="L274" t="str">
            <v>25MOUT011AOB</v>
          </cell>
          <cell r="CK274" t="str">
            <v>Nominal C2E Fibre sans Secours</v>
          </cell>
        </row>
        <row r="275">
          <cell r="L275" t="str">
            <v>12MONT011AOM</v>
          </cell>
          <cell r="CK275" t="str">
            <v>Nominal C2E Fibre sans Secours</v>
          </cell>
        </row>
        <row r="276">
          <cell r="L276" t="str">
            <v>97REGI011AOG</v>
          </cell>
          <cell r="CK276" t="str">
            <v>Nominal C2E Secours C2E</v>
          </cell>
        </row>
        <row r="277">
          <cell r="L277" t="str">
            <v>97STGE011AOG</v>
          </cell>
          <cell r="CK277" t="str">
            <v>Nominal C2E Secours C2E</v>
          </cell>
        </row>
        <row r="278">
          <cell r="L278" t="str">
            <v>46LAVA011AOB</v>
          </cell>
          <cell r="CK278" t="str">
            <v>Nominal C2E sans Secours</v>
          </cell>
        </row>
        <row r="279">
          <cell r="L279" t="str">
            <v>31LABA021AOG</v>
          </cell>
          <cell r="CK279" t="str">
            <v>Nominal C2E Fibre Secours C2E Fibre</v>
          </cell>
        </row>
        <row r="280">
          <cell r="L280" t="str">
            <v>24STCA011AOG</v>
          </cell>
          <cell r="CK280" t="str">
            <v>Nominal C2E Fibre Secours C2E Fibre</v>
          </cell>
        </row>
        <row r="281">
          <cell r="L281" t="str">
            <v>07MEYR011AOB</v>
          </cell>
          <cell r="CK281" t="str">
            <v>Nominal C2E sans Secours</v>
          </cell>
        </row>
        <row r="282">
          <cell r="L282" t="str">
            <v>15NEUV011AOS</v>
          </cell>
          <cell r="CK282" t="str">
            <v>Nominal C2E Fibre Secours C2E Fibre</v>
          </cell>
        </row>
        <row r="283">
          <cell r="L283" t="str">
            <v>43MONI031AOB</v>
          </cell>
          <cell r="CK283" t="str">
            <v>Nominal C2E sans Secours</v>
          </cell>
        </row>
        <row r="284">
          <cell r="L284" t="str">
            <v>63QUEU011AOB</v>
          </cell>
          <cell r="CK284" t="str">
            <v>Nominal C2E sans Secours</v>
          </cell>
        </row>
        <row r="285">
          <cell r="L285" t="str">
            <v>12LETR011AOM</v>
          </cell>
          <cell r="CK285" t="str">
            <v>Nominal C2E Fibre sans Secours</v>
          </cell>
        </row>
        <row r="286">
          <cell r="L286" t="str">
            <v>34OLAR011AOM</v>
          </cell>
          <cell r="CK286" t="str">
            <v>Nominal C2E Fibre sans Secours</v>
          </cell>
        </row>
        <row r="287">
          <cell r="L287" t="str">
            <v>38CORP011AOS</v>
          </cell>
          <cell r="CK287" t="str">
            <v>Nominal C2E Fibre Secours C2E Fibre</v>
          </cell>
        </row>
        <row r="288">
          <cell r="L288" t="str">
            <v>46CAJA011AOB</v>
          </cell>
          <cell r="CK288" t="str">
            <v>Nominal C2E Fibre sans Secours</v>
          </cell>
        </row>
        <row r="289">
          <cell r="L289" t="str">
            <v>73AVRI011AOM</v>
          </cell>
          <cell r="CK289" t="str">
            <v>Nominal C2E Fibre sans Secours</v>
          </cell>
        </row>
        <row r="290">
          <cell r="L290" t="str">
            <v>81ARTH011AOM</v>
          </cell>
          <cell r="CK290" t="str">
            <v>Nominal C2E Fibre sans Secours</v>
          </cell>
        </row>
        <row r="291">
          <cell r="L291" t="str">
            <v>81RIVI011AOM</v>
          </cell>
          <cell r="CK291" t="str">
            <v>Nominal C2E sans Secours</v>
          </cell>
        </row>
        <row r="292">
          <cell r="L292" t="str">
            <v>06STMA011AOS</v>
          </cell>
          <cell r="CK292" t="str">
            <v>Nominal C2E Fibre Secours C2E Fibre</v>
          </cell>
        </row>
        <row r="293">
          <cell r="L293" t="str">
            <v>87STMA011AOS</v>
          </cell>
          <cell r="CK293" t="str">
            <v>Nominal C2E Fibre Secours C2E Fibre</v>
          </cell>
        </row>
        <row r="294">
          <cell r="L294" t="str">
            <v>19VOUT011AOS</v>
          </cell>
          <cell r="CK294" t="str">
            <v>Nominal C2E Fibre Secours C2E Fibre</v>
          </cell>
        </row>
        <row r="295">
          <cell r="L295" t="str">
            <v>88RAON011AOS</v>
          </cell>
          <cell r="CK295" t="str">
            <v>Nominal C2E Fibre Secours C2E Fibre</v>
          </cell>
        </row>
        <row r="296">
          <cell r="L296" t="str">
            <v>12MURD021AOM</v>
          </cell>
          <cell r="CK296" t="str">
            <v>Nominal C2E CN2 sans Secours</v>
          </cell>
        </row>
        <row r="297">
          <cell r="L297" t="str">
            <v>15LARO011AOS</v>
          </cell>
          <cell r="CK297" t="str">
            <v>Nominal C2E Fibre Secours C2E Fibre</v>
          </cell>
        </row>
        <row r="298">
          <cell r="L298" t="str">
            <v>31TOUL021AOP</v>
          </cell>
          <cell r="CK298" t="str">
            <v>Nominal InterLan 1.0 Secours InterLan 1.0</v>
          </cell>
        </row>
        <row r="299">
          <cell r="L299" t="str">
            <v>09PERL011AOM</v>
          </cell>
          <cell r="CK299" t="str">
            <v>Nominal C2E Fibre sans Secours</v>
          </cell>
        </row>
        <row r="300">
          <cell r="L300" t="str">
            <v>38CLON011AOB</v>
          </cell>
          <cell r="CK300" t="str">
            <v>Nominal C2E sans Secours</v>
          </cell>
        </row>
        <row r="301">
          <cell r="L301" t="str">
            <v>74MIEU011AOB</v>
          </cell>
          <cell r="CK301" t="str">
            <v>Nominal C2E CN2 sans Secours</v>
          </cell>
        </row>
        <row r="302">
          <cell r="L302" t="str">
            <v>23STPI011AOB</v>
          </cell>
          <cell r="CK302" t="str">
            <v>Nominal C2E sans Secours</v>
          </cell>
        </row>
        <row r="303">
          <cell r="L303" t="str">
            <v>38LAFE011AOB</v>
          </cell>
          <cell r="CK303" t="str">
            <v>Nominal C2E sans Secours</v>
          </cell>
        </row>
        <row r="304">
          <cell r="L304" t="str">
            <v>47LETE011AOS</v>
          </cell>
          <cell r="CK304" t="str">
            <v>Nominal C2E Fibre Secours C2E Fibre</v>
          </cell>
        </row>
        <row r="305">
          <cell r="L305" t="str">
            <v>86MILL011AOB</v>
          </cell>
          <cell r="CK305" t="str">
            <v>Nominal C2E sans Secours</v>
          </cell>
        </row>
        <row r="306">
          <cell r="L306" t="str">
            <v>87STJU011AOB</v>
          </cell>
          <cell r="CK306" t="str">
            <v>Nominal C2E sans Secours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uil1"/>
    </sheetNames>
    <sheetDataSet>
      <sheetData sheetId="0" refreshError="1">
        <row r="1">
          <cell r="B1" t="str">
            <v>CodePAS</v>
          </cell>
          <cell r="C1" t="str">
            <v>Index offre du fournisseur</v>
          </cell>
          <cell r="D1" t="str">
            <v>GTRS1
Coût Plage de support 24h/24 7j/7</v>
          </cell>
          <cell r="E1" t="str">
            <v>Montant Options coûts récurrents</v>
          </cell>
          <cell r="F1" t="str">
            <v>type de GTR dans la parc Orange Business</v>
          </cell>
          <cell r="G1" t="str">
            <v>Vue EDF</v>
          </cell>
        </row>
        <row r="2">
          <cell r="B2" t="str">
            <v>86CHAS011AOP</v>
          </cell>
          <cell r="C2" t="str">
            <v>Platinum_300_300</v>
          </cell>
          <cell r="D2">
            <v>0</v>
          </cell>
          <cell r="E2">
            <v>66</v>
          </cell>
          <cell r="F2" t="str">
            <v>Lundi au Samedi 8h-18h</v>
          </cell>
          <cell r="G2" t="str">
            <v>24h/24 - 7j/7</v>
          </cell>
        </row>
        <row r="3">
          <cell r="B3" t="str">
            <v>69LYON061AOP</v>
          </cell>
          <cell r="C3" t="str">
            <v>Platinum_200_200</v>
          </cell>
          <cell r="D3">
            <v>66</v>
          </cell>
          <cell r="E3">
            <v>66</v>
          </cell>
          <cell r="F3" t="str">
            <v>Lundi au Samedi 8h-18h</v>
          </cell>
          <cell r="G3" t="str">
            <v>Lundi au Samedi 8h-18h</v>
          </cell>
        </row>
        <row r="4">
          <cell r="B4" t="str">
            <v>68MULH011AOP</v>
          </cell>
          <cell r="C4" t="str">
            <v>Platinum_100_100</v>
          </cell>
          <cell r="D4">
            <v>66</v>
          </cell>
          <cell r="E4">
            <v>66</v>
          </cell>
          <cell r="F4" t="str">
            <v>Lundi au Samedi 8h-18h</v>
          </cell>
          <cell r="G4" t="str">
            <v>Lundi au Samedi 8h-18h</v>
          </cell>
        </row>
        <row r="5">
          <cell r="B5" t="str">
            <v>12LETR011AOM</v>
          </cell>
          <cell r="C5" t="str">
            <v>Platinum_MAN_30_0</v>
          </cell>
          <cell r="D5">
            <v>36</v>
          </cell>
          <cell r="E5">
            <v>36</v>
          </cell>
          <cell r="F5" t="str">
            <v>Lundi au Samedi 8h-18h</v>
          </cell>
          <cell r="G5" t="str">
            <v>24h/24 - 7j/7</v>
          </cell>
        </row>
        <row r="6">
          <cell r="B6" t="str">
            <v>97CAYE041AOG</v>
          </cell>
          <cell r="C6" t="str">
            <v>Gold_10_10</v>
          </cell>
          <cell r="D6">
            <v>0</v>
          </cell>
          <cell r="E6">
            <v>0</v>
          </cell>
          <cell r="F6" t="str">
            <v>24h/24 - 7j/7</v>
          </cell>
          <cell r="G6" t="str">
            <v>24h/24 - 7j/7</v>
          </cell>
        </row>
        <row r="7">
          <cell r="B7" t="str">
            <v>97BAIE031AOM</v>
          </cell>
          <cell r="C7" t="str">
            <v>Platinum_MAN_300_0</v>
          </cell>
          <cell r="D7">
            <v>36</v>
          </cell>
          <cell r="E7">
            <v>0</v>
          </cell>
          <cell r="F7" t="str">
            <v>24h/24 - 7j/7</v>
          </cell>
          <cell r="G7" t="str">
            <v>24h/24 - 7j/7</v>
          </cell>
        </row>
        <row r="8">
          <cell r="B8" t="str">
            <v>92MONT032AOP</v>
          </cell>
          <cell r="C8" t="str">
            <v>Platinum_800_800</v>
          </cell>
          <cell r="D8">
            <v>0</v>
          </cell>
          <cell r="E8">
            <v>0</v>
          </cell>
          <cell r="F8" t="str">
            <v>24h/24 - 7j/7</v>
          </cell>
          <cell r="G8" t="str">
            <v>Lundi au Samedi 8h-18h</v>
          </cell>
        </row>
        <row r="9">
          <cell r="B9" t="str">
            <v>89DOME011AOS</v>
          </cell>
          <cell r="C9" t="str">
            <v>Silver_30_30</v>
          </cell>
          <cell r="D9">
            <v>0</v>
          </cell>
          <cell r="E9">
            <v>0</v>
          </cell>
          <cell r="F9" t="str">
            <v>24h/24 - 7j/7</v>
          </cell>
          <cell r="G9" t="str">
            <v>Lundi au Samedi 8h-18h</v>
          </cell>
        </row>
        <row r="10">
          <cell r="B10" t="str">
            <v>88RAON011AOS</v>
          </cell>
          <cell r="C10" t="str">
            <v>Silver_10_10</v>
          </cell>
          <cell r="D10">
            <v>0</v>
          </cell>
          <cell r="E10">
            <v>0</v>
          </cell>
          <cell r="F10" t="str">
            <v>24h/24 - 7j/7</v>
          </cell>
          <cell r="G10" t="str">
            <v>Lundi au Samedi 8h-18h</v>
          </cell>
        </row>
        <row r="11">
          <cell r="B11" t="str">
            <v>73STMI011AOM</v>
          </cell>
          <cell r="C11" t="str">
            <v>Platinum_MAN_20_0</v>
          </cell>
          <cell r="D11">
            <v>0</v>
          </cell>
          <cell r="E11">
            <v>0</v>
          </cell>
          <cell r="F11" t="str">
            <v>24h/24 - 7j/7</v>
          </cell>
          <cell r="G11" t="str">
            <v>Lundi au Samedi 8h-18h</v>
          </cell>
        </row>
        <row r="12">
          <cell r="B12" t="str">
            <v>69LYON101AOG</v>
          </cell>
          <cell r="C12" t="str">
            <v>Gold_100_100</v>
          </cell>
          <cell r="F12" t="str">
            <v>24h/24 - 7j/7</v>
          </cell>
          <cell r="G12" t="str">
            <v>Lundi au Samedi 8h-18h</v>
          </cell>
        </row>
        <row r="13">
          <cell r="B13" t="str">
            <v>69LYON091AOP</v>
          </cell>
          <cell r="C13" t="str">
            <v>Platinum_1000_1000</v>
          </cell>
          <cell r="D13">
            <v>0</v>
          </cell>
          <cell r="E13">
            <v>0</v>
          </cell>
          <cell r="F13" t="str">
            <v>24h/24 - 7j/7</v>
          </cell>
          <cell r="G13" t="str">
            <v>Lundi au Samedi 8h-18h</v>
          </cell>
        </row>
        <row r="14">
          <cell r="B14" t="str">
            <v>67STRA031AOG</v>
          </cell>
          <cell r="C14" t="str">
            <v>Gold_20_20</v>
          </cell>
          <cell r="D14">
            <v>0</v>
          </cell>
          <cell r="E14">
            <v>0</v>
          </cell>
          <cell r="F14" t="str">
            <v>24h/24 - 7j/7</v>
          </cell>
          <cell r="G14" t="str">
            <v>Lundi au Samedi 8h-18h</v>
          </cell>
        </row>
        <row r="15">
          <cell r="B15" t="str">
            <v>67GAMB013AOS</v>
          </cell>
          <cell r="C15" t="str">
            <v>Silver_20_20</v>
          </cell>
          <cell r="D15">
            <v>0</v>
          </cell>
          <cell r="E15">
            <v>0</v>
          </cell>
          <cell r="F15" t="str">
            <v>24h/24 - 7j/7</v>
          </cell>
          <cell r="G15" t="str">
            <v>Lundi au Samedi 8h-18h</v>
          </cell>
        </row>
        <row r="16">
          <cell r="B16" t="str">
            <v>63THIE011AOG</v>
          </cell>
          <cell r="C16" t="str">
            <v>Gold_15_15</v>
          </cell>
          <cell r="D16">
            <v>0</v>
          </cell>
          <cell r="E16">
            <v>0</v>
          </cell>
          <cell r="F16" t="str">
            <v>24h/24 - 7j/7</v>
          </cell>
          <cell r="G16" t="str">
            <v>Lundi au Samedi 8h-18h</v>
          </cell>
        </row>
        <row r="17">
          <cell r="B17" t="str">
            <v>59SEQU011AOG</v>
          </cell>
          <cell r="C17" t="str">
            <v>Gold_30_30</v>
          </cell>
          <cell r="D17">
            <v>0</v>
          </cell>
          <cell r="E17">
            <v>0</v>
          </cell>
          <cell r="F17" t="str">
            <v>24h/24 - 7j/7</v>
          </cell>
          <cell r="G17" t="str">
            <v>Lundi au Samedi 8h-18h</v>
          </cell>
        </row>
        <row r="18">
          <cell r="B18" t="str">
            <v>56VANN011AOG</v>
          </cell>
          <cell r="C18" t="str">
            <v>Gold_50_50</v>
          </cell>
          <cell r="D18">
            <v>0</v>
          </cell>
          <cell r="E18">
            <v>0</v>
          </cell>
          <cell r="F18" t="str">
            <v>24h/24 - 7j/7</v>
          </cell>
          <cell r="G18" t="str">
            <v>Lundi au Samedi 8h-18h</v>
          </cell>
        </row>
        <row r="19">
          <cell r="B19" t="str">
            <v>38LAVE011AOG</v>
          </cell>
          <cell r="C19" t="str">
            <v>Gold_30_30</v>
          </cell>
          <cell r="D19">
            <v>0</v>
          </cell>
          <cell r="E19">
            <v>0</v>
          </cell>
          <cell r="F19" t="str">
            <v>24h/24 - 7j/7</v>
          </cell>
          <cell r="G19" t="str">
            <v>Lundi au Samedi 8h-18h</v>
          </cell>
        </row>
        <row r="20">
          <cell r="B20" t="str">
            <v>35RENN021AOS</v>
          </cell>
          <cell r="C20" t="str">
            <v>Silver_50_50</v>
          </cell>
          <cell r="D20">
            <v>0</v>
          </cell>
          <cell r="E20">
            <v>0</v>
          </cell>
          <cell r="F20" t="str">
            <v>24h/24 - 7j/7</v>
          </cell>
          <cell r="G20" t="str">
            <v>Lundi au Samedi 8h-18h</v>
          </cell>
        </row>
        <row r="21">
          <cell r="B21" t="str">
            <v>31TOUL071AOG</v>
          </cell>
          <cell r="C21" t="str">
            <v>Gold_300_300</v>
          </cell>
          <cell r="D21">
            <v>0</v>
          </cell>
          <cell r="E21">
            <v>0</v>
          </cell>
          <cell r="F21" t="str">
            <v>24h/24 - 7j/7</v>
          </cell>
          <cell r="G21" t="str">
            <v>Lundi au Samedi 8h-18h</v>
          </cell>
        </row>
        <row r="22">
          <cell r="B22" t="str">
            <v>20BAST041AOG</v>
          </cell>
          <cell r="C22" t="str">
            <v>Gold_30_30</v>
          </cell>
          <cell r="D22">
            <v>0</v>
          </cell>
          <cell r="E22">
            <v>0</v>
          </cell>
          <cell r="F22" t="str">
            <v>24h/24 - 7j/7</v>
          </cell>
          <cell r="G22" t="str">
            <v>Lundi au Samedi 8h-18h</v>
          </cell>
        </row>
        <row r="23">
          <cell r="B23" t="str">
            <v>06NICE011AOG</v>
          </cell>
          <cell r="C23" t="str">
            <v>Gold_100_100</v>
          </cell>
          <cell r="D23">
            <v>0</v>
          </cell>
          <cell r="E23">
            <v>0</v>
          </cell>
          <cell r="F23" t="str">
            <v>24h/24 - 7j/7</v>
          </cell>
          <cell r="G23" t="str">
            <v>Lundi au Samedi 8h-18h</v>
          </cell>
        </row>
        <row r="24">
          <cell r="B24" t="str">
            <v>83TOUL011AOG</v>
          </cell>
          <cell r="C24" t="str">
            <v>Gold_50_50</v>
          </cell>
          <cell r="D24">
            <v>66</v>
          </cell>
          <cell r="E24">
            <v>0</v>
          </cell>
          <cell r="F24" t="str">
            <v>Lundi au Samedi 8h-18h</v>
          </cell>
          <cell r="G24" t="str">
            <v>Lundi au Samedi 8h-18h</v>
          </cell>
        </row>
        <row r="25">
          <cell r="B25" t="str">
            <v>80AMIE011AOG</v>
          </cell>
          <cell r="C25" t="str">
            <v>Gold_30_30</v>
          </cell>
          <cell r="D25">
            <v>66</v>
          </cell>
          <cell r="E25">
            <v>0</v>
          </cell>
          <cell r="F25" t="str">
            <v>Lundi au Samedi 8h-18h</v>
          </cell>
          <cell r="G25" t="str">
            <v>Lundi au Samedi 8h-18h</v>
          </cell>
        </row>
        <row r="26">
          <cell r="B26" t="str">
            <v>66RIVE011AOG</v>
          </cell>
          <cell r="C26" t="str">
            <v>Gold_50_50</v>
          </cell>
          <cell r="D26">
            <v>66</v>
          </cell>
          <cell r="E26">
            <v>0</v>
          </cell>
          <cell r="F26" t="str">
            <v>Lundi au Samedi 8h-18h</v>
          </cell>
          <cell r="G26" t="str">
            <v>Lundi au Samedi 8h-18h</v>
          </cell>
        </row>
        <row r="27">
          <cell r="B27" t="str">
            <v>59MARL011AOG</v>
          </cell>
          <cell r="C27" t="str">
            <v>Gold_50_50</v>
          </cell>
          <cell r="D27">
            <v>66</v>
          </cell>
          <cell r="E27">
            <v>0</v>
          </cell>
          <cell r="F27" t="str">
            <v>Lundi au Samedi 8h-18h</v>
          </cell>
          <cell r="G27" t="str">
            <v>Lundi au Samedi 8h-18h</v>
          </cell>
        </row>
        <row r="28">
          <cell r="B28" t="str">
            <v>59MARC011AOG</v>
          </cell>
          <cell r="C28" t="str">
            <v>Gold_50_50</v>
          </cell>
          <cell r="D28">
            <v>66</v>
          </cell>
          <cell r="E28">
            <v>0</v>
          </cell>
          <cell r="F28" t="str">
            <v>Lundi au Samedi 8h-18h</v>
          </cell>
          <cell r="G28" t="str">
            <v>Lundi au Samedi 8h-18h</v>
          </cell>
        </row>
        <row r="29">
          <cell r="B29" t="str">
            <v>59LILL031AOG</v>
          </cell>
          <cell r="C29" t="str">
            <v>Gold_30_30</v>
          </cell>
          <cell r="D29">
            <v>66</v>
          </cell>
          <cell r="E29">
            <v>0</v>
          </cell>
          <cell r="F29" t="str">
            <v>Lundi au Samedi 8h-18h</v>
          </cell>
          <cell r="G29" t="str">
            <v>Lundi au Samedi 8h-18h</v>
          </cell>
        </row>
        <row r="30">
          <cell r="B30" t="str">
            <v>59LILL011AOG</v>
          </cell>
          <cell r="C30" t="str">
            <v>Gold_100_100</v>
          </cell>
          <cell r="D30">
            <v>66</v>
          </cell>
          <cell r="E30">
            <v>0</v>
          </cell>
          <cell r="F30" t="str">
            <v>Lundi au Samedi 8h-18h</v>
          </cell>
          <cell r="G30" t="str">
            <v>Lundi au Samedi 8h-18h</v>
          </cell>
        </row>
        <row r="31">
          <cell r="B31" t="str">
            <v>37TOUR011AOP</v>
          </cell>
          <cell r="C31" t="str">
            <v>Platinum_150_150</v>
          </cell>
          <cell r="D31">
            <v>66</v>
          </cell>
          <cell r="E31">
            <v>0</v>
          </cell>
          <cell r="F31" t="str">
            <v>Lundi au Samedi 8h-18h</v>
          </cell>
          <cell r="G31" t="str">
            <v>Lundi au Samedi 8h-18h</v>
          </cell>
        </row>
        <row r="32">
          <cell r="B32" t="str">
            <v>30NIME011AOG</v>
          </cell>
          <cell r="C32" t="str">
            <v>Gold_50_50</v>
          </cell>
          <cell r="D32">
            <v>66</v>
          </cell>
          <cell r="E32">
            <v>0</v>
          </cell>
          <cell r="F32" t="str">
            <v>Lundi au Samedi 8h-18h</v>
          </cell>
          <cell r="G32" t="str">
            <v>Lundi au Samedi 8h-18h</v>
          </cell>
        </row>
        <row r="33">
          <cell r="B33" t="str">
            <v>14HERO011AOP</v>
          </cell>
          <cell r="C33" t="str">
            <v>Platinum_50_50</v>
          </cell>
          <cell r="D33">
            <v>66</v>
          </cell>
          <cell r="E33">
            <v>0</v>
          </cell>
          <cell r="F33" t="str">
            <v>Lundi au Samedi 8h-18h</v>
          </cell>
          <cell r="G33" t="str">
            <v>Lundi au Samedi 8h-18h</v>
          </cell>
        </row>
        <row r="34">
          <cell r="B34" t="str">
            <v>13MARS021AOP</v>
          </cell>
          <cell r="C34" t="str">
            <v>Platinum_300_300</v>
          </cell>
          <cell r="D34">
            <v>66</v>
          </cell>
          <cell r="E34">
            <v>0</v>
          </cell>
          <cell r="F34" t="str">
            <v>Lundi au Samedi 8h-18h</v>
          </cell>
          <cell r="G34" t="str">
            <v>Lundi au Samedi 8h-18h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acturation PAS RIN5 RUN"/>
      <sheetName val="Facturation Autres RIN5"/>
      <sheetName val="Facturation PAS RIN5 AUTRES RUN"/>
      <sheetName val="Détail facturation RIN5"/>
      <sheetName val="Tarifs Accès RIN5"/>
      <sheetName val="Récap. postes"/>
      <sheetName val="Prix accès"/>
      <sheetName val="Feuil4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Code Site</v>
          </cell>
          <cell r="B1" t="str">
            <v>Code Satin</v>
          </cell>
          <cell r="C1" t="str">
            <v>Vague projet</v>
          </cell>
          <cell r="D1" t="str">
            <v>Prix abo</v>
          </cell>
        </row>
        <row r="2">
          <cell r="A2" t="str">
            <v>01BOUR011AOB</v>
          </cell>
          <cell r="B2">
            <v>24912839</v>
          </cell>
          <cell r="C2" t="str">
            <v>VDS</v>
          </cell>
          <cell r="D2">
            <v>611</v>
          </cell>
        </row>
        <row r="3">
          <cell r="A3" t="str">
            <v>01BOUR011AOG</v>
          </cell>
          <cell r="B3">
            <v>24770987</v>
          </cell>
          <cell r="C3" t="str">
            <v>VDS</v>
          </cell>
          <cell r="D3">
            <v>1063</v>
          </cell>
        </row>
        <row r="4">
          <cell r="A4" t="str">
            <v>01CIVR011AOS</v>
          </cell>
          <cell r="C4" t="str">
            <v>VDS</v>
          </cell>
          <cell r="D4">
            <v>3287</v>
          </cell>
        </row>
        <row r="5">
          <cell r="A5" t="str">
            <v>01SAMO011AOB</v>
          </cell>
          <cell r="B5" t="str">
            <v>0024408571</v>
          </cell>
          <cell r="C5" t="str">
            <v>Vague 1</v>
          </cell>
          <cell r="D5">
            <v>272.41198185659005</v>
          </cell>
        </row>
        <row r="6">
          <cell r="A6" t="str">
            <v>01STVU021AOB</v>
          </cell>
          <cell r="B6" t="str">
            <v>0024531221</v>
          </cell>
          <cell r="C6" t="str">
            <v>Vague 2</v>
          </cell>
          <cell r="D6">
            <v>598.61198185659009</v>
          </cell>
        </row>
        <row r="7">
          <cell r="A7" t="str">
            <v>04STTU021AOB</v>
          </cell>
          <cell r="B7">
            <v>24647543</v>
          </cell>
          <cell r="C7" t="str">
            <v>Vague 3</v>
          </cell>
        </row>
        <row r="8">
          <cell r="A8" t="str">
            <v>05GAPZ011AOB</v>
          </cell>
          <cell r="B8" t="str">
            <v>0024648960</v>
          </cell>
          <cell r="C8" t="str">
            <v>Vague 3</v>
          </cell>
          <cell r="D8">
            <v>368.21198185659011</v>
          </cell>
        </row>
        <row r="9">
          <cell r="A9" t="str">
            <v>05LARA011AOG</v>
          </cell>
          <cell r="B9" t="str">
            <v>0024444540</v>
          </cell>
          <cell r="C9" t="str">
            <v>Vague 1</v>
          </cell>
          <cell r="D9">
            <v>1055.0564263010344</v>
          </cell>
        </row>
        <row r="10">
          <cell r="A10" t="str">
            <v>05LARG011AOG</v>
          </cell>
          <cell r="B10" t="str">
            <v>0024653377</v>
          </cell>
          <cell r="C10" t="str">
            <v>Vague 3</v>
          </cell>
          <cell r="D10">
            <v>1063.0564263010344</v>
          </cell>
        </row>
        <row r="11">
          <cell r="A11" t="str">
            <v>06LECA011AOG</v>
          </cell>
          <cell r="B11" t="str">
            <v>0024529384</v>
          </cell>
          <cell r="C11" t="str">
            <v>Vague 2</v>
          </cell>
          <cell r="D11">
            <v>1335.4564263010345</v>
          </cell>
        </row>
        <row r="12">
          <cell r="A12" t="str">
            <v>06NICE011AOG</v>
          </cell>
          <cell r="B12" t="str">
            <v>0024529385</v>
          </cell>
          <cell r="C12" t="str">
            <v>Vague 2</v>
          </cell>
          <cell r="D12">
            <v>1738</v>
          </cell>
        </row>
        <row r="13">
          <cell r="A13" t="str">
            <v>06NICE021AOG</v>
          </cell>
          <cell r="B13" t="str">
            <v>0024531223</v>
          </cell>
          <cell r="C13" t="str">
            <v>Vague 2</v>
          </cell>
          <cell r="D13">
            <v>1055.0564263010344</v>
          </cell>
        </row>
        <row r="14">
          <cell r="A14" t="str">
            <v>06NICE031AOG</v>
          </cell>
          <cell r="B14" t="str">
            <v>0024529324</v>
          </cell>
          <cell r="C14" t="str">
            <v>VDS</v>
          </cell>
          <cell r="D14">
            <v>1564</v>
          </cell>
        </row>
        <row r="15">
          <cell r="A15" t="str">
            <v>06ROQU011AOB</v>
          </cell>
          <cell r="B15" t="str">
            <v>0024288794</v>
          </cell>
          <cell r="C15" t="str">
            <v>Pilotes</v>
          </cell>
          <cell r="D15">
            <v>1116.41198185659</v>
          </cell>
        </row>
        <row r="16">
          <cell r="A16" t="str">
            <v>06STDA011AOS</v>
          </cell>
          <cell r="B16" t="str">
            <v>0024511011</v>
          </cell>
          <cell r="C16" t="str">
            <v>VDS</v>
          </cell>
          <cell r="D16">
            <v>2064</v>
          </cell>
        </row>
        <row r="17">
          <cell r="A17" t="str">
            <v>06STMA011AOS</v>
          </cell>
          <cell r="B17" t="str">
            <v>0024714475</v>
          </cell>
          <cell r="C17" t="str">
            <v>Vague 3</v>
          </cell>
          <cell r="D17">
            <v>1063.0564263010344</v>
          </cell>
        </row>
        <row r="18">
          <cell r="A18" t="str">
            <v>06STMA022AOB</v>
          </cell>
          <cell r="B18">
            <v>25027981</v>
          </cell>
          <cell r="C18" t="str">
            <v>VDS</v>
          </cell>
          <cell r="D18">
            <v>1113</v>
          </cell>
        </row>
        <row r="19">
          <cell r="A19" t="str">
            <v>07CRUA021AOB</v>
          </cell>
          <cell r="B19" t="str">
            <v>0024648961</v>
          </cell>
          <cell r="C19" t="str">
            <v>Vague 3</v>
          </cell>
          <cell r="D19">
            <v>254.41198185659007</v>
          </cell>
        </row>
        <row r="20">
          <cell r="A20" t="str">
            <v>07LESS011AOG</v>
          </cell>
          <cell r="B20" t="str">
            <v>0024408573</v>
          </cell>
          <cell r="C20" t="str">
            <v>Vague 1</v>
          </cell>
          <cell r="D20">
            <v>1235.4564263010345</v>
          </cell>
        </row>
        <row r="21">
          <cell r="A21" t="str">
            <v>07MEYR011AOB</v>
          </cell>
          <cell r="B21" t="str">
            <v>0024536927</v>
          </cell>
          <cell r="C21" t="str">
            <v>Vague 2</v>
          </cell>
          <cell r="D21">
            <v>254.41198185659007</v>
          </cell>
        </row>
        <row r="22">
          <cell r="A22" t="str">
            <v>07MONT011AOG</v>
          </cell>
          <cell r="B22" t="str">
            <v>0024531225</v>
          </cell>
          <cell r="C22" t="str">
            <v>Vague 2</v>
          </cell>
          <cell r="D22">
            <v>1055.0564263010344</v>
          </cell>
        </row>
        <row r="23">
          <cell r="A23" t="str">
            <v>08ROCR011AOG</v>
          </cell>
          <cell r="B23" t="str">
            <v>0024408574</v>
          </cell>
          <cell r="C23" t="str">
            <v>Vague 1</v>
          </cell>
          <cell r="D23">
            <v>1225.2564263010347</v>
          </cell>
        </row>
        <row r="24">
          <cell r="A24" t="str">
            <v>09FOIX011AOB</v>
          </cell>
          <cell r="B24" t="str">
            <v>0024648962</v>
          </cell>
          <cell r="C24" t="str">
            <v>Vague 3</v>
          </cell>
        </row>
        <row r="25">
          <cell r="A25" t="str">
            <v>09FOIX021AOB</v>
          </cell>
          <cell r="C25" t="str">
            <v>Vague 3</v>
          </cell>
        </row>
        <row r="26">
          <cell r="A26" t="str">
            <v>09FOIX031AOB</v>
          </cell>
          <cell r="B26" t="str">
            <v>0024648964</v>
          </cell>
          <cell r="C26" t="str">
            <v>Vague 3</v>
          </cell>
          <cell r="D26">
            <v>254</v>
          </cell>
        </row>
        <row r="27">
          <cell r="A27" t="str">
            <v>09PERL011AOM</v>
          </cell>
          <cell r="B27" t="str">
            <v>0024655960</v>
          </cell>
          <cell r="C27" t="str">
            <v>Vague 3</v>
          </cell>
          <cell r="D27">
            <v>1325.8119818565901</v>
          </cell>
        </row>
        <row r="28">
          <cell r="A28" t="str">
            <v>09SOUE011AOB</v>
          </cell>
          <cell r="C28" t="str">
            <v>Vague 4</v>
          </cell>
          <cell r="D28">
            <v>272</v>
          </cell>
        </row>
        <row r="29">
          <cell r="A29" t="str">
            <v>09TARA011AOS</v>
          </cell>
          <cell r="B29" t="str">
            <v>0024529387</v>
          </cell>
          <cell r="C29" t="str">
            <v>Vague 2</v>
          </cell>
          <cell r="D29">
            <v>1081.2564263010345</v>
          </cell>
        </row>
        <row r="30">
          <cell r="A30" t="str">
            <v>10PONT011AOG</v>
          </cell>
          <cell r="B30" t="str">
            <v>0024531227</v>
          </cell>
          <cell r="C30" t="str">
            <v>Vague 2</v>
          </cell>
          <cell r="D30">
            <v>1920.0564263010347</v>
          </cell>
        </row>
        <row r="31">
          <cell r="A31" t="str">
            <v>10TROY011AOG</v>
          </cell>
          <cell r="B31" t="str">
            <v>0024408575</v>
          </cell>
          <cell r="C31" t="str">
            <v>Vague 1</v>
          </cell>
          <cell r="D31">
            <v>1335.4564263010345</v>
          </cell>
        </row>
        <row r="32">
          <cell r="A32" t="str">
            <v>11AXAT011AOG</v>
          </cell>
          <cell r="B32" t="str">
            <v>0024531229</v>
          </cell>
          <cell r="C32" t="str">
            <v>Vague 2</v>
          </cell>
          <cell r="D32">
            <v>1055.0564263010344</v>
          </cell>
        </row>
        <row r="33">
          <cell r="A33" t="str">
            <v>11AXAT021AOM</v>
          </cell>
          <cell r="B33" t="str">
            <v>0024655961</v>
          </cell>
          <cell r="C33" t="str">
            <v>Vague 3</v>
          </cell>
          <cell r="D33">
            <v>712.81198185659014</v>
          </cell>
        </row>
        <row r="34">
          <cell r="A34" t="str">
            <v>12ENTR011AOM</v>
          </cell>
          <cell r="B34" t="str">
            <v>0024531854</v>
          </cell>
          <cell r="C34" t="str">
            <v>Vague 2</v>
          </cell>
          <cell r="D34">
            <v>704.81198185659014</v>
          </cell>
        </row>
        <row r="35">
          <cell r="A35" t="str">
            <v>12CAST011AOB</v>
          </cell>
          <cell r="C35" t="str">
            <v>VDS</v>
          </cell>
          <cell r="D35">
            <v>272</v>
          </cell>
        </row>
        <row r="36">
          <cell r="A36" t="str">
            <v>12GOLI011AOB</v>
          </cell>
          <cell r="C36" t="str">
            <v>VDS</v>
          </cell>
          <cell r="D36">
            <v>268</v>
          </cell>
        </row>
        <row r="37">
          <cell r="A37" t="str">
            <v>12LETR011AOM</v>
          </cell>
          <cell r="B37" t="str">
            <v>0024655962</v>
          </cell>
          <cell r="C37" t="str">
            <v>Vague 3</v>
          </cell>
          <cell r="D37">
            <v>600</v>
          </cell>
        </row>
        <row r="38">
          <cell r="A38" t="str">
            <v>12MONT011AOM</v>
          </cell>
          <cell r="B38" t="str">
            <v>0024529389</v>
          </cell>
          <cell r="C38" t="str">
            <v>Vague 2</v>
          </cell>
          <cell r="D38">
            <v>1479.91198185659</v>
          </cell>
        </row>
        <row r="39">
          <cell r="A39" t="str">
            <v>12MURD011AOG</v>
          </cell>
          <cell r="B39" t="str">
            <v>0024473824</v>
          </cell>
          <cell r="C39" t="str">
            <v>Vague 1</v>
          </cell>
          <cell r="D39">
            <v>2090.2564263010345</v>
          </cell>
        </row>
        <row r="40">
          <cell r="A40" t="str">
            <v>12MURD021AOM</v>
          </cell>
          <cell r="B40" t="str">
            <v>0024536843</v>
          </cell>
          <cell r="C40" t="str">
            <v>Vague 2</v>
          </cell>
          <cell r="D40">
            <v>272</v>
          </cell>
        </row>
        <row r="41">
          <cell r="A41" t="str">
            <v>12REQU011AOS</v>
          </cell>
          <cell r="B41">
            <v>24737930</v>
          </cell>
          <cell r="C41" t="str">
            <v>Vague 4</v>
          </cell>
          <cell r="D41">
            <v>374</v>
          </cell>
        </row>
        <row r="42">
          <cell r="A42" t="str">
            <v>12RODE011AOB</v>
          </cell>
          <cell r="C42" t="str">
            <v>VDS</v>
          </cell>
          <cell r="D42">
            <v>383</v>
          </cell>
        </row>
        <row r="43">
          <cell r="A43" t="str">
            <v>13AIXE011AOG</v>
          </cell>
          <cell r="B43" t="str">
            <v>0024408577</v>
          </cell>
          <cell r="C43" t="str">
            <v>Vague 1</v>
          </cell>
          <cell r="D43">
            <v>1335.4564263010345</v>
          </cell>
        </row>
        <row r="44">
          <cell r="A44" t="str">
            <v>13AIXE021AOG</v>
          </cell>
          <cell r="B44" t="str">
            <v>0024531232</v>
          </cell>
          <cell r="C44" t="str">
            <v>Vague 2</v>
          </cell>
          <cell r="D44">
            <v>1225.2564263010347</v>
          </cell>
        </row>
        <row r="45">
          <cell r="A45" t="str">
            <v>13AIXE33AOG</v>
          </cell>
          <cell r="C45" t="str">
            <v>VDS</v>
          </cell>
          <cell r="D45">
            <v>2197</v>
          </cell>
        </row>
        <row r="46">
          <cell r="A46" t="str">
            <v>13MARS011AOG</v>
          </cell>
          <cell r="B46" t="str">
            <v>0024409701</v>
          </cell>
          <cell r="C46" t="str">
            <v>Vague 1</v>
          </cell>
          <cell r="D46">
            <v>1749.0564263010347</v>
          </cell>
        </row>
        <row r="47">
          <cell r="A47" t="str">
            <v>13MARS021AOP</v>
          </cell>
          <cell r="B47" t="str">
            <v>0024432351</v>
          </cell>
          <cell r="C47" t="str">
            <v>Vague 1</v>
          </cell>
          <cell r="D47">
            <v>2597</v>
          </cell>
        </row>
        <row r="48">
          <cell r="A48" t="str">
            <v>14CAEN021AOG</v>
          </cell>
          <cell r="B48" t="str">
            <v>0024531234</v>
          </cell>
          <cell r="C48" t="str">
            <v>Vague 2</v>
          </cell>
          <cell r="D48">
            <v>1899.0564263010347</v>
          </cell>
        </row>
        <row r="49">
          <cell r="A49" t="str">
            <v>14HERO011AOP</v>
          </cell>
          <cell r="B49" t="str">
            <v>0024529392</v>
          </cell>
          <cell r="C49" t="str">
            <v>Vague 2</v>
          </cell>
          <cell r="D49">
            <v>1947.6564263010346</v>
          </cell>
        </row>
        <row r="50">
          <cell r="A50" t="str">
            <v>15AURI011AOG</v>
          </cell>
          <cell r="B50" t="str">
            <v>0024408579</v>
          </cell>
          <cell r="C50" t="str">
            <v>Vague 1</v>
          </cell>
          <cell r="D50">
            <v>1081.2564263010345</v>
          </cell>
        </row>
        <row r="51">
          <cell r="A51" t="str">
            <v>15LARO011AOS</v>
          </cell>
          <cell r="B51" t="str">
            <v>0024536905</v>
          </cell>
          <cell r="C51" t="str">
            <v>Vague 2</v>
          </cell>
          <cell r="D51">
            <v>2460.2564263010345</v>
          </cell>
        </row>
        <row r="52">
          <cell r="A52" t="str">
            <v>15NEUV011AOS</v>
          </cell>
          <cell r="B52" t="str">
            <v>0024536906</v>
          </cell>
          <cell r="C52" t="str">
            <v>Vague 2</v>
          </cell>
          <cell r="D52">
            <v>2064.0564263010347</v>
          </cell>
        </row>
        <row r="53">
          <cell r="A53" t="str">
            <v>16ISLE011AOP</v>
          </cell>
          <cell r="B53" t="str">
            <v>0024365320</v>
          </cell>
          <cell r="C53" t="str">
            <v>Vague 1</v>
          </cell>
          <cell r="D53">
            <v>1718.6564263010346</v>
          </cell>
        </row>
        <row r="54">
          <cell r="A54" t="str">
            <v>17PERI011AOG</v>
          </cell>
          <cell r="B54" t="str">
            <v>0024658013</v>
          </cell>
          <cell r="C54" t="str">
            <v>Vague 3</v>
          </cell>
          <cell r="D54">
            <v>1620</v>
          </cell>
        </row>
        <row r="55">
          <cell r="A55" t="str">
            <v>19ARGE011AOG</v>
          </cell>
          <cell r="B55" t="str">
            <v>0024408580</v>
          </cell>
          <cell r="C55" t="str">
            <v>Vague 1</v>
          </cell>
          <cell r="D55">
            <v>1081.2564263010345</v>
          </cell>
        </row>
        <row r="56">
          <cell r="A56" t="str">
            <v>19LEST011AOG</v>
          </cell>
          <cell r="B56" t="str">
            <v>0024531236</v>
          </cell>
          <cell r="C56" t="str">
            <v>Vague 2</v>
          </cell>
          <cell r="D56">
            <v>2048.0564263010347</v>
          </cell>
        </row>
        <row r="57">
          <cell r="A57" t="str">
            <v>19ROCH011AOB</v>
          </cell>
          <cell r="C57" t="str">
            <v>VDS</v>
          </cell>
          <cell r="D57">
            <v>254</v>
          </cell>
        </row>
        <row r="58">
          <cell r="A58" t="str">
            <v>19SERA011AOB</v>
          </cell>
          <cell r="C58" t="str">
            <v>VDS</v>
          </cell>
          <cell r="D58">
            <v>254</v>
          </cell>
        </row>
        <row r="59">
          <cell r="A59" t="str">
            <v>19TULL011AOG</v>
          </cell>
          <cell r="B59" t="str">
            <v>0024408581</v>
          </cell>
          <cell r="C59" t="str">
            <v>Vague 1</v>
          </cell>
          <cell r="D59">
            <v>1081.2564263010345</v>
          </cell>
        </row>
        <row r="60">
          <cell r="A60" t="str">
            <v>19TULL021AOS</v>
          </cell>
          <cell r="B60" t="str">
            <v>0024529394</v>
          </cell>
          <cell r="C60" t="str">
            <v>Vague 2</v>
          </cell>
          <cell r="D60">
            <v>1251.4564263010345</v>
          </cell>
        </row>
        <row r="61">
          <cell r="A61" t="str">
            <v>19VOUT011AOS</v>
          </cell>
          <cell r="B61" t="str">
            <v>0024511669</v>
          </cell>
          <cell r="C61" t="str">
            <v>VDS</v>
          </cell>
          <cell r="D61">
            <v>2064</v>
          </cell>
        </row>
        <row r="62">
          <cell r="A62" t="str">
            <v>20AJAC011AOG</v>
          </cell>
          <cell r="B62" t="str">
            <v>0024288795</v>
          </cell>
          <cell r="C62" t="str">
            <v>Pilotes</v>
          </cell>
          <cell r="D62">
            <v>1145.2564263010345</v>
          </cell>
        </row>
        <row r="63">
          <cell r="A63" t="str">
            <v>20AJAC041AOS</v>
          </cell>
          <cell r="B63" t="str">
            <v>0024715646</v>
          </cell>
          <cell r="C63" t="str">
            <v>Vague 3</v>
          </cell>
          <cell r="D63">
            <v>755.25642630103448</v>
          </cell>
        </row>
        <row r="64">
          <cell r="A64" t="str">
            <v>20AJAC051AOG</v>
          </cell>
          <cell r="B64">
            <v>24654305</v>
          </cell>
          <cell r="C64" t="str">
            <v>Vague 3</v>
          </cell>
        </row>
        <row r="65">
          <cell r="A65" t="str">
            <v>20AJAC071AOG</v>
          </cell>
          <cell r="B65" t="str">
            <v>0024531238</v>
          </cell>
          <cell r="C65" t="str">
            <v>Vague 2</v>
          </cell>
          <cell r="D65">
            <v>1055.0564263010344</v>
          </cell>
        </row>
        <row r="66">
          <cell r="A66" t="str">
            <v>20BAST011AOG</v>
          </cell>
          <cell r="B66" t="str">
            <v>0024408634</v>
          </cell>
          <cell r="C66" t="str">
            <v>Vague 1</v>
          </cell>
          <cell r="D66">
            <v>1055.0564263010344</v>
          </cell>
        </row>
        <row r="67">
          <cell r="A67" t="str">
            <v>20BAST021AOG</v>
          </cell>
          <cell r="B67" t="str">
            <v>0024529396</v>
          </cell>
          <cell r="C67" t="str">
            <v>Vague 2</v>
          </cell>
          <cell r="D67">
            <v>725.25642630103448</v>
          </cell>
        </row>
        <row r="68">
          <cell r="A68" t="str">
            <v>20BAST041AOG</v>
          </cell>
          <cell r="B68" t="str">
            <v>0024529398</v>
          </cell>
          <cell r="C68" t="str">
            <v>Vague 2</v>
          </cell>
          <cell r="D68">
            <v>1351</v>
          </cell>
        </row>
        <row r="69">
          <cell r="A69" t="str">
            <v>20BORG011AOG</v>
          </cell>
          <cell r="B69" t="str">
            <v>0024531241</v>
          </cell>
          <cell r="C69" t="str">
            <v>Vague 2</v>
          </cell>
          <cell r="D69">
            <v>1225.2564263010347</v>
          </cell>
        </row>
        <row r="70">
          <cell r="A70" t="str">
            <v>20CALV011AOS</v>
          </cell>
          <cell r="B70" t="str">
            <v>0024529400</v>
          </cell>
          <cell r="C70" t="str">
            <v>Vague 2</v>
          </cell>
          <cell r="D70">
            <v>725.25642630103448</v>
          </cell>
        </row>
        <row r="71">
          <cell r="A71" t="str">
            <v>20CORT011AOS</v>
          </cell>
          <cell r="B71" t="str">
            <v>0024654306</v>
          </cell>
          <cell r="C71" t="str">
            <v>Vague 3</v>
          </cell>
          <cell r="D71">
            <v>755.25642630103448</v>
          </cell>
        </row>
        <row r="72">
          <cell r="A72" t="str">
            <v>20FURI011AOG</v>
          </cell>
          <cell r="B72" t="str">
            <v>0024654307</v>
          </cell>
          <cell r="C72" t="str">
            <v>Vague 3</v>
          </cell>
          <cell r="D72">
            <v>1079.0564263010344</v>
          </cell>
        </row>
        <row r="73">
          <cell r="A73" t="str">
            <v>20LUCC011AOG</v>
          </cell>
          <cell r="B73" t="str">
            <v>0024685278</v>
          </cell>
          <cell r="C73" t="str">
            <v>Vague 3</v>
          </cell>
          <cell r="D73">
            <v>1063.0564263010344</v>
          </cell>
        </row>
        <row r="74">
          <cell r="A74" t="str">
            <v>20PORT011AOG</v>
          </cell>
          <cell r="B74" t="str">
            <v>0024654309</v>
          </cell>
          <cell r="C74" t="str">
            <v>Vague 3</v>
          </cell>
          <cell r="D74">
            <v>755.25642630103448</v>
          </cell>
        </row>
        <row r="75">
          <cell r="A75" t="str">
            <v>20PROP011AOG</v>
          </cell>
          <cell r="B75" t="str">
            <v>0024654310</v>
          </cell>
          <cell r="C75" t="str">
            <v>Vague 3</v>
          </cell>
          <cell r="D75">
            <v>755.25642630103448</v>
          </cell>
        </row>
        <row r="76">
          <cell r="A76" t="str">
            <v>21DIJO011AOG</v>
          </cell>
          <cell r="B76" t="str">
            <v>0024408636</v>
          </cell>
          <cell r="C76" t="str">
            <v>Vague 1</v>
          </cell>
          <cell r="D76">
            <v>1351.4564263010345</v>
          </cell>
        </row>
        <row r="77">
          <cell r="A77" t="str">
            <v>21DIJO021AOG</v>
          </cell>
          <cell r="B77" t="str">
            <v>0024529402</v>
          </cell>
          <cell r="C77" t="str">
            <v>Vague 2</v>
          </cell>
          <cell r="D77">
            <v>1335.4564263010345</v>
          </cell>
        </row>
        <row r="78">
          <cell r="A78" t="str">
            <v>22MURD011AOS</v>
          </cell>
          <cell r="B78" t="str">
            <v>0024654311</v>
          </cell>
          <cell r="C78" t="str">
            <v>Vague 3</v>
          </cell>
          <cell r="D78">
            <v>1063.0564263010344</v>
          </cell>
        </row>
        <row r="79">
          <cell r="A79" t="str">
            <v>22PLER011AOB</v>
          </cell>
          <cell r="C79" t="str">
            <v>VDS</v>
          </cell>
          <cell r="D79">
            <v>610</v>
          </cell>
        </row>
        <row r="80">
          <cell r="A80" t="str">
            <v>22TREG011AOG</v>
          </cell>
          <cell r="B80" t="str">
            <v>0024529404</v>
          </cell>
          <cell r="C80" t="str">
            <v>Vague 2</v>
          </cell>
        </row>
        <row r="81">
          <cell r="A81" t="str">
            <v>23CHAT011AOB</v>
          </cell>
          <cell r="B81" t="str">
            <v>0024648965</v>
          </cell>
          <cell r="C81" t="str">
            <v>Vague 3</v>
          </cell>
          <cell r="D81">
            <v>254.41198185659007</v>
          </cell>
        </row>
        <row r="82">
          <cell r="A82" t="str">
            <v>23STPI011AOB</v>
          </cell>
          <cell r="B82" t="str">
            <v>0024648966</v>
          </cell>
          <cell r="C82" t="str">
            <v>Vague 3</v>
          </cell>
          <cell r="D82">
            <v>254.41198185659007</v>
          </cell>
        </row>
        <row r="83">
          <cell r="A83" t="str">
            <v>24PERI011AOB</v>
          </cell>
          <cell r="B83" t="str">
            <v>0024648967</v>
          </cell>
          <cell r="C83" t="str">
            <v>Vague 3</v>
          </cell>
          <cell r="D83">
            <v>368</v>
          </cell>
        </row>
        <row r="84">
          <cell r="A84" t="str">
            <v>24STCA011AOG</v>
          </cell>
          <cell r="B84" t="str">
            <v>0024531243</v>
          </cell>
          <cell r="C84" t="str">
            <v>Vague 2</v>
          </cell>
          <cell r="D84">
            <v>2064.0564263010347</v>
          </cell>
        </row>
        <row r="85">
          <cell r="A85" t="str">
            <v>25BESA011AOG</v>
          </cell>
          <cell r="B85" t="str">
            <v>0024654312</v>
          </cell>
          <cell r="C85" t="str">
            <v>Vague 3</v>
          </cell>
          <cell r="D85">
            <v>1335.4564263010345</v>
          </cell>
        </row>
        <row r="86">
          <cell r="A86" t="str">
            <v>25CHAR011AOB</v>
          </cell>
          <cell r="B86" t="str">
            <v>0024408637</v>
          </cell>
          <cell r="C86" t="str">
            <v>Vague 1</v>
          </cell>
          <cell r="D86">
            <v>269</v>
          </cell>
        </row>
        <row r="87">
          <cell r="A87" t="str">
            <v>25MOUT011AOB</v>
          </cell>
          <cell r="B87" t="str">
            <v>0024531245</v>
          </cell>
          <cell r="C87" t="str">
            <v>Vague 2</v>
          </cell>
          <cell r="D87">
            <v>1101.6119818565901</v>
          </cell>
        </row>
        <row r="88">
          <cell r="A88" t="str">
            <v>26BEAU011AOB</v>
          </cell>
          <cell r="B88" t="str">
            <v>0024408638</v>
          </cell>
          <cell r="C88" t="str">
            <v>Vague 1</v>
          </cell>
          <cell r="D88">
            <v>383.21198185659011</v>
          </cell>
        </row>
        <row r="89">
          <cell r="A89" t="str">
            <v>26BOUR011AOB</v>
          </cell>
          <cell r="B89" t="str">
            <v>0024531247</v>
          </cell>
          <cell r="C89" t="str">
            <v>Vague 2</v>
          </cell>
          <cell r="D89">
            <v>712.81198185659002</v>
          </cell>
        </row>
        <row r="90">
          <cell r="A90" t="str">
            <v>26MONT011AOG</v>
          </cell>
          <cell r="B90" t="str">
            <v>0024523643</v>
          </cell>
          <cell r="C90" t="str">
            <v>VDS</v>
          </cell>
          <cell r="D90">
            <v>1233</v>
          </cell>
        </row>
        <row r="91">
          <cell r="A91" t="str">
            <v>26PIZA011AOG</v>
          </cell>
          <cell r="B91" t="str">
            <v>0024487131</v>
          </cell>
          <cell r="C91" t="str">
            <v>Vague 1</v>
          </cell>
          <cell r="D91">
            <v>1225.2564263010347</v>
          </cell>
        </row>
        <row r="92">
          <cell r="A92" t="str">
            <v>26STPA021AOB</v>
          </cell>
          <cell r="B92" t="str">
            <v>0024648968</v>
          </cell>
          <cell r="C92" t="str">
            <v>Vague 3</v>
          </cell>
          <cell r="D92">
            <v>254.41198185659007</v>
          </cell>
        </row>
        <row r="93">
          <cell r="A93" t="str">
            <v>26VALE011AOG</v>
          </cell>
          <cell r="B93" t="str">
            <v>0024523670</v>
          </cell>
          <cell r="C93" t="str">
            <v>VDS</v>
          </cell>
          <cell r="D93">
            <v>1335</v>
          </cell>
        </row>
        <row r="94">
          <cell r="A94" t="str">
            <v>26VALE021AOG</v>
          </cell>
          <cell r="C94" t="str">
            <v>VDS</v>
          </cell>
          <cell r="D94">
            <v>1883</v>
          </cell>
        </row>
        <row r="95">
          <cell r="A95" t="str">
            <v>27PACY012AOP</v>
          </cell>
          <cell r="B95" t="str">
            <v>0024560709</v>
          </cell>
          <cell r="C95" t="str">
            <v>Datacenter</v>
          </cell>
          <cell r="D95">
            <v>17111.856426301034</v>
          </cell>
        </row>
        <row r="96">
          <cell r="A96" t="str">
            <v>27PACY013AOM</v>
          </cell>
          <cell r="B96" t="str">
            <v>0024521599</v>
          </cell>
          <cell r="C96" t="str">
            <v>Vague 2</v>
          </cell>
          <cell r="D96">
            <v>8164.6119818565903</v>
          </cell>
        </row>
        <row r="97">
          <cell r="A97" t="str">
            <v>27VALD012AOP</v>
          </cell>
          <cell r="B97" t="str">
            <v>0024560702</v>
          </cell>
          <cell r="C97" t="str">
            <v>Datacenter</v>
          </cell>
          <cell r="D97">
            <v>7272.0564263010347</v>
          </cell>
        </row>
        <row r="98">
          <cell r="A98" t="str">
            <v>27VALD013AOM</v>
          </cell>
          <cell r="B98" t="str">
            <v>0024521647</v>
          </cell>
          <cell r="C98" t="str">
            <v>Vague 2</v>
          </cell>
          <cell r="D98">
            <v>3261.6119818565899</v>
          </cell>
        </row>
        <row r="99">
          <cell r="A99" t="str">
            <v>28CHAR011AOG</v>
          </cell>
          <cell r="B99" t="str">
            <v>0024737121</v>
          </cell>
          <cell r="C99" t="str">
            <v>Vague 4</v>
          </cell>
          <cell r="D99">
            <v>1063.0564263010344</v>
          </cell>
        </row>
        <row r="100">
          <cell r="A100" t="str">
            <v>29GUIP011AOG</v>
          </cell>
          <cell r="B100" t="str">
            <v>0024531249</v>
          </cell>
          <cell r="C100" t="str">
            <v>Vague 2</v>
          </cell>
          <cell r="D100">
            <v>1241.2564263010347</v>
          </cell>
        </row>
        <row r="101">
          <cell r="A101" t="str">
            <v>29ILED011AOB</v>
          </cell>
          <cell r="C101" t="str">
            <v>VDS</v>
          </cell>
          <cell r="D101">
            <v>400</v>
          </cell>
        </row>
        <row r="102">
          <cell r="A102" t="str">
            <v>30CHUS11AOB</v>
          </cell>
          <cell r="B102" t="str">
            <v>0024739950</v>
          </cell>
          <cell r="C102" t="str">
            <v>Vague 4</v>
          </cell>
          <cell r="D102">
            <v>368.21198185659011</v>
          </cell>
        </row>
        <row r="103">
          <cell r="A103" t="str">
            <v>30NIME011AOG</v>
          </cell>
          <cell r="B103" t="str">
            <v>0024529407</v>
          </cell>
          <cell r="C103" t="str">
            <v>Vague 2</v>
          </cell>
          <cell r="D103">
            <v>1564.4564263010345</v>
          </cell>
        </row>
        <row r="104">
          <cell r="A104" t="str">
            <v>30PONT011AOG</v>
          </cell>
          <cell r="B104" t="str">
            <v>0024654313</v>
          </cell>
          <cell r="C104" t="str">
            <v>Vague 3</v>
          </cell>
          <cell r="D104">
            <v>1248.8564263010346</v>
          </cell>
        </row>
        <row r="105">
          <cell r="A105" t="str">
            <v>31BLAG011AOG</v>
          </cell>
          <cell r="B105" t="str">
            <v>0024514683</v>
          </cell>
          <cell r="C105" t="str">
            <v>Vague 2</v>
          </cell>
          <cell r="D105">
            <v>1867.0564263010347</v>
          </cell>
        </row>
        <row r="106">
          <cell r="A106" t="str">
            <v>31ESTA011AOG</v>
          </cell>
          <cell r="B106" t="str">
            <v>0024531251</v>
          </cell>
          <cell r="C106" t="str">
            <v>Vague 2</v>
          </cell>
          <cell r="D106">
            <v>1055.0564263010344</v>
          </cell>
        </row>
        <row r="107">
          <cell r="A107" t="str">
            <v>31LABA011AOB</v>
          </cell>
          <cell r="B107">
            <v>24829215</v>
          </cell>
          <cell r="C107" t="str">
            <v>VDS</v>
          </cell>
          <cell r="D107">
            <v>269</v>
          </cell>
        </row>
        <row r="108">
          <cell r="A108" t="str">
            <v>31LABA021AOG</v>
          </cell>
          <cell r="B108" t="str">
            <v>0024514761</v>
          </cell>
          <cell r="C108" t="str">
            <v>Vague 2</v>
          </cell>
          <cell r="D108">
            <v>2064.0564263010347</v>
          </cell>
        </row>
        <row r="109">
          <cell r="A109" t="str">
            <v>31MURE011AOS</v>
          </cell>
          <cell r="B109" t="str">
            <v>0024529409</v>
          </cell>
          <cell r="C109" t="str">
            <v>Vague 2</v>
          </cell>
          <cell r="D109">
            <v>1335.4564263010345</v>
          </cell>
        </row>
        <row r="110">
          <cell r="A110" t="str">
            <v>31TOUL011AOG</v>
          </cell>
          <cell r="B110" t="str">
            <v>0024288796</v>
          </cell>
          <cell r="C110" t="str">
            <v>Pilotes</v>
          </cell>
          <cell r="D110">
            <v>1620.4564263010345</v>
          </cell>
        </row>
        <row r="111">
          <cell r="A111" t="str">
            <v>31TOUL021AOP</v>
          </cell>
          <cell r="B111" t="str">
            <v>0024544931</v>
          </cell>
          <cell r="C111" t="str">
            <v>VDS</v>
          </cell>
          <cell r="D111">
            <v>2753</v>
          </cell>
        </row>
        <row r="112">
          <cell r="A112" t="str">
            <v>31TOUL031AOB</v>
          </cell>
          <cell r="B112" t="str">
            <v>0024739942</v>
          </cell>
          <cell r="C112" t="str">
            <v>Vague 4</v>
          </cell>
        </row>
        <row r="113">
          <cell r="A113" t="str">
            <v>31TOUL051AOG</v>
          </cell>
          <cell r="B113" t="str">
            <v>0024738028</v>
          </cell>
          <cell r="C113" t="str">
            <v>Vague 4</v>
          </cell>
          <cell r="D113">
            <v>1299.4564263010345</v>
          </cell>
        </row>
        <row r="114">
          <cell r="A114" t="str">
            <v>33AMBE021AOB</v>
          </cell>
          <cell r="B114" t="str">
            <v>0024648969</v>
          </cell>
          <cell r="C114" t="str">
            <v>Vague 3</v>
          </cell>
          <cell r="D114">
            <v>368</v>
          </cell>
        </row>
        <row r="115">
          <cell r="A115" t="str">
            <v>33BORD011AOP</v>
          </cell>
          <cell r="B115" t="str">
            <v>0024365321</v>
          </cell>
          <cell r="C115" t="str">
            <v>Vague 1</v>
          </cell>
          <cell r="D115">
            <v>2266.2564263010345</v>
          </cell>
        </row>
        <row r="116">
          <cell r="A116" t="str">
            <v>33CENO011AOG</v>
          </cell>
          <cell r="B116" t="str">
            <v>0024426918</v>
          </cell>
          <cell r="C116" t="str">
            <v>Vague 1</v>
          </cell>
          <cell r="D116">
            <v>2018.0564263010347</v>
          </cell>
        </row>
        <row r="117">
          <cell r="A117" t="str">
            <v>33EYSI011AOG</v>
          </cell>
          <cell r="B117" t="str">
            <v>0024514762</v>
          </cell>
          <cell r="C117" t="str">
            <v>Vague 2</v>
          </cell>
          <cell r="D117">
            <v>0</v>
          </cell>
        </row>
        <row r="118">
          <cell r="A118" t="str">
            <v>33MERI011AOB</v>
          </cell>
          <cell r="C118" t="str">
            <v>Vague 4</v>
          </cell>
        </row>
        <row r="119">
          <cell r="A119" t="str">
            <v>33MERI021AOS</v>
          </cell>
          <cell r="B119" t="str">
            <v>0024654314</v>
          </cell>
          <cell r="C119" t="str">
            <v>Vague 3</v>
          </cell>
          <cell r="D119">
            <v>1232.8564263010346</v>
          </cell>
        </row>
        <row r="120">
          <cell r="A120" t="str">
            <v>33MERI031AOG</v>
          </cell>
          <cell r="B120" t="str">
            <v>0024654315</v>
          </cell>
          <cell r="C120" t="str">
            <v>Vague 3</v>
          </cell>
          <cell r="D120">
            <v>1920</v>
          </cell>
        </row>
        <row r="121">
          <cell r="A121" t="str">
            <v>34BEZI011AOG</v>
          </cell>
          <cell r="B121" t="str">
            <v>0024408640</v>
          </cell>
          <cell r="C121" t="str">
            <v>Vague 1</v>
          </cell>
          <cell r="D121">
            <v>1055.0564263010344</v>
          </cell>
        </row>
        <row r="122">
          <cell r="A122" t="str">
            <v>34MONT021AOG</v>
          </cell>
          <cell r="B122" t="str">
            <v>0024529411</v>
          </cell>
          <cell r="C122" t="str">
            <v>Vague 2</v>
          </cell>
          <cell r="D122">
            <v>1580.4564263010345</v>
          </cell>
        </row>
        <row r="123">
          <cell r="A123" t="str">
            <v>34MONT031AOG</v>
          </cell>
          <cell r="B123" t="str">
            <v>0024529413</v>
          </cell>
          <cell r="C123" t="str">
            <v>Vague 2</v>
          </cell>
          <cell r="D123">
            <v>1564.4564263010345</v>
          </cell>
        </row>
        <row r="124">
          <cell r="A124" t="str">
            <v>34MONT041AOG</v>
          </cell>
          <cell r="C124" t="str">
            <v>VDS</v>
          </cell>
          <cell r="D124">
            <v>1754</v>
          </cell>
        </row>
        <row r="125">
          <cell r="A125" t="str">
            <v>34OLAR011AOM</v>
          </cell>
          <cell r="B125" t="str">
            <v>0024655993</v>
          </cell>
          <cell r="C125" t="str">
            <v>Vague 3</v>
          </cell>
          <cell r="D125">
            <v>1102</v>
          </cell>
        </row>
        <row r="126">
          <cell r="A126" t="str">
            <v>34PREM011AOB</v>
          </cell>
          <cell r="B126" t="str">
            <v>0024507298</v>
          </cell>
          <cell r="C126" t="str">
            <v>Vague 1</v>
          </cell>
          <cell r="D126">
            <v>269.41198185659005</v>
          </cell>
        </row>
        <row r="127">
          <cell r="A127" t="str">
            <v>35CESS011AOP</v>
          </cell>
          <cell r="B127" t="str">
            <v>0024358421</v>
          </cell>
          <cell r="C127" t="str">
            <v>Vague 1</v>
          </cell>
          <cell r="D127">
            <v>2250.2564263010345</v>
          </cell>
        </row>
        <row r="128">
          <cell r="A128" t="str">
            <v>35DINA011AOG</v>
          </cell>
          <cell r="B128" t="str">
            <v>0024408642</v>
          </cell>
          <cell r="C128" t="str">
            <v>Vague 1</v>
          </cell>
          <cell r="D128">
            <v>1209.2564263010347</v>
          </cell>
        </row>
        <row r="129">
          <cell r="A129" t="str">
            <v>35LARI011AOG</v>
          </cell>
          <cell r="B129" t="str">
            <v>0024408643</v>
          </cell>
          <cell r="C129" t="str">
            <v>Vague 1</v>
          </cell>
          <cell r="D129">
            <v>1055.0564263010344</v>
          </cell>
        </row>
        <row r="130">
          <cell r="A130" t="str">
            <v>35RENN011AOG</v>
          </cell>
          <cell r="B130" t="str">
            <v>0024535793</v>
          </cell>
          <cell r="C130" t="str">
            <v>Vague 2</v>
          </cell>
        </row>
        <row r="131">
          <cell r="A131" t="str">
            <v>36CUZI011AOS</v>
          </cell>
          <cell r="B131" t="str">
            <v>0024358314</v>
          </cell>
          <cell r="C131" t="str">
            <v>Vague 1</v>
          </cell>
          <cell r="D131">
            <v>2064.0564263010347</v>
          </cell>
        </row>
        <row r="132">
          <cell r="A132" t="str">
            <v>37BEAU031AOB</v>
          </cell>
          <cell r="C132" t="str">
            <v>VDS</v>
          </cell>
          <cell r="D132">
            <v>1349</v>
          </cell>
        </row>
        <row r="133">
          <cell r="A133" t="str">
            <v>37TOUR011AOP</v>
          </cell>
          <cell r="B133" t="str">
            <v>0024492441</v>
          </cell>
          <cell r="C133" t="str">
            <v>Vague 1</v>
          </cell>
          <cell r="D133">
            <v>2303.25</v>
          </cell>
        </row>
        <row r="134">
          <cell r="A134" t="str">
            <v>38CHAM011AOG</v>
          </cell>
          <cell r="B134" t="str">
            <v>0024531855</v>
          </cell>
          <cell r="C134" t="str">
            <v>Vague 2</v>
          </cell>
          <cell r="D134">
            <v>1225</v>
          </cell>
        </row>
        <row r="135">
          <cell r="A135" t="str">
            <v>38CHAT011AOB</v>
          </cell>
          <cell r="C135" t="str">
            <v>VDS</v>
          </cell>
          <cell r="D135">
            <v>598</v>
          </cell>
        </row>
        <row r="136">
          <cell r="A136" t="str">
            <v>38CLON011AOB</v>
          </cell>
          <cell r="B136" t="str">
            <v>0024648970</v>
          </cell>
          <cell r="C136" t="str">
            <v>Vague 3</v>
          </cell>
          <cell r="D136">
            <v>254.41198185659007</v>
          </cell>
        </row>
        <row r="137">
          <cell r="A137" t="str">
            <v>38CORP011AOS</v>
          </cell>
          <cell r="B137" t="str">
            <v>0024654316</v>
          </cell>
          <cell r="C137" t="str">
            <v>Vague 3</v>
          </cell>
          <cell r="D137">
            <v>2072.0564263010347</v>
          </cell>
        </row>
        <row r="138">
          <cell r="A138" t="str">
            <v>38GREN011AOG</v>
          </cell>
          <cell r="B138" t="str">
            <v>0024654318</v>
          </cell>
          <cell r="C138" t="str">
            <v>Vague 3</v>
          </cell>
          <cell r="D138">
            <v>1335.4564263010345</v>
          </cell>
        </row>
        <row r="139">
          <cell r="A139" t="str">
            <v>38LAFE011AOB</v>
          </cell>
          <cell r="B139" t="str">
            <v>0024648971</v>
          </cell>
          <cell r="C139" t="str">
            <v>Vague 3</v>
          </cell>
          <cell r="D139">
            <v>254.41198185659007</v>
          </cell>
        </row>
        <row r="140">
          <cell r="A140" t="str">
            <v>38LAVE011AOG</v>
          </cell>
          <cell r="B140" t="str">
            <v>0024529415</v>
          </cell>
          <cell r="C140" t="str">
            <v>Vague 2</v>
          </cell>
          <cell r="D140">
            <v>1251.4564263010345</v>
          </cell>
        </row>
        <row r="141">
          <cell r="A141" t="str">
            <v>38LEBO021AOS</v>
          </cell>
          <cell r="B141" t="str">
            <v>0024531255</v>
          </cell>
          <cell r="C141" t="str">
            <v>Vague 2</v>
          </cell>
          <cell r="D141">
            <v>1225</v>
          </cell>
        </row>
        <row r="142">
          <cell r="A142" t="str">
            <v>38LEPE011AOB</v>
          </cell>
          <cell r="C142" t="str">
            <v>VDS</v>
          </cell>
          <cell r="D142">
            <v>582</v>
          </cell>
        </row>
        <row r="143">
          <cell r="A143" t="str">
            <v>38LEPO011AOG</v>
          </cell>
          <cell r="B143" t="str">
            <v>0024408644</v>
          </cell>
          <cell r="C143" t="str">
            <v>Vague 1</v>
          </cell>
          <cell r="D143">
            <v>1235.4564263010345</v>
          </cell>
        </row>
        <row r="144">
          <cell r="A144" t="str">
            <v>38LIVE011AOS</v>
          </cell>
          <cell r="B144" t="str">
            <v>0024738091</v>
          </cell>
          <cell r="C144" t="str">
            <v>Vague 5</v>
          </cell>
          <cell r="D144">
            <v>1299</v>
          </cell>
        </row>
        <row r="145">
          <cell r="A145" t="str">
            <v>38LIVE011AOS</v>
          </cell>
          <cell r="C145" t="str">
            <v>Vague 4</v>
          </cell>
          <cell r="D145">
            <v>1193.2564263010347</v>
          </cell>
        </row>
        <row r="146">
          <cell r="A146" t="str">
            <v>38LIVE021AOB</v>
          </cell>
          <cell r="B146">
            <v>24739953</v>
          </cell>
          <cell r="C146" t="str">
            <v>Vague 5</v>
          </cell>
          <cell r="D146">
            <v>272.41198185659005</v>
          </cell>
        </row>
        <row r="147">
          <cell r="A147" t="str">
            <v>38LIVE031AOS</v>
          </cell>
          <cell r="C147" t="str">
            <v>VDS</v>
          </cell>
          <cell r="D147">
            <v>599</v>
          </cell>
        </row>
        <row r="148">
          <cell r="A148" t="str">
            <v>38MEYL011AOG</v>
          </cell>
          <cell r="B148" t="str">
            <v>0024548427</v>
          </cell>
          <cell r="C148" t="str">
            <v>VDS</v>
          </cell>
          <cell r="D148">
            <v>1335</v>
          </cell>
        </row>
        <row r="149">
          <cell r="A149" t="str">
            <v>38PONT011AOM</v>
          </cell>
          <cell r="B149" t="str">
            <v>0024531257</v>
          </cell>
          <cell r="C149" t="str">
            <v>Vague 2</v>
          </cell>
          <cell r="D149">
            <v>780.91198185659005</v>
          </cell>
        </row>
        <row r="150">
          <cell r="A150" t="str">
            <v>38SINA011AOB</v>
          </cell>
          <cell r="B150" t="str">
            <v>0024358360</v>
          </cell>
          <cell r="C150" t="str">
            <v>Vague 1</v>
          </cell>
          <cell r="D150">
            <v>269.41198185659005</v>
          </cell>
        </row>
        <row r="151">
          <cell r="A151" t="str">
            <v>38STEG021AOM</v>
          </cell>
          <cell r="B151" t="str">
            <v>0024531259</v>
          </cell>
          <cell r="C151" t="str">
            <v>Vague 2</v>
          </cell>
          <cell r="D151">
            <v>780.91198185659005</v>
          </cell>
        </row>
        <row r="152">
          <cell r="A152" t="str">
            <v>38STGE011AOS</v>
          </cell>
          <cell r="B152" t="str">
            <v>0024358315</v>
          </cell>
          <cell r="C152" t="str">
            <v>Vague 1</v>
          </cell>
          <cell r="D152">
            <v>1335.4564263010345</v>
          </cell>
        </row>
        <row r="153">
          <cell r="A153" t="str">
            <v>38STJE011AOB</v>
          </cell>
          <cell r="B153" t="str">
            <v>0024358361</v>
          </cell>
          <cell r="C153" t="str">
            <v>Vague 1</v>
          </cell>
          <cell r="D153">
            <v>272.41198185659005</v>
          </cell>
        </row>
        <row r="154">
          <cell r="A154" t="str">
            <v>38VIZI011AOG</v>
          </cell>
          <cell r="B154" t="str">
            <v>0024529418</v>
          </cell>
          <cell r="C154" t="str">
            <v>Vague 2</v>
          </cell>
          <cell r="D154">
            <v>1081.2564263010345</v>
          </cell>
        </row>
        <row r="155">
          <cell r="A155" t="str">
            <v>38VIZI011AOS</v>
          </cell>
          <cell r="C155" t="str">
            <v>Vague 4</v>
          </cell>
          <cell r="D155">
            <v>1023.0564263010344</v>
          </cell>
        </row>
        <row r="156">
          <cell r="A156" t="str">
            <v>38VIZI021AOB</v>
          </cell>
          <cell r="C156" t="str">
            <v>Vague 4</v>
          </cell>
          <cell r="D156">
            <v>254.41198185659007</v>
          </cell>
        </row>
        <row r="157">
          <cell r="A157" t="str">
            <v>38VIZI021AOS</v>
          </cell>
          <cell r="B157" t="str">
            <v>0024738113</v>
          </cell>
          <cell r="C157" t="str">
            <v>Vague 5</v>
          </cell>
          <cell r="D157">
            <v>1063</v>
          </cell>
        </row>
        <row r="158">
          <cell r="A158" t="str">
            <v>39LONS011AOG</v>
          </cell>
          <cell r="B158" t="str">
            <v>0024408673</v>
          </cell>
          <cell r="C158" t="str">
            <v>Vague 1</v>
          </cell>
          <cell r="D158">
            <v>1225.2564263010347</v>
          </cell>
        </row>
        <row r="159">
          <cell r="A159" t="str">
            <v>42COMM011AOG</v>
          </cell>
          <cell r="B159" t="str">
            <v>0024514763</v>
          </cell>
          <cell r="C159" t="str">
            <v>Vague 2</v>
          </cell>
          <cell r="D159">
            <v>1055.0564263010344</v>
          </cell>
        </row>
        <row r="160">
          <cell r="A160" t="str">
            <v>42STET011AOG</v>
          </cell>
          <cell r="B160" t="str">
            <v>0024529420</v>
          </cell>
          <cell r="C160" t="str">
            <v>Vague 2</v>
          </cell>
          <cell r="D160">
            <v>1335.4564263010345</v>
          </cell>
        </row>
        <row r="161">
          <cell r="A161" t="str">
            <v>42STJU011AOG</v>
          </cell>
          <cell r="B161" t="str">
            <v>0024685257</v>
          </cell>
          <cell r="C161" t="str">
            <v>Vague 3</v>
          </cell>
          <cell r="D161">
            <v>1063.0564263010344</v>
          </cell>
        </row>
        <row r="162">
          <cell r="A162" t="str">
            <v>43BRIV011AOS</v>
          </cell>
          <cell r="B162" t="str">
            <v>0024529422</v>
          </cell>
          <cell r="C162" t="str">
            <v>Vague 2</v>
          </cell>
          <cell r="D162">
            <v>1081.2564263010345</v>
          </cell>
        </row>
        <row r="163">
          <cell r="A163" t="str">
            <v>43BRIV021AOB</v>
          </cell>
          <cell r="B163" t="str">
            <v>0024648972</v>
          </cell>
          <cell r="C163" t="str">
            <v>Vague 3</v>
          </cell>
          <cell r="D163">
            <v>368</v>
          </cell>
        </row>
        <row r="164">
          <cell r="A164" t="str">
            <v>43ESPA011AOS</v>
          </cell>
          <cell r="B164" t="str">
            <v>0024531261</v>
          </cell>
          <cell r="C164" t="str">
            <v>Vague 2</v>
          </cell>
          <cell r="D164">
            <v>1225.2564263010347</v>
          </cell>
        </row>
        <row r="165">
          <cell r="A165" t="str">
            <v>43MONI011AOG</v>
          </cell>
          <cell r="B165" t="str">
            <v>0024358316</v>
          </cell>
          <cell r="C165" t="str">
            <v>Vague 1</v>
          </cell>
          <cell r="D165">
            <v>1225.2564263010347</v>
          </cell>
        </row>
        <row r="166">
          <cell r="A166" t="str">
            <v>43MONI021AOS</v>
          </cell>
          <cell r="B166" t="str">
            <v>0024432328</v>
          </cell>
          <cell r="C166" t="str">
            <v>Vague 1</v>
          </cell>
          <cell r="D166">
            <v>1225</v>
          </cell>
        </row>
        <row r="167">
          <cell r="A167" t="str">
            <v>43MONI031AOB</v>
          </cell>
          <cell r="B167" t="str">
            <v>0024649971</v>
          </cell>
          <cell r="C167" t="str">
            <v>Vague 3</v>
          </cell>
          <cell r="D167">
            <v>225</v>
          </cell>
        </row>
        <row r="168">
          <cell r="A168" t="str">
            <v>44NANT011AOG</v>
          </cell>
          <cell r="B168" t="str">
            <v>0024247780</v>
          </cell>
          <cell r="C168" t="str">
            <v>Pilotes</v>
          </cell>
          <cell r="D168">
            <v>2008</v>
          </cell>
        </row>
        <row r="169">
          <cell r="A169" t="str">
            <v>44NANT021AOG</v>
          </cell>
          <cell r="B169" t="str">
            <v>0024410254</v>
          </cell>
          <cell r="C169" t="str">
            <v>Vague 1</v>
          </cell>
          <cell r="D169">
            <v>1658.8564263010346</v>
          </cell>
        </row>
        <row r="170">
          <cell r="A170" t="str">
            <v>44NANT031AOG</v>
          </cell>
          <cell r="B170" t="str">
            <v>0024408675</v>
          </cell>
          <cell r="C170" t="str">
            <v>Vague 1</v>
          </cell>
          <cell r="D170">
            <v>1650.8564263010346</v>
          </cell>
        </row>
        <row r="171">
          <cell r="A171" t="str">
            <v>44NANT041AOG</v>
          </cell>
          <cell r="B171" t="str">
            <v>0024655291</v>
          </cell>
          <cell r="C171" t="str">
            <v>Vague 3</v>
          </cell>
          <cell r="D171">
            <v>1232.8564263010346</v>
          </cell>
        </row>
        <row r="172">
          <cell r="A172" t="str">
            <v>44STHE011AOB</v>
          </cell>
          <cell r="C172" t="str">
            <v>Vague 4</v>
          </cell>
        </row>
        <row r="173">
          <cell r="A173" t="str">
            <v>45FLEU011AOG</v>
          </cell>
          <cell r="C173" t="str">
            <v>VDS</v>
          </cell>
          <cell r="D173">
            <v>1273</v>
          </cell>
        </row>
        <row r="174">
          <cell r="A174" t="str">
            <v>46CAJA011AOB</v>
          </cell>
          <cell r="B174" t="str">
            <v>0024655435</v>
          </cell>
          <cell r="C174" t="str">
            <v>Vague 3</v>
          </cell>
          <cell r="D174">
            <v>254</v>
          </cell>
        </row>
        <row r="175">
          <cell r="A175" t="str">
            <v>46LAVA011AOB</v>
          </cell>
          <cell r="B175" t="str">
            <v>0024529424</v>
          </cell>
          <cell r="C175" t="str">
            <v>Vague 2</v>
          </cell>
          <cell r="D175">
            <v>603.41198185659005</v>
          </cell>
        </row>
        <row r="176">
          <cell r="A176" t="str">
            <v>46LUZE011AOG</v>
          </cell>
          <cell r="B176" t="str">
            <v>0024408676</v>
          </cell>
          <cell r="C176" t="str">
            <v>Vague 1</v>
          </cell>
          <cell r="D176">
            <v>1055.0564263010344</v>
          </cell>
        </row>
        <row r="177">
          <cell r="A177" t="str">
            <v>47AGEN011AOB</v>
          </cell>
          <cell r="B177" t="str">
            <v>0024472058</v>
          </cell>
          <cell r="C177" t="str">
            <v>VDS</v>
          </cell>
          <cell r="D177">
            <v>254</v>
          </cell>
        </row>
        <row r="178">
          <cell r="A178" t="str">
            <v>47LETE011AOS</v>
          </cell>
          <cell r="B178" t="str">
            <v>0024655436</v>
          </cell>
          <cell r="C178" t="str">
            <v>Vague 3</v>
          </cell>
          <cell r="D178">
            <v>1058.6564263010346</v>
          </cell>
        </row>
        <row r="179">
          <cell r="A179" t="str">
            <v>47VILL011AOB</v>
          </cell>
          <cell r="C179" t="str">
            <v>VDS</v>
          </cell>
          <cell r="D179">
            <v>254</v>
          </cell>
        </row>
        <row r="180">
          <cell r="A180" t="str">
            <v>49ANGE011AOG</v>
          </cell>
          <cell r="B180" t="str">
            <v>0024529425</v>
          </cell>
          <cell r="C180" t="str">
            <v>Vague 2</v>
          </cell>
          <cell r="D180">
            <v>1564.4564263010345</v>
          </cell>
        </row>
        <row r="181">
          <cell r="A181" t="str">
            <v>50CHER011AOG</v>
          </cell>
          <cell r="B181" t="str">
            <v>0024529427</v>
          </cell>
          <cell r="C181" t="str">
            <v>Vague 2</v>
          </cell>
          <cell r="D181">
            <v>1564.4564263010345</v>
          </cell>
        </row>
        <row r="182">
          <cell r="A182" t="str">
            <v>50DUCE011AOB</v>
          </cell>
          <cell r="B182" t="str">
            <v>0024739948</v>
          </cell>
          <cell r="C182" t="str">
            <v>Vague 4</v>
          </cell>
          <cell r="D182">
            <v>254.41198185659007</v>
          </cell>
        </row>
        <row r="183">
          <cell r="A183" t="str">
            <v>50LESP021AOB</v>
          </cell>
          <cell r="B183" t="str">
            <v>0024408678</v>
          </cell>
          <cell r="C183" t="str">
            <v>Vague 1</v>
          </cell>
          <cell r="D183">
            <v>254.41198185659007</v>
          </cell>
        </row>
        <row r="184">
          <cell r="A184" t="str">
            <v>51REIM011AOP</v>
          </cell>
          <cell r="B184" t="str">
            <v>0024530172</v>
          </cell>
          <cell r="C184" t="str">
            <v>Vague 2</v>
          </cell>
          <cell r="D184">
            <v>1947.6564263010346</v>
          </cell>
        </row>
        <row r="185">
          <cell r="A185" t="str">
            <v>52BETT011AOG</v>
          </cell>
          <cell r="B185" t="str">
            <v>0024408679</v>
          </cell>
          <cell r="C185" t="str">
            <v>Vague 1</v>
          </cell>
          <cell r="D185">
            <v>1055.0564263010344</v>
          </cell>
        </row>
        <row r="186">
          <cell r="A186" t="str">
            <v>52CHAU021AOB</v>
          </cell>
          <cell r="B186" t="str">
            <v>0024435414</v>
          </cell>
          <cell r="C186" t="str">
            <v>VDS</v>
          </cell>
          <cell r="D186">
            <v>376</v>
          </cell>
        </row>
        <row r="187">
          <cell r="A187" t="str">
            <v>53LAVA011AOG</v>
          </cell>
          <cell r="B187" t="str">
            <v>0024530250</v>
          </cell>
          <cell r="C187" t="str">
            <v>Vague 2</v>
          </cell>
          <cell r="D187">
            <v>1928.0564263010347</v>
          </cell>
        </row>
        <row r="188">
          <cell r="A188" t="str">
            <v>54BLEN011AOP</v>
          </cell>
          <cell r="B188" t="str">
            <v>0024426921</v>
          </cell>
          <cell r="C188" t="str">
            <v>Vague 1</v>
          </cell>
          <cell r="D188">
            <v>2287.5364263010347</v>
          </cell>
        </row>
        <row r="189">
          <cell r="A189" t="str">
            <v>54MAXE011AOG</v>
          </cell>
          <cell r="B189" t="str">
            <v>0024288837</v>
          </cell>
          <cell r="C189" t="str">
            <v>Pilotes</v>
          </cell>
          <cell r="D189">
            <v>2014</v>
          </cell>
        </row>
        <row r="190">
          <cell r="A190" t="str">
            <v>54NANC011AOG</v>
          </cell>
          <cell r="B190" t="str">
            <v>0024358317</v>
          </cell>
          <cell r="C190" t="str">
            <v>Vague 1</v>
          </cell>
          <cell r="D190">
            <v>1341</v>
          </cell>
        </row>
        <row r="191">
          <cell r="A191" t="str">
            <v>54NANC021AOP</v>
          </cell>
          <cell r="B191" t="str">
            <v>0024530173</v>
          </cell>
          <cell r="C191" t="str">
            <v>Vague 2</v>
          </cell>
          <cell r="D191">
            <v>1988</v>
          </cell>
        </row>
        <row r="192">
          <cell r="A192" t="str">
            <v>55BARL011AOB</v>
          </cell>
          <cell r="C192" t="str">
            <v>VDS</v>
          </cell>
          <cell r="D192">
            <v>254</v>
          </cell>
        </row>
        <row r="193">
          <cell r="A193" t="str">
            <v>56VANN011AOG</v>
          </cell>
          <cell r="B193" t="str">
            <v>0024655437</v>
          </cell>
          <cell r="C193" t="str">
            <v>Vague 3</v>
          </cell>
          <cell r="D193">
            <v>1604</v>
          </cell>
        </row>
        <row r="194">
          <cell r="A194" t="str">
            <v>56VANN021AOG</v>
          </cell>
          <cell r="B194">
            <v>24770948</v>
          </cell>
          <cell r="C194" t="str">
            <v>VDS</v>
          </cell>
          <cell r="D194">
            <v>1335</v>
          </cell>
        </row>
        <row r="195">
          <cell r="A195" t="str">
            <v>57LAMA011AOG</v>
          </cell>
          <cell r="B195" t="str">
            <v>0024408680</v>
          </cell>
          <cell r="C195" t="str">
            <v>Vague 1</v>
          </cell>
          <cell r="D195">
            <v>1225.2564263010347</v>
          </cell>
        </row>
        <row r="196">
          <cell r="A196" t="str">
            <v>57LAMA021AOB</v>
          </cell>
          <cell r="B196" t="str">
            <v>0024530251</v>
          </cell>
          <cell r="C196" t="str">
            <v>Vague 2</v>
          </cell>
          <cell r="D196">
            <v>606.61198185659009</v>
          </cell>
        </row>
        <row r="197">
          <cell r="A197" t="str">
            <v>57METZ011AOS</v>
          </cell>
          <cell r="B197" t="str">
            <v>0024408681</v>
          </cell>
          <cell r="C197" t="str">
            <v>Vague 1</v>
          </cell>
          <cell r="D197">
            <v>1079</v>
          </cell>
        </row>
        <row r="198">
          <cell r="A198" t="str">
            <v>57METZ021AOG</v>
          </cell>
          <cell r="B198" t="str">
            <v>0024530252</v>
          </cell>
          <cell r="C198" t="str">
            <v>Vague 2</v>
          </cell>
          <cell r="D198">
            <v>1936.0564263010347</v>
          </cell>
        </row>
        <row r="199">
          <cell r="A199" t="str">
            <v>57UCKA011AOB</v>
          </cell>
          <cell r="B199" t="str">
            <v>0024408682</v>
          </cell>
          <cell r="C199" t="str">
            <v>Vague 1</v>
          </cell>
          <cell r="D199">
            <v>269</v>
          </cell>
        </row>
        <row r="200">
          <cell r="A200" t="str">
            <v>59EURA011AOG</v>
          </cell>
          <cell r="B200" t="str">
            <v>0024408684</v>
          </cell>
          <cell r="C200" t="str">
            <v>Vague 1</v>
          </cell>
          <cell r="D200">
            <v>1335.4564263010345</v>
          </cell>
        </row>
        <row r="201">
          <cell r="A201" t="str">
            <v>59GRAV021AOB</v>
          </cell>
          <cell r="B201" t="str">
            <v>0024408686</v>
          </cell>
          <cell r="C201" t="str">
            <v>Vague 1</v>
          </cell>
          <cell r="D201">
            <v>269.41198185659005</v>
          </cell>
        </row>
        <row r="202">
          <cell r="A202" t="str">
            <v>59LILL011AOG</v>
          </cell>
          <cell r="B202" t="str">
            <v>0024530253</v>
          </cell>
          <cell r="C202" t="str">
            <v>Vague 2</v>
          </cell>
          <cell r="D202">
            <v>1867.0564263010347</v>
          </cell>
        </row>
        <row r="203">
          <cell r="A203" t="str">
            <v>59LILL021AOG</v>
          </cell>
          <cell r="B203" t="str">
            <v>0024530174</v>
          </cell>
          <cell r="C203" t="str">
            <v>Vague 2</v>
          </cell>
          <cell r="D203">
            <v>1251.4564263010345</v>
          </cell>
        </row>
        <row r="204">
          <cell r="A204" t="str">
            <v>59LILL031AOG</v>
          </cell>
          <cell r="B204" t="str">
            <v>0024530175</v>
          </cell>
          <cell r="C204" t="str">
            <v>Vague 2</v>
          </cell>
          <cell r="D204">
            <v>1335.4564263010345</v>
          </cell>
        </row>
        <row r="205">
          <cell r="A205" t="str">
            <v>59MARC011AOG</v>
          </cell>
          <cell r="B205" t="str">
            <v>0024408688</v>
          </cell>
          <cell r="C205" t="str">
            <v>Vague 1</v>
          </cell>
          <cell r="D205">
            <v>1650.8564263010346</v>
          </cell>
        </row>
        <row r="206">
          <cell r="A206" t="str">
            <v>59MARL011AOG</v>
          </cell>
          <cell r="B206" t="str">
            <v>0024358318</v>
          </cell>
          <cell r="C206" t="str">
            <v>Vague 1</v>
          </cell>
          <cell r="D206">
            <v>1634.8564263010346</v>
          </cell>
        </row>
        <row r="207">
          <cell r="A207" t="str">
            <v>59SEQU011AOG</v>
          </cell>
          <cell r="B207" t="str">
            <v>0024408689</v>
          </cell>
          <cell r="C207" t="str">
            <v>Vague 1</v>
          </cell>
          <cell r="D207">
            <v>1335.4564263010345</v>
          </cell>
        </row>
        <row r="208">
          <cell r="A208" t="str">
            <v>59VALE011AOB</v>
          </cell>
          <cell r="B208" t="str">
            <v>0024530254</v>
          </cell>
          <cell r="C208" t="str">
            <v>Vague 2</v>
          </cell>
          <cell r="D208">
            <v>368.21198185659011</v>
          </cell>
        </row>
        <row r="209">
          <cell r="A209" t="str">
            <v>59VILL011AOP</v>
          </cell>
          <cell r="B209" t="str">
            <v>0024426922</v>
          </cell>
          <cell r="C209" t="str">
            <v>Vague 1</v>
          </cell>
          <cell r="D209">
            <v>2282</v>
          </cell>
        </row>
        <row r="210">
          <cell r="A210" t="str">
            <v>59WASQ011AOG</v>
          </cell>
          <cell r="B210" t="str">
            <v>0024655438</v>
          </cell>
          <cell r="C210" t="str">
            <v>Vague 3</v>
          </cell>
          <cell r="D210">
            <v>1232.8564263010346</v>
          </cell>
        </row>
        <row r="211">
          <cell r="A211" t="str">
            <v>60LACR011AOG</v>
          </cell>
          <cell r="B211" t="str">
            <v>0024530255</v>
          </cell>
          <cell r="C211" t="str">
            <v>Vague 2</v>
          </cell>
          <cell r="D211">
            <v>1883.0564263010347</v>
          </cell>
        </row>
        <row r="212">
          <cell r="A212" t="str">
            <v>62STMA011AOG</v>
          </cell>
          <cell r="B212" t="str">
            <v>0024530527</v>
          </cell>
          <cell r="C212" t="str">
            <v>Vague 2</v>
          </cell>
          <cell r="D212">
            <v>1225.2564263010347</v>
          </cell>
        </row>
        <row r="213">
          <cell r="A213" t="str">
            <v>63AUBI011AOG</v>
          </cell>
          <cell r="B213" t="str">
            <v>0024408745</v>
          </cell>
          <cell r="C213" t="str">
            <v>Vague 1</v>
          </cell>
          <cell r="D213">
            <v>1335.4564263010345</v>
          </cell>
        </row>
        <row r="214">
          <cell r="A214" t="str">
            <v>63CLER011AOB</v>
          </cell>
          <cell r="C214" t="str">
            <v>Vague 4</v>
          </cell>
        </row>
        <row r="215">
          <cell r="A215" t="str">
            <v>63QUEU011AOB</v>
          </cell>
          <cell r="B215" t="str">
            <v>0024649972</v>
          </cell>
          <cell r="C215" t="str">
            <v>Vague 3</v>
          </cell>
          <cell r="D215">
            <v>225</v>
          </cell>
        </row>
        <row r="216">
          <cell r="A216" t="str">
            <v>63STGE011AOS</v>
          </cell>
          <cell r="B216" t="str">
            <v>0024655342</v>
          </cell>
          <cell r="C216" t="str">
            <v>Vague 3</v>
          </cell>
          <cell r="D216">
            <v>1063.0564263010344</v>
          </cell>
        </row>
        <row r="217">
          <cell r="A217" t="str">
            <v>63THIE011AOG</v>
          </cell>
          <cell r="B217" t="str">
            <v>0024655343</v>
          </cell>
          <cell r="C217" t="str">
            <v>Vague 3</v>
          </cell>
          <cell r="D217">
            <v>1063.0564263010344</v>
          </cell>
        </row>
        <row r="218">
          <cell r="A218" t="str">
            <v>64ANGL011AOG</v>
          </cell>
          <cell r="B218" t="str">
            <v>0024408746</v>
          </cell>
          <cell r="C218" t="str">
            <v>Vague 1</v>
          </cell>
          <cell r="D218">
            <v>1634.8564263010346</v>
          </cell>
        </row>
        <row r="219">
          <cell r="A219" t="str">
            <v>64OLOR011AOG</v>
          </cell>
          <cell r="B219" t="str">
            <v>0024530528</v>
          </cell>
          <cell r="C219" t="str">
            <v>Vague 2</v>
          </cell>
          <cell r="D219">
            <v>1225.2564263010347</v>
          </cell>
        </row>
        <row r="220">
          <cell r="A220" t="str">
            <v>64PAUZ011AOB</v>
          </cell>
          <cell r="C220" t="str">
            <v>Vague 4</v>
          </cell>
        </row>
        <row r="221">
          <cell r="A221" t="str">
            <v>64PAUZ021AOG</v>
          </cell>
          <cell r="B221" t="str">
            <v>0024655344</v>
          </cell>
          <cell r="C221" t="str">
            <v>Vague 3</v>
          </cell>
          <cell r="D221">
            <v>1359.4564263010345</v>
          </cell>
        </row>
        <row r="222">
          <cell r="A222" t="str">
            <v>64PAUZ021AOP</v>
          </cell>
          <cell r="B222" t="str">
            <v>0024530529</v>
          </cell>
          <cell r="C222" t="str">
            <v>Vague 2</v>
          </cell>
          <cell r="D222">
            <v>2629.2564263010345</v>
          </cell>
        </row>
        <row r="223">
          <cell r="A223" t="str">
            <v>64PAUZ031AOP</v>
          </cell>
          <cell r="B223">
            <v>24530529</v>
          </cell>
          <cell r="C223" t="str">
            <v>Vague 2</v>
          </cell>
          <cell r="D223">
            <v>2629</v>
          </cell>
        </row>
        <row r="224">
          <cell r="A224" t="str">
            <v>65ARGE011AOS</v>
          </cell>
          <cell r="B224" t="str">
            <v>0024530365</v>
          </cell>
          <cell r="C224" t="str">
            <v>Vague 2</v>
          </cell>
          <cell r="D224">
            <v>1081.2564263010345</v>
          </cell>
        </row>
        <row r="225">
          <cell r="A225" t="str">
            <v>65BAGN011AOG</v>
          </cell>
          <cell r="B225" t="str">
            <v>0024530366</v>
          </cell>
          <cell r="C225" t="str">
            <v>Vague 2</v>
          </cell>
          <cell r="D225">
            <v>1055.0564263010344</v>
          </cell>
        </row>
        <row r="226">
          <cell r="A226" t="str">
            <v>65JUIL011AOB</v>
          </cell>
          <cell r="B226" t="str">
            <v>0024690649</v>
          </cell>
          <cell r="C226" t="str">
            <v>Vague 3</v>
          </cell>
          <cell r="D226">
            <v>598.61198185659009</v>
          </cell>
        </row>
        <row r="227">
          <cell r="A227" t="str">
            <v>65LUZS011AOG</v>
          </cell>
          <cell r="B227" t="str">
            <v>0024737894</v>
          </cell>
          <cell r="C227" t="str">
            <v>Vague 4</v>
          </cell>
          <cell r="D227">
            <v>1063</v>
          </cell>
        </row>
        <row r="228">
          <cell r="A228" t="str">
            <v>65STLA011AOS</v>
          </cell>
          <cell r="B228" t="str">
            <v>0024737879</v>
          </cell>
          <cell r="C228" t="str">
            <v>Vague 4</v>
          </cell>
          <cell r="D228">
            <v>1063</v>
          </cell>
        </row>
        <row r="229">
          <cell r="A229" t="str">
            <v>66PRAT011AOG</v>
          </cell>
          <cell r="B229" t="str">
            <v>0024358319</v>
          </cell>
          <cell r="C229" t="str">
            <v>Vague 1</v>
          </cell>
          <cell r="D229">
            <v>2090.2564263010345</v>
          </cell>
        </row>
        <row r="230">
          <cell r="A230" t="str">
            <v>66RIVE011AOG</v>
          </cell>
          <cell r="B230" t="str">
            <v>0024530367</v>
          </cell>
          <cell r="C230" t="str">
            <v>Vague 2</v>
          </cell>
          <cell r="D230">
            <v>1564.4564263010345</v>
          </cell>
        </row>
        <row r="231">
          <cell r="A231" t="str">
            <v>67PLOB011AOG</v>
          </cell>
          <cell r="B231" t="str">
            <v>0024288798</v>
          </cell>
          <cell r="C231" t="str">
            <v>Pilotes</v>
          </cell>
          <cell r="D231">
            <v>1257.2564263010347</v>
          </cell>
        </row>
        <row r="232">
          <cell r="A232" t="str">
            <v>67STRA011AOG</v>
          </cell>
          <cell r="B232" t="str">
            <v>0024408747</v>
          </cell>
          <cell r="C232" t="str">
            <v>Vague 1</v>
          </cell>
          <cell r="D232">
            <v>1235.4564263010345</v>
          </cell>
        </row>
        <row r="233">
          <cell r="A233" t="str">
            <v>67STRA031AOG</v>
          </cell>
          <cell r="C233" t="str">
            <v>VDS</v>
          </cell>
          <cell r="D233">
            <v>1259</v>
          </cell>
        </row>
        <row r="234">
          <cell r="A234" t="str">
            <v>68COLM011AOG</v>
          </cell>
          <cell r="B234" t="str">
            <v>0024530530</v>
          </cell>
          <cell r="C234" t="str">
            <v>Vague 2</v>
          </cell>
          <cell r="D234">
            <v>1225.2564263010347</v>
          </cell>
        </row>
        <row r="235">
          <cell r="A235" t="str">
            <v>68FESS021AOB</v>
          </cell>
          <cell r="B235" t="str">
            <v>0024530368</v>
          </cell>
          <cell r="C235" t="str">
            <v>Vague 2</v>
          </cell>
          <cell r="D235">
            <v>254.41198185659007</v>
          </cell>
        </row>
        <row r="236">
          <cell r="A236" t="str">
            <v>68MULH011AOP</v>
          </cell>
          <cell r="B236" t="str">
            <v>0024530531</v>
          </cell>
          <cell r="C236" t="str">
            <v>Vague 2</v>
          </cell>
          <cell r="D236">
            <v>2250.2564263010345</v>
          </cell>
        </row>
        <row r="237">
          <cell r="A237" t="str">
            <v>68MULH021AOG</v>
          </cell>
          <cell r="B237" t="str">
            <v>0024408749</v>
          </cell>
          <cell r="C237" t="str">
            <v>Vague 1</v>
          </cell>
          <cell r="D237">
            <v>1225.2564263010347</v>
          </cell>
        </row>
        <row r="238">
          <cell r="A238" t="str">
            <v>69GIVO011AOB</v>
          </cell>
          <cell r="B238" t="str">
            <v>0024649974</v>
          </cell>
          <cell r="C238" t="str">
            <v>Vague 3</v>
          </cell>
          <cell r="D238">
            <v>254.41198185659007</v>
          </cell>
        </row>
        <row r="239">
          <cell r="A239" t="str">
            <v>69LYON021AOM</v>
          </cell>
          <cell r="B239" t="str">
            <v>0024531436</v>
          </cell>
          <cell r="C239" t="str">
            <v>Vague 2</v>
          </cell>
          <cell r="D239">
            <v>1754</v>
          </cell>
        </row>
        <row r="240">
          <cell r="A240" t="str">
            <v>69LYON031AOM</v>
          </cell>
          <cell r="B240" t="str">
            <v>0024531442</v>
          </cell>
          <cell r="C240" t="str">
            <v>Vague 2</v>
          </cell>
          <cell r="D240">
            <v>1754</v>
          </cell>
        </row>
        <row r="241">
          <cell r="A241" t="str">
            <v>69LYON041AOP</v>
          </cell>
          <cell r="C241" t="str">
            <v>VDS</v>
          </cell>
          <cell r="D241">
            <v>2581</v>
          </cell>
        </row>
        <row r="242">
          <cell r="A242" t="str">
            <v>69VILL011AOG</v>
          </cell>
          <cell r="B242" t="str">
            <v>0024530534</v>
          </cell>
          <cell r="C242" t="str">
            <v>Vague 2</v>
          </cell>
          <cell r="D242">
            <v>1225</v>
          </cell>
        </row>
        <row r="243">
          <cell r="A243" t="str">
            <v>71CHAL011AOG</v>
          </cell>
          <cell r="B243" t="str">
            <v>0024408750</v>
          </cell>
          <cell r="C243" t="str">
            <v>Vague 1</v>
          </cell>
          <cell r="D243">
            <v>1335.4564263010345</v>
          </cell>
        </row>
        <row r="244">
          <cell r="A244" t="str">
            <v>71CHAL021AOG</v>
          </cell>
          <cell r="B244" t="str">
            <v>0024408751</v>
          </cell>
          <cell r="C244" t="str">
            <v>Vague 1</v>
          </cell>
          <cell r="D244">
            <v>1121</v>
          </cell>
        </row>
        <row r="245">
          <cell r="A245" t="str">
            <v>72LEMA011AOG</v>
          </cell>
          <cell r="B245" t="str">
            <v>0024530369</v>
          </cell>
          <cell r="C245" t="str">
            <v>Vague 2</v>
          </cell>
          <cell r="D245">
            <v>1335.4564263010345</v>
          </cell>
        </row>
        <row r="246">
          <cell r="A246" t="str">
            <v>73ALBE021AOG</v>
          </cell>
          <cell r="B246" t="str">
            <v>0024474103</v>
          </cell>
          <cell r="C246" t="str">
            <v>Vague 1</v>
          </cell>
          <cell r="D246">
            <v>1235.4564263010345</v>
          </cell>
        </row>
        <row r="247">
          <cell r="A247" t="str">
            <v>73ALBE031AOB</v>
          </cell>
          <cell r="B247" t="str">
            <v>0024431267</v>
          </cell>
          <cell r="C247" t="str">
            <v>VDS</v>
          </cell>
          <cell r="D247">
            <v>623</v>
          </cell>
        </row>
        <row r="248">
          <cell r="A248" t="str">
            <v>73AVRI011AOM</v>
          </cell>
          <cell r="B248" t="str">
            <v>0024655994</v>
          </cell>
          <cell r="C248" t="str">
            <v>Vague 3</v>
          </cell>
          <cell r="D248">
            <v>1762.91198185659</v>
          </cell>
        </row>
        <row r="249">
          <cell r="A249" t="str">
            <v>73BOZE011AOB</v>
          </cell>
          <cell r="B249" t="str">
            <v>0024408753</v>
          </cell>
          <cell r="C249" t="str">
            <v>Vague 1</v>
          </cell>
          <cell r="D249">
            <v>383.21198185659011</v>
          </cell>
        </row>
        <row r="250">
          <cell r="A250" t="str">
            <v>73FRAN011AOG</v>
          </cell>
          <cell r="B250" t="str">
            <v>0024530615</v>
          </cell>
          <cell r="C250" t="str">
            <v>Vague 2</v>
          </cell>
          <cell r="D250">
            <v>1081.2564263010345</v>
          </cell>
        </row>
        <row r="251">
          <cell r="A251" t="str">
            <v>73MONT011AOS</v>
          </cell>
          <cell r="B251" t="str">
            <v>0024530765</v>
          </cell>
          <cell r="C251" t="str">
            <v>Vague 2</v>
          </cell>
          <cell r="D251">
            <v>1225.2564263010347</v>
          </cell>
        </row>
        <row r="252">
          <cell r="A252" t="str">
            <v>73MOUT011AOG</v>
          </cell>
          <cell r="B252" t="str">
            <v>0024408754</v>
          </cell>
          <cell r="C252" t="str">
            <v>Vague 1</v>
          </cell>
          <cell r="D252">
            <v>1055.0564263010344</v>
          </cell>
        </row>
        <row r="253">
          <cell r="A253" t="str">
            <v>73MOUT021AOG</v>
          </cell>
          <cell r="B253" t="str">
            <v>0024408755</v>
          </cell>
          <cell r="C253" t="str">
            <v>Vague 1</v>
          </cell>
          <cell r="D253">
            <v>1225.2564263010347</v>
          </cell>
        </row>
        <row r="254">
          <cell r="A254" t="str">
            <v>73STJE011AOM</v>
          </cell>
          <cell r="B254" t="str">
            <v>0024655995</v>
          </cell>
          <cell r="C254" t="str">
            <v>Vague 3</v>
          </cell>
          <cell r="D254">
            <v>907.91198185659005</v>
          </cell>
        </row>
        <row r="255">
          <cell r="A255" t="str">
            <v>73STMI011AOM</v>
          </cell>
          <cell r="B255" t="str">
            <v>0024685326</v>
          </cell>
          <cell r="C255" t="str">
            <v>Vague 3</v>
          </cell>
          <cell r="D255">
            <v>705</v>
          </cell>
        </row>
        <row r="256">
          <cell r="A256" t="str">
            <v>74ANNE011AOG</v>
          </cell>
          <cell r="B256" t="str">
            <v>0024523685</v>
          </cell>
          <cell r="C256" t="str">
            <v>VDS</v>
          </cell>
          <cell r="D256">
            <v>1273</v>
          </cell>
        </row>
        <row r="257">
          <cell r="A257" t="str">
            <v>74CHAM011AOB</v>
          </cell>
          <cell r="B257" t="str">
            <v>0024649975</v>
          </cell>
          <cell r="C257" t="str">
            <v>Vague 3</v>
          </cell>
          <cell r="D257">
            <v>272.41198185659005</v>
          </cell>
        </row>
        <row r="258">
          <cell r="A258" t="str">
            <v>74CLUS011AOS</v>
          </cell>
          <cell r="B258" t="str">
            <v>0024530766</v>
          </cell>
          <cell r="C258" t="str">
            <v>Vague 2</v>
          </cell>
          <cell r="D258">
            <v>1225.2564263010347</v>
          </cell>
        </row>
        <row r="259">
          <cell r="A259" t="str">
            <v>74MIEU011AOB</v>
          </cell>
          <cell r="B259" t="str">
            <v>0024649976</v>
          </cell>
          <cell r="C259" t="str">
            <v>Vague 3</v>
          </cell>
          <cell r="D259">
            <v>254.41198185659007</v>
          </cell>
        </row>
        <row r="260">
          <cell r="A260" t="str">
            <v>74PASS011AOG</v>
          </cell>
          <cell r="B260" t="str">
            <v>0024492259</v>
          </cell>
          <cell r="C260" t="str">
            <v>VDS</v>
          </cell>
          <cell r="D260">
            <v>1225</v>
          </cell>
        </row>
        <row r="261">
          <cell r="A261" t="str">
            <v>74THON011AOB</v>
          </cell>
          <cell r="B261" t="str">
            <v>0024530767</v>
          </cell>
          <cell r="C261" t="str">
            <v>Vague 2</v>
          </cell>
          <cell r="D261">
            <v>272.41198185659005</v>
          </cell>
        </row>
        <row r="262">
          <cell r="A262" t="str">
            <v>75PARI011AOP</v>
          </cell>
          <cell r="B262" t="str">
            <v>0024288849</v>
          </cell>
          <cell r="C262" t="str">
            <v>Pilotes</v>
          </cell>
          <cell r="D262">
            <v>2146.0564263010347</v>
          </cell>
        </row>
        <row r="263">
          <cell r="A263" t="str">
            <v>75PARI021AOB</v>
          </cell>
          <cell r="B263" t="str">
            <v>0024530768</v>
          </cell>
          <cell r="C263" t="str">
            <v>Vague 2</v>
          </cell>
          <cell r="D263">
            <v>598.61198185659009</v>
          </cell>
        </row>
        <row r="264">
          <cell r="A264" t="str">
            <v>76LEHA011AOB</v>
          </cell>
          <cell r="B264" t="str">
            <v>0024427007</v>
          </cell>
          <cell r="C264" t="str">
            <v>Vague 1</v>
          </cell>
          <cell r="D264">
            <v>874</v>
          </cell>
        </row>
        <row r="265">
          <cell r="A265" t="str">
            <v>76ROUE021AOG</v>
          </cell>
          <cell r="B265" t="str">
            <v>0024530616</v>
          </cell>
          <cell r="C265" t="str">
            <v>Vague 2</v>
          </cell>
          <cell r="D265">
            <v>1564.4564263010345</v>
          </cell>
        </row>
        <row r="266">
          <cell r="A266" t="str">
            <v>76ROUE031AOP</v>
          </cell>
          <cell r="B266" t="str">
            <v>0024426923</v>
          </cell>
          <cell r="C266" t="str">
            <v>Vague 1</v>
          </cell>
          <cell r="D266">
            <v>2250.2564263010345</v>
          </cell>
        </row>
        <row r="267">
          <cell r="A267" t="str">
            <v>76STVA011AOB</v>
          </cell>
          <cell r="B267" t="str">
            <v>0024530769</v>
          </cell>
          <cell r="C267" t="str">
            <v>Vague 2</v>
          </cell>
          <cell r="D267">
            <v>606.61198185659009</v>
          </cell>
        </row>
        <row r="268">
          <cell r="A268" t="str">
            <v>76ROUE041AOB</v>
          </cell>
          <cell r="B268" t="str">
            <v>0024649977</v>
          </cell>
          <cell r="C268" t="str">
            <v>Vague 3</v>
          </cell>
          <cell r="D268">
            <v>254</v>
          </cell>
        </row>
        <row r="269">
          <cell r="A269" t="str">
            <v>77CHAL011AOB</v>
          </cell>
          <cell r="B269" t="str">
            <v>0024530617</v>
          </cell>
          <cell r="C269" t="str">
            <v>Vague 2</v>
          </cell>
          <cell r="D269">
            <v>272.41198185659005</v>
          </cell>
        </row>
        <row r="270">
          <cell r="A270" t="str">
            <v>77DAMM011AOG</v>
          </cell>
          <cell r="B270" t="str">
            <v>0024408756</v>
          </cell>
          <cell r="C270" t="str">
            <v>Vague 1</v>
          </cell>
          <cell r="D270">
            <v>1251.4564263010345</v>
          </cell>
        </row>
        <row r="271">
          <cell r="A271" t="str">
            <v>77LIEU011AOG</v>
          </cell>
          <cell r="B271" t="str">
            <v>0024358320</v>
          </cell>
          <cell r="C271" t="str">
            <v>Vague 1</v>
          </cell>
          <cell r="D271">
            <v>1642.8564263010346</v>
          </cell>
        </row>
        <row r="272">
          <cell r="A272" t="str">
            <v>77ORVA011AOG</v>
          </cell>
          <cell r="C272" t="str">
            <v>VDS</v>
          </cell>
          <cell r="D272">
            <v>1351</v>
          </cell>
        </row>
        <row r="273">
          <cell r="A273" t="str">
            <v>77VERN011AOB</v>
          </cell>
          <cell r="B273" t="str">
            <v>0024649978</v>
          </cell>
          <cell r="C273" t="str">
            <v>Vague 3</v>
          </cell>
          <cell r="D273">
            <v>254.41198185659007</v>
          </cell>
        </row>
        <row r="274">
          <cell r="A274" t="str">
            <v>78CHAT011AOG</v>
          </cell>
          <cell r="B274" t="str">
            <v>0024358321</v>
          </cell>
          <cell r="C274" t="str">
            <v>Vague 1</v>
          </cell>
          <cell r="D274">
            <v>1698.8564263010346</v>
          </cell>
        </row>
        <row r="275">
          <cell r="A275" t="str">
            <v>78CHAT012AOG</v>
          </cell>
          <cell r="C275" t="str">
            <v>VDS</v>
          </cell>
          <cell r="D275">
            <v>1351</v>
          </cell>
        </row>
        <row r="276">
          <cell r="A276" t="str">
            <v>78PORC011AOB</v>
          </cell>
          <cell r="B276" t="str">
            <v>0024408809</v>
          </cell>
          <cell r="C276" t="str">
            <v>Vague 1</v>
          </cell>
          <cell r="D276">
            <v>611.71198185659</v>
          </cell>
        </row>
        <row r="277">
          <cell r="A277" t="str">
            <v>80AMIE011AOG</v>
          </cell>
          <cell r="B277" t="str">
            <v>0024530618</v>
          </cell>
          <cell r="C277" t="str">
            <v>Vague 2</v>
          </cell>
          <cell r="D277">
            <v>1335.4564263010345</v>
          </cell>
        </row>
        <row r="278">
          <cell r="A278" t="str">
            <v>80AMIE021AOP</v>
          </cell>
          <cell r="B278" t="str">
            <v>0024530770</v>
          </cell>
          <cell r="C278" t="str">
            <v>Vague 2</v>
          </cell>
          <cell r="D278">
            <v>2630</v>
          </cell>
        </row>
        <row r="279">
          <cell r="A279" t="str">
            <v>81ALBI011AOG</v>
          </cell>
          <cell r="B279" t="str">
            <v>0024530619</v>
          </cell>
          <cell r="C279" t="str">
            <v>Vague 2</v>
          </cell>
          <cell r="D279">
            <v>1081.2564263010345</v>
          </cell>
        </row>
        <row r="280">
          <cell r="A280" t="str">
            <v>81ARTH011AOM</v>
          </cell>
          <cell r="B280" t="str">
            <v>0024656057</v>
          </cell>
          <cell r="C280" t="str">
            <v>Vague 3</v>
          </cell>
          <cell r="D280">
            <v>1472</v>
          </cell>
        </row>
        <row r="281">
          <cell r="A281" t="str">
            <v>81BOUT011AOM</v>
          </cell>
          <cell r="B281" t="str">
            <v>0024656058</v>
          </cell>
          <cell r="C281" t="str">
            <v>Vague 3</v>
          </cell>
          <cell r="D281">
            <v>254</v>
          </cell>
        </row>
        <row r="282">
          <cell r="A282" t="str">
            <v>81BRAS011AOM</v>
          </cell>
          <cell r="B282" t="str">
            <v>0024656059</v>
          </cell>
          <cell r="C282" t="str">
            <v>Vague 3</v>
          </cell>
          <cell r="D282">
            <v>773</v>
          </cell>
        </row>
        <row r="283">
          <cell r="A283" t="str">
            <v>81CAST011AOG</v>
          </cell>
          <cell r="B283" t="str">
            <v>0024530771</v>
          </cell>
          <cell r="C283" t="str">
            <v>Vague 2</v>
          </cell>
          <cell r="D283">
            <v>1055.0564263010344</v>
          </cell>
        </row>
        <row r="284">
          <cell r="A284" t="str">
            <v>81GAIL011AOG</v>
          </cell>
          <cell r="B284" t="str">
            <v>0024530772</v>
          </cell>
          <cell r="C284" t="str">
            <v>Vague 2</v>
          </cell>
          <cell r="D284">
            <v>1055.0564263010344</v>
          </cell>
        </row>
        <row r="285">
          <cell r="A285" t="str">
            <v>81RIVI011AOM</v>
          </cell>
          <cell r="B285" t="str">
            <v>0024656157</v>
          </cell>
          <cell r="C285" t="str">
            <v>Vague 3</v>
          </cell>
          <cell r="D285">
            <v>368</v>
          </cell>
        </row>
        <row r="286">
          <cell r="A286" t="str">
            <v>81STSU011AOB</v>
          </cell>
          <cell r="B286" t="str">
            <v>0024690005</v>
          </cell>
          <cell r="C286" t="str">
            <v>Vague 3</v>
          </cell>
          <cell r="D286">
            <v>610.61198185659009</v>
          </cell>
        </row>
        <row r="287">
          <cell r="A287" t="str">
            <v>82GOLF011AOG</v>
          </cell>
          <cell r="B287" t="str">
            <v>0024690012</v>
          </cell>
          <cell r="C287" t="str">
            <v>Vague 3</v>
          </cell>
          <cell r="D287">
            <v>1063.0564263010344</v>
          </cell>
        </row>
        <row r="288">
          <cell r="A288" t="str">
            <v>83TANN011AOG</v>
          </cell>
          <cell r="B288" t="str">
            <v>0024451904</v>
          </cell>
          <cell r="C288" t="str">
            <v>Vague 1</v>
          </cell>
          <cell r="D288">
            <v>2064.0564263010347</v>
          </cell>
        </row>
        <row r="289">
          <cell r="A289" t="str">
            <v>83TOUL011AOG</v>
          </cell>
          <cell r="B289" t="str">
            <v>0024408810</v>
          </cell>
          <cell r="C289" t="str">
            <v>Vague 1</v>
          </cell>
          <cell r="D289">
            <v>1634.8564263010346</v>
          </cell>
        </row>
        <row r="290">
          <cell r="A290" t="str">
            <v>83VINO011AOS</v>
          </cell>
          <cell r="B290" t="str">
            <v>0024655346</v>
          </cell>
          <cell r="C290" t="str">
            <v>Vague 3</v>
          </cell>
          <cell r="D290">
            <v>1232.8564263010346</v>
          </cell>
        </row>
        <row r="291">
          <cell r="A291" t="str">
            <v>84AVIG011AOG</v>
          </cell>
          <cell r="B291" t="str">
            <v>0024531263</v>
          </cell>
          <cell r="C291" t="str">
            <v>Vague 2</v>
          </cell>
          <cell r="D291">
            <v>1225.2564263010347</v>
          </cell>
        </row>
        <row r="292">
          <cell r="A292" t="str">
            <v>84AVIG011AOG</v>
          </cell>
          <cell r="B292" t="str">
            <v>0024531265</v>
          </cell>
          <cell r="C292" t="str">
            <v>Vague 2</v>
          </cell>
          <cell r="D292">
            <v>2679.6564263010346</v>
          </cell>
        </row>
        <row r="293">
          <cell r="A293" t="str">
            <v>86CHAS011AOP</v>
          </cell>
          <cell r="B293">
            <v>24531265</v>
          </cell>
          <cell r="C293" t="str">
            <v>Vague 2</v>
          </cell>
          <cell r="D293">
            <v>2680</v>
          </cell>
        </row>
        <row r="294">
          <cell r="A294" t="str">
            <v>86LISL021AOB</v>
          </cell>
          <cell r="B294" t="str">
            <v>0024739946</v>
          </cell>
          <cell r="C294" t="str">
            <v>Vague 4</v>
          </cell>
          <cell r="D294">
            <v>254.41198185659007</v>
          </cell>
        </row>
        <row r="295">
          <cell r="A295" t="str">
            <v>86LISL011AOG</v>
          </cell>
          <cell r="B295" t="str">
            <v>0024655347</v>
          </cell>
          <cell r="C295" t="str">
            <v>Vague 2</v>
          </cell>
          <cell r="D295">
            <v>1063.0564263010344</v>
          </cell>
        </row>
        <row r="296">
          <cell r="A296" t="str">
            <v>86MILL011AOB</v>
          </cell>
          <cell r="B296">
            <v>24739947</v>
          </cell>
          <cell r="C296" t="str">
            <v>Vague 4</v>
          </cell>
          <cell r="D296">
            <v>254.41198185659007</v>
          </cell>
        </row>
        <row r="297">
          <cell r="A297" t="str">
            <v>87AMBA011AOS</v>
          </cell>
          <cell r="B297" t="str">
            <v>0024529101</v>
          </cell>
          <cell r="C297" t="str">
            <v>Vague 2</v>
          </cell>
          <cell r="D297">
            <v>1081.2564263010345</v>
          </cell>
        </row>
        <row r="298">
          <cell r="A298" t="str">
            <v>87FEYT011AOG</v>
          </cell>
          <cell r="B298" t="str">
            <v>0024408811</v>
          </cell>
          <cell r="C298" t="str">
            <v>Vague 1</v>
          </cell>
          <cell r="D298">
            <v>1225.2564263010347</v>
          </cell>
        </row>
        <row r="299">
          <cell r="A299" t="str">
            <v>87LIMO011AOG</v>
          </cell>
          <cell r="B299" t="str">
            <v>0024408812</v>
          </cell>
          <cell r="C299" t="str">
            <v>Vague 1</v>
          </cell>
          <cell r="D299">
            <v>1375</v>
          </cell>
        </row>
        <row r="300">
          <cell r="A300" t="str">
            <v>87STJU011AOB</v>
          </cell>
          <cell r="B300" t="str">
            <v>0024739949</v>
          </cell>
          <cell r="C300" t="str">
            <v>Vague 4</v>
          </cell>
          <cell r="D300">
            <v>254.41198185659007</v>
          </cell>
        </row>
        <row r="301">
          <cell r="A301" t="str">
            <v>87STMA011AOS</v>
          </cell>
          <cell r="B301">
            <v>24743258</v>
          </cell>
          <cell r="C301" t="str">
            <v>VDS</v>
          </cell>
          <cell r="D301">
            <v>2048</v>
          </cell>
        </row>
        <row r="302">
          <cell r="A302" t="str">
            <v>88RAON011AOS</v>
          </cell>
          <cell r="B302" t="str">
            <v>0024536844</v>
          </cell>
          <cell r="C302" t="str">
            <v>Vague 2</v>
          </cell>
          <cell r="D302">
            <v>2032.0564263010347</v>
          </cell>
        </row>
        <row r="303">
          <cell r="A303" t="str">
            <v>89AUXE011AOG</v>
          </cell>
          <cell r="B303" t="str">
            <v>0024655348</v>
          </cell>
          <cell r="C303" t="str">
            <v>Vague 3</v>
          </cell>
          <cell r="D303">
            <v>1079.0564263010344</v>
          </cell>
        </row>
        <row r="304">
          <cell r="A304" t="str">
            <v>89DOME011AOS</v>
          </cell>
          <cell r="B304" t="str">
            <v>0024408815</v>
          </cell>
          <cell r="C304" t="str">
            <v>Vague 1</v>
          </cell>
          <cell r="D304">
            <v>2064.0564263010347</v>
          </cell>
        </row>
        <row r="305">
          <cell r="A305" t="str">
            <v>90BELF011AOG</v>
          </cell>
          <cell r="B305" t="str">
            <v>0024514764</v>
          </cell>
          <cell r="C305" t="str">
            <v>Vague 2</v>
          </cell>
          <cell r="D305">
            <v>1867.0564263010347</v>
          </cell>
        </row>
        <row r="306">
          <cell r="A306" t="str">
            <v>91EVRY011AOG</v>
          </cell>
          <cell r="B306" t="str">
            <v>0024529102</v>
          </cell>
          <cell r="C306" t="str">
            <v>Vague 2</v>
          </cell>
          <cell r="D306">
            <v>1335.4564263010345</v>
          </cell>
        </row>
        <row r="307">
          <cell r="A307" t="str">
            <v>91PALA011AOP</v>
          </cell>
          <cell r="B307" t="str">
            <v>0024426924</v>
          </cell>
          <cell r="C307" t="str">
            <v>Vague 1</v>
          </cell>
          <cell r="D307">
            <v>2250.2564263010345</v>
          </cell>
        </row>
        <row r="308">
          <cell r="A308" t="str">
            <v>92COLO011AOG</v>
          </cell>
          <cell r="B308" t="str">
            <v>0024533987</v>
          </cell>
          <cell r="C308" t="str">
            <v>Pilotes</v>
          </cell>
          <cell r="D308">
            <v>2127</v>
          </cell>
        </row>
        <row r="309">
          <cell r="A309" t="str">
            <v>92COLO021AOG</v>
          </cell>
          <cell r="B309" t="str">
            <v>0024529103</v>
          </cell>
          <cell r="C309" t="str">
            <v>Vague 2</v>
          </cell>
          <cell r="D309">
            <v>1572.4564263010345</v>
          </cell>
        </row>
        <row r="310">
          <cell r="A310" t="str">
            <v>92COUR011AOG</v>
          </cell>
          <cell r="B310" t="str">
            <v>0024651382</v>
          </cell>
          <cell r="C310" t="str">
            <v>Vague 3</v>
          </cell>
          <cell r="D310">
            <v>1842</v>
          </cell>
        </row>
        <row r="311">
          <cell r="A311" t="str">
            <v>92FONT011AOG</v>
          </cell>
          <cell r="B311" t="str">
            <v>0024408816</v>
          </cell>
          <cell r="C311" t="str">
            <v>Vague 1</v>
          </cell>
          <cell r="D311">
            <v>1267.4564263010345</v>
          </cell>
        </row>
        <row r="312">
          <cell r="A312" t="str">
            <v>92MONT021AOG</v>
          </cell>
          <cell r="C312" t="str">
            <v>VDS</v>
          </cell>
          <cell r="D312">
            <v>2181</v>
          </cell>
        </row>
        <row r="313">
          <cell r="A313" t="str">
            <v>92MONT032AOP</v>
          </cell>
          <cell r="B313">
            <v>25037827</v>
          </cell>
          <cell r="C313" t="str">
            <v>VDS</v>
          </cell>
          <cell r="D313">
            <v>3228</v>
          </cell>
        </row>
        <row r="314">
          <cell r="A314" t="str">
            <v>93NOIS011AOG</v>
          </cell>
          <cell r="B314" t="str">
            <v>0024529104</v>
          </cell>
          <cell r="C314" t="str">
            <v>Vague 2</v>
          </cell>
          <cell r="D314">
            <v>1564.4564263010345</v>
          </cell>
        </row>
        <row r="315">
          <cell r="A315" t="str">
            <v>93STOU011AOP</v>
          </cell>
          <cell r="B315" t="str">
            <v>0024365367</v>
          </cell>
          <cell r="C315" t="str">
            <v>Vague 1</v>
          </cell>
          <cell r="D315">
            <v>2975.1522483827339</v>
          </cell>
        </row>
        <row r="316">
          <cell r="A316" t="str">
            <v>95CHAM011AOB</v>
          </cell>
          <cell r="B316" t="str">
            <v>0024649980</v>
          </cell>
          <cell r="C316" t="str">
            <v>Vague 3</v>
          </cell>
          <cell r="D316">
            <v>368</v>
          </cell>
        </row>
        <row r="317">
          <cell r="A317" t="str">
            <v>95MONT011AOP</v>
          </cell>
          <cell r="B317" t="str">
            <v>0024408311</v>
          </cell>
          <cell r="C317" t="str">
            <v>Vague 1</v>
          </cell>
          <cell r="D317">
            <v>2197.3364263010344</v>
          </cell>
        </row>
        <row r="318">
          <cell r="A318" t="str">
            <v>97ABYM011AOG</v>
          </cell>
          <cell r="B318" t="str">
            <v>0024409325</v>
          </cell>
          <cell r="C318" t="str">
            <v>Vague 1</v>
          </cell>
          <cell r="D318">
            <v>447.65642630103451</v>
          </cell>
        </row>
        <row r="319">
          <cell r="A319" t="str">
            <v>97BAIE011AOG</v>
          </cell>
          <cell r="B319" t="str">
            <v>0024408818</v>
          </cell>
          <cell r="C319" t="str">
            <v>Vague 1</v>
          </cell>
          <cell r="D319">
            <v>923.25642630103448</v>
          </cell>
        </row>
        <row r="320">
          <cell r="A320" t="str">
            <v>97BAIE021AOM</v>
          </cell>
          <cell r="B320" t="str">
            <v>0024408819</v>
          </cell>
          <cell r="C320" t="str">
            <v>Vague 1</v>
          </cell>
          <cell r="D320">
            <v>1524</v>
          </cell>
        </row>
        <row r="321">
          <cell r="A321" t="str">
            <v>97CASE011AOS</v>
          </cell>
          <cell r="B321" t="str">
            <v>0024651363</v>
          </cell>
          <cell r="C321" t="str">
            <v>Vague 3</v>
          </cell>
          <cell r="D321">
            <v>974</v>
          </cell>
        </row>
        <row r="322">
          <cell r="A322" t="str">
            <v>97CAYE011AOG</v>
          </cell>
          <cell r="B322" t="str">
            <v>0024408842</v>
          </cell>
          <cell r="C322" t="str">
            <v>Vague 1</v>
          </cell>
          <cell r="D322">
            <v>10177</v>
          </cell>
        </row>
        <row r="323">
          <cell r="A323" t="str">
            <v>97CAYE021AOG</v>
          </cell>
          <cell r="B323" t="str">
            <v>0024408844</v>
          </cell>
          <cell r="C323" t="str">
            <v>Vague 1</v>
          </cell>
          <cell r="D323">
            <v>1331.2564263010345</v>
          </cell>
        </row>
        <row r="324">
          <cell r="A324" t="str">
            <v>97CAYE031AOG</v>
          </cell>
          <cell r="B324" t="str">
            <v>0024529105</v>
          </cell>
          <cell r="C324" t="str">
            <v>Vague 2</v>
          </cell>
          <cell r="D324">
            <v>669.45642630103453</v>
          </cell>
        </row>
        <row r="325">
          <cell r="A325" t="str">
            <v>97FORT011AOM</v>
          </cell>
          <cell r="B325" t="str">
            <v>0024659759</v>
          </cell>
          <cell r="C325" t="str">
            <v>Vague 3</v>
          </cell>
          <cell r="D325">
            <v>5156</v>
          </cell>
        </row>
        <row r="326">
          <cell r="A326" t="str">
            <v>97FORT021AOS</v>
          </cell>
          <cell r="B326" t="str">
            <v>0024661711</v>
          </cell>
          <cell r="C326" t="str">
            <v>Vague 3</v>
          </cell>
          <cell r="D326">
            <v>581.45642630103453</v>
          </cell>
        </row>
        <row r="327">
          <cell r="A327" t="str">
            <v>97FORT041AOM</v>
          </cell>
          <cell r="B327" t="str">
            <v>0024659816</v>
          </cell>
          <cell r="C327" t="str">
            <v>Vague 3</v>
          </cell>
          <cell r="D327">
            <v>5156</v>
          </cell>
        </row>
        <row r="328">
          <cell r="A328" t="str">
            <v>97GOUR011AOG</v>
          </cell>
          <cell r="B328" t="str">
            <v>0024408845</v>
          </cell>
          <cell r="C328" t="str">
            <v>Vague 1</v>
          </cell>
          <cell r="D328">
            <v>923.25642630103448</v>
          </cell>
        </row>
        <row r="329">
          <cell r="A329" t="str">
            <v>97KOUR011AOG</v>
          </cell>
          <cell r="B329" t="str">
            <v>0024408847</v>
          </cell>
          <cell r="C329" t="str">
            <v>Vague 1</v>
          </cell>
          <cell r="D329">
            <v>1371</v>
          </cell>
        </row>
        <row r="330">
          <cell r="A330" t="str">
            <v>97LADE011AOS</v>
          </cell>
          <cell r="B330" t="str">
            <v>0024408848</v>
          </cell>
          <cell r="C330" t="str">
            <v>Vague 1</v>
          </cell>
          <cell r="D330">
            <v>345.21</v>
          </cell>
        </row>
        <row r="331">
          <cell r="A331" t="str">
            <v>97LAME011AOG</v>
          </cell>
          <cell r="B331" t="str">
            <v>0024288801</v>
          </cell>
          <cell r="C331" t="str">
            <v>Pilotes</v>
          </cell>
          <cell r="D331">
            <v>2351.6564263010346</v>
          </cell>
        </row>
        <row r="332">
          <cell r="A332" t="str">
            <v>97MARI011AOS</v>
          </cell>
          <cell r="B332" t="str">
            <v>0024487056</v>
          </cell>
          <cell r="C332" t="str">
            <v>Vague 1</v>
          </cell>
          <cell r="D332">
            <v>447.65642630103451</v>
          </cell>
        </row>
        <row r="333">
          <cell r="A333" t="str">
            <v>97MATO011AOG</v>
          </cell>
          <cell r="B333" t="str">
            <v>0024288802</v>
          </cell>
          <cell r="C333" t="str">
            <v>Pilotes</v>
          </cell>
          <cell r="D333">
            <v>743.45642630103453</v>
          </cell>
        </row>
        <row r="334">
          <cell r="A334" t="str">
            <v>97MATO021AOG</v>
          </cell>
          <cell r="B334" t="str">
            <v>0024529106</v>
          </cell>
          <cell r="C334" t="str">
            <v>Vague 2</v>
          </cell>
          <cell r="D334">
            <v>417.65642630103451</v>
          </cell>
        </row>
        <row r="335">
          <cell r="A335" t="str">
            <v>97MIQU011AOB</v>
          </cell>
          <cell r="C335" t="str">
            <v>VDS</v>
          </cell>
          <cell r="D335">
            <v>745</v>
          </cell>
        </row>
        <row r="336">
          <cell r="A336" t="str">
            <v>97MORN011AOG</v>
          </cell>
          <cell r="B336" t="str">
            <v>0024288803</v>
          </cell>
          <cell r="C336" t="str">
            <v>Pilotes</v>
          </cell>
          <cell r="D336">
            <v>447.65642630103451</v>
          </cell>
        </row>
        <row r="337">
          <cell r="A337" t="str">
            <v>97POIN011AOM</v>
          </cell>
          <cell r="B337" t="str">
            <v>0024408851</v>
          </cell>
          <cell r="C337" t="str">
            <v>Vague 1</v>
          </cell>
          <cell r="D337">
            <v>1524</v>
          </cell>
        </row>
        <row r="338">
          <cell r="A338" t="str">
            <v>97REGI011AOG</v>
          </cell>
          <cell r="B338" t="str">
            <v>0024529107</v>
          </cell>
          <cell r="C338" t="str">
            <v>Vague 2</v>
          </cell>
          <cell r="D338">
            <v>417.65642630103451</v>
          </cell>
        </row>
        <row r="339">
          <cell r="A339" t="str">
            <v>97RIVI011AOS</v>
          </cell>
          <cell r="B339" t="str">
            <v>0024655349</v>
          </cell>
          <cell r="C339" t="str">
            <v>Vague 3</v>
          </cell>
          <cell r="D339">
            <v>953.25642630103448</v>
          </cell>
        </row>
        <row r="340">
          <cell r="A340" t="str">
            <v>97SCHO011AOS</v>
          </cell>
          <cell r="B340" t="str">
            <v>0024655350</v>
          </cell>
          <cell r="C340" t="str">
            <v>Vague 3</v>
          </cell>
          <cell r="D340">
            <v>953.25642630103448</v>
          </cell>
        </row>
        <row r="341">
          <cell r="A341" t="str">
            <v>97STBA011AOS</v>
          </cell>
          <cell r="B341" t="str">
            <v>0024408852</v>
          </cell>
          <cell r="C341" t="str">
            <v>Vague 1</v>
          </cell>
          <cell r="D341">
            <v>611.45642630103453</v>
          </cell>
        </row>
        <row r="342">
          <cell r="A342" t="str">
            <v>97STGE011AOG</v>
          </cell>
          <cell r="B342" t="str">
            <v>0024529108</v>
          </cell>
          <cell r="C342" t="str">
            <v>Vague 2</v>
          </cell>
          <cell r="D342">
            <v>417.65642630103451</v>
          </cell>
        </row>
        <row r="343">
          <cell r="A343" t="str">
            <v>97STLA011AOG</v>
          </cell>
          <cell r="B343" t="str">
            <v>0024408853</v>
          </cell>
          <cell r="C343" t="str">
            <v>Vague 1</v>
          </cell>
          <cell r="D343">
            <v>1371</v>
          </cell>
        </row>
        <row r="344">
          <cell r="A344" t="str">
            <v>97STLA021AOG</v>
          </cell>
          <cell r="B344" t="str">
            <v>0024529109</v>
          </cell>
          <cell r="C344" t="str">
            <v>Vague 2</v>
          </cell>
          <cell r="D344">
            <v>923.25642630103448</v>
          </cell>
        </row>
        <row r="345">
          <cell r="A345" t="str">
            <v>97STMA011AOG</v>
          </cell>
          <cell r="B345" t="str">
            <v>0024408854</v>
          </cell>
          <cell r="C345" t="str">
            <v>Vague 1</v>
          </cell>
          <cell r="D345">
            <v>581.45642630103453</v>
          </cell>
        </row>
        <row r="346">
          <cell r="A346" t="str">
            <v>97STMA021AOG</v>
          </cell>
          <cell r="B346" t="str">
            <v>0024408855</v>
          </cell>
          <cell r="C346" t="str">
            <v>Vague 1</v>
          </cell>
          <cell r="D346">
            <v>611.45642630103453</v>
          </cell>
        </row>
        <row r="347">
          <cell r="A347" t="str">
            <v>97STPI011AOB</v>
          </cell>
          <cell r="C347" t="str">
            <v>VDS</v>
          </cell>
          <cell r="D347">
            <v>745</v>
          </cell>
        </row>
        <row r="348">
          <cell r="A348" t="str">
            <v>97TERR011AOS</v>
          </cell>
          <cell r="B348" t="str">
            <v>0024408856</v>
          </cell>
          <cell r="C348" t="str">
            <v>Vague 1</v>
          </cell>
          <cell r="D348">
            <v>345.21</v>
          </cell>
        </row>
        <row r="349">
          <cell r="A349" t="str">
            <v>97TRIN011AOG</v>
          </cell>
          <cell r="B349" t="str">
            <v>0024408857</v>
          </cell>
          <cell r="C349" t="str">
            <v>Vague 1</v>
          </cell>
          <cell r="D349">
            <v>923.25642630103448</v>
          </cell>
        </row>
      </sheetData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A SILVA Paula OBS/OBF" id="{9122BE6F-BA2E-46F6-B8DC-5E7B2A6CCA22}" userId="S::paula.dasilva@orange.com::0df909e3-31f5-4f8b-af03-95fa745a6a6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245646-B9F8-447A-A717-BB525A4CE616}" name="Tableau1" displayName="Tableau1" ref="A2:AZ291" totalsRowShown="0" headerRowDxfId="121" dataDxfId="120" totalsRowDxfId="119">
  <autoFilter ref="A2:AZ291" xr:uid="{56245646-B9F8-447A-A717-BB525A4CE616}"/>
  <sortState xmlns:xlrd2="http://schemas.microsoft.com/office/spreadsheetml/2017/richdata2" ref="A3:AZ291">
    <sortCondition sortBy="cellColor" ref="F2:F291" dxfId="118"/>
  </sortState>
  <tableColumns count="52">
    <tableColumn id="3" xr3:uid="{F0D2DA82-3F9C-4073-961B-EB8CA6F8BEB0}" name="Vague " dataDxfId="117"/>
    <tableColumn id="38" xr3:uid="{95C5B5D0-3EBD-4BDF-AB1A-2B74A3132944}" name="date de création " dataDxfId="116"/>
    <tableColumn id="39" xr3:uid="{E0C982B9-E40E-4450-B3ED-E349F70D3FAA}" name="date de modification " dataDxfId="115"/>
    <tableColumn id="41" xr3:uid="{92C987C0-E3D3-432E-9792-E2B701944F7B}" name="fastupgrade" dataDxfId="114"/>
    <tableColumn id="2" xr3:uid="{F67EC713-9040-4EB8-BCBD-3AD74F5B873E}" name="Nom du site " dataDxfId="113"/>
    <tableColumn id="1" xr3:uid="{3DCEE67F-81B5-46BC-ADD3-C68743F80B4A}" name="Code PAS" dataDxfId="112"/>
    <tableColumn id="4" xr3:uid="{97FF401C-91C9-4BF4-82B0-975E6ABCDCF6}" name="Index Offre demandée" dataDxfId="111"/>
    <tableColumn id="22" xr3:uid="{48E598EC-C1D1-44C7-93DF-3B56C642CBF6}" name="Index offre du fournisseur" dataDxfId="110"/>
    <tableColumn id="26" xr3:uid="{2D354958-3639-417D-8962-059FD9088BD3}" name="Zonage du site " dataDxfId="109"/>
    <tableColumn id="28" xr3:uid="{71799E5B-C67F-4036-89BA-4BE9ECD11996}" name="Techno nominal" dataDxfId="108"/>
    <tableColumn id="29" xr3:uid="{897C1CE9-DBE1-4062-A478-B505A0A15F25}" name="Technologie secours_x000a_(si site redondé)" dataDxfId="107"/>
    <tableColumn id="30" xr3:uid="{E6BAA859-5284-41C4-98EB-86C060E13A5B}" name="Nb de canaux Voix_x000a_inclus" dataDxfId="106"/>
    <tableColumn id="31" xr3:uid="{5D49080A-845A-40F9-85EE-28E8057B4A50}" name="Nb canaux voix complémentaires " dataDxfId="105"/>
    <tableColumn id="32" xr3:uid="{681853D9-5FCD-4CCE-A310-21A58E173988}" name="Nb de SUBVPN " dataDxfId="104"/>
    <tableColumn id="33" xr3:uid="{0A85E63B-0725-4407-A9A1-57BF0CFE2204}" name="GTR 24*7" dataDxfId="103"/>
    <tableColumn id="7" xr3:uid="{0F2C53EA-D0BF-4AEF-A397-551619652E05}" name="Frais d'Accès au Service_x000a_Génie Civil" dataDxfId="102"/>
    <tableColumn id="8" xr3:uid="{5888318A-ADA8-4175-965A-433D0E8CFF5E}" name="Frais de mise en service/ change" dataDxfId="101"/>
    <tableColumn id="9" xr3:uid="{1AFF54C6-46AA-4907-AF65-D986A397BC06}" name="Frais d'Accès SubVPN" dataDxfId="100"/>
    <tableColumn id="10" xr3:uid="{CA3D6B16-9322-4BE3-A46D-8727D4A1F84C}" name="Coût TOTAL Frais d'Accès au Service" dataDxfId="99"/>
    <tableColumn id="11" xr3:uid="{D07653BF-4DEE-46E5-9B0B-FF6DE331786F}" name="Coût Abonnement offre" dataDxfId="98"/>
    <tableColumn id="12" xr3:uid="{885E0EDC-4259-47A2-9893-E292B69943D4}" name="Coût Abonnement Chassis" dataDxfId="97"/>
    <tableColumn id="13" xr3:uid="{3B460090-C478-4398-8C8E-C5CFEEB01479}" name="Cout Cartes interface " dataDxfId="96"/>
    <tableColumn id="14" xr3:uid="{0FDDDCF8-BDB2-48E2-89FB-BA8F5C1E4A28}" name="Cout canaux voix supplémentaire" dataDxfId="95"/>
    <tableColumn id="15" xr3:uid="{391951F4-5EC6-45BF-9F91-9FB6E88B2327}" name="Coût Abonnement Connectivité" dataDxfId="94"/>
    <tableColumn id="16" xr3:uid="{F1B9C995-DACF-4AE7-A8F0-790E28ABAF42}" name="GTRS1 (Coût Plage de support 24h/24 7j/7)" dataDxfId="93"/>
    <tableColumn id="51" xr3:uid="{71100A61-A40F-4014-BE34-9FDD5B28F2EC}" name="Vérification coût Abonnement offre" dataDxfId="92"/>
    <tableColumn id="52" xr3:uid="{1C40EBDF-6D5D-4563-BD12-4F2A095EFE57}" name="Vérification coût Abonnement Chassis" dataDxfId="91"/>
    <tableColumn id="19" xr3:uid="{79C438D0-5EEA-4447-8E83-90DE4E605114}" name="Vérification coût Cartes interface" dataDxfId="90"/>
    <tableColumn id="59" xr3:uid="{19B43480-0EE2-4341-87B3-100881F3BAB4}" name="Vérification coût canaux voix supplémentaire" dataDxfId="89"/>
    <tableColumn id="60" xr3:uid="{9E472F6D-9A2F-4B81-998C-A82E97353D46}" name="Vérification GTRS1 (Coût Plage de support 24h/24 7j/7)2" dataDxfId="88"/>
    <tableColumn id="17" xr3:uid="{8F73DD00-5900-44F6-9629-C980FBDD5520}" name="débit calculé avec l'offre fournisseur du devis" dataDxfId="87">
      <calculatedColumnFormula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calculatedColumnFormula>
    </tableColumn>
    <tableColumn id="58" xr3:uid="{3475BDA8-1F97-4FE4-9AF5-8DD55D583F5F}" name="en Nb canaux voix" dataDxfId="86">
      <calculatedColumnFormula>VLOOKUP(#REF!,CANAUX!K:N,4,0)</calculatedColumnFormula>
    </tableColumn>
    <tableColumn id="57" xr3:uid="{FCF5AC8F-8132-44E7-9564-209EDDFF5163}" name="Nb canaux voix supplémentaire" dataDxfId="85">
      <calculatedColumnFormula>_xlfn.XLOOKUP(Tableau1[[#This Row],[Code PAS]],Tableau3[SIT- Nom du site],Tableau3[Nb canaux voix],0,0)</calculatedColumnFormula>
    </tableColumn>
    <tableColumn id="44" xr3:uid="{0F986E57-3B9B-46E2-8729-920CC4782111}" name="nombre de canaux totaix" dataDxfId="84">
      <calculatedColumnFormula>Tableau1[[#This Row],[en Nb canaux voix]]=Tableau1[[#This Row],[Nb canaux voix supplémentaire]]</calculatedColumnFormula>
    </tableColumn>
    <tableColumn id="53" xr3:uid="{2CF7A254-0C9A-4C0E-BD36-D7626472FAE5}" name="Coût mensuel supplémentaire associé" dataDxfId="83">
      <calculatedColumnFormula>VLOOKUP(#REF!,CANAUX!K:Q,7,0)</calculatedColumnFormula>
    </tableColumn>
    <tableColumn id="56" xr3:uid="{82E0EC1A-DCEF-4C9C-BD3C-1EA4EB9534B3}" name="canaux de satin" dataDxfId="82">
      <calculatedColumnFormula>IF(#REF!=Tableau1[[#This Row],[Coût mensuel supplémentaire associé]], "c'est bon",Tableau1[[#This Row],[Coût mensuel supplémentaire associé]])</calculatedColumnFormula>
    </tableColumn>
    <tableColumn id="43" xr3:uid="{81E212C0-FA34-4836-8A75-AE1B9CD4AF0B}" name="débit de satin" dataDxfId="81"/>
    <tableColumn id="6" xr3:uid="{EA214467-C81E-4DAD-9262-736D99A4843D}" name="Montant Options coûts récurrents" dataDxfId="80">
      <calculatedColumnFormula>VLOOKUP(Tableau1[[#This Row],[Code PAS]],'Facturation PAS RIN5 RUN'!#REF!,4,0)</calculatedColumnFormula>
    </tableColumn>
    <tableColumn id="42" xr3:uid="{ACE48C18-831F-4E7A-9C67-F410BD561856}" name="GTR à corriger depuis quand" dataDxfId="79"/>
    <tableColumn id="25" xr3:uid="{45302E4D-6ED2-439F-9E8B-17FA8F718071}" name="vérif GTR devis vs facture février 2026" dataDxfId="78">
      <calculatedColumnFormula>ROUND(Tableau1[[#This Row],[Montant Options coûts récurrents]],0)=ROUND(Tableau1[[#This Row],[GTRS1 (Coût Plage de support 24h/24 7j/7)]],0)</calculatedColumnFormula>
    </tableColumn>
    <tableColumn id="27" xr3:uid="{920FA23D-67BA-4038-8818-549B3F4FE4A8}" name="vérif GTR SATIN" dataDxfId="77">
      <calculatedColumnFormula>_xlfn.XLOOKUP(Tableau1[[#This Row],[Code PAS]],'parc SATIN 08012026v'!K:K,'parc SATIN 08012026v'!#REF!,0,0)</calculatedColumnFormula>
    </tableColumn>
    <tableColumn id="35" xr3:uid="{6761103B-408D-4C82-BF6C-71801402F84A}" name="vérif GTR parc technique du 25022026" dataDxfId="76">
      <calculatedColumnFormula>VLOOKUP(Tableau1[[#This Row],[Code PAS]],#REF!,3,0)</calculatedColumnFormula>
    </tableColumn>
    <tableColumn id="36" xr3:uid="{3EA9852B-786D-47A9-8027-293027DC9989}" name="vérif GTR RETOUR EDF" dataDxfId="75">
      <calculatedColumnFormula>VLOOKUP(Tableau1[[#This Row],[Code PAS]],[14]Feuil1!$B:$G,6,0)</calculatedColumnFormula>
    </tableColumn>
    <tableColumn id="37" xr3:uid="{A32B7F3A-45AF-43E9-A8A1-8F4E7127A191}" name="Etat facturation" dataDxfId="74">
      <calculatedColumnFormula>_xlfn.XLOOKUP(Tableau1[[#This Row],[Code PAS]],'Facturation PAS RIN5 RUN'!#REF!,'Facturation PAS RIN5 RUN'!#REF!,0,0)</calculatedColumnFormula>
    </tableColumn>
    <tableColumn id="46" xr3:uid="{19AC6194-2596-4336-82C4-D29980BBAB52}" name="vérif offre devis vs facture février 20262" dataDxfId="73">
      <calculatedColumnFormula>Tableau1[[#This Row],[Etat facturation]]=Tableau1[[#This Row],[Index offre du fournisseur]]</calculatedColumnFormula>
    </tableColumn>
    <tableColumn id="23" xr3:uid="{6BB5A9A8-9937-45A3-890A-5971253C84ED}" name="Etat du service SATIN" dataDxfId="72">
      <calculatedColumnFormula>_xlfn.XLOOKUP(Tableau1[[#This Row],[Code PAS]],'parc SATIN 08012026v'!K:K,'parc SATIN 08012026v'!M:M,0,0)</calculatedColumnFormula>
    </tableColumn>
    <tableColumn id="20" xr3:uid="{7ACDFF92-5CCE-4000-B427-205A78EE71F8}" name="Etat de la version de service SATIN" dataDxfId="71">
      <calculatedColumnFormula>_xlfn.XLOOKUP(Tableau1[[#This Row],[Code PAS]],'parc SATIN 08012026v'!K:K,'parc SATIN 08012026v'!O:O,0,0)</calculatedColumnFormula>
    </tableColumn>
    <tableColumn id="24" xr3:uid="{2847C4E1-6B95-43D9-A6EB-EB8CA504E719}" name="date de MEF du service " dataDxfId="70"/>
    <tableColumn id="21" xr3:uid="{28B7658C-6265-4DEC-AEAA-A70471FD6500}" name="change ou création " dataDxfId="69">
      <calculatedColumnFormula>_xlfn.XLOOKUP(Tableau1[[#This Row],[Code PAS]],'parc SATIN 08012026v'!K:K,'parc SATIN 08012026v'!S:S,0,0)</calculatedColumnFormula>
    </tableColumn>
    <tableColumn id="5" xr3:uid="{BE5F06CC-10A2-465D-9B81-F0063D069FF2}" name="Debit Satin" dataDxfId="68">
      <calculatedColumnFormula>_xlfn.XLOOKUP(Tableau1[[#This Row],[Code PAS]],'parc SATIN 08012026v'!K:K,'parc SATIN 08012026v'!AF:AF,0,0)</calculatedColumnFormula>
    </tableColumn>
    <tableColumn id="48" xr3:uid="{9C852A5E-82D3-4C39-9A35-525D00BC68E6}" name="débit calculé avec l'offre3" dataDxfId="67"/>
    <tableColumn id="40" xr3:uid="{AD158D6D-11AE-4022-8B66-99AB4ED5BB62}" name="commentaire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41E7E0-FD95-4498-A3EC-20A2140B455C}" name="Tableau3" displayName="Tableau3" ref="A2:BA304" totalsRowShown="0" headerRowDxfId="57" dataDxfId="55" headerRowBorderDxfId="56" tableBorderDxfId="54" totalsRowBorderDxfId="53">
  <autoFilter ref="A2:BA304" xr:uid="{2A41E7E0-FD95-4498-A3EC-20A2140B455C}"/>
  <tableColumns count="53">
    <tableColumn id="2" xr3:uid="{7BBE390E-28FF-45AC-9091-495C7DE76B4F}" name="Numéro Client - CPT" dataDxfId="52"/>
    <tableColumn id="3" xr3:uid="{E7922CCB-AC18-4735-A9FE-1839AE29EB58}" name="Numéro De Compte - CPT" dataDxfId="51"/>
    <tableColumn id="4" xr3:uid="{8F13D601-C68B-4282-840B-E0A6754555CE}" name="Numéro Sous Compte (N° Contrat) - CTR" dataDxfId="50"/>
    <tableColumn id="5" xr3:uid="{544A7E56-F733-4811-BE90-225E9819FEC3}" name="raison sociale Titulaire - CPT" dataDxfId="49"/>
    <tableColumn id="6" xr3:uid="{7803DD53-6AD3-4B69-A848-E9188B811FA8}" name="n° SIREN Titulaire - CPT" dataDxfId="48"/>
    <tableColumn id="7" xr3:uid="{54DD87FC-CD8A-4786-9C78-8B7F59438E99}" name="Catégorie de Compte (Code) - CPT" dataDxfId="47"/>
    <tableColumn id="8" xr3:uid="{254D2E5D-64C7-4A4D-B8EF-DCF46E6BF2AE}" name="Facture triée par - CPT" dataDxfId="46"/>
    <tableColumn id="9" xr3:uid="{9E15FB68-85AE-43CD-B0B1-FA7958C6637E}" name="Déploiement/Projet - CMDE" dataDxfId="45"/>
    <tableColumn id="1" xr3:uid="{B66B63C9-1C8C-4946-9EF3-8B4D80A6B79A}" name="Raison Sociale RESP FACT - CPT" dataDxfId="44"/>
    <tableColumn id="10" xr3:uid="{B14CFCA5-3790-478A-9EB4-F3A62B3382D1}" name="SIT- Identifiant de site" dataDxfId="43"/>
    <tableColumn id="11" xr3:uid="{5E3829DF-200F-4B13-900C-D959D2C1F37A}" name="SIT- Nom du site" dataDxfId="42"/>
    <tableColumn id="12" xr3:uid="{A5DEC227-16E8-45B7-AD84-3BA581468CB4}" name="est-ce qu'il existe dans commande ?" dataDxfId="41">
      <calculatedColumnFormula>VLOOKUP(K3,'20260309 suivi sites'!F:F,1,0)</calculatedColumnFormula>
    </tableColumn>
    <tableColumn id="13" xr3:uid="{222311E2-7443-4B70-B47B-058E3FAF5AB5}" name="Code Etat service - SVC" dataDxfId="40"/>
    <tableColumn id="14" xr3:uid="{9029461F-7569-4080-AC12-9334C71AC43A}" name="Code Action Version Service - VSV" dataDxfId="39"/>
    <tableColumn id="15" xr3:uid="{02281E33-9063-46C4-90A6-D08401B69360}" name="Code Etat Version de Service - VSV" dataDxfId="38"/>
    <tableColumn id="16" xr3:uid="{052CF635-1CD8-4226-8A89-0EE434BC8E46}" name="Date debut etat facturable - SVC" dataDxfId="37"/>
    <tableColumn id="17" xr3:uid="{AE6D98C2-F76E-429A-9086-EE9441A65993}" name="Date MEF du service - VSV" dataDxfId="36"/>
    <tableColumn id="18" xr3:uid="{AD057CBE-3BCD-4E9C-AD7C-61E08B5C0BB9}" name="vérification date de facturation  VSV" dataDxfId="35">
      <calculatedColumnFormula>Q3=P3</calculatedColumnFormula>
    </tableColumn>
    <tableColumn id="19" xr3:uid="{B46E4FA9-1936-4975-9223-8D17D4B2B166}" name="change ou création ?" dataDxfId="34">
      <calculatedColumnFormula>IF(R3=FALSE,"change","création")</calculatedColumnFormula>
    </tableColumn>
    <tableColumn id="20" xr3:uid="{58095774-1B3D-43EB-8657-DEFA383A09CF}" name="Raison sociale - SATSIT" dataDxfId="33"/>
    <tableColumn id="21" xr3:uid="{F610FABE-055B-4D8F-8687-7E56EB954744}" name="Adresse – SATSIT" dataDxfId="32"/>
    <tableColumn id="22" xr3:uid="{4B2E7E97-C062-4AEC-937B-5F937B41453D}" name="Code Postal – SATSIT" dataDxfId="31"/>
    <tableColumn id="23" xr3:uid="{A0A90C1E-830E-4ADE-B0E4-3C4E1CD16683}" name="Bureau Distributeur – SATSIT" dataDxfId="30"/>
    <tableColumn id="24" xr3:uid="{02DDFCC5-267F-4EC0-B69B-A10E72CE05A5}" name="Pays – SATSIT" dataDxfId="29"/>
    <tableColumn id="25" xr3:uid="{CC5493B2-CE3B-4370-894C-5E925710E743}" name="N° service profil" dataDxfId="28"/>
    <tableColumn id="26" xr3:uid="{5D188EEC-EA6D-49DC-9B5B-18D3605599F8}" name="Libellé Type de Service - SVC" dataDxfId="27"/>
    <tableColumn id="27" xr3:uid="{6CFA5DFF-8709-477D-903E-7C0A6AD90DE6}" name="Libellé référence de service - VSV" dataDxfId="26"/>
    <tableColumn id="28" xr3:uid="{B5CA328D-C068-45DF-B7F5-C0AAC3D72734}" name="BIZ - Niveau de disponibilité (lb)" dataDxfId="25"/>
    <tableColumn id="29" xr3:uid="{08DB0032-241E-40BC-BDCF-C8AA7B84E09B}" name="BIZ - All Inclusive" dataDxfId="24"/>
    <tableColumn id="30" xr3:uid="{99DABCE2-F90B-40F9-BC02-0B43A30E22C6}" name="BIZ - Num Tel Ligne Xdsl" dataDxfId="23"/>
    <tableColumn id="31" xr3:uid="{87B75ADF-69DD-4FD6-8327-776F38B0BA25}" name="N° service Intranet" dataDxfId="22"/>
    <tableColumn id="32" xr3:uid="{96C040CF-A589-485A-8211-18B212F5EE68}" name="Bande passante" dataDxfId="21"/>
    <tableColumn id="33" xr3:uid="{8094F1FA-01EE-403A-8EA7-C88CE5CC5ABA}" name="Activation WLAN" dataDxfId="20"/>
    <tableColumn id="34" xr3:uid="{2F7AA893-C779-4D98-85CC-4DA5B1203738}" name="Configuration IP site client" dataDxfId="19"/>
    <tableColumn id="35" xr3:uid="{B8898879-4E69-4ACF-B7D6-C4CA1BD18CEB}" name="Connectivité DOM Métropole" dataDxfId="18"/>
    <tableColumn id="36" xr3:uid="{78A5CA42-5DF7-4C06-8035-460BEAD8B1CC}" name="Option Fibre Optique" dataDxfId="17"/>
    <tableColumn id="37" xr3:uid="{D7CE6B58-BB4B-4497-950B-5BE569120053}" name="Zone tarifaire" dataDxfId="16"/>
    <tableColumn id="38" xr3:uid="{CADD3828-7478-4D03-AB88-A6C9E62EF836}" name="Type d'offre" dataDxfId="15"/>
    <tableColumn id="39" xr3:uid="{38FCD583-6CBD-427D-85A1-03C35E5CFFA0}" name="BIZ - Option Très Sécurisé" dataDxfId="14"/>
    <tableColumn id="40" xr3:uid="{48EBE7FB-A3AA-4DD7-8466-A2D0D415DE45}" name="N° prest racc sécu" dataDxfId="13"/>
    <tableColumn id="68" xr3:uid="{EAA1B15F-2C87-4FD2-9C11-5DC458687DFF}" name="N° sce voix" dataDxfId="12"/>
    <tableColumn id="69" xr3:uid="{3135258B-C5D1-4CED-958D-4AAAE3DBEB55}" name="Lib réf sce voix" dataDxfId="11"/>
    <tableColumn id="70" xr3:uid="{9B21C9DA-4882-4A4D-A90C-7AF3FE33FABE}" name="Nb canaux voix" dataDxfId="10"/>
    <tableColumn id="90" xr3:uid="{3904F588-E19E-41C6-B41B-A7F8A8ADC5A6}" name="Optimisation" dataDxfId="9"/>
    <tableColumn id="91" xr3:uid="{7D02A6C8-E60A-467D-B890-8603F8346EED}" name="Proactivité" dataDxfId="8"/>
    <tableColumn id="92" xr3:uid="{8B57CA79-60D7-4566-A7C5-EBA5BCF1103A}" name="Disponibilité" dataDxfId="7"/>
    <tableColumn id="93" xr3:uid="{14745824-C6BE-45C7-94AA-517C5E862D8B}" name="Performance" dataDxfId="6"/>
    <tableColumn id="94" xr3:uid="{246BB6EA-CA91-4D46-BCCF-0E66B3E71D8D}" name="Option GTR" dataDxfId="5"/>
    <tableColumn id="95" xr3:uid="{498CDBC8-4013-48FF-8555-9FD1B45ED8CA}" name="GTR spécifique" dataDxfId="4"/>
    <tableColumn id="104" xr3:uid="{8FE5138D-4EAD-4CE6-BDC5-E811A71EB2ED}" name="vérif GTR" dataDxfId="3">
      <calculatedColumnFormula>IF(OR(Tableau3[[#This Row],[Option GTR]]&lt;&gt;"",Tableau3[[#This Row],[GTR spécifique]]&lt;&gt;""),"GTRS1","GTRS2")</calculatedColumnFormula>
    </tableColumn>
    <tableColumn id="96" xr3:uid="{E0FD9E12-50F3-424E-AAEC-2B5CE05E9BCB}" name="Architecture retenue" dataDxfId="2"/>
    <tableColumn id="97" xr3:uid="{A77FF596-EBA1-4E53-B64C-29D1B19C12E8}" name="Commentaire DC - VSV" dataDxfId="1"/>
    <tableColumn id="98" xr3:uid="{509CB8EE-9B87-4449-B2C9-D01287E21F6E}" name="Commentaire DC pour DO - VSV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AB">
      <a:dk1>
        <a:srgbClr val="000000"/>
      </a:dk1>
      <a:lt1>
        <a:srgbClr val="FFFFFF"/>
      </a:lt1>
      <a:dk2>
        <a:srgbClr val="595959"/>
      </a:dk2>
      <a:lt2>
        <a:srgbClr val="FFFFFF"/>
      </a:lt2>
      <a:accent1>
        <a:srgbClr val="FF7900"/>
      </a:accent1>
      <a:accent2>
        <a:srgbClr val="4BB4E6"/>
      </a:accent2>
      <a:accent3>
        <a:srgbClr val="9164CD"/>
      </a:accent3>
      <a:accent4>
        <a:srgbClr val="50BE87"/>
      </a:accent4>
      <a:accent5>
        <a:srgbClr val="FFB4E6"/>
      </a:accent5>
      <a:accent6>
        <a:srgbClr val="FFDC00"/>
      </a:accent6>
      <a:hlink>
        <a:srgbClr val="5F5F5F"/>
      </a:hlink>
      <a:folHlink>
        <a:srgbClr val="919191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" dT="2026-01-19T12:40:15.92" personId="{9122BE6F-BA2E-46F6-B8DC-5E7B2A6CCA22}" id="{244028E9-9A9B-459F-979B-5617EE89ADAC}">
    <text>Ajout VBRF et interfaces</text>
  </threadedComment>
  <threadedComment ref="AJ3" dT="2026-02-23T11:12:51.97" personId="{9122BE6F-BA2E-46F6-B8DC-5E7B2A6CCA22}" id="{002F85F4-3257-4A40-AE5D-728314251E40}">
    <text>Normalement déjà corrigé en février</text>
  </threadedComment>
  <threadedComment ref="C4" dT="2026-01-19T12:40:03.68" personId="{9122BE6F-BA2E-46F6-B8DC-5E7B2A6CCA22}" id="{B0DC5824-3979-4831-877C-D6DD9D1C509A}">
    <text xml:space="preserve">Ajout VRF et interfaces
</text>
  </threadedComment>
  <threadedComment ref="AJ4" dT="2026-02-23T11:19:47.76" personId="{9122BE6F-BA2E-46F6-B8DC-5E7B2A6CCA22}" id="{3F9E5543-A322-4A96-B648-17FEF8860BE5}">
    <text>Normalement déjà corrigé en février</text>
  </threadedComment>
  <threadedComment ref="AJ5" dT="2026-02-24T15:34:36.14" personId="{9122BE6F-BA2E-46F6-B8DC-5E7B2A6CCA22}" id="{5F449694-A599-428D-A5E6-1ED639BF0703}">
    <text>Depuis 1 an car il n’a jamais été modifié mais une mdoif est actuellement en cours</text>
  </threadedComment>
  <threadedComment ref="AL6" dT="2026-02-25T09:37:26.10" personId="{9122BE6F-BA2E-46F6-B8DC-5E7B2A6CCA22}" id="{204BBF83-7069-41B9-8A40-3B303B4E0943}">
    <text>Depuis 1 an</text>
  </threadedComment>
  <threadedComment ref="W7" dT="2026-02-27T15:26:59.44" personId="{9122BE6F-BA2E-46F6-B8DC-5E7B2A6CCA22}" id="{95ED70B4-85DD-4615-A4F9-78F1EF542CC5}">
    <text>5000 canaux totaux ont 1200 inclus donc c’est 3800*0,09€/canal = 342€</text>
  </threadedComment>
  <threadedComment ref="W8" dT="2026-02-27T15:27:06.40" personId="{9122BE6F-BA2E-46F6-B8DC-5E7B2A6CCA22}" id="{6ECAB5A8-33DD-4438-BECB-F8FA9EE3E5DB}">
    <text>5000 canaux totaux ont 1200 inclus donc c’est 3800*0,09€/canal = 342€</text>
  </threadedComment>
  <threadedComment ref="AJ9" dT="2026-02-23T11:10:53.03" personId="{9122BE6F-BA2E-46F6-B8DC-5E7B2A6CCA22}" id="{2C7030C6-9054-4CB5-A62E-D106A62DB15D}">
    <text>A verifier j’attends de voir quand est passé l’upgrade</text>
  </threadedComment>
  <threadedComment ref="C11" dT="2026-01-19T10:11:12.87" personId="{9122BE6F-BA2E-46F6-B8DC-5E7B2A6CCA22}" id="{9A872EEC-E16F-4F94-9944-97EC854591E8}">
    <text>Régul je pesne fast upgrade de 4 à 10M</text>
  </threadedComment>
  <threadedComment ref="C19" dT="2026-01-19T10:34:14.82" personId="{9122BE6F-BA2E-46F6-B8DC-5E7B2A6CCA22}" id="{24E9BDE8-05AD-4A57-A4C0-E53BAEBDDD96}">
    <text>Upgrade ss chgt de routeur</text>
  </threadedComment>
  <threadedComment ref="E19" dT="2026-01-09T12:02:42.53" personId="{9122BE6F-BA2E-46F6-B8DC-5E7B2A6CCA22}" id="{61F869C3-3079-4741-827A-83E6C03A7D88}">
    <text xml:space="preserve">Modif 29032022
</text>
  </threadedComment>
  <threadedComment ref="F34" dT="2026-01-09T12:03:17.31" personId="{9122BE6F-BA2E-46F6-B8DC-5E7B2A6CCA22}" id="{79C9BC3D-A661-49BB-AE1C-882C9C1C5C0C}">
    <text xml:space="preserve">Modif 29032022
</text>
  </threadedComment>
  <threadedComment ref="E39" dT="2026-01-09T12:09:43.67" personId="{9122BE6F-BA2E-46F6-B8DC-5E7B2A6CCA22}" id="{FD5B751A-1621-4CCC-B8B5-40D7502B97C9}">
    <text xml:space="preserve">2021
</text>
  </threadedComment>
  <threadedComment ref="H129" dT="2026-01-19T09:30:14.48" personId="{9122BE6F-BA2E-46F6-B8DC-5E7B2A6CCA22}" id="{2156087A-1813-4467-BA93-68299C5EF935}">
    <text xml:space="preserve">Le 160 n’existe pas d
onc c’est du 150
</text>
  </threadedComment>
  <threadedComment ref="E188" dT="2026-01-09T12:11:39.28" personId="{9122BE6F-BA2E-46F6-B8DC-5E7B2A6CCA22}" id="{CFD26FC3-9D18-49C1-B596-FABB838B372E}">
    <text xml:space="preserve">17/07/2020
</text>
  </threadedComment>
  <threadedComment ref="F203" dT="2026-01-09T07:28:09.03" personId="{9122BE6F-BA2E-46F6-B8DC-5E7B2A6CCA22}" id="{196D9041-2BD6-4328-BDE6-DC47F97CACDA}">
    <text xml:space="preserve">Faire corriger le code PAS
</text>
  </threadedComment>
  <threadedComment ref="C219" dT="2026-01-19T12:34:52.08" personId="{9122BE6F-BA2E-46F6-B8DC-5E7B2A6CCA22}" id="{65339506-DF17-4FB0-8D44-D4616FDC4441}">
    <text xml:space="preserve">Change de platinium à gold
</text>
  </threadedComment>
  <threadedComment ref="G256" dT="2026-01-20T13:31:32.89" personId="{9122BE6F-BA2E-46F6-B8DC-5E7B2A6CCA22}" id="{895B60AE-2401-422B-8533-CB7572D3C5C8}">
    <text>Erreur dans el BDC fastupgrade</text>
  </threadedComment>
  <threadedComment ref="AL256" dT="2026-02-25T09:36:14.47" personId="{9122BE6F-BA2E-46F6-B8DC-5E7B2A6CCA22}" id="{A54F2BF9-BA8A-441E-99A3-0672C3917FBB}">
    <text>Depuis le 06/11/2025</text>
  </threadedComment>
  <threadedComment ref="AJ263" dT="2026-02-23T11:14:35.61" personId="{9122BE6F-BA2E-46F6-B8DC-5E7B2A6CCA22}" id="{DC7DA354-27FE-4725-9ECA-789F1966C4F4}">
    <text>Depuis fin 2025 - regarder la date de l’upgrade</text>
  </threadedComment>
  <threadedComment ref="AJ268" dT="2026-02-23T11:17:02.33" personId="{9122BE6F-BA2E-46F6-B8DC-5E7B2A6CCA22}" id="{6D21013F-7660-43D5-8AC8-DBC340F11DDC}">
    <text xml:space="preserve">Depuis 1 an car jamais modifié
</text>
  </threadedComment>
  <threadedComment ref="AJ269" dT="2026-02-24T15:51:54.69" personId="{9122BE6F-BA2E-46F6-B8DC-5E7B2A6CCA22}" id="{E341C87F-ED0D-48D7-9240-45BA49E5D73A}">
    <text>1 an car il n’a pas été modifié depuis le début</text>
  </threadedComment>
  <threadedComment ref="T270" dT="2026-01-19T16:39:20.50" personId="{9122BE6F-BA2E-46F6-B8DC-5E7B2A6CCA22}" id="{E23E93A7-4816-4DA8-883A-BA0D5F5FF955}">
    <text>1 453,9  	
C’est le prix d’un gold  50-50</text>
  </threadedComment>
  <threadedComment ref="AJ273" dT="2026-02-24T16:20:42.31" personId="{9122BE6F-BA2E-46F6-B8DC-5E7B2A6CCA22}" id="{4400362A-2ACC-45D6-9C77-8233943D2309}">
    <text>Régul 1 an</text>
  </threadedComment>
  <threadedComment ref="AL281" dT="2026-02-25T16:16:16.08" personId="{9122BE6F-BA2E-46F6-B8DC-5E7B2A6CCA22}" id="{F85A100B-7F85-4CB7-9998-B90446CF5935}">
    <text>Depuis 1 an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3" dT="2026-01-09T12:08:11.85" personId="{9122BE6F-BA2E-46F6-B8DC-5E7B2A6CCA22}" id="{8A943ED7-A564-4595-A1A9-5553A34C4067}">
    <text xml:space="preserve">2021
Upgrade de 0024408851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"/>
  <dimension ref="A1:BD983"/>
  <sheetViews>
    <sheetView tabSelected="1" zoomScaleNormal="100" workbookViewId="0">
      <selection activeCell="D1" sqref="D1"/>
    </sheetView>
  </sheetViews>
  <sheetFormatPr defaultColWidth="11.44140625" defaultRowHeight="14.4" x14ac:dyDescent="0.3"/>
  <cols>
    <col min="3" max="3" width="15.6640625" bestFit="1" customWidth="1"/>
    <col min="4" max="4" width="21.6640625" bestFit="1" customWidth="1"/>
    <col min="5" max="5" width="46.33203125" customWidth="1"/>
    <col min="6" max="6" width="26.109375" bestFit="1" customWidth="1"/>
    <col min="7" max="7" width="34.44140625" customWidth="1"/>
    <col min="8" max="8" width="23.44140625" customWidth="1"/>
    <col min="9" max="9" width="11.44140625" customWidth="1"/>
    <col min="10" max="10" width="38.6640625" customWidth="1"/>
    <col min="11" max="11" width="42.88671875" customWidth="1"/>
    <col min="12" max="12" width="23.109375" customWidth="1"/>
    <col min="13" max="13" width="20.5546875" customWidth="1"/>
    <col min="14" max="14" width="11.44140625" customWidth="1"/>
    <col min="15" max="15" width="18.109375" customWidth="1"/>
    <col min="16" max="16" width="33.5546875" customWidth="1"/>
    <col min="17" max="17" width="37.6640625" customWidth="1"/>
    <col min="18" max="18" width="16.33203125" customWidth="1"/>
    <col min="19" max="19" width="31.6640625" customWidth="1"/>
    <col min="20" max="20" width="22" customWidth="1"/>
    <col min="21" max="21" width="34.44140625" customWidth="1"/>
    <col min="22" max="22" width="24.33203125" customWidth="1"/>
    <col min="23" max="23" width="26.33203125" customWidth="1"/>
    <col min="24" max="24" width="17.44140625" customWidth="1"/>
    <col min="25" max="25" width="32.5546875" customWidth="1"/>
    <col min="26" max="26" width="38.6640625" customWidth="1"/>
    <col min="27" max="27" width="24.88671875" customWidth="1"/>
    <col min="28" max="28" width="24.33203125" style="199" customWidth="1"/>
    <col min="29" max="29" width="24.33203125" style="819" customWidth="1"/>
    <col min="30" max="30" width="43" style="817" customWidth="1"/>
    <col min="31" max="31" width="53.33203125" style="971" customWidth="1"/>
    <col min="32" max="32" width="52.5546875" style="199" bestFit="1" customWidth="1"/>
    <col min="33" max="34" width="24.33203125" style="199" customWidth="1"/>
    <col min="35" max="35" width="24.33203125" style="817" customWidth="1"/>
    <col min="36" max="36" width="24.33203125" customWidth="1"/>
    <col min="37" max="37" width="18.6640625" style="988" customWidth="1"/>
    <col min="38" max="38" width="24.33203125" customWidth="1"/>
    <col min="39" max="39" width="40.88671875" customWidth="1"/>
    <col min="40" max="40" width="24.33203125" customWidth="1"/>
    <col min="41" max="41" width="24.33203125" style="235" customWidth="1"/>
    <col min="42" max="44" width="24.33203125" customWidth="1"/>
    <col min="45" max="45" width="24.33203125" style="200" customWidth="1"/>
    <col min="46" max="46" width="25.33203125" customWidth="1"/>
    <col min="47" max="48" width="33.44140625" customWidth="1"/>
    <col min="49" max="49" width="25.5546875" style="201" customWidth="1"/>
    <col min="50" max="51" width="18.88671875" customWidth="1"/>
    <col min="52" max="52" width="100.109375" bestFit="1" customWidth="1"/>
    <col min="53" max="53" width="18" bestFit="1" customWidth="1"/>
  </cols>
  <sheetData>
    <row r="1" spans="1:56" ht="64.8" customHeight="1" x14ac:dyDescent="0.35">
      <c r="P1" s="1000" t="s">
        <v>2696</v>
      </c>
      <c r="Q1" s="1000"/>
      <c r="R1" s="1000"/>
      <c r="S1" s="1000"/>
      <c r="T1" s="1000"/>
      <c r="U1" s="1000"/>
      <c r="V1" s="1000"/>
      <c r="W1" s="1000"/>
      <c r="X1" s="1000"/>
      <c r="Y1" s="1000"/>
      <c r="Z1" s="202"/>
      <c r="AA1" s="202"/>
      <c r="AB1" s="202"/>
      <c r="AC1" s="202"/>
      <c r="AD1" s="815"/>
      <c r="AE1" s="970"/>
      <c r="AF1" s="211"/>
      <c r="AG1" s="211"/>
      <c r="AH1" s="242"/>
      <c r="AI1" s="972"/>
      <c r="AJ1" s="211"/>
      <c r="AK1" s="986"/>
      <c r="AL1" s="211"/>
      <c r="AM1" s="230"/>
      <c r="AN1" s="211"/>
      <c r="AO1" s="233"/>
      <c r="AP1" s="211"/>
      <c r="AQ1" s="211"/>
      <c r="AR1" s="197"/>
      <c r="AS1" s="1001" t="s">
        <v>2698</v>
      </c>
      <c r="AT1" s="1001"/>
      <c r="AU1" s="1001"/>
      <c r="AV1" s="1001"/>
      <c r="AW1" s="198"/>
      <c r="AZ1" s="999"/>
      <c r="BA1" s="999"/>
      <c r="BB1" s="999"/>
      <c r="BC1" s="999"/>
    </row>
    <row r="2" spans="1:56" s="39" customFormat="1" ht="31.2" x14ac:dyDescent="0.3">
      <c r="A2" s="217" t="s">
        <v>2699</v>
      </c>
      <c r="B2" s="217" t="s">
        <v>2700</v>
      </c>
      <c r="C2" s="217" t="s">
        <v>2701</v>
      </c>
      <c r="D2" s="217" t="s">
        <v>2702</v>
      </c>
      <c r="E2" s="217" t="s">
        <v>2703</v>
      </c>
      <c r="F2" s="217" t="s">
        <v>3523</v>
      </c>
      <c r="G2" s="217" t="s">
        <v>2705</v>
      </c>
      <c r="H2" s="217" t="s">
        <v>2706</v>
      </c>
      <c r="I2" s="217" t="s">
        <v>2707</v>
      </c>
      <c r="J2" s="217" t="s">
        <v>2708</v>
      </c>
      <c r="K2" s="217" t="s">
        <v>2709</v>
      </c>
      <c r="L2" s="217" t="s">
        <v>2710</v>
      </c>
      <c r="M2" s="217" t="s">
        <v>2711</v>
      </c>
      <c r="N2" s="217" t="s">
        <v>2712</v>
      </c>
      <c r="O2" s="217" t="s">
        <v>2713</v>
      </c>
      <c r="P2" s="218" t="s">
        <v>2714</v>
      </c>
      <c r="Q2" s="219" t="s">
        <v>2715</v>
      </c>
      <c r="R2" s="219" t="s">
        <v>2716</v>
      </c>
      <c r="S2" s="220" t="s">
        <v>2717</v>
      </c>
      <c r="T2" s="219" t="s">
        <v>2718</v>
      </c>
      <c r="U2" s="219" t="s">
        <v>2719</v>
      </c>
      <c r="V2" s="219" t="s">
        <v>2720</v>
      </c>
      <c r="W2" s="219" t="s">
        <v>2721</v>
      </c>
      <c r="X2" s="220" t="s">
        <v>2722</v>
      </c>
      <c r="Y2" s="219" t="s">
        <v>3847</v>
      </c>
      <c r="Z2" s="221" t="s">
        <v>3843</v>
      </c>
      <c r="AA2" s="221" t="s">
        <v>3844</v>
      </c>
      <c r="AB2" s="221" t="s">
        <v>3845</v>
      </c>
      <c r="AC2" s="818" t="s">
        <v>3846</v>
      </c>
      <c r="AD2" s="816" t="s">
        <v>3848</v>
      </c>
      <c r="AE2" s="224" t="s">
        <v>2792</v>
      </c>
      <c r="AF2" s="223" t="s">
        <v>3685</v>
      </c>
      <c r="AG2" s="223" t="s">
        <v>3679</v>
      </c>
      <c r="AH2" s="223" t="s">
        <v>3678</v>
      </c>
      <c r="AI2" s="223" t="s">
        <v>3681</v>
      </c>
      <c r="AJ2" s="223" t="s">
        <v>3849</v>
      </c>
      <c r="AK2" s="989" t="s">
        <v>3850</v>
      </c>
      <c r="AL2" s="222" t="s">
        <v>2727</v>
      </c>
      <c r="AM2" s="222" t="s">
        <v>3752</v>
      </c>
      <c r="AN2" s="228" t="s">
        <v>2793</v>
      </c>
      <c r="AO2" s="234" t="s">
        <v>2794</v>
      </c>
      <c r="AP2" s="228" t="s">
        <v>2795</v>
      </c>
      <c r="AQ2" s="228" t="s">
        <v>2796</v>
      </c>
      <c r="AR2" s="222" t="s">
        <v>2728</v>
      </c>
      <c r="AS2" s="225" t="s">
        <v>2797</v>
      </c>
      <c r="AT2" s="216" t="s">
        <v>2729</v>
      </c>
      <c r="AU2" s="216" t="s">
        <v>2730</v>
      </c>
      <c r="AV2" s="216" t="s">
        <v>2731</v>
      </c>
      <c r="AW2" s="216" t="s">
        <v>2732</v>
      </c>
      <c r="AX2" s="216" t="s">
        <v>2733</v>
      </c>
      <c r="AY2" s="216" t="s">
        <v>2798</v>
      </c>
      <c r="AZ2" s="226" t="s">
        <v>2734</v>
      </c>
      <c r="BA2" s="40"/>
      <c r="BB2" s="227"/>
      <c r="BC2" s="40"/>
      <c r="BD2" s="40"/>
    </row>
    <row r="3" spans="1:56" s="250" customFormat="1" ht="15" customHeight="1" x14ac:dyDescent="0.3">
      <c r="A3" s="250" t="s">
        <v>2739</v>
      </c>
      <c r="C3" s="249">
        <v>44172</v>
      </c>
      <c r="D3" s="249"/>
      <c r="E3" s="250" t="s">
        <v>2833</v>
      </c>
      <c r="F3" s="981" t="s">
        <v>1519</v>
      </c>
      <c r="G3" s="250" t="s">
        <v>2765</v>
      </c>
      <c r="H3" s="250" t="s">
        <v>2765</v>
      </c>
      <c r="I3" s="250" t="s">
        <v>78</v>
      </c>
      <c r="J3" s="248" t="str">
        <f>_xlfn.XLOOKUP(Tableau1[[#This Row],[Code PAS]],'[13]Parc Satin'!$L:$L,'[13]Parc Satin'!$CK:$CK,0,0)</f>
        <v>Nominal InterLan 1.0 Secours InterLan 1.0</v>
      </c>
      <c r="K3" s="250" t="s">
        <v>2829</v>
      </c>
      <c r="L3" s="250">
        <v>400</v>
      </c>
      <c r="M3" s="250">
        <v>150</v>
      </c>
      <c r="N3" s="250">
        <v>2</v>
      </c>
      <c r="O3" s="250" t="s">
        <v>74</v>
      </c>
      <c r="P3" s="824">
        <v>0</v>
      </c>
      <c r="Q3" s="824">
        <v>500</v>
      </c>
      <c r="R3" s="824">
        <v>57</v>
      </c>
      <c r="S3" s="824">
        <v>557</v>
      </c>
      <c r="T3" s="824">
        <v>1249</v>
      </c>
      <c r="U3" s="824">
        <v>71</v>
      </c>
      <c r="V3" s="824">
        <v>56</v>
      </c>
      <c r="W3" s="824">
        <v>14</v>
      </c>
      <c r="X3" s="824">
        <v>1388.9564263010345</v>
      </c>
      <c r="Y3" s="824">
        <v>0</v>
      </c>
      <c r="Z3" s="966">
        <v>0</v>
      </c>
      <c r="AA3" s="966">
        <v>0</v>
      </c>
      <c r="AB3" s="969">
        <v>0</v>
      </c>
      <c r="AC3" s="969">
        <v>0</v>
      </c>
      <c r="AD3" s="969">
        <v>0</v>
      </c>
      <c r="AE3" s="264">
        <v>30</v>
      </c>
      <c r="AF3" s="264">
        <v>400</v>
      </c>
      <c r="AG3" s="264">
        <v>150</v>
      </c>
      <c r="AH3" s="264">
        <v>550</v>
      </c>
      <c r="AI3" s="973">
        <v>14</v>
      </c>
      <c r="AJ3" s="263">
        <v>30</v>
      </c>
      <c r="AK3" s="987">
        <v>550</v>
      </c>
      <c r="AL3" s="263">
        <f>VLOOKUP(Tableau1[[#This Row],[Code PAS]],'Facturation PAS RIN5 RUN'!C:F,4,0)</f>
        <v>56</v>
      </c>
      <c r="AM3" s="263"/>
      <c r="AN3" s="263" t="b">
        <f>ROUND(Tableau1[[#This Row],[Montant Options coûts récurrents]],0)=ROUND(Tableau1[[#This Row],[GTRS1 (Coût Plage de support 24h/24 7j/7)]],0)</f>
        <v>0</v>
      </c>
      <c r="AO3" s="265" t="e">
        <f>_xlfn.XLOOKUP(Tableau1[[#This Row],[Code PAS]],'parc SATIN 08012026v'!K:K,'parc SATIN 08012026v'!#REF!,0,0)</f>
        <v>#REF!</v>
      </c>
      <c r="AP3" s="263" t="e">
        <f>VLOOKUP(Tableau1[[#This Row],[Code PAS]],#REF!,3,0)</f>
        <v>#REF!</v>
      </c>
      <c r="AQ3" s="263" t="e">
        <f>VLOOKUP(Tableau1[[#This Row],[Code PAS]],[14]Feuil1!$B:$G,6,0)</f>
        <v>#N/A</v>
      </c>
      <c r="AR3" s="263" t="str">
        <f>_xlfn.XLOOKUP(Tableau1[[#This Row],[Code PAS]],'Facturation PAS RIN5 RUN'!C:C,'Facturation PAS RIN5 RUN'!B:B,0,0)</f>
        <v>Gold_30_30</v>
      </c>
      <c r="AS3" s="263" t="b">
        <f>Tableau1[[#This Row],[Etat facturation]]=Tableau1[[#This Row],[Index offre du fournisseur]]</f>
        <v>1</v>
      </c>
      <c r="AT3" s="250" t="str">
        <f>_xlfn.XLOOKUP(Tableau1[[#This Row],[Code PAS]],'parc SATIN 08012026v'!K:K,'parc SATIN 08012026v'!M:M,0,0)</f>
        <v>PARC</v>
      </c>
      <c r="AU3" s="250" t="str">
        <f>_xlfn.XLOOKUP(Tableau1[[#This Row],[Code PAS]],'parc SATIN 08012026v'!K:K,'parc SATIN 08012026v'!O:O,0,0)</f>
        <v>PARC</v>
      </c>
      <c r="AV3" s="251">
        <f>_xlfn.XLOOKUP(Tableau1[[#This Row],[Code PAS]],'parc SATIN 08012026v'!K:K,'parc SATIN 08012026v'!Q:Q,0,0)</f>
        <v>44169</v>
      </c>
      <c r="AW3" s="251" t="str">
        <f>_xlfn.XLOOKUP(Tableau1[[#This Row],[Code PAS]],'parc SATIN 08012026v'!K:K,'parc SATIN 08012026v'!S:S,0,0)</f>
        <v>change</v>
      </c>
      <c r="AX3" s="250" t="str">
        <f>_xlfn.XLOOKUP(Tableau1[[#This Row],[Code PAS]],'parc SATIN 08012026v'!K:K,'parc SATIN 08012026v'!AF:AF,0,0)</f>
        <v>30 Mb/s</v>
      </c>
      <c r="AY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3" s="250" t="s">
        <v>2834</v>
      </c>
    </row>
    <row r="4" spans="1:56" s="250" customFormat="1" ht="15" customHeight="1" x14ac:dyDescent="0.3">
      <c r="A4" s="250" t="s">
        <v>2739</v>
      </c>
      <c r="C4" s="249">
        <v>44172</v>
      </c>
      <c r="D4" s="249"/>
      <c r="E4" s="250" t="s">
        <v>2835</v>
      </c>
      <c r="F4" s="981" t="s">
        <v>1525</v>
      </c>
      <c r="G4" s="250" t="s">
        <v>2765</v>
      </c>
      <c r="H4" s="250" t="s">
        <v>2765</v>
      </c>
      <c r="I4" s="250" t="s">
        <v>165</v>
      </c>
      <c r="J4" s="248" t="str">
        <f>_xlfn.XLOOKUP(Tableau1[[#This Row],[Code PAS]],'[13]Parc Satin'!$L:$L,'[13]Parc Satin'!$CK:$CK,0,0)</f>
        <v>Nominal InterLan 1.0 Secours C2E Fibre</v>
      </c>
      <c r="K4" s="250" t="s">
        <v>2820</v>
      </c>
      <c r="L4" s="250">
        <v>400</v>
      </c>
      <c r="M4" s="250">
        <v>150</v>
      </c>
      <c r="N4" s="250">
        <v>2</v>
      </c>
      <c r="O4" s="250" t="s">
        <v>74</v>
      </c>
      <c r="P4" s="824">
        <v>0</v>
      </c>
      <c r="Q4" s="824">
        <v>500</v>
      </c>
      <c r="R4" s="824">
        <v>57</v>
      </c>
      <c r="S4" s="824">
        <v>557</v>
      </c>
      <c r="T4" s="824">
        <v>1249</v>
      </c>
      <c r="U4" s="824">
        <v>71</v>
      </c>
      <c r="V4" s="824">
        <v>56</v>
      </c>
      <c r="W4" s="824">
        <v>14</v>
      </c>
      <c r="X4" s="824">
        <v>1388.9564263010345</v>
      </c>
      <c r="Y4" s="824">
        <v>0</v>
      </c>
      <c r="Z4" s="966">
        <v>0</v>
      </c>
      <c r="AA4" s="966">
        <v>0</v>
      </c>
      <c r="AB4" s="969">
        <v>0</v>
      </c>
      <c r="AC4" s="969">
        <v>0</v>
      </c>
      <c r="AD4" s="969">
        <v>0</v>
      </c>
      <c r="AE4" s="264">
        <v>30</v>
      </c>
      <c r="AF4" s="264">
        <v>400</v>
      </c>
      <c r="AG4" s="264">
        <v>150</v>
      </c>
      <c r="AH4" s="264">
        <v>550</v>
      </c>
      <c r="AI4" s="973">
        <v>14</v>
      </c>
      <c r="AJ4" s="263">
        <v>30</v>
      </c>
      <c r="AK4" s="987">
        <v>550</v>
      </c>
      <c r="AL4" s="263">
        <f>VLOOKUP(Tableau1[[#This Row],[Code PAS]],'Facturation PAS RIN5 RUN'!C:F,4,0)</f>
        <v>56</v>
      </c>
      <c r="AM4" s="263"/>
      <c r="AN4" s="263" t="b">
        <f>ROUND(Tableau1[[#This Row],[Montant Options coûts récurrents]],0)=ROUND(Tableau1[[#This Row],[GTRS1 (Coût Plage de support 24h/24 7j/7)]],0)</f>
        <v>0</v>
      </c>
      <c r="AO4" s="265" t="e">
        <f>_xlfn.XLOOKUP(Tableau1[[#This Row],[Code PAS]],'parc SATIN 08012026v'!K:K,'parc SATIN 08012026v'!#REF!,0,0)</f>
        <v>#REF!</v>
      </c>
      <c r="AP4" s="263" t="e">
        <f>VLOOKUP(Tableau1[[#This Row],[Code PAS]],#REF!,3,0)</f>
        <v>#REF!</v>
      </c>
      <c r="AQ4" s="263" t="e">
        <f>VLOOKUP(Tableau1[[#This Row],[Code PAS]],[14]Feuil1!$B:$G,6,0)</f>
        <v>#N/A</v>
      </c>
      <c r="AR4" s="263" t="str">
        <f>_xlfn.XLOOKUP(Tableau1[[#This Row],[Code PAS]],'Facturation PAS RIN5 RUN'!C:C,'Facturation PAS RIN5 RUN'!B:B,0,0)</f>
        <v>Gold_30_30</v>
      </c>
      <c r="AS4" s="263" t="b">
        <f>Tableau1[[#This Row],[Etat facturation]]=Tableau1[[#This Row],[Index offre du fournisseur]]</f>
        <v>1</v>
      </c>
      <c r="AT4" s="250" t="str">
        <f>_xlfn.XLOOKUP(Tableau1[[#This Row],[Code PAS]],'parc SATIN 08012026v'!K:K,'parc SATIN 08012026v'!M:M,0,0)</f>
        <v>PARC</v>
      </c>
      <c r="AU4" s="250" t="str">
        <f>_xlfn.XLOOKUP(Tableau1[[#This Row],[Code PAS]],'parc SATIN 08012026v'!K:K,'parc SATIN 08012026v'!O:O,0,0)</f>
        <v>PARC</v>
      </c>
      <c r="AV4" s="251">
        <f>_xlfn.XLOOKUP(Tableau1[[#This Row],[Code PAS]],'parc SATIN 08012026v'!K:K,'parc SATIN 08012026v'!Q:Q,0,0)</f>
        <v>44169</v>
      </c>
      <c r="AW4" s="251" t="str">
        <f>_xlfn.XLOOKUP(Tableau1[[#This Row],[Code PAS]],'parc SATIN 08012026v'!K:K,'parc SATIN 08012026v'!S:S,0,0)</f>
        <v>change</v>
      </c>
      <c r="AX4" s="250" t="str">
        <f>_xlfn.XLOOKUP(Tableau1[[#This Row],[Code PAS]],'parc SATIN 08012026v'!K:K,'parc SATIN 08012026v'!AF:AF,0,0)</f>
        <v>30 Mb/s</v>
      </c>
      <c r="AY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4" s="250" t="s">
        <v>2834</v>
      </c>
    </row>
    <row r="5" spans="1:56" s="250" customFormat="1" ht="15" customHeight="1" x14ac:dyDescent="0.3">
      <c r="A5" s="248" t="s">
        <v>2735</v>
      </c>
      <c r="B5" s="248"/>
      <c r="C5" s="249"/>
      <c r="D5" s="249"/>
      <c r="E5" s="248" t="s">
        <v>2843</v>
      </c>
      <c r="F5" s="981" t="s">
        <v>731</v>
      </c>
      <c r="H5" s="248" t="s">
        <v>2757</v>
      </c>
      <c r="I5" s="248"/>
      <c r="J5" s="248" t="str">
        <f>_xlfn.XLOOKUP(Tableau1[[#This Row],[Code PAS]],'[13]Parc Satin'!$L:$L,'[13]Parc Satin'!$CK:$CK,0,0)</f>
        <v>Nominal C2E sans Secours</v>
      </c>
      <c r="K5" s="248"/>
      <c r="L5" s="248"/>
      <c r="M5" s="248"/>
      <c r="N5" s="248"/>
      <c r="O5" s="248"/>
      <c r="P5" s="822">
        <v>0</v>
      </c>
      <c r="Q5" s="822">
        <v>0</v>
      </c>
      <c r="R5" s="822">
        <v>0</v>
      </c>
      <c r="S5" s="822">
        <v>0</v>
      </c>
      <c r="T5" s="823">
        <v>356</v>
      </c>
      <c r="U5" s="823">
        <v>27</v>
      </c>
      <c r="V5" s="823">
        <v>0</v>
      </c>
      <c r="W5" s="823">
        <v>3</v>
      </c>
      <c r="X5" s="823">
        <f>Tableau1[[#This Row],[Coût Abonnement offre]]+Tableau1[[#This Row],[Coût Abonnement Chassis]]+Tableau1[[#This Row],[Cout Cartes interface ]]+Tableau1[[#This Row],[Cout canaux voix supplémentaire]]</f>
        <v>386</v>
      </c>
      <c r="Y5" s="823">
        <v>0</v>
      </c>
      <c r="Z5" s="966">
        <v>0</v>
      </c>
      <c r="AA5" s="966">
        <v>0</v>
      </c>
      <c r="AB5" s="969">
        <v>0</v>
      </c>
      <c r="AC5" s="969">
        <v>0</v>
      </c>
      <c r="AD5" s="969">
        <v>0</v>
      </c>
      <c r="AE5" s="264">
        <v>4</v>
      </c>
      <c r="AF5" s="264">
        <v>40</v>
      </c>
      <c r="AG5" s="264">
        <v>30</v>
      </c>
      <c r="AH5" s="264">
        <v>70</v>
      </c>
      <c r="AI5" s="973">
        <v>27</v>
      </c>
      <c r="AJ5" s="263">
        <v>100</v>
      </c>
      <c r="AK5" s="987">
        <v>1800</v>
      </c>
      <c r="AL5" s="263">
        <f>VLOOKUP(Tableau1[[#This Row],[Code PAS]],'Facturation PAS RIN5 RUN'!C:F,4,0)</f>
        <v>0</v>
      </c>
      <c r="AM5" s="263"/>
      <c r="AN5" s="263" t="b">
        <f>ROUND(Tableau1[[#This Row],[Montant Options coûts récurrents]],0)=ROUND(Tableau1[[#This Row],[GTRS1 (Coût Plage de support 24h/24 7j/7)]],0)</f>
        <v>1</v>
      </c>
      <c r="AO5" s="265" t="e">
        <f>_xlfn.XLOOKUP(Tableau1[[#This Row],[Code PAS]],'parc SATIN 08012026v'!K:K,'parc SATIN 08012026v'!#REF!,0,0)</f>
        <v>#REF!</v>
      </c>
      <c r="AP5" s="263" t="e">
        <f>VLOOKUP(Tableau1[[#This Row],[Code PAS]],#REF!,3,0)</f>
        <v>#REF!</v>
      </c>
      <c r="AQ5" s="263" t="e">
        <f>VLOOKUP(Tableau1[[#This Row],[Code PAS]],[14]Feuil1!$B:$G,6,0)</f>
        <v>#N/A</v>
      </c>
      <c r="AR5" s="263" t="str">
        <f>_xlfn.XLOOKUP(Tableau1[[#This Row],[Code PAS]],'Facturation PAS RIN5 RUN'!C:C,'Facturation PAS RIN5 RUN'!B:B,0,0)</f>
        <v>Bronze_4_0</v>
      </c>
      <c r="AS5" s="263" t="b">
        <f>Tableau1[[#This Row],[Etat facturation]]=Tableau1[[#This Row],[Index offre du fournisseur]]</f>
        <v>1</v>
      </c>
      <c r="AT5" s="250" t="str">
        <f>_xlfn.XLOOKUP(Tableau1[[#This Row],[Code PAS]],'parc SATIN 08012026v'!K:K,'parc SATIN 08012026v'!M:M,0,0)</f>
        <v>PARC</v>
      </c>
      <c r="AU5" s="250" t="str">
        <f>_xlfn.XLOOKUP(Tableau1[[#This Row],[Code PAS]],'parc SATIN 08012026v'!K:K,'parc SATIN 08012026v'!O:O,0,0)</f>
        <v>EN COURS</v>
      </c>
      <c r="AV5" s="251">
        <f>_xlfn.XLOOKUP(Tableau1[[#This Row],[Code PAS]],'parc SATIN 08012026v'!K:K,'parc SATIN 08012026v'!Q:Q,0,0)</f>
        <v>0</v>
      </c>
      <c r="AW5" s="251" t="str">
        <f>_xlfn.XLOOKUP(Tableau1[[#This Row],[Code PAS]],'parc SATIN 08012026v'!K:K,'parc SATIN 08012026v'!S:S,0,0)</f>
        <v>change</v>
      </c>
      <c r="AX5" s="250" t="str">
        <f>_xlfn.XLOOKUP(Tableau1[[#This Row],[Code PAS]],'parc SATIN 08012026v'!K:K,'parc SATIN 08012026v'!AF:AF,0,0)</f>
        <v>100 Mb/s</v>
      </c>
      <c r="AY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5" s="250" t="s">
        <v>2844</v>
      </c>
    </row>
    <row r="6" spans="1:56" s="250" customFormat="1" ht="15" customHeight="1" x14ac:dyDescent="0.3">
      <c r="A6" s="248"/>
      <c r="B6" s="249">
        <v>45639</v>
      </c>
      <c r="C6" s="249"/>
      <c r="D6" s="249"/>
      <c r="E6" s="250" t="s">
        <v>2930</v>
      </c>
      <c r="F6" s="984" t="s">
        <v>1748</v>
      </c>
      <c r="G6" s="250" t="s">
        <v>2931</v>
      </c>
      <c r="H6" s="250" t="s">
        <v>2931</v>
      </c>
      <c r="I6" s="250" t="s">
        <v>165</v>
      </c>
      <c r="J6" s="248" t="str">
        <f>_xlfn.XLOOKUP(Tableau1[[#This Row],[Code PAS]],'[13]Parc Satin'!$L:$L,'[13]Parc Satin'!$CK:$CK,0,0)</f>
        <v>Nominal InterLan 1.0 sans Secours</v>
      </c>
      <c r="L6" s="250">
        <v>900</v>
      </c>
      <c r="M6" s="250">
        <v>4600</v>
      </c>
      <c r="N6" s="250">
        <v>1</v>
      </c>
      <c r="O6" s="250" t="s">
        <v>76</v>
      </c>
      <c r="P6" s="824">
        <v>3183</v>
      </c>
      <c r="Q6" s="824">
        <v>652</v>
      </c>
      <c r="R6" s="824">
        <v>0</v>
      </c>
      <c r="S6" s="824">
        <v>3835</v>
      </c>
      <c r="T6" s="824">
        <v>7701</v>
      </c>
      <c r="U6" s="824">
        <v>71</v>
      </c>
      <c r="V6" s="824">
        <v>0</v>
      </c>
      <c r="W6" s="824">
        <v>414</v>
      </c>
      <c r="X6" s="824">
        <f>Tableau1[[#This Row],[Coût Abonnement offre]]+Tableau1[[#This Row],[Coût Abonnement Chassis]]+Tableau1[[#This Row],[Cout Cartes interface ]]+Tableau1[[#This Row],[Cout canaux voix supplémentaire]]</f>
        <v>8186</v>
      </c>
      <c r="Y6" s="824">
        <v>36</v>
      </c>
      <c r="Z6" s="966">
        <v>0</v>
      </c>
      <c r="AA6" s="966">
        <v>0</v>
      </c>
      <c r="AB6" s="969">
        <v>0</v>
      </c>
      <c r="AC6" s="969">
        <v>0</v>
      </c>
      <c r="AD6" s="968">
        <v>-432</v>
      </c>
      <c r="AE6" s="264">
        <v>300</v>
      </c>
      <c r="AF6" s="264">
        <v>900</v>
      </c>
      <c r="AG6" s="264">
        <v>4600</v>
      </c>
      <c r="AH6" s="264">
        <v>5500</v>
      </c>
      <c r="AI6" s="973">
        <v>414</v>
      </c>
      <c r="AJ6" s="263">
        <v>300</v>
      </c>
      <c r="AK6" s="987">
        <v>5500</v>
      </c>
      <c r="AL6" s="263">
        <v>36</v>
      </c>
      <c r="AM6" s="263" t="s">
        <v>3734</v>
      </c>
      <c r="AN6" s="263" t="b">
        <f>ROUND(Tableau1[[#This Row],[Montant Options coûts récurrents]],0)=ROUND(Tableau1[[#This Row],[GTRS1 (Coût Plage de support 24h/24 7j/7)]],0)</f>
        <v>1</v>
      </c>
      <c r="AO6" s="265" t="e">
        <f>_xlfn.XLOOKUP(Tableau1[[#This Row],[Code PAS]],'parc SATIN 08012026v'!K:K,'parc SATIN 08012026v'!#REF!,0,0)</f>
        <v>#REF!</v>
      </c>
      <c r="AP6" s="263" t="e">
        <f>VLOOKUP(Tableau1[[#This Row],[Code PAS]],#REF!,3,0)</f>
        <v>#REF!</v>
      </c>
      <c r="AQ6" s="263" t="str">
        <f>VLOOKUP(Tableau1[[#This Row],[Code PAS]],[14]Feuil1!$B:$G,6,0)</f>
        <v>24h/24 - 7j/7</v>
      </c>
      <c r="AR6" s="263" t="str">
        <f>_xlfn.XLOOKUP(Tableau1[[#This Row],[Code PAS]],'Facturation PAS RIN5 RUN'!C:C,'Facturation PAS RIN5 RUN'!B:B,0,0)</f>
        <v>Platinum_MAN_300_0</v>
      </c>
      <c r="AS6" s="263" t="b">
        <f>Tableau1[[#This Row],[Etat facturation]]=Tableau1[[#This Row],[Index offre du fournisseur]]</f>
        <v>1</v>
      </c>
      <c r="AT6" s="250" t="str">
        <f>_xlfn.XLOOKUP(Tableau1[[#This Row],[Code PAS]],'parc SATIN 08012026v'!K:K,'parc SATIN 08012026v'!M:M,0,0)</f>
        <v>PARC</v>
      </c>
      <c r="AU6" s="250" t="str">
        <f>_xlfn.XLOOKUP(Tableau1[[#This Row],[Code PAS]],'parc SATIN 08012026v'!K:K,'parc SATIN 08012026v'!O:O,0,0)</f>
        <v>PARC</v>
      </c>
      <c r="AV6" s="251">
        <f>_xlfn.XLOOKUP(Tableau1[[#This Row],[Code PAS]],'parc SATIN 08012026v'!K:K,'parc SATIN 08012026v'!Q:Q,0,0)</f>
        <v>45645</v>
      </c>
      <c r="AW6" s="251" t="str">
        <f>_xlfn.XLOOKUP(Tableau1[[#This Row],[Code PAS]],'parc SATIN 08012026v'!K:K,'parc SATIN 08012026v'!S:S,0,0)</f>
        <v>création</v>
      </c>
      <c r="AX6" s="250" t="str">
        <f>_xlfn.XLOOKUP(Tableau1[[#This Row],[Code PAS]],'parc SATIN 08012026v'!K:K,'parc SATIN 08012026v'!AF:AF,0,0)</f>
        <v>300 Mbits/s</v>
      </c>
      <c r="AY6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300</v>
      </c>
      <c r="AZ6" s="250" t="s">
        <v>2932</v>
      </c>
    </row>
    <row r="7" spans="1:56" s="250" customFormat="1" x14ac:dyDescent="0.3">
      <c r="A7" s="250" t="s">
        <v>2743</v>
      </c>
      <c r="C7" s="249"/>
      <c r="D7" s="249"/>
      <c r="E7" s="250" t="s">
        <v>2852</v>
      </c>
      <c r="F7" s="981" t="s">
        <v>1316</v>
      </c>
      <c r="G7" s="250" t="s">
        <v>2853</v>
      </c>
      <c r="H7" s="250" t="s">
        <v>2853</v>
      </c>
      <c r="I7" s="250" t="s">
        <v>78</v>
      </c>
      <c r="J7" s="248" t="str">
        <f>_xlfn.XLOOKUP(Tableau1[[#This Row],[Code PAS]],'[13]Parc Satin'!$L:$L,'[13]Parc Satin'!$CK:$CK,0,0)</f>
        <v>Nominal InterLan 1.0 sans Secours</v>
      </c>
      <c r="L7" s="250">
        <v>1200</v>
      </c>
      <c r="M7" s="250">
        <v>3800</v>
      </c>
      <c r="N7" s="250">
        <v>2</v>
      </c>
      <c r="O7" s="250" t="s">
        <v>76</v>
      </c>
      <c r="P7" s="824">
        <v>0</v>
      </c>
      <c r="Q7" s="824">
        <v>447</v>
      </c>
      <c r="R7" s="824">
        <v>0</v>
      </c>
      <c r="S7" s="824">
        <v>447</v>
      </c>
      <c r="T7" s="824">
        <v>2275</v>
      </c>
      <c r="U7" s="824">
        <v>1610</v>
      </c>
      <c r="V7" s="824">
        <v>33</v>
      </c>
      <c r="W7" s="824">
        <v>342</v>
      </c>
      <c r="X7" s="824">
        <v>4259.3901223174089</v>
      </c>
      <c r="Y7" s="824">
        <v>36</v>
      </c>
      <c r="Z7" s="966">
        <v>0</v>
      </c>
      <c r="AA7" s="966">
        <v>0</v>
      </c>
      <c r="AB7" s="969">
        <v>0</v>
      </c>
      <c r="AC7" s="969">
        <v>0</v>
      </c>
      <c r="AD7" s="969">
        <v>0</v>
      </c>
      <c r="AE7" s="264">
        <v>1000</v>
      </c>
      <c r="AF7" s="264">
        <v>1200</v>
      </c>
      <c r="AG7" s="264">
        <v>18800</v>
      </c>
      <c r="AH7" s="264">
        <v>20000</v>
      </c>
      <c r="AI7" s="973">
        <v>1692</v>
      </c>
      <c r="AJ7" s="263">
        <v>1000</v>
      </c>
      <c r="AK7" s="987">
        <v>5000</v>
      </c>
      <c r="AL7" s="263">
        <f>VLOOKUP(Tableau1[[#This Row],[Code PAS]],'Facturation PAS RIN5 RUN'!C:F,4,0)</f>
        <v>33</v>
      </c>
      <c r="AM7" s="263"/>
      <c r="AN7" s="263" t="b">
        <f>ROUND(Tableau1[[#This Row],[Montant Options coûts récurrents]],0)=ROUND(Tableau1[[#This Row],[GTRS1 (Coût Plage de support 24h/24 7j/7)]],0)</f>
        <v>0</v>
      </c>
      <c r="AO7" s="265" t="e">
        <f>_xlfn.XLOOKUP(Tableau1[[#This Row],[Code PAS]],'parc SATIN 08012026v'!K:K,'parc SATIN 08012026v'!#REF!,0,0)</f>
        <v>#REF!</v>
      </c>
      <c r="AP7" s="263" t="e">
        <f>VLOOKUP(Tableau1[[#This Row],[Code PAS]],#REF!,3,0)</f>
        <v>#REF!</v>
      </c>
      <c r="AQ7" s="263" t="e">
        <f>VLOOKUP(Tableau1[[#This Row],[Code PAS]],[14]Feuil1!$B:$G,6,0)</f>
        <v>#N/A</v>
      </c>
      <c r="AR7" s="263" t="str">
        <f>_xlfn.XLOOKUP(Tableau1[[#This Row],[Code PAS]],'Facturation PAS RIN5 RUN'!C:C,'Facturation PAS RIN5 RUN'!B:B,0,0)</f>
        <v>Platinum_Man_1000_0</v>
      </c>
      <c r="AS7" s="263" t="b">
        <f>Tableau1[[#This Row],[Etat facturation]]=Tableau1[[#This Row],[Index offre du fournisseur]]</f>
        <v>1</v>
      </c>
      <c r="AT7" s="250" t="str">
        <f>_xlfn.XLOOKUP(Tableau1[[#This Row],[Code PAS]],'parc SATIN 08012026v'!K:K,'parc SATIN 08012026v'!M:M,0,0)</f>
        <v>PARC</v>
      </c>
      <c r="AU7" s="250" t="str">
        <f>_xlfn.XLOOKUP(Tableau1[[#This Row],[Code PAS]],'parc SATIN 08012026v'!K:K,'parc SATIN 08012026v'!O:O,0,0)</f>
        <v>PARC</v>
      </c>
      <c r="AV7" s="251">
        <f>_xlfn.XLOOKUP(Tableau1[[#This Row],[Code PAS]],'parc SATIN 08012026v'!K:K,'parc SATIN 08012026v'!Q:Q,0,0)</f>
        <v>45015</v>
      </c>
      <c r="AW7" s="251" t="str">
        <f>_xlfn.XLOOKUP(Tableau1[[#This Row],[Code PAS]],'parc SATIN 08012026v'!K:K,'parc SATIN 08012026v'!S:S,0,0)</f>
        <v>change</v>
      </c>
      <c r="AX7" s="250" t="str">
        <f>_xlfn.XLOOKUP(Tableau1[[#This Row],[Code PAS]],'parc SATIN 08012026v'!K:K,'parc SATIN 08012026v'!AF:AF,0,0)</f>
        <v>1 Gbits/s</v>
      </c>
      <c r="AY7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1000</v>
      </c>
      <c r="AZ7" s="250" t="s">
        <v>3746</v>
      </c>
    </row>
    <row r="8" spans="1:56" s="250" customFormat="1" ht="15" customHeight="1" x14ac:dyDescent="0.3">
      <c r="A8" s="250" t="s">
        <v>2743</v>
      </c>
      <c r="B8" s="256"/>
      <c r="C8" s="249"/>
      <c r="D8" s="249"/>
      <c r="E8" s="250" t="s">
        <v>2854</v>
      </c>
      <c r="F8" s="995" t="s">
        <v>1305</v>
      </c>
      <c r="G8" s="250" t="s">
        <v>2853</v>
      </c>
      <c r="H8" s="250" t="s">
        <v>2853</v>
      </c>
      <c r="I8" s="250" t="s">
        <v>78</v>
      </c>
      <c r="J8" s="248" t="str">
        <f>_xlfn.XLOOKUP(Tableau1[[#This Row],[Code PAS]],'[13]Parc Satin'!$L:$L,'[13]Parc Satin'!$CK:$CK,0,0)</f>
        <v>Nominal InterLan 1.0 sans Secours</v>
      </c>
      <c r="L8" s="250">
        <v>1200</v>
      </c>
      <c r="M8" s="250">
        <v>3800</v>
      </c>
      <c r="N8" s="250">
        <v>2</v>
      </c>
      <c r="O8" s="250" t="s">
        <v>76</v>
      </c>
      <c r="P8" s="824">
        <v>0</v>
      </c>
      <c r="Q8" s="824">
        <v>447</v>
      </c>
      <c r="R8" s="824">
        <v>0</v>
      </c>
      <c r="S8" s="824">
        <v>447</v>
      </c>
      <c r="T8" s="824">
        <v>2275</v>
      </c>
      <c r="U8" s="824">
        <v>1610</v>
      </c>
      <c r="V8" s="824">
        <v>33</v>
      </c>
      <c r="W8" s="824">
        <v>342</v>
      </c>
      <c r="X8" s="824">
        <v>4259.3901223174089</v>
      </c>
      <c r="Y8" s="824">
        <v>36</v>
      </c>
      <c r="Z8" s="966">
        <v>0</v>
      </c>
      <c r="AA8" s="966">
        <v>0</v>
      </c>
      <c r="AB8" s="969">
        <v>0</v>
      </c>
      <c r="AC8" s="969">
        <v>0</v>
      </c>
      <c r="AD8" s="969">
        <v>0</v>
      </c>
      <c r="AE8" s="264">
        <v>1000</v>
      </c>
      <c r="AF8" s="264">
        <v>1200</v>
      </c>
      <c r="AG8" s="264">
        <v>18800</v>
      </c>
      <c r="AH8" s="264">
        <v>20000</v>
      </c>
      <c r="AI8" s="973">
        <v>1692</v>
      </c>
      <c r="AJ8" s="263">
        <v>1000</v>
      </c>
      <c r="AK8" s="987">
        <v>5000</v>
      </c>
      <c r="AL8" s="263">
        <f>VLOOKUP(Tableau1[[#This Row],[Code PAS]],'Facturation PAS RIN5 RUN'!C:F,4,0)</f>
        <v>33</v>
      </c>
      <c r="AM8" s="263"/>
      <c r="AN8" s="263" t="b">
        <f>ROUND(Tableau1[[#This Row],[Montant Options coûts récurrents]],0)=ROUND(Tableau1[[#This Row],[GTRS1 (Coût Plage de support 24h/24 7j/7)]],0)</f>
        <v>0</v>
      </c>
      <c r="AO8" s="265" t="e">
        <f>_xlfn.XLOOKUP(Tableau1[[#This Row],[Code PAS]],'parc SATIN 08012026v'!K:K,'parc SATIN 08012026v'!#REF!,0,0)</f>
        <v>#REF!</v>
      </c>
      <c r="AP8" s="263" t="e">
        <f>VLOOKUP(Tableau1[[#This Row],[Code PAS]],#REF!,3,0)</f>
        <v>#REF!</v>
      </c>
      <c r="AQ8" s="263" t="e">
        <f>VLOOKUP(Tableau1[[#This Row],[Code PAS]],[14]Feuil1!$B:$G,6,0)</f>
        <v>#N/A</v>
      </c>
      <c r="AR8" s="263" t="str">
        <f>_xlfn.XLOOKUP(Tableau1[[#This Row],[Code PAS]],'Facturation PAS RIN5 RUN'!C:C,'Facturation PAS RIN5 RUN'!B:B,0,0)</f>
        <v>Platinum_Man_1000_0</v>
      </c>
      <c r="AS8" s="263" t="b">
        <f>Tableau1[[#This Row],[Etat facturation]]=Tableau1[[#This Row],[Index offre du fournisseur]]</f>
        <v>1</v>
      </c>
      <c r="AT8" s="250" t="str">
        <f>_xlfn.XLOOKUP(Tableau1[[#This Row],[Code PAS]],'parc SATIN 08012026v'!K:K,'parc SATIN 08012026v'!M:M,0,0)</f>
        <v>PARC</v>
      </c>
      <c r="AU8" s="250" t="str">
        <f>_xlfn.XLOOKUP(Tableau1[[#This Row],[Code PAS]],'parc SATIN 08012026v'!K:K,'parc SATIN 08012026v'!O:O,0,0)</f>
        <v>PARC</v>
      </c>
      <c r="AV8" s="251">
        <f>_xlfn.XLOOKUP(Tableau1[[#This Row],[Code PAS]],'parc SATIN 08012026v'!K:K,'parc SATIN 08012026v'!Q:Q,0,0)</f>
        <v>45015</v>
      </c>
      <c r="AW8" s="251" t="str">
        <f>_xlfn.XLOOKUP(Tableau1[[#This Row],[Code PAS]],'parc SATIN 08012026v'!K:K,'parc SATIN 08012026v'!S:S,0,0)</f>
        <v>change</v>
      </c>
      <c r="AX8" s="250" t="str">
        <f>_xlfn.XLOOKUP(Tableau1[[#This Row],[Code PAS]],'parc SATIN 08012026v'!K:K,'parc SATIN 08012026v'!AF:AF,0,0)</f>
        <v>1 Gbits/s</v>
      </c>
      <c r="AY8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1000</v>
      </c>
      <c r="AZ8" s="250" t="s">
        <v>3747</v>
      </c>
    </row>
    <row r="9" spans="1:56" s="250" customFormat="1" ht="15" customHeight="1" x14ac:dyDescent="0.3">
      <c r="A9" s="250" t="s">
        <v>2743</v>
      </c>
      <c r="C9" s="249"/>
      <c r="D9" s="249" t="s">
        <v>2881</v>
      </c>
      <c r="E9" s="250" t="s">
        <v>2882</v>
      </c>
      <c r="F9" s="981" t="s">
        <v>1217</v>
      </c>
      <c r="G9" s="250" t="s">
        <v>2784</v>
      </c>
      <c r="H9" s="250" t="s">
        <v>2784</v>
      </c>
      <c r="I9" s="250" t="s">
        <v>78</v>
      </c>
      <c r="J9" s="248" t="s">
        <v>2829</v>
      </c>
      <c r="K9" s="250" t="s">
        <v>2829</v>
      </c>
      <c r="L9" s="250">
        <v>500</v>
      </c>
      <c r="M9" s="250">
        <v>400</v>
      </c>
      <c r="N9" s="250">
        <v>1</v>
      </c>
      <c r="O9" s="250" t="s">
        <v>74</v>
      </c>
      <c r="P9" s="824">
        <v>0</v>
      </c>
      <c r="Q9" s="824">
        <v>651.99999999999989</v>
      </c>
      <c r="R9" s="824">
        <v>0</v>
      </c>
      <c r="S9" s="824">
        <v>0</v>
      </c>
      <c r="T9" s="824">
        <v>1453.8564263010346</v>
      </c>
      <c r="U9" s="824">
        <v>94.6</v>
      </c>
      <c r="V9" s="824">
        <v>32</v>
      </c>
      <c r="W9" s="824">
        <v>36</v>
      </c>
      <c r="X9" s="824">
        <v>1616.4564263010345</v>
      </c>
      <c r="Y9" s="824">
        <v>0</v>
      </c>
      <c r="Z9" s="966">
        <v>0</v>
      </c>
      <c r="AA9" s="966">
        <v>0</v>
      </c>
      <c r="AB9" s="969">
        <v>0</v>
      </c>
      <c r="AC9" s="969">
        <v>0</v>
      </c>
      <c r="AD9" s="969">
        <v>0</v>
      </c>
      <c r="AE9" s="264">
        <v>50</v>
      </c>
      <c r="AF9" s="264">
        <v>500</v>
      </c>
      <c r="AG9" s="264">
        <v>400</v>
      </c>
      <c r="AH9" s="264">
        <v>900</v>
      </c>
      <c r="AI9" s="973">
        <v>36</v>
      </c>
      <c r="AJ9" s="263">
        <v>0</v>
      </c>
      <c r="AK9" s="987">
        <v>0</v>
      </c>
      <c r="AL9" s="263">
        <f>VLOOKUP(Tableau1[[#This Row],[Code PAS]],'Facturation PAS RIN5 RUN'!C:F,4,0)</f>
        <v>32</v>
      </c>
      <c r="AM9" s="263"/>
      <c r="AN9" s="263" t="b">
        <f>ROUND(Tableau1[[#This Row],[Montant Options coûts récurrents]],0)=ROUND(Tableau1[[#This Row],[GTRS1 (Coût Plage de support 24h/24 7j/7)]],0)</f>
        <v>0</v>
      </c>
      <c r="AO9" s="265" t="e">
        <f>_xlfn.XLOOKUP(Tableau1[[#This Row],[Code PAS]],'parc SATIN 08012026v'!K:K,'parc SATIN 08012026v'!#REF!,0,0)</f>
        <v>#REF!</v>
      </c>
      <c r="AP9" s="263" t="e">
        <f>VLOOKUP(Tableau1[[#This Row],[Code PAS]],#REF!,3,0)</f>
        <v>#REF!</v>
      </c>
      <c r="AQ9" s="263" t="e">
        <f>VLOOKUP(Tableau1[[#This Row],[Code PAS]],[14]Feuil1!$B:$G,6,0)</f>
        <v>#N/A</v>
      </c>
      <c r="AR9" s="263" t="str">
        <f>_xlfn.XLOOKUP(Tableau1[[#This Row],[Code PAS]],'Facturation PAS RIN5 RUN'!C:C,'Facturation PAS RIN5 RUN'!B:B,0,0)</f>
        <v>Gold_50_50</v>
      </c>
      <c r="AS9" s="263" t="b">
        <f>Tableau1[[#This Row],[Etat facturation]]=Tableau1[[#This Row],[Index offre du fournisseur]]</f>
        <v>1</v>
      </c>
      <c r="AT9" s="250" t="str">
        <f>_xlfn.XLOOKUP(Tableau1[[#This Row],[Code PAS]],'parc SATIN 08012026v'!K:K,'parc SATIN 08012026v'!M:M,0,0)</f>
        <v>PARC</v>
      </c>
      <c r="AU9" s="250" t="str">
        <f>_xlfn.XLOOKUP(Tableau1[[#This Row],[Code PAS]],'parc SATIN 08012026v'!K:K,'parc SATIN 08012026v'!O:O,0,0)</f>
        <v>EN COURS</v>
      </c>
      <c r="AV9" s="251">
        <f>_xlfn.XLOOKUP(Tableau1[[#This Row],[Code PAS]],'parc SATIN 08012026v'!K:K,'parc SATIN 08012026v'!Q:Q,0,0)</f>
        <v>0</v>
      </c>
      <c r="AW9" s="251" t="str">
        <f>_xlfn.XLOOKUP(Tableau1[[#This Row],[Code PAS]],'parc SATIN 08012026v'!K:K,'parc SATIN 08012026v'!S:S,0,0)</f>
        <v>change</v>
      </c>
      <c r="AX9" s="250">
        <f>_xlfn.XLOOKUP(Tableau1[[#This Row],[Code PAS]],'parc SATIN 08012026v'!K:K,'parc SATIN 08012026v'!AF:AF,0,0)</f>
        <v>0</v>
      </c>
      <c r="AY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9" s="250" t="s">
        <v>3735</v>
      </c>
    </row>
    <row r="10" spans="1:56" s="250" customFormat="1" ht="15" customHeight="1" x14ac:dyDescent="0.3">
      <c r="A10" s="250" t="s">
        <v>2758</v>
      </c>
      <c r="C10" s="249"/>
      <c r="D10" s="249"/>
      <c r="E10" s="250" t="s">
        <v>2883</v>
      </c>
      <c r="F10" s="984" t="s">
        <v>2131</v>
      </c>
      <c r="G10" s="250" t="s">
        <v>2884</v>
      </c>
      <c r="H10" s="250" t="s">
        <v>2885</v>
      </c>
      <c r="I10" s="250" t="s">
        <v>165</v>
      </c>
      <c r="J10" s="248" t="s">
        <v>2832</v>
      </c>
      <c r="K10" s="250" t="s">
        <v>2832</v>
      </c>
      <c r="L10" s="250">
        <v>200</v>
      </c>
      <c r="M10" s="250">
        <v>60</v>
      </c>
      <c r="N10" s="250">
        <v>1</v>
      </c>
      <c r="O10" s="250" t="s">
        <v>74</v>
      </c>
      <c r="P10" s="820"/>
      <c r="Q10" s="820"/>
      <c r="R10" s="820"/>
      <c r="S10" s="820">
        <v>0</v>
      </c>
      <c r="T10" s="824">
        <v>1026.8564263010344</v>
      </c>
      <c r="U10" s="824">
        <v>44.4</v>
      </c>
      <c r="V10" s="824">
        <v>40</v>
      </c>
      <c r="W10" s="824">
        <v>5.3999999999999995</v>
      </c>
      <c r="X10" s="823">
        <v>1116.6564263010346</v>
      </c>
      <c r="Y10" s="824"/>
      <c r="Z10" s="966">
        <v>0</v>
      </c>
      <c r="AA10" s="966">
        <v>0</v>
      </c>
      <c r="AB10" s="969">
        <v>0</v>
      </c>
      <c r="AC10" s="969">
        <v>0</v>
      </c>
      <c r="AD10" s="969">
        <v>0</v>
      </c>
      <c r="AE10" s="264">
        <v>15</v>
      </c>
      <c r="AF10" s="264">
        <v>200</v>
      </c>
      <c r="AG10" s="264">
        <v>60</v>
      </c>
      <c r="AH10" s="264">
        <v>260</v>
      </c>
      <c r="AI10" s="973">
        <v>5</v>
      </c>
      <c r="AJ10" s="263">
        <v>15</v>
      </c>
      <c r="AK10" s="987">
        <v>260</v>
      </c>
      <c r="AL10" s="263">
        <f>VLOOKUP(Tableau1[[#This Row],[Code PAS]],'Facturation PAS RIN5 RUN'!C:F,4,0)</f>
        <v>40</v>
      </c>
      <c r="AM10" s="263"/>
      <c r="AN10" s="263" t="b">
        <f>ROUND(Tableau1[[#This Row],[Montant Options coûts récurrents]],0)=ROUND(Tableau1[[#This Row],[GTRS1 (Coût Plage de support 24h/24 7j/7)]],0)</f>
        <v>0</v>
      </c>
      <c r="AO10" s="265" t="e">
        <f>_xlfn.XLOOKUP(Tableau1[[#This Row],[Code PAS]],'parc SATIN 08012026v'!K:K,'parc SATIN 08012026v'!#REF!,0,0)</f>
        <v>#REF!</v>
      </c>
      <c r="AP10" s="263" t="e">
        <f>VLOOKUP(Tableau1[[#This Row],[Code PAS]],#REF!,3,0)</f>
        <v>#REF!</v>
      </c>
      <c r="AQ10" s="263" t="e">
        <f>VLOOKUP(Tableau1[[#This Row],[Code PAS]],[14]Feuil1!$B:$G,6,0)</f>
        <v>#N/A</v>
      </c>
      <c r="AR10" s="263" t="str">
        <f>_xlfn.XLOOKUP(Tableau1[[#This Row],[Code PAS]],'Facturation PAS RIN5 RUN'!C:C,'Facturation PAS RIN5 RUN'!B:B,0,0)</f>
        <v>Silver_15_15</v>
      </c>
      <c r="AS10" s="263" t="b">
        <f>Tableau1[[#This Row],[Etat facturation]]=Tableau1[[#This Row],[Index offre du fournisseur]]</f>
        <v>1</v>
      </c>
      <c r="AT10" s="250" t="str">
        <f>_xlfn.XLOOKUP(Tableau1[[#This Row],[Code PAS]],'parc SATIN 08012026v'!K:K,'parc SATIN 08012026v'!M:M,0,0)</f>
        <v>PARC</v>
      </c>
      <c r="AU10" s="250" t="str">
        <f>_xlfn.XLOOKUP(Tableau1[[#This Row],[Code PAS]],'parc SATIN 08012026v'!K:K,'parc SATIN 08012026v'!O:O,0,0)</f>
        <v>PARC</v>
      </c>
      <c r="AV10" s="251">
        <f>_xlfn.XLOOKUP(Tableau1[[#This Row],[Code PAS]],'parc SATIN 08012026v'!K:K,'parc SATIN 08012026v'!Q:Q,0,0)</f>
        <v>45426</v>
      </c>
      <c r="AW10" s="251" t="str">
        <f>_xlfn.XLOOKUP(Tableau1[[#This Row],[Code PAS]],'parc SATIN 08012026v'!K:K,'parc SATIN 08012026v'!S:S,0,0)</f>
        <v>change</v>
      </c>
      <c r="AX10" s="250" t="str">
        <f>_xlfn.XLOOKUP(Tableau1[[#This Row],[Code PAS]],'parc SATIN 08012026v'!K:K,'parc SATIN 08012026v'!AF:AF,0,0)</f>
        <v>15 Mb/s</v>
      </c>
      <c r="AY1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</v>
      </c>
      <c r="AZ10" s="250" t="s">
        <v>2821</v>
      </c>
    </row>
    <row r="11" spans="1:56" s="250" customFormat="1" ht="15" customHeight="1" x14ac:dyDescent="0.3">
      <c r="A11" s="248" t="s">
        <v>2735</v>
      </c>
      <c r="B11" s="248"/>
      <c r="C11" s="249">
        <v>45198</v>
      </c>
      <c r="D11" s="249"/>
      <c r="E11" s="248" t="s">
        <v>2886</v>
      </c>
      <c r="F11" s="981" t="s">
        <v>376</v>
      </c>
      <c r="G11" s="250" t="s">
        <v>2751</v>
      </c>
      <c r="H11" s="248" t="s">
        <v>2751</v>
      </c>
      <c r="I11" s="248" t="s">
        <v>2887</v>
      </c>
      <c r="J11" s="248" t="str">
        <f>_xlfn.XLOOKUP(Tableau1[[#This Row],[Code PAS]],'[13]Parc Satin'!$L:$L,'[13]Parc Satin'!$CK:$CK,0,0)</f>
        <v>Nominal C2E Fibre sans Secours</v>
      </c>
      <c r="K11" s="248"/>
      <c r="L11" s="248">
        <v>120</v>
      </c>
      <c r="M11" s="248">
        <v>60</v>
      </c>
      <c r="N11" s="248">
        <v>1</v>
      </c>
      <c r="O11" s="248" t="s">
        <v>74</v>
      </c>
      <c r="P11" s="822">
        <v>0</v>
      </c>
      <c r="Q11" s="822">
        <v>0</v>
      </c>
      <c r="R11" s="822">
        <v>0</v>
      </c>
      <c r="S11" s="822">
        <v>0</v>
      </c>
      <c r="T11" s="823">
        <v>568</v>
      </c>
      <c r="U11" s="823">
        <v>12</v>
      </c>
      <c r="V11" s="823">
        <v>0</v>
      </c>
      <c r="W11" s="823">
        <v>5</v>
      </c>
      <c r="X11" s="823">
        <v>585.4</v>
      </c>
      <c r="Y11" s="823">
        <v>0</v>
      </c>
      <c r="Z11" s="966">
        <v>0</v>
      </c>
      <c r="AA11" s="966">
        <v>0</v>
      </c>
      <c r="AB11" s="969">
        <v>0</v>
      </c>
      <c r="AC11" s="969">
        <v>0</v>
      </c>
      <c r="AD11" s="969">
        <v>0</v>
      </c>
      <c r="AE11" s="264">
        <v>10</v>
      </c>
      <c r="AF11" s="264">
        <v>120</v>
      </c>
      <c r="AG11" s="264">
        <v>60</v>
      </c>
      <c r="AH11" s="264">
        <v>180</v>
      </c>
      <c r="AI11" s="973">
        <v>5</v>
      </c>
      <c r="AJ11" s="263">
        <v>10</v>
      </c>
      <c r="AK11" s="987">
        <v>180</v>
      </c>
      <c r="AL11" s="263">
        <f>VLOOKUP(Tableau1[[#This Row],[Code PAS]],'Facturation PAS RIN5 RUN'!C:F,4,0)</f>
        <v>0</v>
      </c>
      <c r="AM11" s="263"/>
      <c r="AN11" s="263" t="b">
        <f>ROUND(Tableau1[[#This Row],[Montant Options coûts récurrents]],0)=ROUND(Tableau1[[#This Row],[GTRS1 (Coût Plage de support 24h/24 7j/7)]],0)</f>
        <v>1</v>
      </c>
      <c r="AO11" s="265" t="e">
        <f>_xlfn.XLOOKUP(Tableau1[[#This Row],[Code PAS]],'parc SATIN 08012026v'!K:K,'parc SATIN 08012026v'!#REF!,0,0)</f>
        <v>#REF!</v>
      </c>
      <c r="AP11" s="263" t="e">
        <f>VLOOKUP(Tableau1[[#This Row],[Code PAS]],#REF!,3,0)</f>
        <v>#REF!</v>
      </c>
      <c r="AQ11" s="263" t="e">
        <f>VLOOKUP(Tableau1[[#This Row],[Code PAS]],[14]Feuil1!$B:$G,6,0)</f>
        <v>#N/A</v>
      </c>
      <c r="AR11" s="263" t="str">
        <f>_xlfn.XLOOKUP(Tableau1[[#This Row],[Code PAS]],'Facturation PAS RIN5 RUN'!C:C,'Facturation PAS RIN5 RUN'!B:B,0,0)</f>
        <v>Bronze_10_0</v>
      </c>
      <c r="AS11" s="263" t="b">
        <f>Tableau1[[#This Row],[Etat facturation]]=Tableau1[[#This Row],[Index offre du fournisseur]]</f>
        <v>1</v>
      </c>
      <c r="AT11" s="250" t="str">
        <f>_xlfn.XLOOKUP(Tableau1[[#This Row],[Code PAS]],'parc SATIN 08012026v'!K:K,'parc SATIN 08012026v'!M:M,0,0)</f>
        <v>PARC</v>
      </c>
      <c r="AU11" s="250" t="str">
        <f>_xlfn.XLOOKUP(Tableau1[[#This Row],[Code PAS]],'parc SATIN 08012026v'!K:K,'parc SATIN 08012026v'!O:O,0,0)</f>
        <v>PARC</v>
      </c>
      <c r="AV11" s="251">
        <f>_xlfn.XLOOKUP(Tableau1[[#This Row],[Code PAS]],'parc SATIN 08012026v'!K:K,'parc SATIN 08012026v'!Q:Q,0,0)</f>
        <v>45208</v>
      </c>
      <c r="AW11" s="251" t="str">
        <f>_xlfn.XLOOKUP(Tableau1[[#This Row],[Code PAS]],'parc SATIN 08012026v'!K:K,'parc SATIN 08012026v'!S:S,0,0)</f>
        <v>change</v>
      </c>
      <c r="AX11" s="250" t="str">
        <f>_xlfn.XLOOKUP(Tableau1[[#This Row],[Code PAS]],'parc SATIN 08012026v'!K:K,'parc SATIN 08012026v'!AF:AF,0,0)</f>
        <v>10 Mb/s</v>
      </c>
      <c r="AY1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11" s="250" t="s">
        <v>2888</v>
      </c>
    </row>
    <row r="12" spans="1:56" s="250" customFormat="1" ht="15" customHeight="1" x14ac:dyDescent="0.3">
      <c r="A12" s="248" t="s">
        <v>2735</v>
      </c>
      <c r="B12" s="248"/>
      <c r="C12" s="249"/>
      <c r="D12" s="249">
        <v>46045</v>
      </c>
      <c r="E12" s="250" t="s">
        <v>2889</v>
      </c>
      <c r="F12" s="981" t="s">
        <v>566</v>
      </c>
      <c r="G12" s="250" t="s">
        <v>2745</v>
      </c>
      <c r="H12" s="250" t="s">
        <v>2745</v>
      </c>
      <c r="I12" s="250" t="s">
        <v>78</v>
      </c>
      <c r="J12" s="248"/>
      <c r="L12" s="250">
        <v>600</v>
      </c>
      <c r="M12" s="250">
        <v>1200</v>
      </c>
      <c r="N12" s="250">
        <v>1</v>
      </c>
      <c r="O12" s="250" t="s">
        <v>74</v>
      </c>
      <c r="P12" s="824"/>
      <c r="Q12" s="824"/>
      <c r="R12" s="824"/>
      <c r="S12" s="824">
        <v>0</v>
      </c>
      <c r="T12" s="824">
        <v>1627.8564263010346</v>
      </c>
      <c r="U12" s="824">
        <v>165</v>
      </c>
      <c r="V12" s="824">
        <v>56</v>
      </c>
      <c r="W12" s="824">
        <v>108</v>
      </c>
      <c r="X12" s="824">
        <v>1956.8564263010346</v>
      </c>
      <c r="Y12" s="824">
        <v>0</v>
      </c>
      <c r="Z12" s="966">
        <v>-0.14360000000010587</v>
      </c>
      <c r="AA12" s="966">
        <v>0</v>
      </c>
      <c r="AB12" s="969">
        <v>0</v>
      </c>
      <c r="AC12" s="969">
        <v>0</v>
      </c>
      <c r="AD12" s="969">
        <v>0</v>
      </c>
      <c r="AE12" s="264">
        <v>100</v>
      </c>
      <c r="AF12" s="264">
        <v>600</v>
      </c>
      <c r="AG12" s="264">
        <v>1200</v>
      </c>
      <c r="AH12" s="264">
        <v>1800</v>
      </c>
      <c r="AI12" s="973">
        <v>108</v>
      </c>
      <c r="AJ12" s="263">
        <v>100</v>
      </c>
      <c r="AK12" s="987">
        <v>1800</v>
      </c>
      <c r="AL12" s="263">
        <f>VLOOKUP(Tableau1[[#This Row],[Code PAS]],'Facturation PAS RIN5 RUN'!C:F,4,0)</f>
        <v>56</v>
      </c>
      <c r="AM12" s="263"/>
      <c r="AN12" s="263" t="b">
        <f>ROUND(Tableau1[[#This Row],[Montant Options coûts récurrents]],0)=ROUND(Tableau1[[#This Row],[GTRS1 (Coût Plage de support 24h/24 7j/7)]],0)</f>
        <v>0</v>
      </c>
      <c r="AO12" s="265" t="e">
        <f>_xlfn.XLOOKUP(Tableau1[[#This Row],[Code PAS]],'parc SATIN 08012026v'!K:K,'parc SATIN 08012026v'!#REF!,0,0)</f>
        <v>#REF!</v>
      </c>
      <c r="AP12" s="263" t="e">
        <f>VLOOKUP(Tableau1[[#This Row],[Code PAS]],#REF!,3,0)</f>
        <v>#REF!</v>
      </c>
      <c r="AQ12" s="263" t="e">
        <f>VLOOKUP(Tableau1[[#This Row],[Code PAS]],[14]Feuil1!$B:$G,6,0)</f>
        <v>#N/A</v>
      </c>
      <c r="AR12" s="263" t="str">
        <f>_xlfn.XLOOKUP(Tableau1[[#This Row],[Code PAS]],'Facturation PAS RIN5 RUN'!C:C,'Facturation PAS RIN5 RUN'!B:B,0,0)</f>
        <v>Gold_100_100</v>
      </c>
      <c r="AS12" s="263" t="b">
        <f>Tableau1[[#This Row],[Etat facturation]]=Tableau1[[#This Row],[Index offre du fournisseur]]</f>
        <v>1</v>
      </c>
      <c r="AT12" s="250" t="str">
        <f>_xlfn.XLOOKUP(Tableau1[[#This Row],[Code PAS]],'parc SATIN 08012026v'!K:K,'parc SATIN 08012026v'!M:M,0,0)</f>
        <v>PARC</v>
      </c>
      <c r="AU12" s="250" t="str">
        <f>_xlfn.XLOOKUP(Tableau1[[#This Row],[Code PAS]],'parc SATIN 08012026v'!K:K,'parc SATIN 08012026v'!O:O,0,0)</f>
        <v>PARC</v>
      </c>
      <c r="AV12" s="251">
        <f>_xlfn.XLOOKUP(Tableau1[[#This Row],[Code PAS]],'parc SATIN 08012026v'!K:K,'parc SATIN 08012026v'!Q:Q,0,0)</f>
        <v>46045</v>
      </c>
      <c r="AW12" s="251" t="str">
        <f>_xlfn.XLOOKUP(Tableau1[[#This Row],[Code PAS]],'parc SATIN 08012026v'!K:K,'parc SATIN 08012026v'!S:S,0,0)</f>
        <v>change</v>
      </c>
      <c r="AX12" s="250" t="str">
        <f>_xlfn.XLOOKUP(Tableau1[[#This Row],[Code PAS]],'parc SATIN 08012026v'!K:K,'parc SATIN 08012026v'!AF:AF,0,0)</f>
        <v>100 Mb/s</v>
      </c>
      <c r="AY1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  <c r="AZ12" s="250" t="s">
        <v>2890</v>
      </c>
    </row>
    <row r="13" spans="1:56" s="250" customFormat="1" ht="15" customHeight="1" x14ac:dyDescent="0.3">
      <c r="A13" s="250" t="s">
        <v>2743</v>
      </c>
      <c r="C13" s="249"/>
      <c r="D13" s="249">
        <v>46050</v>
      </c>
      <c r="E13" s="250" t="s">
        <v>2891</v>
      </c>
      <c r="F13" s="981" t="s">
        <v>1378</v>
      </c>
      <c r="G13" s="250" t="s">
        <v>2784</v>
      </c>
      <c r="H13" s="250" t="s">
        <v>2784</v>
      </c>
      <c r="I13" s="250" t="s">
        <v>78</v>
      </c>
      <c r="J13" s="248"/>
      <c r="L13" s="250">
        <v>500</v>
      </c>
      <c r="M13" s="250">
        <v>400</v>
      </c>
      <c r="N13" s="250">
        <v>1</v>
      </c>
      <c r="O13" s="250" t="s">
        <v>74</v>
      </c>
      <c r="P13" s="820"/>
      <c r="Q13" s="820"/>
      <c r="R13" s="820"/>
      <c r="S13" s="820">
        <v>0</v>
      </c>
      <c r="T13" s="824">
        <v>1453.8564263010346</v>
      </c>
      <c r="U13" s="824">
        <v>70.599999999999994</v>
      </c>
      <c r="V13" s="824">
        <v>32</v>
      </c>
      <c r="W13" s="824">
        <v>36</v>
      </c>
      <c r="X13" s="823">
        <v>1592.4564263010345</v>
      </c>
      <c r="Y13" s="824">
        <v>0</v>
      </c>
      <c r="Z13" s="966">
        <v>0</v>
      </c>
      <c r="AA13" s="966">
        <v>0</v>
      </c>
      <c r="AB13" s="969">
        <v>0</v>
      </c>
      <c r="AC13" s="969">
        <v>0</v>
      </c>
      <c r="AD13" s="969">
        <v>0</v>
      </c>
      <c r="AE13" s="264">
        <v>50</v>
      </c>
      <c r="AF13" s="264">
        <v>500</v>
      </c>
      <c r="AG13" s="264">
        <v>400</v>
      </c>
      <c r="AH13" s="264">
        <v>900</v>
      </c>
      <c r="AI13" s="973">
        <v>36</v>
      </c>
      <c r="AJ13" s="263">
        <v>50</v>
      </c>
      <c r="AK13" s="987">
        <v>900</v>
      </c>
      <c r="AL13" s="263">
        <f>VLOOKUP(Tableau1[[#This Row],[Code PAS]],'Facturation PAS RIN5 RUN'!C:F,4,0)</f>
        <v>32</v>
      </c>
      <c r="AM13" s="263"/>
      <c r="AN13" s="263" t="b">
        <f>ROUND(Tableau1[[#This Row],[Montant Options coûts récurrents]],0)=ROUND(Tableau1[[#This Row],[GTRS1 (Coût Plage de support 24h/24 7j/7)]],0)</f>
        <v>0</v>
      </c>
      <c r="AO13" s="265" t="e">
        <f>_xlfn.XLOOKUP(Tableau1[[#This Row],[Code PAS]],'parc SATIN 08012026v'!K:K,'parc SATIN 08012026v'!#REF!,0,0)</f>
        <v>#REF!</v>
      </c>
      <c r="AP13" s="263" t="e">
        <f>VLOOKUP(Tableau1[[#This Row],[Code PAS]],#REF!,3,0)</f>
        <v>#REF!</v>
      </c>
      <c r="AQ13" s="263" t="e">
        <f>VLOOKUP(Tableau1[[#This Row],[Code PAS]],[14]Feuil1!$B:$G,6,0)</f>
        <v>#N/A</v>
      </c>
      <c r="AR13" s="263" t="str">
        <f>_xlfn.XLOOKUP(Tableau1[[#This Row],[Code PAS]],'Facturation PAS RIN5 RUN'!C:C,'Facturation PAS RIN5 RUN'!B:B,0,0)</f>
        <v>Gold_50_50</v>
      </c>
      <c r="AS13" s="263" t="b">
        <f>Tableau1[[#This Row],[Etat facturation]]=Tableau1[[#This Row],[Index offre du fournisseur]]</f>
        <v>1</v>
      </c>
      <c r="AT13" s="250" t="str">
        <f>_xlfn.XLOOKUP(Tableau1[[#This Row],[Code PAS]],'parc SATIN 08012026v'!K:K,'parc SATIN 08012026v'!M:M,0,0)</f>
        <v>PARC</v>
      </c>
      <c r="AU13" s="250" t="str">
        <f>_xlfn.XLOOKUP(Tableau1[[#This Row],[Code PAS]],'parc SATIN 08012026v'!K:K,'parc SATIN 08012026v'!O:O,0,0)</f>
        <v>PARC</v>
      </c>
      <c r="AV13" s="251">
        <f>_xlfn.XLOOKUP(Tableau1[[#This Row],[Code PAS]],'parc SATIN 08012026v'!K:K,'parc SATIN 08012026v'!Q:Q,0,0)</f>
        <v>46050</v>
      </c>
      <c r="AW13" s="251" t="str">
        <f>_xlfn.XLOOKUP(Tableau1[[#This Row],[Code PAS]],'parc SATIN 08012026v'!K:K,'parc SATIN 08012026v'!S:S,0,0)</f>
        <v>change</v>
      </c>
      <c r="AX13" s="250" t="str">
        <f>_xlfn.XLOOKUP(Tableau1[[#This Row],[Code PAS]],'parc SATIN 08012026v'!K:K,'parc SATIN 08012026v'!AF:AF,0,0)</f>
        <v>50 Mb/s</v>
      </c>
      <c r="AY1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13" s="250" t="s">
        <v>2892</v>
      </c>
    </row>
    <row r="14" spans="1:56" s="250" customFormat="1" ht="15" customHeight="1" x14ac:dyDescent="0.3">
      <c r="A14" s="250" t="s">
        <v>2743</v>
      </c>
      <c r="C14" s="249">
        <v>45236</v>
      </c>
      <c r="D14" s="249"/>
      <c r="E14" s="250" t="s">
        <v>2893</v>
      </c>
      <c r="F14" s="981" t="s">
        <v>1369</v>
      </c>
      <c r="G14" s="250" t="s">
        <v>2791</v>
      </c>
      <c r="H14" s="250" t="s">
        <v>2791</v>
      </c>
      <c r="I14" s="250" t="s">
        <v>78</v>
      </c>
      <c r="J14" s="248" t="str">
        <f>_xlfn.XLOOKUP(Tableau1[[#This Row],[Code PAS]],'[13]Parc Satin'!$L:$L,'[13]Parc Satin'!$CK:$CK,0,0)</f>
        <v>Nominal C2E Fibre Secours C2E Fibre</v>
      </c>
      <c r="K14" s="250" t="s">
        <v>2814</v>
      </c>
      <c r="L14" s="250">
        <v>500</v>
      </c>
      <c r="M14" s="250">
        <v>400</v>
      </c>
      <c r="N14" s="250">
        <v>1</v>
      </c>
      <c r="O14" s="250" t="s">
        <v>74</v>
      </c>
      <c r="P14" s="820">
        <v>0</v>
      </c>
      <c r="Q14" s="820">
        <v>0</v>
      </c>
      <c r="R14" s="820">
        <v>0</v>
      </c>
      <c r="S14" s="820">
        <v>0</v>
      </c>
      <c r="T14" s="824">
        <v>1454</v>
      </c>
      <c r="U14" s="824">
        <v>95</v>
      </c>
      <c r="V14" s="824">
        <v>16</v>
      </c>
      <c r="W14" s="824">
        <v>36</v>
      </c>
      <c r="X14" s="823">
        <v>1600.4564263010345</v>
      </c>
      <c r="Y14" s="824">
        <v>0</v>
      </c>
      <c r="Z14" s="966">
        <v>0</v>
      </c>
      <c r="AA14" s="966">
        <v>0</v>
      </c>
      <c r="AB14" s="969">
        <v>0</v>
      </c>
      <c r="AC14" s="969">
        <v>0</v>
      </c>
      <c r="AD14" s="969">
        <v>0</v>
      </c>
      <c r="AE14" s="264">
        <v>50</v>
      </c>
      <c r="AF14" s="264">
        <v>500</v>
      </c>
      <c r="AG14" s="264">
        <v>400</v>
      </c>
      <c r="AH14" s="264">
        <v>900</v>
      </c>
      <c r="AI14" s="973">
        <v>36</v>
      </c>
      <c r="AJ14" s="263">
        <v>50</v>
      </c>
      <c r="AK14" s="987">
        <v>900</v>
      </c>
      <c r="AL14" s="263">
        <f>VLOOKUP(Tableau1[[#This Row],[Code PAS]],'Facturation PAS RIN5 RUN'!C:F,4,0)</f>
        <v>16</v>
      </c>
      <c r="AM14" s="263"/>
      <c r="AN14" s="263" t="b">
        <f>ROUND(Tableau1[[#This Row],[Montant Options coûts récurrents]],0)=ROUND(Tableau1[[#This Row],[GTRS1 (Coût Plage de support 24h/24 7j/7)]],0)</f>
        <v>0</v>
      </c>
      <c r="AO14" s="265" t="e">
        <f>_xlfn.XLOOKUP(Tableau1[[#This Row],[Code PAS]],'parc SATIN 08012026v'!K:K,'parc SATIN 08012026v'!#REF!,0,0)</f>
        <v>#REF!</v>
      </c>
      <c r="AP14" s="263" t="e">
        <f>VLOOKUP(Tableau1[[#This Row],[Code PAS]],#REF!,3,0)</f>
        <v>#REF!</v>
      </c>
      <c r="AQ14" s="263" t="e">
        <f>VLOOKUP(Tableau1[[#This Row],[Code PAS]],[14]Feuil1!$B:$G,6,0)</f>
        <v>#N/A</v>
      </c>
      <c r="AR14" s="263" t="str">
        <f>_xlfn.XLOOKUP(Tableau1[[#This Row],[Code PAS]],'Facturation PAS RIN5 RUN'!C:C,'Facturation PAS RIN5 RUN'!B:B,0,0)</f>
        <v>Silver_50_50</v>
      </c>
      <c r="AS14" s="263" t="b">
        <f>Tableau1[[#This Row],[Etat facturation]]=Tableau1[[#This Row],[Index offre du fournisseur]]</f>
        <v>1</v>
      </c>
      <c r="AT14" s="250" t="str">
        <f>_xlfn.XLOOKUP(Tableau1[[#This Row],[Code PAS]],'parc SATIN 08012026v'!K:K,'parc SATIN 08012026v'!M:M,0,0)</f>
        <v>PARC</v>
      </c>
      <c r="AU14" s="250" t="str">
        <f>_xlfn.XLOOKUP(Tableau1[[#This Row],[Code PAS]],'parc SATIN 08012026v'!K:K,'parc SATIN 08012026v'!O:O,0,0)</f>
        <v>PARC</v>
      </c>
      <c r="AV14" s="251">
        <f>_xlfn.XLOOKUP(Tableau1[[#This Row],[Code PAS]],'parc SATIN 08012026v'!K:K,'parc SATIN 08012026v'!Q:Q,0,0)</f>
        <v>45244</v>
      </c>
      <c r="AW14" s="251" t="str">
        <f>_xlfn.XLOOKUP(Tableau1[[#This Row],[Code PAS]],'parc SATIN 08012026v'!K:K,'parc SATIN 08012026v'!S:S,0,0)</f>
        <v>change</v>
      </c>
      <c r="AX14" s="250" t="str">
        <f>_xlfn.XLOOKUP(Tableau1[[#This Row],[Code PAS]],'parc SATIN 08012026v'!K:K,'parc SATIN 08012026v'!AF:AF,0,0)</f>
        <v>50 Mb/s</v>
      </c>
      <c r="AY1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14" s="250" t="s">
        <v>2802</v>
      </c>
    </row>
    <row r="15" spans="1:56" s="250" customFormat="1" ht="15" customHeight="1" x14ac:dyDescent="0.3">
      <c r="A15" s="250" t="s">
        <v>2758</v>
      </c>
      <c r="B15" s="249">
        <v>46050</v>
      </c>
      <c r="C15" s="249">
        <v>46050</v>
      </c>
      <c r="D15" s="249"/>
      <c r="E15" s="250" t="s">
        <v>2894</v>
      </c>
      <c r="F15" s="981" t="s">
        <v>2115</v>
      </c>
      <c r="G15" s="250" t="s">
        <v>2784</v>
      </c>
      <c r="H15" s="250" t="s">
        <v>2784</v>
      </c>
      <c r="I15" s="250" t="s">
        <v>165</v>
      </c>
      <c r="J15" s="248" t="s">
        <v>2814</v>
      </c>
      <c r="K15" s="250" t="s">
        <v>2814</v>
      </c>
      <c r="L15" s="250">
        <v>500</v>
      </c>
      <c r="M15" s="250">
        <v>400</v>
      </c>
      <c r="N15" s="250">
        <v>1</v>
      </c>
      <c r="O15" s="250" t="s">
        <v>74</v>
      </c>
      <c r="P15" s="820"/>
      <c r="Q15" s="820">
        <v>228.19999999999993</v>
      </c>
      <c r="R15" s="820"/>
      <c r="S15" s="820">
        <v>228.19999999999993</v>
      </c>
      <c r="T15" s="824">
        <v>1453.8564263010346</v>
      </c>
      <c r="U15" s="824">
        <v>84</v>
      </c>
      <c r="V15" s="824"/>
      <c r="W15" s="824">
        <v>36</v>
      </c>
      <c r="X15" s="823">
        <v>1573.8564263010346</v>
      </c>
      <c r="Y15" s="824"/>
      <c r="Z15" s="966">
        <v>-0.14360000000010587</v>
      </c>
      <c r="AA15" s="966">
        <v>0</v>
      </c>
      <c r="AB15" s="969">
        <v>0</v>
      </c>
      <c r="AC15" s="969">
        <v>0</v>
      </c>
      <c r="AD15" s="969">
        <v>0</v>
      </c>
      <c r="AE15" s="264">
        <v>50</v>
      </c>
      <c r="AF15" s="264">
        <v>500</v>
      </c>
      <c r="AG15" s="264">
        <v>400</v>
      </c>
      <c r="AH15" s="264">
        <v>900</v>
      </c>
      <c r="AI15" s="973">
        <v>36</v>
      </c>
      <c r="AJ15" s="263">
        <v>50</v>
      </c>
      <c r="AK15" s="987">
        <v>900</v>
      </c>
      <c r="AL15" s="263">
        <f>VLOOKUP(Tableau1[[#This Row],[Code PAS]],'Facturation PAS RIN5 RUN'!C:F,4,0)</f>
        <v>0</v>
      </c>
      <c r="AM15" s="263"/>
      <c r="AN15" s="263" t="b">
        <f>ROUND(Tableau1[[#This Row],[Montant Options coûts récurrents]],0)=ROUND(Tableau1[[#This Row],[GTRS1 (Coût Plage de support 24h/24 7j/7)]],0)</f>
        <v>1</v>
      </c>
      <c r="AO15" s="265" t="e">
        <f>_xlfn.XLOOKUP(Tableau1[[#This Row],[Code PAS]],'parc SATIN 08012026v'!K:K,'parc SATIN 08012026v'!#REF!,0,0)</f>
        <v>#REF!</v>
      </c>
      <c r="AP15" s="263" t="e">
        <f>VLOOKUP(Tableau1[[#This Row],[Code PAS]],#REF!,3,0)</f>
        <v>#REF!</v>
      </c>
      <c r="AQ15" s="263" t="e">
        <f>VLOOKUP(Tableau1[[#This Row],[Code PAS]],[14]Feuil1!$B:$G,6,0)</f>
        <v>#N/A</v>
      </c>
      <c r="AR15" s="263" t="str">
        <f>_xlfn.XLOOKUP(Tableau1[[#This Row],[Code PAS]],'Facturation PAS RIN5 RUN'!C:C,'Facturation PAS RIN5 RUN'!B:B,0,0)</f>
        <v>Gold_50_50</v>
      </c>
      <c r="AS15" s="263" t="b">
        <f>Tableau1[[#This Row],[Etat facturation]]=Tableau1[[#This Row],[Index offre du fournisseur]]</f>
        <v>1</v>
      </c>
      <c r="AT15" s="250" t="str">
        <f>_xlfn.XLOOKUP(Tableau1[[#This Row],[Code PAS]],'parc SATIN 08012026v'!K:K,'parc SATIN 08012026v'!M:M,0,0)</f>
        <v>PARC</v>
      </c>
      <c r="AU15" s="250" t="str">
        <f>_xlfn.XLOOKUP(Tableau1[[#This Row],[Code PAS]],'parc SATIN 08012026v'!K:K,'parc SATIN 08012026v'!O:O,0,0)</f>
        <v>PARC</v>
      </c>
      <c r="AV15" s="251">
        <f>_xlfn.XLOOKUP(Tableau1[[#This Row],[Code PAS]],'parc SATIN 08012026v'!K:K,'parc SATIN 08012026v'!Q:Q,0,0)</f>
        <v>46050</v>
      </c>
      <c r="AW15" s="251" t="str">
        <f>_xlfn.XLOOKUP(Tableau1[[#This Row],[Code PAS]],'parc SATIN 08012026v'!K:K,'parc SATIN 08012026v'!S:S,0,0)</f>
        <v>change</v>
      </c>
      <c r="AX15" s="250" t="str">
        <f>_xlfn.XLOOKUP(Tableau1[[#This Row],[Code PAS]],'parc SATIN 08012026v'!K:K,'parc SATIN 08012026v'!AF:AF,0,0)</f>
        <v>50 Mb/s</v>
      </c>
      <c r="AY1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15" s="250" t="s">
        <v>2892</v>
      </c>
    </row>
    <row r="16" spans="1:56" s="250" customFormat="1" ht="15" customHeight="1" x14ac:dyDescent="0.3">
      <c r="A16" s="250" t="s">
        <v>2758</v>
      </c>
      <c r="C16" s="249"/>
      <c r="D16" s="249">
        <v>46001</v>
      </c>
      <c r="E16" s="250" t="s">
        <v>2895</v>
      </c>
      <c r="F16" s="981" t="s">
        <v>2270</v>
      </c>
      <c r="G16" s="250" t="s">
        <v>2748</v>
      </c>
      <c r="H16" s="250" t="s">
        <v>2748</v>
      </c>
      <c r="I16" s="250" t="s">
        <v>165</v>
      </c>
      <c r="J16" s="248" t="s">
        <v>2814</v>
      </c>
      <c r="K16" s="250" t="s">
        <v>2814</v>
      </c>
      <c r="L16" s="250">
        <v>300</v>
      </c>
      <c r="M16" s="250">
        <v>50</v>
      </c>
      <c r="N16" s="250">
        <v>1</v>
      </c>
      <c r="O16" s="250" t="s">
        <v>74</v>
      </c>
      <c r="P16" s="820">
        <v>0</v>
      </c>
      <c r="Q16" s="820">
        <v>0</v>
      </c>
      <c r="R16" s="820">
        <v>0</v>
      </c>
      <c r="S16" s="820">
        <v>0</v>
      </c>
      <c r="T16" s="824">
        <v>1149</v>
      </c>
      <c r="U16" s="824">
        <v>44</v>
      </c>
      <c r="V16" s="824">
        <v>40</v>
      </c>
      <c r="W16" s="824">
        <v>5</v>
      </c>
      <c r="X16" s="823">
        <v>1237.7564263010347</v>
      </c>
      <c r="Y16" s="824">
        <v>0</v>
      </c>
      <c r="Z16" s="966">
        <v>0</v>
      </c>
      <c r="AA16" s="966">
        <v>0</v>
      </c>
      <c r="AB16" s="969">
        <v>0</v>
      </c>
      <c r="AC16" s="969">
        <v>0</v>
      </c>
      <c r="AD16" s="969">
        <v>0</v>
      </c>
      <c r="AE16" s="264">
        <v>20</v>
      </c>
      <c r="AF16" s="264">
        <v>300</v>
      </c>
      <c r="AG16" s="264">
        <v>50</v>
      </c>
      <c r="AH16" s="264">
        <v>350</v>
      </c>
      <c r="AI16" s="973">
        <v>5</v>
      </c>
      <c r="AJ16" s="263">
        <v>20</v>
      </c>
      <c r="AK16" s="987">
        <v>350</v>
      </c>
      <c r="AL16" s="263">
        <f>VLOOKUP(Tableau1[[#This Row],[Code PAS]],'Facturation PAS RIN5 RUN'!C:F,4,0)</f>
        <v>40</v>
      </c>
      <c r="AM16" s="263"/>
      <c r="AN16" s="263" t="b">
        <f>ROUND(Tableau1[[#This Row],[Montant Options coûts récurrents]],0)=ROUND(Tableau1[[#This Row],[GTRS1 (Coût Plage de support 24h/24 7j/7)]],0)</f>
        <v>0</v>
      </c>
      <c r="AO16" s="265" t="e">
        <f>_xlfn.XLOOKUP(Tableau1[[#This Row],[Code PAS]],'parc SATIN 08012026v'!K:K,'parc SATIN 08012026v'!#REF!,0,0)</f>
        <v>#REF!</v>
      </c>
      <c r="AP16" s="263" t="e">
        <f>VLOOKUP(Tableau1[[#This Row],[Code PAS]],#REF!,3,0)</f>
        <v>#REF!</v>
      </c>
      <c r="AQ16" s="263" t="e">
        <f>VLOOKUP(Tableau1[[#This Row],[Code PAS]],[14]Feuil1!$B:$G,6,0)</f>
        <v>#N/A</v>
      </c>
      <c r="AR16" s="263" t="str">
        <f>_xlfn.XLOOKUP(Tableau1[[#This Row],[Code PAS]],'Facturation PAS RIN5 RUN'!C:C,'Facturation PAS RIN5 RUN'!B:B,0,0)</f>
        <v>Gold_20_20</v>
      </c>
      <c r="AS16" s="263" t="b">
        <f>Tableau1[[#This Row],[Etat facturation]]=Tableau1[[#This Row],[Index offre du fournisseur]]</f>
        <v>1</v>
      </c>
      <c r="AT16" s="250" t="str">
        <f>_xlfn.XLOOKUP(Tableau1[[#This Row],[Code PAS]],'parc SATIN 08012026v'!K:K,'parc SATIN 08012026v'!M:M,0,0)</f>
        <v>PARC</v>
      </c>
      <c r="AU16" s="250" t="str">
        <f>_xlfn.XLOOKUP(Tableau1[[#This Row],[Code PAS]],'parc SATIN 08012026v'!K:K,'parc SATIN 08012026v'!O:O,0,0)</f>
        <v>EN COURS</v>
      </c>
      <c r="AV16" s="251">
        <f>_xlfn.XLOOKUP(Tableau1[[#This Row],[Code PAS]],'parc SATIN 08012026v'!K:K,'parc SATIN 08012026v'!Q:Q,0,0)</f>
        <v>0</v>
      </c>
      <c r="AW16" s="251" t="str">
        <f>_xlfn.XLOOKUP(Tableau1[[#This Row],[Code PAS]],'parc SATIN 08012026v'!K:K,'parc SATIN 08012026v'!S:S,0,0)</f>
        <v>change</v>
      </c>
      <c r="AX16" s="250" t="str">
        <f>_xlfn.XLOOKUP(Tableau1[[#This Row],[Code PAS]],'parc SATIN 08012026v'!K:K,'parc SATIN 08012026v'!AF:AF,0,0)</f>
        <v>20 Mb/s</v>
      </c>
      <c r="AY1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16" s="250" t="s">
        <v>2896</v>
      </c>
    </row>
    <row r="17" spans="1:52" s="250" customFormat="1" ht="15" customHeight="1" x14ac:dyDescent="0.3">
      <c r="A17" s="250" t="s">
        <v>2739</v>
      </c>
      <c r="C17" s="249"/>
      <c r="D17" s="249"/>
      <c r="E17" s="250" t="s">
        <v>2897</v>
      </c>
      <c r="F17" s="984" t="s">
        <v>1593</v>
      </c>
      <c r="G17" s="250" t="s">
        <v>2898</v>
      </c>
      <c r="H17" s="250" t="s">
        <v>2777</v>
      </c>
      <c r="J17" s="248" t="str">
        <f>_xlfn.XLOOKUP(Tableau1[[#This Row],[Code PAS]],'[13]Parc Satin'!$L:$L,'[13]Parc Satin'!$CK:$CK,0,0)</f>
        <v>Nominal HYBRID Offnet</v>
      </c>
      <c r="P17" s="820">
        <v>0</v>
      </c>
      <c r="Q17" s="820">
        <v>0</v>
      </c>
      <c r="R17" s="820">
        <v>0</v>
      </c>
      <c r="S17" s="826">
        <v>3862</v>
      </c>
      <c r="T17" s="826">
        <v>725</v>
      </c>
      <c r="U17" s="826">
        <v>12</v>
      </c>
      <c r="V17" s="826">
        <v>8</v>
      </c>
      <c r="W17" s="824">
        <v>0</v>
      </c>
      <c r="X17" s="823">
        <f>Tableau1[[#This Row],[Coût Abonnement offre]]+Tableau1[[#This Row],[Coût Abonnement Chassis]]+Tableau1[[#This Row],[Cout Cartes interface ]]+Tableau1[[#This Row],[Cout canaux voix supplémentaire]]</f>
        <v>745</v>
      </c>
      <c r="Y17" s="824">
        <v>0</v>
      </c>
      <c r="Z17" s="966">
        <v>0</v>
      </c>
      <c r="AA17" s="966">
        <v>0</v>
      </c>
      <c r="AB17" s="969">
        <v>0</v>
      </c>
      <c r="AC17" s="969">
        <v>0</v>
      </c>
      <c r="AD17" s="969">
        <v>0</v>
      </c>
      <c r="AE17" s="264">
        <v>20</v>
      </c>
      <c r="AF17" s="264">
        <v>300</v>
      </c>
      <c r="AG17" s="264">
        <v>50</v>
      </c>
      <c r="AH17" s="264">
        <v>350</v>
      </c>
      <c r="AI17" s="973">
        <v>5</v>
      </c>
      <c r="AJ17" s="263">
        <v>0</v>
      </c>
      <c r="AK17" s="987">
        <v>0</v>
      </c>
      <c r="AL17" s="263">
        <f>VLOOKUP(Tableau1[[#This Row],[Code PAS]],'Facturation PAS RIN5 RUN'!C:F,4,0)</f>
        <v>8</v>
      </c>
      <c r="AM17" s="263"/>
      <c r="AN17" s="263" t="b">
        <f>ROUND(Tableau1[[#This Row],[Montant Options coûts récurrents]],0)=ROUND(Tableau1[[#This Row],[GTRS1 (Coût Plage de support 24h/24 7j/7)]],0)</f>
        <v>0</v>
      </c>
      <c r="AO17" s="265" t="e">
        <f>_xlfn.XLOOKUP(Tableau1[[#This Row],[Code PAS]],'parc SATIN 08012026v'!K:K,'parc SATIN 08012026v'!#REF!,0,0)</f>
        <v>#REF!</v>
      </c>
      <c r="AP17" s="263" t="e">
        <f>VLOOKUP(Tableau1[[#This Row],[Code PAS]],#REF!,3,0)</f>
        <v>#REF!</v>
      </c>
      <c r="AQ17" s="263" t="e">
        <f>VLOOKUP(Tableau1[[#This Row],[Code PAS]],[14]Feuil1!$B:$G,6,0)</f>
        <v>#N/A</v>
      </c>
      <c r="AR17" s="263" t="str">
        <f>_xlfn.XLOOKUP(Tableau1[[#This Row],[Code PAS]],'Facturation PAS RIN5 RUN'!C:C,'Facturation PAS RIN5 RUN'!B:B,0,0)</f>
        <v>Bronze_20_0</v>
      </c>
      <c r="AS17" s="263" t="b">
        <f>Tableau1[[#This Row],[Etat facturation]]=Tableau1[[#This Row],[Index offre du fournisseur]]</f>
        <v>1</v>
      </c>
      <c r="AT17" s="250" t="str">
        <f>_xlfn.XLOOKUP(Tableau1[[#This Row],[Code PAS]],'parc SATIN 08012026v'!K:K,'parc SATIN 08012026v'!M:M,0,0)</f>
        <v>PARC</v>
      </c>
      <c r="AU17" s="250" t="str">
        <f>_xlfn.XLOOKUP(Tableau1[[#This Row],[Code PAS]],'parc SATIN 08012026v'!K:K,'parc SATIN 08012026v'!O:O,0,0)</f>
        <v>PARC</v>
      </c>
      <c r="AV17" s="251">
        <f>_xlfn.XLOOKUP(Tableau1[[#This Row],[Code PAS]],'parc SATIN 08012026v'!K:K,'parc SATIN 08012026v'!Q:Q,0,0)</f>
        <v>44477</v>
      </c>
      <c r="AW17" s="251" t="str">
        <f>_xlfn.XLOOKUP(Tableau1[[#This Row],[Code PAS]],'parc SATIN 08012026v'!K:K,'parc SATIN 08012026v'!S:S,0,0)</f>
        <v>change</v>
      </c>
      <c r="AX17" s="250" t="str">
        <f>_xlfn.XLOOKUP(Tableau1[[#This Row],[Code PAS]],'parc SATIN 08012026v'!K:K,'parc SATIN 08012026v'!AF:AF,0,0)</f>
        <v>HYBRID</v>
      </c>
      <c r="AY1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17" s="250" t="s">
        <v>2899</v>
      </c>
    </row>
    <row r="18" spans="1:52" s="250" customFormat="1" ht="15" customHeight="1" x14ac:dyDescent="0.3">
      <c r="A18" s="248" t="s">
        <v>2735</v>
      </c>
      <c r="B18" s="249">
        <v>45575</v>
      </c>
      <c r="C18" s="249">
        <v>45575</v>
      </c>
      <c r="D18" s="249"/>
      <c r="E18" s="250" t="s">
        <v>2900</v>
      </c>
      <c r="F18" s="981" t="s">
        <v>662</v>
      </c>
      <c r="G18" s="250" t="s">
        <v>2768</v>
      </c>
      <c r="H18" s="250" t="s">
        <v>2768</v>
      </c>
      <c r="I18" s="250" t="s">
        <v>165</v>
      </c>
      <c r="J18" s="248" t="str">
        <f>_xlfn.XLOOKUP(Tableau1[[#This Row],[Code PAS]],'[13]Parc Satin'!$L:$L,'[13]Parc Satin'!$CK:$CK,0,0)</f>
        <v>Nominal C2E Fibre Secours C2E Fibre</v>
      </c>
      <c r="K18" s="250" t="s">
        <v>2901</v>
      </c>
      <c r="L18" s="250">
        <v>120</v>
      </c>
      <c r="M18" s="250">
        <v>60</v>
      </c>
      <c r="N18" s="250">
        <v>1</v>
      </c>
      <c r="O18" s="250" t="s">
        <v>76</v>
      </c>
      <c r="P18" s="824">
        <v>0</v>
      </c>
      <c r="Q18" s="824">
        <v>379</v>
      </c>
      <c r="R18" s="824">
        <v>0</v>
      </c>
      <c r="S18" s="824">
        <v>379</v>
      </c>
      <c r="T18" s="824">
        <v>1229</v>
      </c>
      <c r="U18" s="824">
        <v>44</v>
      </c>
      <c r="V18" s="824">
        <v>40</v>
      </c>
      <c r="W18" s="824">
        <v>5</v>
      </c>
      <c r="X18" s="824">
        <f>Tableau1[[#This Row],[Coût Abonnement offre]]+Tableau1[[#This Row],[Coût Abonnement Chassis]]+Tableau1[[#This Row],[Cout Cartes interface ]]+Tableau1[[#This Row],[Cout canaux voix supplémentaire]]</f>
        <v>1318</v>
      </c>
      <c r="Y18" s="824">
        <v>66</v>
      </c>
      <c r="Z18" s="966">
        <v>0</v>
      </c>
      <c r="AA18" s="966">
        <v>0</v>
      </c>
      <c r="AB18" s="969">
        <v>0</v>
      </c>
      <c r="AC18" s="969">
        <v>0</v>
      </c>
      <c r="AD18" s="969">
        <v>0</v>
      </c>
      <c r="AE18" s="264">
        <v>10</v>
      </c>
      <c r="AF18" s="264">
        <v>120</v>
      </c>
      <c r="AG18" s="264">
        <v>60</v>
      </c>
      <c r="AH18" s="264">
        <v>180</v>
      </c>
      <c r="AI18" s="973">
        <v>5</v>
      </c>
      <c r="AJ18" s="263">
        <v>10</v>
      </c>
      <c r="AK18" s="987">
        <v>180</v>
      </c>
      <c r="AL18" s="263">
        <f>VLOOKUP(Tableau1[[#This Row],[Code PAS]],'Facturation PAS RIN5 RUN'!C:F,4,0)</f>
        <v>40</v>
      </c>
      <c r="AM18" s="263"/>
      <c r="AN18" s="263" t="b">
        <f>ROUND(Tableau1[[#This Row],[Montant Options coûts récurrents]],0)=ROUND(Tableau1[[#This Row],[GTRS1 (Coût Plage de support 24h/24 7j/7)]],0)</f>
        <v>0</v>
      </c>
      <c r="AO18" s="265" t="e">
        <f>_xlfn.XLOOKUP(Tableau1[[#This Row],[Code PAS]],'parc SATIN 08012026v'!K:K,'parc SATIN 08012026v'!#REF!,0,0)</f>
        <v>#REF!</v>
      </c>
      <c r="AP18" s="263" t="e">
        <f>VLOOKUP(Tableau1[[#This Row],[Code PAS]],#REF!,3,0)</f>
        <v>#REF!</v>
      </c>
      <c r="AQ18" s="263" t="e">
        <f>VLOOKUP(Tableau1[[#This Row],[Code PAS]],[14]Feuil1!$B:$G,6,0)</f>
        <v>#N/A</v>
      </c>
      <c r="AR18" s="263" t="str">
        <f>_xlfn.XLOOKUP(Tableau1[[#This Row],[Code PAS]],'Facturation PAS RIN5 RUN'!C:C,'Facturation PAS RIN5 RUN'!B:B,0,0)</f>
        <v>Gold_10_10</v>
      </c>
      <c r="AS18" s="263" t="b">
        <f>Tableau1[[#This Row],[Etat facturation]]=Tableau1[[#This Row],[Index offre du fournisseur]]</f>
        <v>1</v>
      </c>
      <c r="AT18" s="250" t="str">
        <f>_xlfn.XLOOKUP(Tableau1[[#This Row],[Code PAS]],'parc SATIN 08012026v'!K:K,'parc SATIN 08012026v'!M:M,0,0)</f>
        <v>PARC</v>
      </c>
      <c r="AU18" s="250" t="str">
        <f>_xlfn.XLOOKUP(Tableau1[[#This Row],[Code PAS]],'parc SATIN 08012026v'!K:K,'parc SATIN 08012026v'!O:O,0,0)</f>
        <v>PARC</v>
      </c>
      <c r="AV18" s="251">
        <f>_xlfn.XLOOKUP(Tableau1[[#This Row],[Code PAS]],'parc SATIN 08012026v'!K:K,'parc SATIN 08012026v'!Q:Q,0,0)</f>
        <v>45575</v>
      </c>
      <c r="AW18" s="251" t="str">
        <f>_xlfn.XLOOKUP(Tableau1[[#This Row],[Code PAS]],'parc SATIN 08012026v'!K:K,'parc SATIN 08012026v'!S:S,0,0)</f>
        <v>change</v>
      </c>
      <c r="AX18" s="250" t="str">
        <f>_xlfn.XLOOKUP(Tableau1[[#This Row],[Code PAS]],'parc SATIN 08012026v'!K:K,'parc SATIN 08012026v'!AF:AF,0,0)</f>
        <v>10 Mb/s</v>
      </c>
      <c r="AY1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19" spans="1:52" s="250" customFormat="1" ht="15" customHeight="1" x14ac:dyDescent="0.3">
      <c r="A19" s="248" t="s">
        <v>2735</v>
      </c>
      <c r="B19" s="248"/>
      <c r="C19" s="249">
        <v>44649</v>
      </c>
      <c r="D19" s="249"/>
      <c r="E19" s="250" t="s">
        <v>2902</v>
      </c>
      <c r="F19" s="984" t="s">
        <v>653</v>
      </c>
      <c r="G19" s="250" t="s">
        <v>2801</v>
      </c>
      <c r="H19" s="250" t="s">
        <v>2801</v>
      </c>
      <c r="I19" s="250" t="s">
        <v>165</v>
      </c>
      <c r="J19" s="248" t="str">
        <f>_xlfn.XLOOKUP(Tableau1[[#This Row],[Code PAS]],'[13]Parc Satin'!$L:$L,'[13]Parc Satin'!$CK:$CK,0,0)</f>
        <v>Nominal C2E Fibre Secours C2E Fibre</v>
      </c>
      <c r="K19" s="250" t="s">
        <v>2850</v>
      </c>
      <c r="L19" s="250">
        <v>60</v>
      </c>
      <c r="M19" s="250">
        <v>40</v>
      </c>
      <c r="N19" s="250">
        <v>1</v>
      </c>
      <c r="O19" s="250" t="s">
        <v>76</v>
      </c>
      <c r="P19" s="824">
        <v>0</v>
      </c>
      <c r="Q19" s="824">
        <v>0</v>
      </c>
      <c r="R19" s="824">
        <v>0</v>
      </c>
      <c r="S19" s="824">
        <v>0</v>
      </c>
      <c r="T19" s="824">
        <v>899</v>
      </c>
      <c r="U19" s="824">
        <v>24</v>
      </c>
      <c r="V19" s="824">
        <v>0</v>
      </c>
      <c r="W19" s="824">
        <v>36</v>
      </c>
      <c r="X19" s="824">
        <v>958.8564263010345</v>
      </c>
      <c r="Y19" s="824">
        <v>66</v>
      </c>
      <c r="Z19" s="966">
        <v>0</v>
      </c>
      <c r="AA19" s="966">
        <v>0</v>
      </c>
      <c r="AB19" s="969">
        <v>0</v>
      </c>
      <c r="AC19" s="969">
        <v>0</v>
      </c>
      <c r="AD19" s="969">
        <v>0</v>
      </c>
      <c r="AE19" s="264">
        <v>6</v>
      </c>
      <c r="AF19" s="264">
        <v>60</v>
      </c>
      <c r="AG19" s="264">
        <v>40</v>
      </c>
      <c r="AH19" s="264">
        <v>100</v>
      </c>
      <c r="AI19" s="973">
        <v>36</v>
      </c>
      <c r="AJ19" s="263">
        <v>6</v>
      </c>
      <c r="AK19" s="987">
        <v>100</v>
      </c>
      <c r="AL19" s="263">
        <f>VLOOKUP(Tableau1[[#This Row],[Code PAS]],'Facturation PAS RIN5 RUN'!C:F,4,0)</f>
        <v>0</v>
      </c>
      <c r="AM19" s="263"/>
      <c r="AN19" s="263" t="b">
        <f>ROUND(Tableau1[[#This Row],[Montant Options coûts récurrents]],0)=ROUND(Tableau1[[#This Row],[GTRS1 (Coût Plage de support 24h/24 7j/7)]],0)</f>
        <v>0</v>
      </c>
      <c r="AO19" s="265" t="e">
        <f>_xlfn.XLOOKUP(Tableau1[[#This Row],[Code PAS]],'parc SATIN 08012026v'!K:K,'parc SATIN 08012026v'!#REF!,0,0)</f>
        <v>#REF!</v>
      </c>
      <c r="AP19" s="263" t="e">
        <f>VLOOKUP(Tableau1[[#This Row],[Code PAS]],#REF!,3,0)</f>
        <v>#REF!</v>
      </c>
      <c r="AQ19" s="263" t="e">
        <f>VLOOKUP(Tableau1[[#This Row],[Code PAS]],[14]Feuil1!$B:$G,6,0)</f>
        <v>#N/A</v>
      </c>
      <c r="AR19" s="263" t="str">
        <f>_xlfn.XLOOKUP(Tableau1[[#This Row],[Code PAS]],'Facturation PAS RIN5 RUN'!C:C,'Facturation PAS RIN5 RUN'!B:B,0,0)</f>
        <v>Gold_6_6</v>
      </c>
      <c r="AS19" s="263" t="b">
        <f>Tableau1[[#This Row],[Etat facturation]]=Tableau1[[#This Row],[Index offre du fournisseur]]</f>
        <v>1</v>
      </c>
      <c r="AT19" s="250" t="str">
        <f>_xlfn.XLOOKUP(Tableau1[[#This Row],[Code PAS]],'parc SATIN 08012026v'!K:K,'parc SATIN 08012026v'!M:M,0,0)</f>
        <v>PARC</v>
      </c>
      <c r="AU19" s="250" t="str">
        <f>_xlfn.XLOOKUP(Tableau1[[#This Row],[Code PAS]],'parc SATIN 08012026v'!K:K,'parc SATIN 08012026v'!O:O,0,0)</f>
        <v>PARC</v>
      </c>
      <c r="AV19" s="251">
        <f>_xlfn.XLOOKUP(Tableau1[[#This Row],[Code PAS]],'parc SATIN 08012026v'!K:K,'parc SATIN 08012026v'!Q:Q,0,0)</f>
        <v>44705</v>
      </c>
      <c r="AW19" s="251" t="str">
        <f>_xlfn.XLOOKUP(Tableau1[[#This Row],[Code PAS]],'parc SATIN 08012026v'!K:K,'parc SATIN 08012026v'!S:S,0,0)</f>
        <v>change</v>
      </c>
      <c r="AX19" s="250" t="str">
        <f>_xlfn.XLOOKUP(Tableau1[[#This Row],[Code PAS]],'parc SATIN 08012026v'!K:K,'parc SATIN 08012026v'!AF:AF,0,0)</f>
        <v>6 Mb/s</v>
      </c>
      <c r="AY1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</v>
      </c>
      <c r="AZ19" s="250" t="s">
        <v>2834</v>
      </c>
    </row>
    <row r="20" spans="1:52" s="250" customFormat="1" ht="15" customHeight="1" x14ac:dyDescent="0.3">
      <c r="A20" s="250" t="s">
        <v>2743</v>
      </c>
      <c r="C20" s="249"/>
      <c r="D20" s="249">
        <v>45700</v>
      </c>
      <c r="E20" s="250" t="s">
        <v>2903</v>
      </c>
      <c r="F20" s="984" t="s">
        <v>1362</v>
      </c>
      <c r="G20" s="250" t="s">
        <v>2884</v>
      </c>
      <c r="H20" s="250" t="s">
        <v>2884</v>
      </c>
      <c r="I20" s="250" t="s">
        <v>165</v>
      </c>
      <c r="J20" s="248"/>
      <c r="L20" s="250">
        <v>200</v>
      </c>
      <c r="M20" s="250">
        <v>60</v>
      </c>
      <c r="N20" s="250">
        <v>1</v>
      </c>
      <c r="O20" s="250" t="s">
        <v>74</v>
      </c>
      <c r="P20" s="820">
        <v>0</v>
      </c>
      <c r="Q20" s="820">
        <v>0</v>
      </c>
      <c r="R20" s="820">
        <v>0</v>
      </c>
      <c r="S20" s="820">
        <v>0</v>
      </c>
      <c r="T20" s="824">
        <v>1402</v>
      </c>
      <c r="U20" s="824">
        <v>24</v>
      </c>
      <c r="V20" s="824">
        <v>0</v>
      </c>
      <c r="W20" s="824">
        <v>5</v>
      </c>
      <c r="X20" s="823">
        <v>1431.2564263010347</v>
      </c>
      <c r="Y20" s="824">
        <v>66</v>
      </c>
      <c r="Z20" s="966">
        <v>0</v>
      </c>
      <c r="AA20" s="966">
        <v>0</v>
      </c>
      <c r="AB20" s="969">
        <v>0</v>
      </c>
      <c r="AC20" s="969">
        <v>0</v>
      </c>
      <c r="AD20" s="969">
        <v>0</v>
      </c>
      <c r="AE20" s="264">
        <v>15</v>
      </c>
      <c r="AF20" s="264">
        <v>200</v>
      </c>
      <c r="AG20" s="264">
        <v>60</v>
      </c>
      <c r="AH20" s="264">
        <v>260</v>
      </c>
      <c r="AI20" s="973">
        <v>5</v>
      </c>
      <c r="AJ20" s="263">
        <v>15</v>
      </c>
      <c r="AK20" s="987">
        <v>260</v>
      </c>
      <c r="AL20" s="263">
        <f>VLOOKUP(Tableau1[[#This Row],[Code PAS]],'Facturation PAS RIN5 RUN'!C:F,4,0)</f>
        <v>0</v>
      </c>
      <c r="AM20" s="263"/>
      <c r="AN20" s="263" t="b">
        <f>ROUND(Tableau1[[#This Row],[Montant Options coûts récurrents]],0)=ROUND(Tableau1[[#This Row],[GTRS1 (Coût Plage de support 24h/24 7j/7)]],0)</f>
        <v>0</v>
      </c>
      <c r="AO20" s="265" t="e">
        <f>_xlfn.XLOOKUP(Tableau1[[#This Row],[Code PAS]],'parc SATIN 08012026v'!K:K,'parc SATIN 08012026v'!#REF!,0,0)</f>
        <v>#REF!</v>
      </c>
      <c r="AP20" s="263" t="e">
        <f>VLOOKUP(Tableau1[[#This Row],[Code PAS]],#REF!,3,0)</f>
        <v>#REF!</v>
      </c>
      <c r="AQ20" s="263" t="e">
        <f>VLOOKUP(Tableau1[[#This Row],[Code PAS]],[14]Feuil1!$B:$G,6,0)</f>
        <v>#N/A</v>
      </c>
      <c r="AR20" s="263" t="str">
        <f>_xlfn.XLOOKUP(Tableau1[[#This Row],[Code PAS]],'Facturation PAS RIN5 RUN'!C:C,'Facturation PAS RIN5 RUN'!B:B,0,0)</f>
        <v>Gold_15_15</v>
      </c>
      <c r="AS20" s="263" t="b">
        <f>Tableau1[[#This Row],[Etat facturation]]=Tableau1[[#This Row],[Index offre du fournisseur]]</f>
        <v>1</v>
      </c>
      <c r="AT20" s="250" t="str">
        <f>_xlfn.XLOOKUP(Tableau1[[#This Row],[Code PAS]],'parc SATIN 08012026v'!K:K,'parc SATIN 08012026v'!M:M,0,0)</f>
        <v>PARC</v>
      </c>
      <c r="AU20" s="250" t="str">
        <f>_xlfn.XLOOKUP(Tableau1[[#This Row],[Code PAS]],'parc SATIN 08012026v'!K:K,'parc SATIN 08012026v'!O:O,0,0)</f>
        <v>PARC</v>
      </c>
      <c r="AV20" s="251">
        <f>_xlfn.XLOOKUP(Tableau1[[#This Row],[Code PAS]],'parc SATIN 08012026v'!K:K,'parc SATIN 08012026v'!Q:Q,0,0)</f>
        <v>45700</v>
      </c>
      <c r="AW20" s="251" t="str">
        <f>_xlfn.XLOOKUP(Tableau1[[#This Row],[Code PAS]],'parc SATIN 08012026v'!K:K,'parc SATIN 08012026v'!S:S,0,0)</f>
        <v>change</v>
      </c>
      <c r="AX20" s="250" t="str">
        <f>_xlfn.XLOOKUP(Tableau1[[#This Row],[Code PAS]],'parc SATIN 08012026v'!K:K,'parc SATIN 08012026v'!AF:AF,0,0)</f>
        <v>15 Mb/s</v>
      </c>
      <c r="AY2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</v>
      </c>
      <c r="AZ20" s="250" t="s">
        <v>2842</v>
      </c>
    </row>
    <row r="21" spans="1:52" s="250" customFormat="1" ht="15" customHeight="1" x14ac:dyDescent="0.3">
      <c r="A21" s="248" t="s">
        <v>2735</v>
      </c>
      <c r="B21" s="248"/>
      <c r="C21" s="249"/>
      <c r="D21" s="249"/>
      <c r="E21" s="248" t="s">
        <v>2904</v>
      </c>
      <c r="F21" s="981" t="s">
        <v>644</v>
      </c>
      <c r="G21" s="250" t="s">
        <v>2768</v>
      </c>
      <c r="H21" s="250" t="s">
        <v>2768</v>
      </c>
      <c r="I21" s="250" t="s">
        <v>165</v>
      </c>
      <c r="J21" s="248" t="str">
        <f>_xlfn.XLOOKUP(Tableau1[[#This Row],[Code PAS]],'[13]Parc Satin'!$L:$L,'[13]Parc Satin'!$CK:$CK,0,0)</f>
        <v>Nominal C2E Fibre Secours C2E Fibre</v>
      </c>
      <c r="K21" s="250" t="s">
        <v>2832</v>
      </c>
      <c r="L21" s="250">
        <v>120</v>
      </c>
      <c r="M21" s="250">
        <v>60</v>
      </c>
      <c r="N21" s="250">
        <v>1</v>
      </c>
      <c r="O21" s="250" t="s">
        <v>76</v>
      </c>
      <c r="P21" s="824">
        <v>0</v>
      </c>
      <c r="Q21" s="824">
        <v>0</v>
      </c>
      <c r="R21" s="824">
        <v>0</v>
      </c>
      <c r="S21" s="824">
        <v>500</v>
      </c>
      <c r="T21" s="824">
        <v>1229</v>
      </c>
      <c r="U21" s="824">
        <v>71</v>
      </c>
      <c r="V21" s="824">
        <v>72</v>
      </c>
      <c r="W21" s="824">
        <v>5</v>
      </c>
      <c r="X21" s="824">
        <f>Tableau1[[#This Row],[Coût Abonnement offre]]+Tableau1[[#This Row],[Coût Abonnement Chassis]]+Tableau1[[#This Row],[Cout Cartes interface ]]+Tableau1[[#This Row],[Cout canaux voix supplémentaire]]</f>
        <v>1377</v>
      </c>
      <c r="Y21" s="824">
        <v>66</v>
      </c>
      <c r="Z21" s="966">
        <v>0</v>
      </c>
      <c r="AA21" s="966">
        <v>0</v>
      </c>
      <c r="AB21" s="969">
        <v>0</v>
      </c>
      <c r="AC21" s="969">
        <v>0</v>
      </c>
      <c r="AD21" s="969">
        <v>0</v>
      </c>
      <c r="AE21" s="264">
        <v>10</v>
      </c>
      <c r="AF21" s="264">
        <v>120</v>
      </c>
      <c r="AG21" s="264">
        <v>60</v>
      </c>
      <c r="AH21" s="264">
        <v>180</v>
      </c>
      <c r="AI21" s="973">
        <v>5</v>
      </c>
      <c r="AJ21" s="263">
        <v>10</v>
      </c>
      <c r="AK21" s="987">
        <v>180</v>
      </c>
      <c r="AL21" s="263">
        <f>VLOOKUP(Tableau1[[#This Row],[Code PAS]],'Facturation PAS RIN5 RUN'!C:F,4,0)</f>
        <v>72</v>
      </c>
      <c r="AM21" s="263"/>
      <c r="AN21" s="263" t="b">
        <f>ROUND(Tableau1[[#This Row],[Montant Options coûts récurrents]],0)=ROUND(Tableau1[[#This Row],[GTRS1 (Coût Plage de support 24h/24 7j/7)]],0)</f>
        <v>0</v>
      </c>
      <c r="AO21" s="265" t="e">
        <f>_xlfn.XLOOKUP(Tableau1[[#This Row],[Code PAS]],'parc SATIN 08012026v'!K:K,'parc SATIN 08012026v'!#REF!,0,0)</f>
        <v>#REF!</v>
      </c>
      <c r="AP21" s="263" t="e">
        <f>VLOOKUP(Tableau1[[#This Row],[Code PAS]],#REF!,3,0)</f>
        <v>#REF!</v>
      </c>
      <c r="AQ21" s="263" t="e">
        <f>VLOOKUP(Tableau1[[#This Row],[Code PAS]],[14]Feuil1!$B:$G,6,0)</f>
        <v>#N/A</v>
      </c>
      <c r="AR21" s="263" t="str">
        <f>_xlfn.XLOOKUP(Tableau1[[#This Row],[Code PAS]],'Facturation PAS RIN5 RUN'!C:C,'Facturation PAS RIN5 RUN'!B:B,0,0)</f>
        <v>Gold_10_10</v>
      </c>
      <c r="AS21" s="263" t="b">
        <f>Tableau1[[#This Row],[Etat facturation]]=Tableau1[[#This Row],[Index offre du fournisseur]]</f>
        <v>1</v>
      </c>
      <c r="AT21" s="250" t="str">
        <f>_xlfn.XLOOKUP(Tableau1[[#This Row],[Code PAS]],'parc SATIN 08012026v'!K:K,'parc SATIN 08012026v'!M:M,0,0)</f>
        <v>PARC</v>
      </c>
      <c r="AU21" s="250" t="str">
        <f>_xlfn.XLOOKUP(Tableau1[[#This Row],[Code PAS]],'parc SATIN 08012026v'!K:K,'parc SATIN 08012026v'!O:O,0,0)</f>
        <v>PARC</v>
      </c>
      <c r="AV21" s="251">
        <f>_xlfn.XLOOKUP(Tableau1[[#This Row],[Code PAS]],'parc SATIN 08012026v'!K:K,'parc SATIN 08012026v'!Q:Q,0,0)</f>
        <v>44741</v>
      </c>
      <c r="AW21" s="251" t="str">
        <f>_xlfn.XLOOKUP(Tableau1[[#This Row],[Code PAS]],'parc SATIN 08012026v'!K:K,'parc SATIN 08012026v'!S:S,0,0)</f>
        <v>change</v>
      </c>
      <c r="AX21" s="250" t="str">
        <f>_xlfn.XLOOKUP(Tableau1[[#This Row],[Code PAS]],'parc SATIN 08012026v'!K:K,'parc SATIN 08012026v'!AF:AF,0,0)</f>
        <v>10 Mb/s</v>
      </c>
      <c r="AY2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22" spans="1:52" s="250" customFormat="1" ht="15" customHeight="1" x14ac:dyDescent="0.3">
      <c r="A22" s="250" t="s">
        <v>2743</v>
      </c>
      <c r="C22" s="249"/>
      <c r="D22" s="249"/>
      <c r="E22" s="250" t="s">
        <v>2905</v>
      </c>
      <c r="F22" s="984" t="s">
        <v>2444</v>
      </c>
      <c r="G22" s="250" t="s">
        <v>2800</v>
      </c>
      <c r="H22" s="250" t="s">
        <v>2906</v>
      </c>
      <c r="J22" s="248" t="str">
        <f>_xlfn.XLOOKUP(Tableau1[[#This Row],[Code PAS]],'[13]Parc Satin'!$L:$L,'[13]Parc Satin'!$CK:$CK,0,0)</f>
        <v>Nominal C2E Secours C2E</v>
      </c>
      <c r="P22" s="820">
        <v>0</v>
      </c>
      <c r="Q22" s="820">
        <v>0</v>
      </c>
      <c r="R22" s="820">
        <v>0</v>
      </c>
      <c r="S22" s="820">
        <v>0</v>
      </c>
      <c r="T22" s="824">
        <v>479</v>
      </c>
      <c r="U22" s="824">
        <v>24</v>
      </c>
      <c r="V22" s="824">
        <v>0</v>
      </c>
      <c r="W22" s="824">
        <v>0</v>
      </c>
      <c r="X22" s="823">
        <f>Tableau1[[#This Row],[Coût Abonnement offre]]+Tableau1[[#This Row],[Coût Abonnement Chassis]]+Tableau1[[#This Row],[Cout Cartes interface ]]+Tableau1[[#This Row],[Cout canaux voix supplémentaire]]</f>
        <v>503</v>
      </c>
      <c r="Y22" s="824">
        <v>66</v>
      </c>
      <c r="Z22" s="966">
        <v>0</v>
      </c>
      <c r="AA22" s="966">
        <v>0</v>
      </c>
      <c r="AB22" s="969">
        <v>0</v>
      </c>
      <c r="AC22" s="969">
        <v>0</v>
      </c>
      <c r="AD22" s="969">
        <v>0</v>
      </c>
      <c r="AE22" s="264">
        <v>2</v>
      </c>
      <c r="AF22" s="264">
        <v>20</v>
      </c>
      <c r="AG22" s="264">
        <v>10</v>
      </c>
      <c r="AH22" s="264">
        <v>30</v>
      </c>
      <c r="AI22" s="973">
        <v>9</v>
      </c>
      <c r="AJ22" s="263">
        <v>2</v>
      </c>
      <c r="AK22" s="987">
        <v>20</v>
      </c>
      <c r="AL22" s="263">
        <f>VLOOKUP(Tableau1[[#This Row],[Code PAS]],'Facturation PAS RIN5 RUN'!C:F,4,0)</f>
        <v>0</v>
      </c>
      <c r="AM22" s="263"/>
      <c r="AN22" s="263" t="b">
        <f>ROUND(Tableau1[[#This Row],[Montant Options coûts récurrents]],0)=ROUND(Tableau1[[#This Row],[GTRS1 (Coût Plage de support 24h/24 7j/7)]],0)</f>
        <v>0</v>
      </c>
      <c r="AO22" s="265" t="e">
        <f>_xlfn.XLOOKUP(Tableau1[[#This Row],[Code PAS]],'parc SATIN 08012026v'!K:K,'parc SATIN 08012026v'!#REF!,0,0)</f>
        <v>#REF!</v>
      </c>
      <c r="AP22" s="263" t="e">
        <f>VLOOKUP(Tableau1[[#This Row],[Code PAS]],#REF!,3,0)</f>
        <v>#REF!</v>
      </c>
      <c r="AQ22" s="263" t="e">
        <f>VLOOKUP(Tableau1[[#This Row],[Code PAS]],[14]Feuil1!$B:$G,6,0)</f>
        <v>#N/A</v>
      </c>
      <c r="AR22" s="263" t="str">
        <f>_xlfn.XLOOKUP(Tableau1[[#This Row],[Code PAS]],'Facturation PAS RIN5 RUN'!C:C,'Facturation PAS RIN5 RUN'!B:B,0,0)</f>
        <v>Gold_2_2</v>
      </c>
      <c r="AS22" s="263" t="b">
        <f>Tableau1[[#This Row],[Etat facturation]]=Tableau1[[#This Row],[Index offre du fournisseur]]</f>
        <v>1</v>
      </c>
      <c r="AT22" s="250" t="str">
        <f>_xlfn.XLOOKUP(Tableau1[[#This Row],[Code PAS]],'parc SATIN 08012026v'!K:K,'parc SATIN 08012026v'!M:M,0,0)</f>
        <v>PARC</v>
      </c>
      <c r="AU22" s="250" t="str">
        <f>_xlfn.XLOOKUP(Tableau1[[#This Row],[Code PAS]],'parc SATIN 08012026v'!K:K,'parc SATIN 08012026v'!O:O,0,0)</f>
        <v>PARC</v>
      </c>
      <c r="AV22" s="251">
        <f>_xlfn.XLOOKUP(Tableau1[[#This Row],[Code PAS]],'parc SATIN 08012026v'!K:K,'parc SATIN 08012026v'!Q:Q,0,0)</f>
        <v>44412</v>
      </c>
      <c r="AW22" s="251" t="str">
        <f>_xlfn.XLOOKUP(Tableau1[[#This Row],[Code PAS]],'parc SATIN 08012026v'!K:K,'parc SATIN 08012026v'!S:S,0,0)</f>
        <v>change</v>
      </c>
      <c r="AX22" s="250" t="str">
        <f>_xlfn.XLOOKUP(Tableau1[[#This Row],[Code PAS]],'parc SATIN 08012026v'!K:K,'parc SATIN 08012026v'!AF:AF,0,0)</f>
        <v>2 Mb/s</v>
      </c>
      <c r="AY2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22" s="250" t="s">
        <v>2907</v>
      </c>
    </row>
    <row r="23" spans="1:52" s="250" customFormat="1" ht="15" customHeight="1" x14ac:dyDescent="0.3">
      <c r="A23" s="250" t="s">
        <v>2758</v>
      </c>
      <c r="C23" s="249"/>
      <c r="D23" s="249"/>
      <c r="E23" s="250" t="s">
        <v>2908</v>
      </c>
      <c r="F23" s="984" t="s">
        <v>2262</v>
      </c>
      <c r="G23" s="250" t="s">
        <v>2909</v>
      </c>
      <c r="H23" s="250" t="s">
        <v>2909</v>
      </c>
      <c r="I23" s="250" t="s">
        <v>165</v>
      </c>
      <c r="J23" s="248" t="str">
        <f>_xlfn.XLOOKUP(Tableau1[[#This Row],[Code PAS]],'[13]Parc Satin'!$L:$L,'[13]Parc Satin'!$CK:$CK,0,0)</f>
        <v>Nominal C2E Fibre Secours C2E Fibre</v>
      </c>
      <c r="K23" s="250" t="s">
        <v>2901</v>
      </c>
      <c r="L23" s="250">
        <v>120</v>
      </c>
      <c r="M23" s="250">
        <v>60</v>
      </c>
      <c r="N23" s="250">
        <v>1</v>
      </c>
      <c r="O23" s="250" t="s">
        <v>76</v>
      </c>
      <c r="P23" s="824">
        <v>0</v>
      </c>
      <c r="Q23" s="824">
        <v>379</v>
      </c>
      <c r="R23" s="824">
        <v>0</v>
      </c>
      <c r="S23" s="824">
        <v>379</v>
      </c>
      <c r="T23" s="824">
        <v>1229</v>
      </c>
      <c r="U23" s="824">
        <v>44</v>
      </c>
      <c r="V23" s="824">
        <v>40</v>
      </c>
      <c r="W23" s="824">
        <v>5</v>
      </c>
      <c r="X23" s="824">
        <f>Tableau1[[#This Row],[Coût Abonnement offre]]+Tableau1[[#This Row],[Coût Abonnement Chassis]]+Tableau1[[#This Row],[Cout Cartes interface ]]+Tableau1[[#This Row],[Cout canaux voix supplémentaire]]</f>
        <v>1318</v>
      </c>
      <c r="Y23" s="824">
        <v>66</v>
      </c>
      <c r="Z23" s="966">
        <v>0</v>
      </c>
      <c r="AA23" s="966">
        <v>0</v>
      </c>
      <c r="AB23" s="969">
        <v>0</v>
      </c>
      <c r="AC23" s="969">
        <v>0</v>
      </c>
      <c r="AD23" s="969">
        <v>0</v>
      </c>
      <c r="AE23" s="264">
        <v>10</v>
      </c>
      <c r="AF23" s="264">
        <v>120</v>
      </c>
      <c r="AG23" s="264">
        <v>60</v>
      </c>
      <c r="AH23" s="264">
        <v>180</v>
      </c>
      <c r="AI23" s="973">
        <v>5</v>
      </c>
      <c r="AJ23" s="263">
        <v>10</v>
      </c>
      <c r="AK23" s="987">
        <v>180</v>
      </c>
      <c r="AL23" s="263">
        <f>VLOOKUP(Tableau1[[#This Row],[Code PAS]],'Facturation PAS RIN5 RUN'!C:F,4,0)</f>
        <v>40</v>
      </c>
      <c r="AM23" s="263"/>
      <c r="AN23" s="263" t="b">
        <f>ROUND(Tableau1[[#This Row],[Montant Options coûts récurrents]],0)=ROUND(Tableau1[[#This Row],[GTRS1 (Coût Plage de support 24h/24 7j/7)]],0)</f>
        <v>0</v>
      </c>
      <c r="AO23" s="265" t="e">
        <f>_xlfn.XLOOKUP(Tableau1[[#This Row],[Code PAS]],'parc SATIN 08012026v'!K:K,'parc SATIN 08012026v'!#REF!,0,0)</f>
        <v>#REF!</v>
      </c>
      <c r="AP23" s="263" t="e">
        <f>VLOOKUP(Tableau1[[#This Row],[Code PAS]],#REF!,3,0)</f>
        <v>#REF!</v>
      </c>
      <c r="AQ23" s="263" t="e">
        <f>VLOOKUP(Tableau1[[#This Row],[Code PAS]],[14]Feuil1!$B:$G,6,0)</f>
        <v>#N/A</v>
      </c>
      <c r="AR23" s="263" t="str">
        <f>_xlfn.XLOOKUP(Tableau1[[#This Row],[Code PAS]],'Facturation PAS RIN5 RUN'!C:C,'Facturation PAS RIN5 RUN'!B:B,0,0)</f>
        <v>Silver_10_10</v>
      </c>
      <c r="AS23" s="263" t="b">
        <f>Tableau1[[#This Row],[Etat facturation]]=Tableau1[[#This Row],[Index offre du fournisseur]]</f>
        <v>1</v>
      </c>
      <c r="AT23" s="250" t="str">
        <f>_xlfn.XLOOKUP(Tableau1[[#This Row],[Code PAS]],'parc SATIN 08012026v'!K:K,'parc SATIN 08012026v'!M:M,0,0)</f>
        <v>PARC</v>
      </c>
      <c r="AU23" s="250" t="str">
        <f>_xlfn.XLOOKUP(Tableau1[[#This Row],[Code PAS]],'parc SATIN 08012026v'!K:K,'parc SATIN 08012026v'!O:O,0,0)</f>
        <v>PARC</v>
      </c>
      <c r="AV23" s="251">
        <f>_xlfn.XLOOKUP(Tableau1[[#This Row],[Code PAS]],'parc SATIN 08012026v'!K:K,'parc SATIN 08012026v'!Q:Q,0,0)</f>
        <v>44886</v>
      </c>
      <c r="AW23" s="251" t="str">
        <f>_xlfn.XLOOKUP(Tableau1[[#This Row],[Code PAS]],'parc SATIN 08012026v'!K:K,'parc SATIN 08012026v'!S:S,0,0)</f>
        <v>change</v>
      </c>
      <c r="AX23" s="250" t="str">
        <f>_xlfn.XLOOKUP(Tableau1[[#This Row],[Code PAS]],'parc SATIN 08012026v'!K:K,'parc SATIN 08012026v'!AF:AF,0,0)</f>
        <v>10 Mb/s</v>
      </c>
      <c r="AY2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24" spans="1:52" s="250" customFormat="1" ht="15" customHeight="1" x14ac:dyDescent="0.3">
      <c r="A24" s="250" t="s">
        <v>2758</v>
      </c>
      <c r="C24" s="249"/>
      <c r="D24" s="249"/>
      <c r="E24" s="250" t="s">
        <v>2910</v>
      </c>
      <c r="F24" s="984" t="s">
        <v>2253</v>
      </c>
      <c r="G24" s="250" t="s">
        <v>2909</v>
      </c>
      <c r="H24" s="250" t="s">
        <v>2909</v>
      </c>
      <c r="I24" s="250" t="s">
        <v>165</v>
      </c>
      <c r="J24" s="248" t="str">
        <f>_xlfn.XLOOKUP(Tableau1[[#This Row],[Code PAS]],'[13]Parc Satin'!$L:$L,'[13]Parc Satin'!$CK:$CK,0,0)</f>
        <v>Nominal C2E Fibre Secours C2E Fibre</v>
      </c>
      <c r="K24" s="250" t="s">
        <v>2901</v>
      </c>
      <c r="L24" s="250">
        <v>120</v>
      </c>
      <c r="M24" s="250">
        <v>60</v>
      </c>
      <c r="N24" s="250">
        <v>1</v>
      </c>
      <c r="O24" s="250" t="s">
        <v>76</v>
      </c>
      <c r="P24" s="820">
        <v>0</v>
      </c>
      <c r="Q24" s="820">
        <v>379</v>
      </c>
      <c r="R24" s="820">
        <v>0</v>
      </c>
      <c r="S24" s="820">
        <v>379</v>
      </c>
      <c r="T24" s="824">
        <v>1229</v>
      </c>
      <c r="U24" s="824">
        <v>44</v>
      </c>
      <c r="V24" s="824">
        <v>40</v>
      </c>
      <c r="W24" s="824">
        <v>5</v>
      </c>
      <c r="X24" s="823">
        <f>Tableau1[[#This Row],[Coût Abonnement offre]]+Tableau1[[#This Row],[Coût Abonnement Chassis]]+Tableau1[[#This Row],[Cout Cartes interface ]]+Tableau1[[#This Row],[Cout canaux voix supplémentaire]]</f>
        <v>1318</v>
      </c>
      <c r="Y24" s="824">
        <v>66</v>
      </c>
      <c r="Z24" s="966">
        <v>0</v>
      </c>
      <c r="AA24" s="966">
        <v>0</v>
      </c>
      <c r="AB24" s="969">
        <v>0</v>
      </c>
      <c r="AC24" s="969">
        <v>0</v>
      </c>
      <c r="AD24" s="969">
        <v>0</v>
      </c>
      <c r="AE24" s="264">
        <v>10</v>
      </c>
      <c r="AF24" s="264">
        <v>120</v>
      </c>
      <c r="AG24" s="264">
        <v>60</v>
      </c>
      <c r="AH24" s="264">
        <v>180</v>
      </c>
      <c r="AI24" s="973">
        <v>5</v>
      </c>
      <c r="AJ24" s="263">
        <v>10</v>
      </c>
      <c r="AK24" s="987">
        <v>180</v>
      </c>
      <c r="AL24" s="263">
        <f>VLOOKUP(Tableau1[[#This Row],[Code PAS]],'Facturation PAS RIN5 RUN'!C:F,4,0)</f>
        <v>40</v>
      </c>
      <c r="AM24" s="263"/>
      <c r="AN24" s="263" t="b">
        <f>ROUND(Tableau1[[#This Row],[Montant Options coûts récurrents]],0)=ROUND(Tableau1[[#This Row],[GTRS1 (Coût Plage de support 24h/24 7j/7)]],0)</f>
        <v>0</v>
      </c>
      <c r="AO24" s="265" t="e">
        <f>_xlfn.XLOOKUP(Tableau1[[#This Row],[Code PAS]],'parc SATIN 08012026v'!K:K,'parc SATIN 08012026v'!#REF!,0,0)</f>
        <v>#REF!</v>
      </c>
      <c r="AP24" s="263" t="e">
        <f>VLOOKUP(Tableau1[[#This Row],[Code PAS]],#REF!,3,0)</f>
        <v>#REF!</v>
      </c>
      <c r="AQ24" s="263" t="e">
        <f>VLOOKUP(Tableau1[[#This Row],[Code PAS]],[14]Feuil1!$B:$G,6,0)</f>
        <v>#N/A</v>
      </c>
      <c r="AR24" s="263" t="str">
        <f>_xlfn.XLOOKUP(Tableau1[[#This Row],[Code PAS]],'Facturation PAS RIN5 RUN'!C:C,'Facturation PAS RIN5 RUN'!B:B,0,0)</f>
        <v>Silver_10_10</v>
      </c>
      <c r="AS24" s="263" t="b">
        <f>Tableau1[[#This Row],[Etat facturation]]=Tableau1[[#This Row],[Index offre du fournisseur]]</f>
        <v>1</v>
      </c>
      <c r="AT24" s="250" t="str">
        <f>_xlfn.XLOOKUP(Tableau1[[#This Row],[Code PAS]],'parc SATIN 08012026v'!K:K,'parc SATIN 08012026v'!M:M,0,0)</f>
        <v>PARC</v>
      </c>
      <c r="AU24" s="250" t="str">
        <f>_xlfn.XLOOKUP(Tableau1[[#This Row],[Code PAS]],'parc SATIN 08012026v'!K:K,'parc SATIN 08012026v'!O:O,0,0)</f>
        <v>PARC</v>
      </c>
      <c r="AV24" s="251">
        <f>_xlfn.XLOOKUP(Tableau1[[#This Row],[Code PAS]],'parc SATIN 08012026v'!K:K,'parc SATIN 08012026v'!Q:Q,0,0)</f>
        <v>44882</v>
      </c>
      <c r="AW24" s="251" t="str">
        <f>_xlfn.XLOOKUP(Tableau1[[#This Row],[Code PAS]],'parc SATIN 08012026v'!K:K,'parc SATIN 08012026v'!S:S,0,0)</f>
        <v>change</v>
      </c>
      <c r="AX24" s="250" t="str">
        <f>_xlfn.XLOOKUP(Tableau1[[#This Row],[Code PAS]],'parc SATIN 08012026v'!K:K,'parc SATIN 08012026v'!AF:AF,0,0)</f>
        <v>10 Mb/s</v>
      </c>
      <c r="AY2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25" spans="1:52" s="250" customFormat="1" ht="15" customHeight="1" x14ac:dyDescent="0.3">
      <c r="A25" s="250" t="s">
        <v>2743</v>
      </c>
      <c r="C25" s="249"/>
      <c r="D25" s="249"/>
      <c r="E25" s="250" t="s">
        <v>2911</v>
      </c>
      <c r="F25" s="984" t="s">
        <v>2436</v>
      </c>
      <c r="G25" s="250" t="s">
        <v>2800</v>
      </c>
      <c r="H25" s="250" t="s">
        <v>2906</v>
      </c>
      <c r="J25" s="248" t="str">
        <f>_xlfn.XLOOKUP(Tableau1[[#This Row],[Code PAS]],'[13]Parc Satin'!$L:$L,'[13]Parc Satin'!$CK:$CK,0,0)</f>
        <v>Nominal C2E Secours C2E</v>
      </c>
      <c r="P25" s="820">
        <v>0</v>
      </c>
      <c r="Q25" s="820">
        <v>0</v>
      </c>
      <c r="R25" s="820">
        <v>0</v>
      </c>
      <c r="S25" s="820">
        <v>0</v>
      </c>
      <c r="T25" s="824">
        <v>479</v>
      </c>
      <c r="U25" s="824">
        <v>24</v>
      </c>
      <c r="V25" s="824">
        <v>0</v>
      </c>
      <c r="W25" s="824">
        <v>0</v>
      </c>
      <c r="X25" s="823">
        <f>Tableau1[[#This Row],[Coût Abonnement offre]]+Tableau1[[#This Row],[Coût Abonnement Chassis]]+Tableau1[[#This Row],[Cout Cartes interface ]]+Tableau1[[#This Row],[Cout canaux voix supplémentaire]]</f>
        <v>503</v>
      </c>
      <c r="Y25" s="824">
        <v>66</v>
      </c>
      <c r="Z25" s="966">
        <v>0</v>
      </c>
      <c r="AA25" s="966">
        <v>0</v>
      </c>
      <c r="AB25" s="969">
        <v>0</v>
      </c>
      <c r="AC25" s="969">
        <v>0</v>
      </c>
      <c r="AD25" s="969">
        <v>0</v>
      </c>
      <c r="AE25" s="264">
        <v>2</v>
      </c>
      <c r="AF25" s="264">
        <v>20</v>
      </c>
      <c r="AG25" s="264">
        <v>10</v>
      </c>
      <c r="AH25" s="264">
        <v>30</v>
      </c>
      <c r="AI25" s="973">
        <v>9</v>
      </c>
      <c r="AJ25" s="263">
        <v>2</v>
      </c>
      <c r="AK25" s="987">
        <v>20</v>
      </c>
      <c r="AL25" s="263">
        <f>VLOOKUP(Tableau1[[#This Row],[Code PAS]],'Facturation PAS RIN5 RUN'!C:F,4,0)</f>
        <v>0</v>
      </c>
      <c r="AM25" s="263"/>
      <c r="AN25" s="263" t="b">
        <f>ROUND(Tableau1[[#This Row],[Montant Options coûts récurrents]],0)=ROUND(Tableau1[[#This Row],[GTRS1 (Coût Plage de support 24h/24 7j/7)]],0)</f>
        <v>0</v>
      </c>
      <c r="AO25" s="265" t="e">
        <f>_xlfn.XLOOKUP(Tableau1[[#This Row],[Code PAS]],'parc SATIN 08012026v'!K:K,'parc SATIN 08012026v'!#REF!,0,0)</f>
        <v>#REF!</v>
      </c>
      <c r="AP25" s="263" t="e">
        <f>VLOOKUP(Tableau1[[#This Row],[Code PAS]],#REF!,3,0)</f>
        <v>#REF!</v>
      </c>
      <c r="AQ25" s="263" t="e">
        <f>VLOOKUP(Tableau1[[#This Row],[Code PAS]],[14]Feuil1!$B:$G,6,0)</f>
        <v>#N/A</v>
      </c>
      <c r="AR25" s="263" t="str">
        <f>_xlfn.XLOOKUP(Tableau1[[#This Row],[Code PAS]],'Facturation PAS RIN5 RUN'!C:C,'Facturation PAS RIN5 RUN'!B:B,0,0)</f>
        <v>Gold_2_2</v>
      </c>
      <c r="AS25" s="263" t="b">
        <f>Tableau1[[#This Row],[Etat facturation]]=Tableau1[[#This Row],[Index offre du fournisseur]]</f>
        <v>1</v>
      </c>
      <c r="AT25" s="250" t="str">
        <f>_xlfn.XLOOKUP(Tableau1[[#This Row],[Code PAS]],'parc SATIN 08012026v'!K:K,'parc SATIN 08012026v'!M:M,0,0)</f>
        <v>PARC</v>
      </c>
      <c r="AU25" s="250" t="str">
        <f>_xlfn.XLOOKUP(Tableau1[[#This Row],[Code PAS]],'parc SATIN 08012026v'!K:K,'parc SATIN 08012026v'!O:O,0,0)</f>
        <v>PARC</v>
      </c>
      <c r="AV25" s="251">
        <f>_xlfn.XLOOKUP(Tableau1[[#This Row],[Code PAS]],'parc SATIN 08012026v'!K:K,'parc SATIN 08012026v'!Q:Q,0,0)</f>
        <v>44412</v>
      </c>
      <c r="AW25" s="251" t="str">
        <f>_xlfn.XLOOKUP(Tableau1[[#This Row],[Code PAS]],'parc SATIN 08012026v'!K:K,'parc SATIN 08012026v'!S:S,0,0)</f>
        <v>change</v>
      </c>
      <c r="AX25" s="250" t="str">
        <f>_xlfn.XLOOKUP(Tableau1[[#This Row],[Code PAS]],'parc SATIN 08012026v'!K:K,'parc SATIN 08012026v'!AF:AF,0,0)</f>
        <v>2 Mb/s</v>
      </c>
      <c r="AY2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25" s="250" t="s">
        <v>2907</v>
      </c>
    </row>
    <row r="26" spans="1:52" s="250" customFormat="1" ht="15" customHeight="1" x14ac:dyDescent="0.3">
      <c r="A26" s="248" t="s">
        <v>2752</v>
      </c>
      <c r="B26" s="248"/>
      <c r="C26" s="249"/>
      <c r="D26" s="249"/>
      <c r="E26" s="248" t="s">
        <v>2913</v>
      </c>
      <c r="F26" s="981" t="s">
        <v>146</v>
      </c>
      <c r="G26" s="250" t="s">
        <v>2801</v>
      </c>
      <c r="H26" s="248" t="s">
        <v>2801</v>
      </c>
      <c r="I26" s="248" t="s">
        <v>165</v>
      </c>
      <c r="J26" s="248" t="str">
        <f>_xlfn.XLOOKUP(Tableau1[[#This Row],[Code PAS]],'[13]Parc Satin'!$L:$L,'[13]Parc Satin'!$CK:$CK,0,0)</f>
        <v>Nominal C2E Fibre Secours C2E Fibre</v>
      </c>
      <c r="K26" s="248" t="s">
        <v>2901</v>
      </c>
      <c r="L26" s="248">
        <v>60</v>
      </c>
      <c r="M26" s="248">
        <v>40</v>
      </c>
      <c r="N26" s="248">
        <v>1</v>
      </c>
      <c r="O26" s="248" t="s">
        <v>76</v>
      </c>
      <c r="P26" s="822">
        <v>0</v>
      </c>
      <c r="Q26" s="822">
        <v>379</v>
      </c>
      <c r="R26" s="822">
        <v>0</v>
      </c>
      <c r="S26" s="822">
        <v>379</v>
      </c>
      <c r="T26" s="823">
        <v>899</v>
      </c>
      <c r="U26" s="823">
        <v>44</v>
      </c>
      <c r="V26" s="823">
        <v>40</v>
      </c>
      <c r="W26" s="823">
        <v>36</v>
      </c>
      <c r="X26" s="823">
        <f>Tableau1[[#This Row],[Coût Abonnement offre]]+Tableau1[[#This Row],[Coût Abonnement Chassis]]+Tableau1[[#This Row],[Cout Cartes interface ]]+Tableau1[[#This Row],[Cout canaux voix supplémentaire]]</f>
        <v>1019</v>
      </c>
      <c r="Y26" s="823">
        <v>66</v>
      </c>
      <c r="Z26" s="966">
        <v>0</v>
      </c>
      <c r="AA26" s="966">
        <v>0</v>
      </c>
      <c r="AB26" s="969">
        <v>0</v>
      </c>
      <c r="AC26" s="969">
        <v>0</v>
      </c>
      <c r="AD26" s="969">
        <v>0</v>
      </c>
      <c r="AE26" s="264">
        <v>6</v>
      </c>
      <c r="AF26" s="264">
        <v>60</v>
      </c>
      <c r="AG26" s="264">
        <v>40</v>
      </c>
      <c r="AH26" s="264">
        <v>100</v>
      </c>
      <c r="AI26" s="973">
        <v>36</v>
      </c>
      <c r="AJ26" s="263">
        <v>6</v>
      </c>
      <c r="AK26" s="987">
        <v>100</v>
      </c>
      <c r="AL26" s="263">
        <f>VLOOKUP(Tableau1[[#This Row],[Code PAS]],'Facturation PAS RIN5 RUN'!C:F,4,0)</f>
        <v>40</v>
      </c>
      <c r="AM26" s="263"/>
      <c r="AN26" s="263" t="b">
        <f>ROUND(Tableau1[[#This Row],[Montant Options coûts récurrents]],0)=ROUND(Tableau1[[#This Row],[GTRS1 (Coût Plage de support 24h/24 7j/7)]],0)</f>
        <v>0</v>
      </c>
      <c r="AO26" s="265" t="e">
        <f>_xlfn.XLOOKUP(Tableau1[[#This Row],[Code PAS]],'parc SATIN 08012026v'!K:K,'parc SATIN 08012026v'!#REF!,0,0)</f>
        <v>#REF!</v>
      </c>
      <c r="AP26" s="263" t="e">
        <f>VLOOKUP(Tableau1[[#This Row],[Code PAS]],#REF!,3,0)</f>
        <v>#REF!</v>
      </c>
      <c r="AQ26" s="263" t="e">
        <f>VLOOKUP(Tableau1[[#This Row],[Code PAS]],[14]Feuil1!$B:$G,6,0)</f>
        <v>#N/A</v>
      </c>
      <c r="AR26" s="263" t="str">
        <f>_xlfn.XLOOKUP(Tableau1[[#This Row],[Code PAS]],'Facturation PAS RIN5 RUN'!C:C,'Facturation PAS RIN5 RUN'!B:B,0,0)</f>
        <v>Gold_6_6</v>
      </c>
      <c r="AS26" s="263" t="b">
        <f>Tableau1[[#This Row],[Etat facturation]]=Tableau1[[#This Row],[Index offre du fournisseur]]</f>
        <v>1</v>
      </c>
      <c r="AT26" s="250" t="str">
        <f>_xlfn.XLOOKUP(Tableau1[[#This Row],[Code PAS]],'parc SATIN 08012026v'!K:K,'parc SATIN 08012026v'!M:M,0,0)</f>
        <v>PARC</v>
      </c>
      <c r="AU26" s="250" t="str">
        <f>_xlfn.XLOOKUP(Tableau1[[#This Row],[Code PAS]],'parc SATIN 08012026v'!K:K,'parc SATIN 08012026v'!O:O,0,0)</f>
        <v>PARC</v>
      </c>
      <c r="AV26" s="251">
        <f>_xlfn.XLOOKUP(Tableau1[[#This Row],[Code PAS]],'parc SATIN 08012026v'!K:K,'parc SATIN 08012026v'!Q:Q,0,0)</f>
        <v>44859</v>
      </c>
      <c r="AW26" s="251" t="str">
        <f>_xlfn.XLOOKUP(Tableau1[[#This Row],[Code PAS]],'parc SATIN 08012026v'!K:K,'parc SATIN 08012026v'!S:S,0,0)</f>
        <v>change</v>
      </c>
      <c r="AX26" s="250" t="str">
        <f>_xlfn.XLOOKUP(Tableau1[[#This Row],[Code PAS]],'parc SATIN 08012026v'!K:K,'parc SATIN 08012026v'!AF:AF,0,0)</f>
        <v>6 Mb/s</v>
      </c>
      <c r="AY2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</v>
      </c>
    </row>
    <row r="27" spans="1:52" s="250" customFormat="1" ht="15" customHeight="1" x14ac:dyDescent="0.3">
      <c r="A27" s="250" t="s">
        <v>2739</v>
      </c>
      <c r="C27" s="249"/>
      <c r="D27" s="249"/>
      <c r="E27" s="250" t="s">
        <v>2914</v>
      </c>
      <c r="F27" s="984" t="s">
        <v>1579</v>
      </c>
      <c r="G27" s="250" t="s">
        <v>2898</v>
      </c>
      <c r="H27" s="250" t="s">
        <v>2777</v>
      </c>
      <c r="J27" s="248" t="str">
        <f>_xlfn.XLOOKUP(Tableau1[[#This Row],[Code PAS]],'[13]Parc Satin'!$L:$L,'[13]Parc Satin'!$CK:$CK,0,0)</f>
        <v>Nominal HYBRID Offnet</v>
      </c>
      <c r="P27" s="820">
        <v>0</v>
      </c>
      <c r="Q27" s="820">
        <v>0</v>
      </c>
      <c r="R27" s="820">
        <v>0</v>
      </c>
      <c r="S27" s="826">
        <v>3862</v>
      </c>
      <c r="T27" s="826">
        <v>725</v>
      </c>
      <c r="U27" s="826">
        <v>12</v>
      </c>
      <c r="V27" s="826">
        <v>8</v>
      </c>
      <c r="W27" s="824">
        <v>0</v>
      </c>
      <c r="X27" s="823">
        <f>Tableau1[[#This Row],[Coût Abonnement offre]]+Tableau1[[#This Row],[Coût Abonnement Chassis]]+Tableau1[[#This Row],[Cout Cartes interface ]]+Tableau1[[#This Row],[Cout canaux voix supplémentaire]]</f>
        <v>745</v>
      </c>
      <c r="Y27" s="824">
        <v>0</v>
      </c>
      <c r="Z27" s="966">
        <v>0</v>
      </c>
      <c r="AA27" s="966">
        <v>0</v>
      </c>
      <c r="AB27" s="969">
        <v>0</v>
      </c>
      <c r="AC27" s="969">
        <v>0</v>
      </c>
      <c r="AD27" s="969">
        <v>0</v>
      </c>
      <c r="AE27" s="264">
        <v>20</v>
      </c>
      <c r="AF27" s="264">
        <v>300</v>
      </c>
      <c r="AG27" s="264">
        <v>50</v>
      </c>
      <c r="AH27" s="264">
        <v>350</v>
      </c>
      <c r="AI27" s="973">
        <v>5</v>
      </c>
      <c r="AJ27" s="263">
        <v>0</v>
      </c>
      <c r="AK27" s="987">
        <v>0</v>
      </c>
      <c r="AL27" s="263">
        <f>VLOOKUP(Tableau1[[#This Row],[Code PAS]],'Facturation PAS RIN5 RUN'!C:F,4,0)</f>
        <v>8</v>
      </c>
      <c r="AM27" s="263"/>
      <c r="AN27" s="263" t="b">
        <f>ROUND(Tableau1[[#This Row],[Montant Options coûts récurrents]],0)=ROUND(Tableau1[[#This Row],[GTRS1 (Coût Plage de support 24h/24 7j/7)]],0)</f>
        <v>0</v>
      </c>
      <c r="AO27" s="265" t="e">
        <f>_xlfn.XLOOKUP(Tableau1[[#This Row],[Code PAS]],'parc SATIN 08012026v'!K:K,'parc SATIN 08012026v'!#REF!,0,0)</f>
        <v>#REF!</v>
      </c>
      <c r="AP27" s="263" t="e">
        <f>VLOOKUP(Tableau1[[#This Row],[Code PAS]],#REF!,3,0)</f>
        <v>#REF!</v>
      </c>
      <c r="AQ27" s="263" t="e">
        <f>VLOOKUP(Tableau1[[#This Row],[Code PAS]],[14]Feuil1!$B:$G,6,0)</f>
        <v>#N/A</v>
      </c>
      <c r="AR27" s="263" t="str">
        <f>_xlfn.XLOOKUP(Tableau1[[#This Row],[Code PAS]],'Facturation PAS RIN5 RUN'!C:C,'Facturation PAS RIN5 RUN'!B:B,0,0)</f>
        <v>Bronze_20_0</v>
      </c>
      <c r="AS27" s="263" t="b">
        <f>Tableau1[[#This Row],[Etat facturation]]=Tableau1[[#This Row],[Index offre du fournisseur]]</f>
        <v>1</v>
      </c>
      <c r="AT27" s="250" t="str">
        <f>_xlfn.XLOOKUP(Tableau1[[#This Row],[Code PAS]],'parc SATIN 08012026v'!K:K,'parc SATIN 08012026v'!M:M,0,0)</f>
        <v>PARC</v>
      </c>
      <c r="AU27" s="250" t="str">
        <f>_xlfn.XLOOKUP(Tableau1[[#This Row],[Code PAS]],'parc SATIN 08012026v'!K:K,'parc SATIN 08012026v'!O:O,0,0)</f>
        <v>PARC</v>
      </c>
      <c r="AV27" s="251">
        <f>_xlfn.XLOOKUP(Tableau1[[#This Row],[Code PAS]],'parc SATIN 08012026v'!K:K,'parc SATIN 08012026v'!Q:Q,0,0)</f>
        <v>44477</v>
      </c>
      <c r="AW27" s="251" t="str">
        <f>_xlfn.XLOOKUP(Tableau1[[#This Row],[Code PAS]],'parc SATIN 08012026v'!K:K,'parc SATIN 08012026v'!S:S,0,0)</f>
        <v>change</v>
      </c>
      <c r="AX27" s="250" t="str">
        <f>_xlfn.XLOOKUP(Tableau1[[#This Row],[Code PAS]],'parc SATIN 08012026v'!K:K,'parc SATIN 08012026v'!AF:AF,0,0)</f>
        <v>HYBRID</v>
      </c>
      <c r="AY2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27" s="250" t="s">
        <v>2899</v>
      </c>
    </row>
    <row r="28" spans="1:52" s="250" customFormat="1" ht="15" customHeight="1" x14ac:dyDescent="0.3">
      <c r="A28" s="250" t="s">
        <v>2743</v>
      </c>
      <c r="B28" s="249">
        <v>45875</v>
      </c>
      <c r="C28" s="249">
        <v>45875</v>
      </c>
      <c r="D28" s="249"/>
      <c r="E28" s="250" t="s">
        <v>2915</v>
      </c>
      <c r="F28" s="984" t="s">
        <v>1355</v>
      </c>
      <c r="G28" s="250" t="s">
        <v>2916</v>
      </c>
      <c r="H28" s="250" t="s">
        <v>2916</v>
      </c>
      <c r="I28" s="250" t="s">
        <v>165</v>
      </c>
      <c r="J28" s="248" t="str">
        <f>_xlfn.XLOOKUP(Tableau1[[#This Row],[Code PAS]],'[13]Parc Satin'!$L:$L,'[13]Parc Satin'!$CK:$CK,0,0)</f>
        <v>Nominal C2E Fibre Secours C2E Fibre</v>
      </c>
      <c r="K28" s="248"/>
      <c r="L28" s="250">
        <v>40</v>
      </c>
      <c r="M28" s="250">
        <v>30</v>
      </c>
      <c r="N28" s="250">
        <v>1</v>
      </c>
      <c r="O28" s="250" t="s">
        <v>74</v>
      </c>
      <c r="P28" s="824">
        <v>0</v>
      </c>
      <c r="Q28" s="824">
        <v>391</v>
      </c>
      <c r="R28" s="824">
        <v>0</v>
      </c>
      <c r="S28" s="824">
        <v>391</v>
      </c>
      <c r="T28" s="824">
        <v>645</v>
      </c>
      <c r="U28" s="824">
        <v>54</v>
      </c>
      <c r="V28" s="824">
        <v>0</v>
      </c>
      <c r="W28" s="824">
        <v>27</v>
      </c>
      <c r="X28" s="824">
        <f>Tableau1[[#This Row],[Coût Abonnement offre]]+Tableau1[[#This Row],[Coût Abonnement Chassis]]+Tableau1[[#This Row],[Cout Cartes interface ]]+Tableau1[[#This Row],[Cout canaux voix supplémentaire]]</f>
        <v>726</v>
      </c>
      <c r="Y28" s="824">
        <v>66</v>
      </c>
      <c r="Z28" s="966">
        <v>0</v>
      </c>
      <c r="AA28" s="966">
        <v>0</v>
      </c>
      <c r="AB28" s="969">
        <v>0</v>
      </c>
      <c r="AC28" s="969">
        <v>0</v>
      </c>
      <c r="AD28" s="969">
        <v>0</v>
      </c>
      <c r="AE28" s="264">
        <v>4</v>
      </c>
      <c r="AF28" s="264">
        <v>40</v>
      </c>
      <c r="AG28" s="264">
        <v>30</v>
      </c>
      <c r="AH28" s="264">
        <v>70</v>
      </c>
      <c r="AI28" s="973">
        <v>27</v>
      </c>
      <c r="AJ28" s="263">
        <v>4</v>
      </c>
      <c r="AK28" s="987">
        <v>70</v>
      </c>
      <c r="AL28" s="263">
        <f>VLOOKUP(Tableau1[[#This Row],[Code PAS]],'Facturation PAS RIN5 RUN'!C:F,4,0)</f>
        <v>0</v>
      </c>
      <c r="AM28" s="263"/>
      <c r="AN28" s="263" t="b">
        <f>ROUND(Tableau1[[#This Row],[Montant Options coûts récurrents]],0)=ROUND(Tableau1[[#This Row],[GTRS1 (Coût Plage de support 24h/24 7j/7)]],0)</f>
        <v>0</v>
      </c>
      <c r="AO28" s="265" t="e">
        <f>_xlfn.XLOOKUP(Tableau1[[#This Row],[Code PAS]],'parc SATIN 08012026v'!K:K,'parc SATIN 08012026v'!#REF!,0,0)</f>
        <v>#REF!</v>
      </c>
      <c r="AP28" s="263" t="e">
        <f>VLOOKUP(Tableau1[[#This Row],[Code PAS]],#REF!,3,0)</f>
        <v>#REF!</v>
      </c>
      <c r="AQ28" s="263" t="e">
        <f>VLOOKUP(Tableau1[[#This Row],[Code PAS]],[14]Feuil1!$B:$G,6,0)</f>
        <v>#N/A</v>
      </c>
      <c r="AR28" s="263" t="str">
        <f>_xlfn.XLOOKUP(Tableau1[[#This Row],[Code PAS]],'Facturation PAS RIN5 RUN'!C:C,'Facturation PAS RIN5 RUN'!B:B,0,0)</f>
        <v>Gold_4_4</v>
      </c>
      <c r="AS28" s="263" t="b">
        <f>Tableau1[[#This Row],[Etat facturation]]=Tableau1[[#This Row],[Index offre du fournisseur]]</f>
        <v>1</v>
      </c>
      <c r="AT28" s="250" t="str">
        <f>_xlfn.XLOOKUP(Tableau1[[#This Row],[Code PAS]],'parc SATIN 08012026v'!K:K,'parc SATIN 08012026v'!M:M,0,0)</f>
        <v>PARC</v>
      </c>
      <c r="AU28" s="250" t="str">
        <f>_xlfn.XLOOKUP(Tableau1[[#This Row],[Code PAS]],'parc SATIN 08012026v'!K:K,'parc SATIN 08012026v'!O:O,0,0)</f>
        <v>PARC</v>
      </c>
      <c r="AV28" s="251">
        <f>_xlfn.XLOOKUP(Tableau1[[#This Row],[Code PAS]],'parc SATIN 08012026v'!K:K,'parc SATIN 08012026v'!Q:Q,0,0)</f>
        <v>45875</v>
      </c>
      <c r="AW28" s="251" t="str">
        <f>_xlfn.XLOOKUP(Tableau1[[#This Row],[Code PAS]],'parc SATIN 08012026v'!K:K,'parc SATIN 08012026v'!S:S,0,0)</f>
        <v>change</v>
      </c>
      <c r="AX28" s="250" t="str">
        <f>_xlfn.XLOOKUP(Tableau1[[#This Row],[Code PAS]],'parc SATIN 08012026v'!K:K,'parc SATIN 08012026v'!AF:AF,0,0)</f>
        <v>4 Mb/s</v>
      </c>
      <c r="AY2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</row>
    <row r="29" spans="1:52" s="250" customFormat="1" ht="15" customHeight="1" x14ac:dyDescent="0.3">
      <c r="A29" s="248" t="s">
        <v>2752</v>
      </c>
      <c r="B29" s="249">
        <v>45590</v>
      </c>
      <c r="C29" s="249">
        <v>45590</v>
      </c>
      <c r="D29" s="249"/>
      <c r="E29" s="250" t="s">
        <v>2917</v>
      </c>
      <c r="F29" s="984" t="s">
        <v>134</v>
      </c>
      <c r="G29" s="250" t="s">
        <v>2768</v>
      </c>
      <c r="H29" s="250" t="s">
        <v>2768</v>
      </c>
      <c r="I29" s="250" t="s">
        <v>165</v>
      </c>
      <c r="J29" s="248" t="str">
        <f>_xlfn.XLOOKUP(Tableau1[[#This Row],[Code PAS]],'[13]Parc Satin'!$L:$L,'[13]Parc Satin'!$CK:$CK,0,0)</f>
        <v>Nominal C2E Fibre Secours C2E Fibre</v>
      </c>
      <c r="L29" s="250">
        <v>120</v>
      </c>
      <c r="M29" s="250">
        <v>60</v>
      </c>
      <c r="N29" s="250">
        <v>1</v>
      </c>
      <c r="O29" s="250" t="s">
        <v>76</v>
      </c>
      <c r="P29" s="824">
        <v>0</v>
      </c>
      <c r="Q29" s="824">
        <v>652</v>
      </c>
      <c r="R29" s="824">
        <v>0</v>
      </c>
      <c r="S29" s="824">
        <v>652</v>
      </c>
      <c r="T29" s="824">
        <v>1229</v>
      </c>
      <c r="U29" s="824">
        <v>71</v>
      </c>
      <c r="V29" s="824">
        <v>16</v>
      </c>
      <c r="W29" s="824">
        <v>5</v>
      </c>
      <c r="X29" s="824">
        <f>Tableau1[[#This Row],[Coût Abonnement offre]]+Tableau1[[#This Row],[Coût Abonnement Chassis]]+Tableau1[[#This Row],[Cout Cartes interface ]]+Tableau1[[#This Row],[Cout canaux voix supplémentaire]]</f>
        <v>1321</v>
      </c>
      <c r="Y29" s="824">
        <v>66</v>
      </c>
      <c r="Z29" s="966">
        <v>0</v>
      </c>
      <c r="AA29" s="966">
        <v>0</v>
      </c>
      <c r="AB29" s="969">
        <v>0</v>
      </c>
      <c r="AC29" s="969">
        <v>0</v>
      </c>
      <c r="AD29" s="969">
        <v>0</v>
      </c>
      <c r="AE29" s="264">
        <v>10</v>
      </c>
      <c r="AF29" s="264">
        <v>120</v>
      </c>
      <c r="AG29" s="264">
        <v>60</v>
      </c>
      <c r="AH29" s="264">
        <v>180</v>
      </c>
      <c r="AI29" s="973">
        <v>5</v>
      </c>
      <c r="AJ29" s="263">
        <v>10</v>
      </c>
      <c r="AK29" s="987">
        <v>180</v>
      </c>
      <c r="AL29" s="263">
        <f>VLOOKUP(Tableau1[[#This Row],[Code PAS]],'Facturation PAS RIN5 RUN'!C:F,4,0)</f>
        <v>16</v>
      </c>
      <c r="AM29" s="263"/>
      <c r="AN29" s="263" t="b">
        <f>ROUND(Tableau1[[#This Row],[Montant Options coûts récurrents]],0)=ROUND(Tableau1[[#This Row],[GTRS1 (Coût Plage de support 24h/24 7j/7)]],0)</f>
        <v>0</v>
      </c>
      <c r="AO29" s="265" t="e">
        <f>_xlfn.XLOOKUP(Tableau1[[#This Row],[Code PAS]],'parc SATIN 08012026v'!K:K,'parc SATIN 08012026v'!#REF!,0,0)</f>
        <v>#REF!</v>
      </c>
      <c r="AP29" s="263" t="e">
        <f>VLOOKUP(Tableau1[[#This Row],[Code PAS]],#REF!,3,0)</f>
        <v>#REF!</v>
      </c>
      <c r="AQ29" s="263" t="e">
        <f>VLOOKUP(Tableau1[[#This Row],[Code PAS]],[14]Feuil1!$B:$G,6,0)</f>
        <v>#N/A</v>
      </c>
      <c r="AR29" s="263" t="str">
        <f>_xlfn.XLOOKUP(Tableau1[[#This Row],[Code PAS]],'Facturation PAS RIN5 RUN'!C:C,'Facturation PAS RIN5 RUN'!B:B,0,0)</f>
        <v>Gold_10_10</v>
      </c>
      <c r="AS29" s="263" t="b">
        <f>Tableau1[[#This Row],[Etat facturation]]=Tableau1[[#This Row],[Index offre du fournisseur]]</f>
        <v>1</v>
      </c>
      <c r="AT29" s="250" t="str">
        <f>_xlfn.XLOOKUP(Tableau1[[#This Row],[Code PAS]],'parc SATIN 08012026v'!K:K,'parc SATIN 08012026v'!M:M,0,0)</f>
        <v>PARC</v>
      </c>
      <c r="AU29" s="250" t="str">
        <f>_xlfn.XLOOKUP(Tableau1[[#This Row],[Code PAS]],'parc SATIN 08012026v'!K:K,'parc SATIN 08012026v'!O:O,0,0)</f>
        <v>PARC</v>
      </c>
      <c r="AV29" s="251">
        <f>_xlfn.XLOOKUP(Tableau1[[#This Row],[Code PAS]],'parc SATIN 08012026v'!K:K,'parc SATIN 08012026v'!Q:Q,0,0)</f>
        <v>45604</v>
      </c>
      <c r="AW29" s="251" t="str">
        <f>_xlfn.XLOOKUP(Tableau1[[#This Row],[Code PAS]],'parc SATIN 08012026v'!K:K,'parc SATIN 08012026v'!S:S,0,0)</f>
        <v>change</v>
      </c>
      <c r="AX29" s="250" t="str">
        <f>_xlfn.XLOOKUP(Tableau1[[#This Row],[Code PAS]],'parc SATIN 08012026v'!K:K,'parc SATIN 08012026v'!AF:AF,0,0)</f>
        <v>10 Mb/s</v>
      </c>
      <c r="AY2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30" spans="1:52" s="250" customFormat="1" ht="15" customHeight="1" x14ac:dyDescent="0.3">
      <c r="A30" s="248" t="s">
        <v>2735</v>
      </c>
      <c r="B30" s="248"/>
      <c r="C30" s="249"/>
      <c r="D30" s="249"/>
      <c r="E30" s="248" t="s">
        <v>2918</v>
      </c>
      <c r="F30" s="981" t="s">
        <v>815</v>
      </c>
      <c r="G30" s="250" t="s">
        <v>2809</v>
      </c>
      <c r="H30" s="248" t="s">
        <v>2809</v>
      </c>
      <c r="I30" s="248" t="s">
        <v>165</v>
      </c>
      <c r="J30" s="248" t="str">
        <f>_xlfn.XLOOKUP(Tableau1[[#This Row],[Code PAS]],'[13]Parc Satin'!$L:$L,'[13]Parc Satin'!$CK:$CK,0,0)</f>
        <v>Nominal C2E Secours C2E</v>
      </c>
      <c r="K30" s="248" t="s">
        <v>2806</v>
      </c>
      <c r="L30" s="248">
        <v>40</v>
      </c>
      <c r="M30" s="248">
        <v>30</v>
      </c>
      <c r="N30" s="248">
        <v>1</v>
      </c>
      <c r="O30" s="248" t="s">
        <v>76</v>
      </c>
      <c r="P30" s="822">
        <v>0</v>
      </c>
      <c r="Q30" s="822">
        <v>0</v>
      </c>
      <c r="R30" s="822">
        <v>0</v>
      </c>
      <c r="S30" s="822">
        <v>0</v>
      </c>
      <c r="T30" s="823">
        <v>645</v>
      </c>
      <c r="U30" s="823">
        <v>54</v>
      </c>
      <c r="V30" s="823">
        <v>0</v>
      </c>
      <c r="W30" s="823">
        <v>27</v>
      </c>
      <c r="X30" s="823">
        <f>Tableau1[[#This Row],[Coût Abonnement offre]]+Tableau1[[#This Row],[Coût Abonnement Chassis]]+Tableau1[[#This Row],[Cout Cartes interface ]]+Tableau1[[#This Row],[Cout canaux voix supplémentaire]]</f>
        <v>726</v>
      </c>
      <c r="Y30" s="823">
        <v>66</v>
      </c>
      <c r="Z30" s="966">
        <v>0</v>
      </c>
      <c r="AA30" s="966">
        <v>0</v>
      </c>
      <c r="AB30" s="969">
        <v>0</v>
      </c>
      <c r="AC30" s="969">
        <v>0</v>
      </c>
      <c r="AD30" s="969">
        <v>0</v>
      </c>
      <c r="AE30" s="264">
        <v>4</v>
      </c>
      <c r="AF30" s="264">
        <v>40</v>
      </c>
      <c r="AG30" s="264">
        <v>30</v>
      </c>
      <c r="AH30" s="264">
        <v>70</v>
      </c>
      <c r="AI30" s="973">
        <v>27</v>
      </c>
      <c r="AJ30" s="263">
        <v>4</v>
      </c>
      <c r="AK30" s="987">
        <v>70</v>
      </c>
      <c r="AL30" s="263">
        <f>VLOOKUP(Tableau1[[#This Row],[Code PAS]],'Facturation PAS RIN5 RUN'!C:F,4,0)</f>
        <v>0</v>
      </c>
      <c r="AM30" s="263"/>
      <c r="AN30" s="263" t="b">
        <f>ROUND(Tableau1[[#This Row],[Montant Options coûts récurrents]],0)=ROUND(Tableau1[[#This Row],[GTRS1 (Coût Plage de support 24h/24 7j/7)]],0)</f>
        <v>0</v>
      </c>
      <c r="AO30" s="265" t="e">
        <f>_xlfn.XLOOKUP(Tableau1[[#This Row],[Code PAS]],'parc SATIN 08012026v'!K:K,'parc SATIN 08012026v'!#REF!,0,0)</f>
        <v>#REF!</v>
      </c>
      <c r="AP30" s="263" t="e">
        <f>VLOOKUP(Tableau1[[#This Row],[Code PAS]],#REF!,3,0)</f>
        <v>#REF!</v>
      </c>
      <c r="AQ30" s="263" t="e">
        <f>VLOOKUP(Tableau1[[#This Row],[Code PAS]],[14]Feuil1!$B:$G,6,0)</f>
        <v>#N/A</v>
      </c>
      <c r="AR30" s="263" t="str">
        <f>_xlfn.XLOOKUP(Tableau1[[#This Row],[Code PAS]],'Facturation PAS RIN5 RUN'!C:C,'Facturation PAS RIN5 RUN'!B:B,0,0)</f>
        <v>Silver_4_4</v>
      </c>
      <c r="AS30" s="263" t="b">
        <f>Tableau1[[#This Row],[Etat facturation]]=Tableau1[[#This Row],[Index offre du fournisseur]]</f>
        <v>1</v>
      </c>
      <c r="AT30" s="250" t="str">
        <f>_xlfn.XLOOKUP(Tableau1[[#This Row],[Code PAS]],'parc SATIN 08012026v'!K:K,'parc SATIN 08012026v'!M:M,0,0)</f>
        <v>PARC</v>
      </c>
      <c r="AU30" s="250" t="str">
        <f>_xlfn.XLOOKUP(Tableau1[[#This Row],[Code PAS]],'parc SATIN 08012026v'!K:K,'parc SATIN 08012026v'!O:O,0,0)</f>
        <v>PARC</v>
      </c>
      <c r="AV30" s="251">
        <f>_xlfn.XLOOKUP(Tableau1[[#This Row],[Code PAS]],'parc SATIN 08012026v'!K:K,'parc SATIN 08012026v'!Q:Q,0,0)</f>
        <v>45028</v>
      </c>
      <c r="AW30" s="251" t="str">
        <f>_xlfn.XLOOKUP(Tableau1[[#This Row],[Code PAS]],'parc SATIN 08012026v'!K:K,'parc SATIN 08012026v'!S:S,0,0)</f>
        <v>change</v>
      </c>
      <c r="AX30" s="250" t="str">
        <f>_xlfn.XLOOKUP(Tableau1[[#This Row],[Code PAS]],'parc SATIN 08012026v'!K:K,'parc SATIN 08012026v'!AF:AF,0,0)</f>
        <v>4 Mb/s</v>
      </c>
      <c r="AY3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</row>
    <row r="31" spans="1:52" s="250" customFormat="1" ht="15" customHeight="1" x14ac:dyDescent="0.3">
      <c r="A31" s="248" t="s">
        <v>2752</v>
      </c>
      <c r="B31" s="248"/>
      <c r="C31" s="249"/>
      <c r="D31" s="249"/>
      <c r="E31" s="248" t="s">
        <v>2919</v>
      </c>
      <c r="F31" s="981" t="s">
        <v>123</v>
      </c>
      <c r="G31" s="250" t="s">
        <v>2768</v>
      </c>
      <c r="H31" s="248" t="s">
        <v>2768</v>
      </c>
      <c r="I31" s="248" t="s">
        <v>165</v>
      </c>
      <c r="J31" s="248" t="str">
        <f>_xlfn.XLOOKUP(Tableau1[[#This Row],[Code PAS]],'[13]Parc Satin'!$L:$L,'[13]Parc Satin'!$CK:$CK,0,0)</f>
        <v>Nominal InterLan 1.0 Secours C2E Fibre</v>
      </c>
      <c r="K31" s="248" t="s">
        <v>2820</v>
      </c>
      <c r="L31" s="248">
        <v>120</v>
      </c>
      <c r="M31" s="248">
        <v>60</v>
      </c>
      <c r="N31" s="248">
        <v>1</v>
      </c>
      <c r="O31" s="248" t="s">
        <v>76</v>
      </c>
      <c r="P31" s="822">
        <v>0</v>
      </c>
      <c r="Q31" s="822">
        <v>0</v>
      </c>
      <c r="R31" s="822">
        <v>0</v>
      </c>
      <c r="S31" s="822">
        <v>0</v>
      </c>
      <c r="T31" s="823">
        <v>1229</v>
      </c>
      <c r="U31" s="823">
        <v>44</v>
      </c>
      <c r="V31" s="823">
        <v>32</v>
      </c>
      <c r="W31" s="823">
        <v>5</v>
      </c>
      <c r="X31" s="823">
        <f>Tableau1[[#This Row],[Coût Abonnement offre]]+Tableau1[[#This Row],[Coût Abonnement Chassis]]+Tableau1[[#This Row],[Cout Cartes interface ]]+Tableau1[[#This Row],[Cout canaux voix supplémentaire]]</f>
        <v>1310</v>
      </c>
      <c r="Y31" s="823">
        <v>66</v>
      </c>
      <c r="Z31" s="966">
        <v>0</v>
      </c>
      <c r="AA31" s="966">
        <v>0</v>
      </c>
      <c r="AB31" s="969">
        <v>0</v>
      </c>
      <c r="AC31" s="969">
        <v>0</v>
      </c>
      <c r="AD31" s="969">
        <v>0</v>
      </c>
      <c r="AE31" s="264">
        <v>10</v>
      </c>
      <c r="AF31" s="264">
        <v>120</v>
      </c>
      <c r="AG31" s="264">
        <v>60</v>
      </c>
      <c r="AH31" s="264">
        <v>180</v>
      </c>
      <c r="AI31" s="973">
        <v>5</v>
      </c>
      <c r="AJ31" s="263">
        <v>10</v>
      </c>
      <c r="AK31" s="987">
        <v>120</v>
      </c>
      <c r="AL31" s="263">
        <f>VLOOKUP(Tableau1[[#This Row],[Code PAS]],'Facturation PAS RIN5 RUN'!C:F,4,0)</f>
        <v>32</v>
      </c>
      <c r="AM31" s="263"/>
      <c r="AN31" s="263" t="b">
        <f>ROUND(Tableau1[[#This Row],[Montant Options coûts récurrents]],0)=ROUND(Tableau1[[#This Row],[GTRS1 (Coût Plage de support 24h/24 7j/7)]],0)</f>
        <v>0</v>
      </c>
      <c r="AO31" s="265" t="e">
        <f>_xlfn.XLOOKUP(Tableau1[[#This Row],[Code PAS]],'parc SATIN 08012026v'!K:K,'parc SATIN 08012026v'!#REF!,0,0)</f>
        <v>#REF!</v>
      </c>
      <c r="AP31" s="263" t="e">
        <f>VLOOKUP(Tableau1[[#This Row],[Code PAS]],#REF!,3,0)</f>
        <v>#REF!</v>
      </c>
      <c r="AQ31" s="263" t="e">
        <f>VLOOKUP(Tableau1[[#This Row],[Code PAS]],[14]Feuil1!$B:$G,6,0)</f>
        <v>#N/A</v>
      </c>
      <c r="AR31" s="263" t="str">
        <f>_xlfn.XLOOKUP(Tableau1[[#This Row],[Code PAS]],'Facturation PAS RIN5 RUN'!C:C,'Facturation PAS RIN5 RUN'!B:B,0,0)</f>
        <v>Gold_10_10</v>
      </c>
      <c r="AS31" s="263" t="b">
        <f>Tableau1[[#This Row],[Etat facturation]]=Tableau1[[#This Row],[Index offre du fournisseur]]</f>
        <v>1</v>
      </c>
      <c r="AT31" s="250" t="str">
        <f>_xlfn.XLOOKUP(Tableau1[[#This Row],[Code PAS]],'parc SATIN 08012026v'!K:K,'parc SATIN 08012026v'!M:M,0,0)</f>
        <v>PARC</v>
      </c>
      <c r="AU31" s="250" t="str">
        <f>_xlfn.XLOOKUP(Tableau1[[#This Row],[Code PAS]],'parc SATIN 08012026v'!K:K,'parc SATIN 08012026v'!O:O,0,0)</f>
        <v>PARC</v>
      </c>
      <c r="AV31" s="251">
        <f>_xlfn.XLOOKUP(Tableau1[[#This Row],[Code PAS]],'parc SATIN 08012026v'!K:K,'parc SATIN 08012026v'!Q:Q,0,0)</f>
        <v>45449</v>
      </c>
      <c r="AW31" s="251" t="str">
        <f>_xlfn.XLOOKUP(Tableau1[[#This Row],[Code PAS]],'parc SATIN 08012026v'!K:K,'parc SATIN 08012026v'!S:S,0,0)</f>
        <v>change</v>
      </c>
      <c r="AX31" s="250" t="str">
        <f>_xlfn.XLOOKUP(Tableau1[[#This Row],[Code PAS]],'parc SATIN 08012026v'!K:K,'parc SATIN 08012026v'!AF:AF,0,0)</f>
        <v>10 Mb/s</v>
      </c>
      <c r="AY3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32" spans="1:52" s="250" customFormat="1" ht="15" customHeight="1" x14ac:dyDescent="0.3">
      <c r="A32" s="248" t="s">
        <v>2735</v>
      </c>
      <c r="B32" s="248"/>
      <c r="C32" s="249"/>
      <c r="D32" s="249"/>
      <c r="E32" s="248" t="s">
        <v>2920</v>
      </c>
      <c r="F32" s="981" t="s">
        <v>616</v>
      </c>
      <c r="G32" s="250" t="s">
        <v>2768</v>
      </c>
      <c r="H32" s="248" t="s">
        <v>2768</v>
      </c>
      <c r="I32" s="248" t="s">
        <v>165</v>
      </c>
      <c r="J32" s="248" t="str">
        <f>_xlfn.XLOOKUP(Tableau1[[#This Row],[Code PAS]],'[13]Parc Satin'!$L:$L,'[13]Parc Satin'!$CK:$CK,0,0)</f>
        <v>Nominal C2E Fibre Secours C2E Fibre</v>
      </c>
      <c r="K32" s="248" t="s">
        <v>2832</v>
      </c>
      <c r="L32" s="248">
        <v>120</v>
      </c>
      <c r="M32" s="248">
        <v>60</v>
      </c>
      <c r="N32" s="248">
        <v>1</v>
      </c>
      <c r="O32" s="248" t="s">
        <v>76</v>
      </c>
      <c r="P32" s="822">
        <v>0</v>
      </c>
      <c r="Q32" s="822">
        <v>0</v>
      </c>
      <c r="R32" s="822">
        <v>0</v>
      </c>
      <c r="S32" s="822">
        <v>500</v>
      </c>
      <c r="T32" s="823">
        <v>1229</v>
      </c>
      <c r="U32" s="823">
        <v>71</v>
      </c>
      <c r="V32" s="823">
        <v>72</v>
      </c>
      <c r="W32" s="823">
        <v>5</v>
      </c>
      <c r="X32" s="823">
        <f>Tableau1[[#This Row],[Coût Abonnement offre]]+Tableau1[[#This Row],[Coût Abonnement Chassis]]+Tableau1[[#This Row],[Cout Cartes interface ]]+Tableau1[[#This Row],[Cout canaux voix supplémentaire]]</f>
        <v>1377</v>
      </c>
      <c r="Y32" s="823">
        <v>66</v>
      </c>
      <c r="Z32" s="966">
        <v>0</v>
      </c>
      <c r="AA32" s="966">
        <v>0</v>
      </c>
      <c r="AB32" s="969">
        <v>0</v>
      </c>
      <c r="AC32" s="969">
        <v>0</v>
      </c>
      <c r="AD32" s="969">
        <v>0</v>
      </c>
      <c r="AE32" s="264">
        <v>10</v>
      </c>
      <c r="AF32" s="264">
        <v>120</v>
      </c>
      <c r="AG32" s="264">
        <v>60</v>
      </c>
      <c r="AH32" s="264">
        <v>180</v>
      </c>
      <c r="AI32" s="973">
        <v>5</v>
      </c>
      <c r="AJ32" s="263">
        <v>10</v>
      </c>
      <c r="AK32" s="987">
        <v>180</v>
      </c>
      <c r="AL32" s="263">
        <f>VLOOKUP(Tableau1[[#This Row],[Code PAS]],'Facturation PAS RIN5 RUN'!C:F,4,0)</f>
        <v>72</v>
      </c>
      <c r="AM32" s="263"/>
      <c r="AN32" s="263" t="b">
        <f>ROUND(Tableau1[[#This Row],[Montant Options coûts récurrents]],0)=ROUND(Tableau1[[#This Row],[GTRS1 (Coût Plage de support 24h/24 7j/7)]],0)</f>
        <v>0</v>
      </c>
      <c r="AO32" s="265" t="e">
        <f>_xlfn.XLOOKUP(Tableau1[[#This Row],[Code PAS]],'parc SATIN 08012026v'!K:K,'parc SATIN 08012026v'!#REF!,0,0)</f>
        <v>#REF!</v>
      </c>
      <c r="AP32" s="263" t="e">
        <f>VLOOKUP(Tableau1[[#This Row],[Code PAS]],#REF!,3,0)</f>
        <v>#REF!</v>
      </c>
      <c r="AQ32" s="263" t="e">
        <f>VLOOKUP(Tableau1[[#This Row],[Code PAS]],[14]Feuil1!$B:$G,6,0)</f>
        <v>#N/A</v>
      </c>
      <c r="AR32" s="263" t="str">
        <f>_xlfn.XLOOKUP(Tableau1[[#This Row],[Code PAS]],'Facturation PAS RIN5 RUN'!C:C,'Facturation PAS RIN5 RUN'!B:B,0,0)</f>
        <v>Gold_10_10</v>
      </c>
      <c r="AS32" s="263" t="b">
        <f>Tableau1[[#This Row],[Etat facturation]]=Tableau1[[#This Row],[Index offre du fournisseur]]</f>
        <v>1</v>
      </c>
      <c r="AT32" s="250" t="str">
        <f>_xlfn.XLOOKUP(Tableau1[[#This Row],[Code PAS]],'parc SATIN 08012026v'!K:K,'parc SATIN 08012026v'!M:M,0,0)</f>
        <v>PARC</v>
      </c>
      <c r="AU32" s="250" t="str">
        <f>_xlfn.XLOOKUP(Tableau1[[#This Row],[Code PAS]],'parc SATIN 08012026v'!K:K,'parc SATIN 08012026v'!O:O,0,0)</f>
        <v>PARC</v>
      </c>
      <c r="AV32" s="251">
        <f>_xlfn.XLOOKUP(Tableau1[[#This Row],[Code PAS]],'parc SATIN 08012026v'!K:K,'parc SATIN 08012026v'!Q:Q,0,0)</f>
        <v>44755</v>
      </c>
      <c r="AW32" s="251" t="str">
        <f>_xlfn.XLOOKUP(Tableau1[[#This Row],[Code PAS]],'parc SATIN 08012026v'!K:K,'parc SATIN 08012026v'!S:S,0,0)</f>
        <v>change</v>
      </c>
      <c r="AX32" s="250" t="str">
        <f>_xlfn.XLOOKUP(Tableau1[[#This Row],[Code PAS]],'parc SATIN 08012026v'!K:K,'parc SATIN 08012026v'!AF:AF,0,0)</f>
        <v>10 Mb/s</v>
      </c>
      <c r="AY3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33" spans="1:52" s="250" customFormat="1" ht="15" customHeight="1" x14ac:dyDescent="0.3">
      <c r="A33" s="250" t="s">
        <v>2758</v>
      </c>
      <c r="C33" s="249"/>
      <c r="D33" s="249"/>
      <c r="E33" s="250" t="s">
        <v>2921</v>
      </c>
      <c r="F33" s="984" t="s">
        <v>2246</v>
      </c>
      <c r="G33" s="250" t="s">
        <v>2841</v>
      </c>
      <c r="H33" s="250" t="s">
        <v>2841</v>
      </c>
      <c r="I33" s="250" t="s">
        <v>165</v>
      </c>
      <c r="J33" s="248" t="str">
        <f>_xlfn.XLOOKUP(Tableau1[[#This Row],[Code PAS]],'[13]Parc Satin'!$L:$L,'[13]Parc Satin'!$CK:$CK,0,0)</f>
        <v>Nominal InterLan 1.0 sans Secours</v>
      </c>
      <c r="L33" s="250">
        <v>600</v>
      </c>
      <c r="M33" s="250">
        <v>1200</v>
      </c>
      <c r="N33" s="250">
        <v>2</v>
      </c>
      <c r="O33" s="250" t="s">
        <v>76</v>
      </c>
      <c r="P33" s="820">
        <v>0</v>
      </c>
      <c r="Q33" s="820">
        <v>0</v>
      </c>
      <c r="R33" s="820">
        <v>0</v>
      </c>
      <c r="S33" s="820">
        <v>0</v>
      </c>
      <c r="T33" s="824">
        <v>5101</v>
      </c>
      <c r="U33" s="824">
        <v>47</v>
      </c>
      <c r="V33" s="824">
        <v>8</v>
      </c>
      <c r="W33" s="824">
        <v>108</v>
      </c>
      <c r="X33" s="823">
        <f>Tableau1[[#This Row],[Coût Abonnement offre]]+Tableau1[[#This Row],[Coût Abonnement Chassis]]+Tableau1[[#This Row],[Cout Cartes interface ]]+Tableau1[[#This Row],[Cout canaux voix supplémentaire]]</f>
        <v>5264</v>
      </c>
      <c r="Y33" s="824">
        <v>36</v>
      </c>
      <c r="Z33" s="966">
        <v>0</v>
      </c>
      <c r="AA33" s="966">
        <v>0</v>
      </c>
      <c r="AB33" s="969">
        <v>0</v>
      </c>
      <c r="AC33" s="969">
        <v>0</v>
      </c>
      <c r="AD33" s="969">
        <v>0</v>
      </c>
      <c r="AE33" s="264">
        <v>100</v>
      </c>
      <c r="AF33" s="264">
        <v>600</v>
      </c>
      <c r="AG33" s="264">
        <v>1200</v>
      </c>
      <c r="AH33" s="264">
        <v>1800</v>
      </c>
      <c r="AI33" s="973">
        <v>108</v>
      </c>
      <c r="AJ33" s="263">
        <v>100</v>
      </c>
      <c r="AK33" s="987">
        <v>1800</v>
      </c>
      <c r="AL33" s="263">
        <f>VLOOKUP(Tableau1[[#This Row],[Code PAS]],'Facturation PAS RIN5 RUN'!C:F,4,0)</f>
        <v>8</v>
      </c>
      <c r="AM33" s="263"/>
      <c r="AN33" s="263" t="b">
        <f>ROUND(Tableau1[[#This Row],[Montant Options coûts récurrents]],0)=ROUND(Tableau1[[#This Row],[GTRS1 (Coût Plage de support 24h/24 7j/7)]],0)</f>
        <v>0</v>
      </c>
      <c r="AO33" s="265" t="e">
        <f>_xlfn.XLOOKUP(Tableau1[[#This Row],[Code PAS]],'parc SATIN 08012026v'!K:K,'parc SATIN 08012026v'!#REF!,0,0)</f>
        <v>#REF!</v>
      </c>
      <c r="AP33" s="263" t="e">
        <f>VLOOKUP(Tableau1[[#This Row],[Code PAS]],#REF!,3,0)</f>
        <v>#REF!</v>
      </c>
      <c r="AQ33" s="263" t="e">
        <f>VLOOKUP(Tableau1[[#This Row],[Code PAS]],[14]Feuil1!$B:$G,6,0)</f>
        <v>#N/A</v>
      </c>
      <c r="AR33" s="263" t="str">
        <f>_xlfn.XLOOKUP(Tableau1[[#This Row],[Code PAS]],'Facturation PAS RIN5 RUN'!C:C,'Facturation PAS RIN5 RUN'!B:B,0,0)</f>
        <v>Platinum_Man_100_0</v>
      </c>
      <c r="AS33" s="263" t="b">
        <f>Tableau1[[#This Row],[Etat facturation]]=Tableau1[[#This Row],[Index offre du fournisseur]]</f>
        <v>1</v>
      </c>
      <c r="AT33" s="250" t="str">
        <f>_xlfn.XLOOKUP(Tableau1[[#This Row],[Code PAS]],'parc SATIN 08012026v'!K:K,'parc SATIN 08012026v'!M:M,0,0)</f>
        <v>PARC</v>
      </c>
      <c r="AU33" s="250" t="str">
        <f>_xlfn.XLOOKUP(Tableau1[[#This Row],[Code PAS]],'parc SATIN 08012026v'!K:K,'parc SATIN 08012026v'!O:O,0,0)</f>
        <v>PARC</v>
      </c>
      <c r="AV33" s="251">
        <f>_xlfn.XLOOKUP(Tableau1[[#This Row],[Code PAS]],'parc SATIN 08012026v'!K:K,'parc SATIN 08012026v'!Q:Q,0,0)</f>
        <v>44733</v>
      </c>
      <c r="AW33" s="251" t="str">
        <f>_xlfn.XLOOKUP(Tableau1[[#This Row],[Code PAS]],'parc SATIN 08012026v'!K:K,'parc SATIN 08012026v'!S:S,0,0)</f>
        <v>change</v>
      </c>
      <c r="AX33" s="250" t="str">
        <f>_xlfn.XLOOKUP(Tableau1[[#This Row],[Code PAS]],'parc SATIN 08012026v'!K:K,'parc SATIN 08012026v'!AF:AF,0,0)</f>
        <v>100 Mb/s</v>
      </c>
      <c r="AY33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100</v>
      </c>
    </row>
    <row r="34" spans="1:52" s="250" customFormat="1" ht="15" customHeight="1" x14ac:dyDescent="0.3">
      <c r="A34" s="250" t="s">
        <v>2758</v>
      </c>
      <c r="C34" s="249"/>
      <c r="D34" s="249"/>
      <c r="E34" s="250" t="s">
        <v>2922</v>
      </c>
      <c r="F34" s="984" t="s">
        <v>2292</v>
      </c>
      <c r="G34" s="250" t="s">
        <v>2841</v>
      </c>
      <c r="H34" s="250" t="s">
        <v>2841</v>
      </c>
      <c r="I34" s="250" t="s">
        <v>165</v>
      </c>
      <c r="J34" s="248" t="str">
        <f>_xlfn.XLOOKUP(Tableau1[[#This Row],[Code PAS]],'[13]Parc Satin'!$L:$L,'[13]Parc Satin'!$CK:$CK,0,0)</f>
        <v>Nominal InterLan 1.0 sans Secours</v>
      </c>
      <c r="L34" s="250">
        <v>600</v>
      </c>
      <c r="M34" s="250">
        <v>1200</v>
      </c>
      <c r="N34" s="250">
        <v>2</v>
      </c>
      <c r="O34" s="250" t="s">
        <v>76</v>
      </c>
      <c r="P34" s="824">
        <v>0</v>
      </c>
      <c r="Q34" s="824">
        <v>0</v>
      </c>
      <c r="R34" s="824">
        <v>0</v>
      </c>
      <c r="S34" s="824">
        <v>0</v>
      </c>
      <c r="T34" s="824">
        <v>5101</v>
      </c>
      <c r="U34" s="824">
        <v>47</v>
      </c>
      <c r="V34" s="824">
        <v>8</v>
      </c>
      <c r="W34" s="824">
        <v>108</v>
      </c>
      <c r="X34" s="824">
        <f>Tableau1[[#This Row],[Coût Abonnement offre]]+Tableau1[[#This Row],[Coût Abonnement Chassis]]+Tableau1[[#This Row],[Cout Cartes interface ]]+Tableau1[[#This Row],[Cout canaux voix supplémentaire]]</f>
        <v>5264</v>
      </c>
      <c r="Y34" s="824">
        <v>36</v>
      </c>
      <c r="Z34" s="966">
        <v>0</v>
      </c>
      <c r="AA34" s="966">
        <v>0</v>
      </c>
      <c r="AB34" s="969">
        <v>0</v>
      </c>
      <c r="AC34" s="969">
        <v>0</v>
      </c>
      <c r="AD34" s="969">
        <v>0</v>
      </c>
      <c r="AE34" s="264">
        <v>100</v>
      </c>
      <c r="AF34" s="264">
        <v>600</v>
      </c>
      <c r="AG34" s="264">
        <v>1200</v>
      </c>
      <c r="AH34" s="264">
        <v>1800</v>
      </c>
      <c r="AI34" s="973">
        <v>108</v>
      </c>
      <c r="AJ34" s="263">
        <v>100</v>
      </c>
      <c r="AK34" s="987">
        <v>1800</v>
      </c>
      <c r="AL34" s="263">
        <f>VLOOKUP(Tableau1[[#This Row],[Code PAS]],'Facturation PAS RIN5 RUN'!C:F,4,0)</f>
        <v>8</v>
      </c>
      <c r="AM34" s="263"/>
      <c r="AN34" s="263" t="b">
        <f>ROUND(Tableau1[[#This Row],[Montant Options coûts récurrents]],0)=ROUND(Tableau1[[#This Row],[GTRS1 (Coût Plage de support 24h/24 7j/7)]],0)</f>
        <v>0</v>
      </c>
      <c r="AO34" s="265" t="e">
        <f>_xlfn.XLOOKUP(Tableau1[[#This Row],[Code PAS]],'parc SATIN 08012026v'!K:K,'parc SATIN 08012026v'!#REF!,0,0)</f>
        <v>#REF!</v>
      </c>
      <c r="AP34" s="263" t="e">
        <f>VLOOKUP(Tableau1[[#This Row],[Code PAS]],#REF!,3,0)</f>
        <v>#REF!</v>
      </c>
      <c r="AQ34" s="263" t="e">
        <f>VLOOKUP(Tableau1[[#This Row],[Code PAS]],[14]Feuil1!$B:$G,6,0)</f>
        <v>#N/A</v>
      </c>
      <c r="AR34" s="263" t="str">
        <f>_xlfn.XLOOKUP(Tableau1[[#This Row],[Code PAS]],'Facturation PAS RIN5 RUN'!C:C,'Facturation PAS RIN5 RUN'!B:B,0,0)</f>
        <v>Platinum_Man_100_0</v>
      </c>
      <c r="AS34" s="263" t="b">
        <f>Tableau1[[#This Row],[Etat facturation]]=Tableau1[[#This Row],[Index offre du fournisseur]]</f>
        <v>1</v>
      </c>
      <c r="AT34" s="250" t="str">
        <f>_xlfn.XLOOKUP(Tableau1[[#This Row],[Code PAS]],'parc SATIN 08012026v'!K:K,'parc SATIN 08012026v'!M:M,0,0)</f>
        <v>PARC</v>
      </c>
      <c r="AU34" s="250" t="str">
        <f>_xlfn.XLOOKUP(Tableau1[[#This Row],[Code PAS]],'parc SATIN 08012026v'!K:K,'parc SATIN 08012026v'!O:O,0,0)</f>
        <v>PARC</v>
      </c>
      <c r="AV34" s="251">
        <f>_xlfn.XLOOKUP(Tableau1[[#This Row],[Code PAS]],'parc SATIN 08012026v'!K:K,'parc SATIN 08012026v'!Q:Q,0,0)</f>
        <v>44739</v>
      </c>
      <c r="AW34" s="251" t="str">
        <f>_xlfn.XLOOKUP(Tableau1[[#This Row],[Code PAS]],'parc SATIN 08012026v'!K:K,'parc SATIN 08012026v'!S:S,0,0)</f>
        <v>change</v>
      </c>
      <c r="AX34" s="250" t="str">
        <f>_xlfn.XLOOKUP(Tableau1[[#This Row],[Code PAS]],'parc SATIN 08012026v'!K:K,'parc SATIN 08012026v'!AF:AF,0,0)</f>
        <v>100 Mb/s</v>
      </c>
      <c r="AY34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100</v>
      </c>
    </row>
    <row r="35" spans="1:52" s="250" customFormat="1" ht="15" customHeight="1" x14ac:dyDescent="0.3">
      <c r="A35" s="250" t="s">
        <v>2743</v>
      </c>
      <c r="C35" s="249"/>
      <c r="D35" s="249"/>
      <c r="E35" s="250" t="s">
        <v>2924</v>
      </c>
      <c r="F35" s="984" t="s">
        <v>1349</v>
      </c>
      <c r="H35" s="250" t="s">
        <v>2916</v>
      </c>
      <c r="J35" s="248" t="str">
        <f>_xlfn.XLOOKUP(Tableau1[[#This Row],[Code PAS]],'[13]Parc Satin'!$L:$L,'[13]Parc Satin'!$CK:$CK,0,0)</f>
        <v>Nominal C2E Secours C2E</v>
      </c>
      <c r="P35" s="820">
        <v>0</v>
      </c>
      <c r="Q35" s="820">
        <v>0</v>
      </c>
      <c r="R35" s="820">
        <v>0</v>
      </c>
      <c r="S35" s="820">
        <v>0</v>
      </c>
      <c r="T35" s="824">
        <v>645</v>
      </c>
      <c r="U35" s="824">
        <v>24</v>
      </c>
      <c r="V35" s="824">
        <v>0</v>
      </c>
      <c r="W35" s="824">
        <v>0</v>
      </c>
      <c r="X35" s="823">
        <f>Tableau1[[#This Row],[Coût Abonnement offre]]+Tableau1[[#This Row],[Coût Abonnement Chassis]]+Tableau1[[#This Row],[Cout Cartes interface ]]+Tableau1[[#This Row],[Cout canaux voix supplémentaire]]</f>
        <v>669</v>
      </c>
      <c r="Y35" s="824">
        <v>66</v>
      </c>
      <c r="Z35" s="966">
        <v>0</v>
      </c>
      <c r="AA35" s="966">
        <v>0</v>
      </c>
      <c r="AB35" s="969">
        <v>0</v>
      </c>
      <c r="AC35" s="969">
        <v>0</v>
      </c>
      <c r="AD35" s="969">
        <v>0</v>
      </c>
      <c r="AE35" s="264">
        <v>4</v>
      </c>
      <c r="AF35" s="264">
        <v>40</v>
      </c>
      <c r="AG35" s="264">
        <v>30</v>
      </c>
      <c r="AH35" s="264">
        <v>70</v>
      </c>
      <c r="AI35" s="973">
        <v>27</v>
      </c>
      <c r="AJ35" s="263">
        <v>4</v>
      </c>
      <c r="AK35" s="987">
        <v>40</v>
      </c>
      <c r="AL35" s="263">
        <f>VLOOKUP(Tableau1[[#This Row],[Code PAS]],'Facturation PAS RIN5 RUN'!C:F,4,0)</f>
        <v>0</v>
      </c>
      <c r="AM35" s="263"/>
      <c r="AN35" s="263" t="b">
        <f>ROUND(Tableau1[[#This Row],[Montant Options coûts récurrents]],0)=ROUND(Tableau1[[#This Row],[GTRS1 (Coût Plage de support 24h/24 7j/7)]],0)</f>
        <v>0</v>
      </c>
      <c r="AO35" s="265" t="e">
        <f>_xlfn.XLOOKUP(Tableau1[[#This Row],[Code PAS]],'parc SATIN 08012026v'!K:K,'parc SATIN 08012026v'!#REF!,0,0)</f>
        <v>#REF!</v>
      </c>
      <c r="AP35" s="263" t="e">
        <f>VLOOKUP(Tableau1[[#This Row],[Code PAS]],#REF!,3,0)</f>
        <v>#REF!</v>
      </c>
      <c r="AQ35" s="263" t="e">
        <f>VLOOKUP(Tableau1[[#This Row],[Code PAS]],[14]Feuil1!$B:$G,6,0)</f>
        <v>#N/A</v>
      </c>
      <c r="AR35" s="263" t="str">
        <f>_xlfn.XLOOKUP(Tableau1[[#This Row],[Code PAS]],'Facturation PAS RIN5 RUN'!C:C,'Facturation PAS RIN5 RUN'!B:B,0,0)</f>
        <v>Gold_4_4</v>
      </c>
      <c r="AS35" s="263" t="b">
        <f>Tableau1[[#This Row],[Etat facturation]]=Tableau1[[#This Row],[Index offre du fournisseur]]</f>
        <v>1</v>
      </c>
      <c r="AT35" s="250" t="str">
        <f>_xlfn.XLOOKUP(Tableau1[[#This Row],[Code PAS]],'parc SATIN 08012026v'!K:K,'parc SATIN 08012026v'!M:M,0,0)</f>
        <v>PARC</v>
      </c>
      <c r="AU35" s="250" t="str">
        <f>_xlfn.XLOOKUP(Tableau1[[#This Row],[Code PAS]],'parc SATIN 08012026v'!K:K,'parc SATIN 08012026v'!O:O,0,0)</f>
        <v>PARC</v>
      </c>
      <c r="AV35" s="251">
        <f>_xlfn.XLOOKUP(Tableau1[[#This Row],[Code PAS]],'parc SATIN 08012026v'!K:K,'parc SATIN 08012026v'!Q:Q,0,0)</f>
        <v>44412</v>
      </c>
      <c r="AW35" s="251" t="str">
        <f>_xlfn.XLOOKUP(Tableau1[[#This Row],[Code PAS]],'parc SATIN 08012026v'!K:K,'parc SATIN 08012026v'!S:S,0,0)</f>
        <v>change</v>
      </c>
      <c r="AX35" s="250" t="str">
        <f>_xlfn.XLOOKUP(Tableau1[[#This Row],[Code PAS]],'parc SATIN 08012026v'!K:K,'parc SATIN 08012026v'!AF:AF,0,0)</f>
        <v>4 Mb/s</v>
      </c>
      <c r="AY3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35" s="250" t="s">
        <v>2868</v>
      </c>
    </row>
    <row r="36" spans="1:52" s="250" customFormat="1" ht="15" customHeight="1" x14ac:dyDescent="0.3">
      <c r="A36" s="248" t="s">
        <v>2735</v>
      </c>
      <c r="B36" s="249">
        <v>45849</v>
      </c>
      <c r="C36" s="249">
        <v>45849</v>
      </c>
      <c r="D36" s="249"/>
      <c r="E36" s="250" t="s">
        <v>2925</v>
      </c>
      <c r="F36" s="984" t="s">
        <v>780</v>
      </c>
      <c r="G36" s="250" t="s">
        <v>2926</v>
      </c>
      <c r="H36" s="250" t="s">
        <v>2763</v>
      </c>
      <c r="I36" s="250" t="s">
        <v>165</v>
      </c>
      <c r="J36" s="248" t="str">
        <f>_xlfn.XLOOKUP(Tableau1[[#This Row],[Code PAS]],'[13]Parc Satin'!$L:$L,'[13]Parc Satin'!$CK:$CK,0,0)</f>
        <v>Nominal InterLan 1.0 Secours C2E Fibre</v>
      </c>
      <c r="K36" s="248" t="s">
        <v>2829</v>
      </c>
      <c r="L36" s="250">
        <v>700</v>
      </c>
      <c r="M36" s="250">
        <v>1900</v>
      </c>
      <c r="N36" s="250">
        <v>1</v>
      </c>
      <c r="O36" s="250" t="s">
        <v>76</v>
      </c>
      <c r="P36" s="824">
        <v>0</v>
      </c>
      <c r="Q36" s="824">
        <v>228</v>
      </c>
      <c r="R36" s="824">
        <v>0</v>
      </c>
      <c r="S36" s="824">
        <v>228</v>
      </c>
      <c r="T36" s="824">
        <v>11047</v>
      </c>
      <c r="U36" s="824">
        <v>94</v>
      </c>
      <c r="V36" s="824">
        <v>16</v>
      </c>
      <c r="W36" s="824">
        <v>171</v>
      </c>
      <c r="X36" s="824">
        <f>Tableau1[[#This Row],[Coût Abonnement offre]]+Tableau1[[#This Row],[Coût Abonnement Chassis]]+Tableau1[[#This Row],[Cout Cartes interface ]]+Tableau1[[#This Row],[Cout canaux voix supplémentaire]]</f>
        <v>11328</v>
      </c>
      <c r="Y36" s="824">
        <v>66</v>
      </c>
      <c r="Z36" s="966">
        <v>0</v>
      </c>
      <c r="AA36" s="966">
        <v>0</v>
      </c>
      <c r="AB36" s="969">
        <v>0</v>
      </c>
      <c r="AC36" s="969">
        <v>0</v>
      </c>
      <c r="AD36" s="969">
        <v>0</v>
      </c>
      <c r="AE36" s="264">
        <v>160</v>
      </c>
      <c r="AF36" s="264">
        <v>0</v>
      </c>
      <c r="AG36" s="264">
        <v>0</v>
      </c>
      <c r="AH36" s="264">
        <v>0</v>
      </c>
      <c r="AI36" s="973">
        <v>0</v>
      </c>
      <c r="AJ36" s="263">
        <v>160</v>
      </c>
      <c r="AK36" s="987">
        <v>2600</v>
      </c>
      <c r="AL36" s="263">
        <f>VLOOKUP(Tableau1[[#This Row],[Code PAS]],'Facturation PAS RIN5 RUN'!C:F,4,0)</f>
        <v>16</v>
      </c>
      <c r="AM36" s="263"/>
      <c r="AN36" s="263" t="b">
        <f>ROUND(Tableau1[[#This Row],[Montant Options coûts récurrents]],0)=ROUND(Tableau1[[#This Row],[GTRS1 (Coût Plage de support 24h/24 7j/7)]],0)</f>
        <v>0</v>
      </c>
      <c r="AO36" s="265" t="e">
        <f>_xlfn.XLOOKUP(Tableau1[[#This Row],[Code PAS]],'parc SATIN 08012026v'!K:K,'parc SATIN 08012026v'!#REF!,0,0)</f>
        <v>#REF!</v>
      </c>
      <c r="AP36" s="263" t="e">
        <f>VLOOKUP(Tableau1[[#This Row],[Code PAS]],#REF!,3,0)</f>
        <v>#REF!</v>
      </c>
      <c r="AQ36" s="263" t="e">
        <f>VLOOKUP(Tableau1[[#This Row],[Code PAS]],[14]Feuil1!$B:$G,6,0)</f>
        <v>#N/A</v>
      </c>
      <c r="AR36" s="263" t="str">
        <f>_xlfn.XLOOKUP(Tableau1[[#This Row],[Code PAS]],'Facturation PAS RIN5 RUN'!C:C,'Facturation PAS RIN5 RUN'!B:B,0,0)</f>
        <v>Gold_160_160</v>
      </c>
      <c r="AS36" s="263" t="b">
        <f>Tableau1[[#This Row],[Etat facturation]]=Tableau1[[#This Row],[Index offre du fournisseur]]</f>
        <v>1</v>
      </c>
      <c r="AT36" s="250" t="str">
        <f>_xlfn.XLOOKUP(Tableau1[[#This Row],[Code PAS]],'parc SATIN 08012026v'!K:K,'parc SATIN 08012026v'!M:M,0,0)</f>
        <v>PARC</v>
      </c>
      <c r="AU36" s="250" t="str">
        <f>_xlfn.XLOOKUP(Tableau1[[#This Row],[Code PAS]],'parc SATIN 08012026v'!K:K,'parc SATIN 08012026v'!O:O,0,0)</f>
        <v>PARC</v>
      </c>
      <c r="AV36" s="251">
        <f>_xlfn.XLOOKUP(Tableau1[[#This Row],[Code PAS]],'parc SATIN 08012026v'!K:K,'parc SATIN 08012026v'!Q:Q,0,0)</f>
        <v>45849</v>
      </c>
      <c r="AW36" s="251" t="str">
        <f>_xlfn.XLOOKUP(Tableau1[[#This Row],[Code PAS]],'parc SATIN 08012026v'!K:K,'parc SATIN 08012026v'!S:S,0,0)</f>
        <v>change</v>
      </c>
      <c r="AX36" s="250" t="str">
        <f>_xlfn.XLOOKUP(Tableau1[[#This Row],[Code PAS]],'parc SATIN 08012026v'!K:K,'parc SATIN 08012026v'!AF:AF,0,0)</f>
        <v>160 Mb/s</v>
      </c>
      <c r="AY3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160</v>
      </c>
    </row>
    <row r="37" spans="1:52" s="250" customFormat="1" ht="15" customHeight="1" x14ac:dyDescent="0.3">
      <c r="A37" s="250" t="s">
        <v>2758</v>
      </c>
      <c r="C37" s="249"/>
      <c r="D37" s="249"/>
      <c r="E37" s="250" t="s">
        <v>2927</v>
      </c>
      <c r="F37" s="984" t="s">
        <v>2275</v>
      </c>
      <c r="G37" s="250" t="s">
        <v>2813</v>
      </c>
      <c r="H37" s="250" t="s">
        <v>2813</v>
      </c>
      <c r="I37" s="250" t="s">
        <v>2928</v>
      </c>
      <c r="J37" s="248" t="str">
        <f>_xlfn.XLOOKUP(Tableau1[[#This Row],[Code PAS]],'[13]Parc Satin'!$L:$L,'[13]Parc Satin'!$CK:$CK,0,0)</f>
        <v>Nominal C2E Fibre Secours C2E Fibre</v>
      </c>
      <c r="K37" s="250" t="s">
        <v>2814</v>
      </c>
      <c r="L37" s="250">
        <v>300</v>
      </c>
      <c r="M37" s="250">
        <v>50</v>
      </c>
      <c r="N37" s="250">
        <v>1</v>
      </c>
      <c r="O37" s="250" t="s">
        <v>76</v>
      </c>
      <c r="P37" s="820">
        <v>0</v>
      </c>
      <c r="Q37" s="820">
        <v>379</v>
      </c>
      <c r="R37" s="820">
        <v>0</v>
      </c>
      <c r="S37" s="820">
        <v>379</v>
      </c>
      <c r="T37" s="824">
        <v>1649</v>
      </c>
      <c r="U37" s="824">
        <v>44</v>
      </c>
      <c r="V37" s="824">
        <v>40</v>
      </c>
      <c r="W37" s="824">
        <v>5</v>
      </c>
      <c r="X37" s="823">
        <f>Tableau1[[#This Row],[Coût Abonnement offre]]+Tableau1[[#This Row],[Coût Abonnement Chassis]]+Tableau1[[#This Row],[Cout Cartes interface ]]+Tableau1[[#This Row],[Cout canaux voix supplémentaire]]</f>
        <v>1738</v>
      </c>
      <c r="Y37" s="824">
        <v>66</v>
      </c>
      <c r="Z37" s="966">
        <v>0</v>
      </c>
      <c r="AA37" s="966">
        <v>0</v>
      </c>
      <c r="AB37" s="969">
        <v>0</v>
      </c>
      <c r="AC37" s="969">
        <v>0</v>
      </c>
      <c r="AD37" s="969">
        <v>0</v>
      </c>
      <c r="AE37" s="264">
        <v>20</v>
      </c>
      <c r="AF37" s="264">
        <v>300</v>
      </c>
      <c r="AG37" s="264">
        <v>50</v>
      </c>
      <c r="AH37" s="264">
        <v>350</v>
      </c>
      <c r="AI37" s="973">
        <v>5</v>
      </c>
      <c r="AJ37" s="263">
        <v>20</v>
      </c>
      <c r="AK37" s="987">
        <v>350</v>
      </c>
      <c r="AL37" s="263">
        <f>VLOOKUP(Tableau1[[#This Row],[Code PAS]],'Facturation PAS RIN5 RUN'!C:F,4,0)</f>
        <v>40</v>
      </c>
      <c r="AM37" s="263"/>
      <c r="AN37" s="263" t="b">
        <f>ROUND(Tableau1[[#This Row],[Montant Options coûts récurrents]],0)=ROUND(Tableau1[[#This Row],[GTRS1 (Coût Plage de support 24h/24 7j/7)]],0)</f>
        <v>0</v>
      </c>
      <c r="AO37" s="265" t="e">
        <f>_xlfn.XLOOKUP(Tableau1[[#This Row],[Code PAS]],'parc SATIN 08012026v'!K:K,'parc SATIN 08012026v'!#REF!,0,0)</f>
        <v>#REF!</v>
      </c>
      <c r="AP37" s="263" t="e">
        <f>VLOOKUP(Tableau1[[#This Row],[Code PAS]],#REF!,3,0)</f>
        <v>#REF!</v>
      </c>
      <c r="AQ37" s="263" t="e">
        <f>VLOOKUP(Tableau1[[#This Row],[Code PAS]],[14]Feuil1!$B:$G,6,0)</f>
        <v>#N/A</v>
      </c>
      <c r="AR37" s="263" t="str">
        <f>_xlfn.XLOOKUP(Tableau1[[#This Row],[Code PAS]],'Facturation PAS RIN5 RUN'!C:C,'Facturation PAS RIN5 RUN'!B:B,0,0)</f>
        <v>Silver_20_20</v>
      </c>
      <c r="AS37" s="263" t="b">
        <f>Tableau1[[#This Row],[Etat facturation]]=Tableau1[[#This Row],[Index offre du fournisseur]]</f>
        <v>1</v>
      </c>
      <c r="AT37" s="250" t="str">
        <f>_xlfn.XLOOKUP(Tableau1[[#This Row],[Code PAS]],'parc SATIN 08012026v'!K:K,'parc SATIN 08012026v'!M:M,0,0)</f>
        <v>PARC</v>
      </c>
      <c r="AU37" s="250" t="str">
        <f>_xlfn.XLOOKUP(Tableau1[[#This Row],[Code PAS]],'parc SATIN 08012026v'!K:K,'parc SATIN 08012026v'!O:O,0,0)</f>
        <v>EN COURS</v>
      </c>
      <c r="AV37" s="251">
        <f>_xlfn.XLOOKUP(Tableau1[[#This Row],[Code PAS]],'parc SATIN 08012026v'!K:K,'parc SATIN 08012026v'!Q:Q,0,0)</f>
        <v>0</v>
      </c>
      <c r="AW37" s="251" t="str">
        <f>_xlfn.XLOOKUP(Tableau1[[#This Row],[Code PAS]],'parc SATIN 08012026v'!K:K,'parc SATIN 08012026v'!S:S,0,0)</f>
        <v>change</v>
      </c>
      <c r="AX37" s="250" t="str">
        <f>_xlfn.XLOOKUP(Tableau1[[#This Row],[Code PAS]],'parc SATIN 08012026v'!K:K,'parc SATIN 08012026v'!AF:AF,0,0)</f>
        <v>20 Mb/s</v>
      </c>
      <c r="AY3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38" spans="1:52" s="250" customFormat="1" ht="15" customHeight="1" x14ac:dyDescent="0.3">
      <c r="A38" s="248"/>
      <c r="B38" s="249">
        <v>45547</v>
      </c>
      <c r="C38" s="248"/>
      <c r="D38" s="248"/>
      <c r="E38" s="250" t="s">
        <v>2929</v>
      </c>
      <c r="F38" s="984" t="s">
        <v>1798</v>
      </c>
      <c r="G38" s="250" t="s">
        <v>2751</v>
      </c>
      <c r="H38" s="250" t="s">
        <v>2751</v>
      </c>
      <c r="I38" s="250" t="s">
        <v>165</v>
      </c>
      <c r="J38" s="248" t="str">
        <f>_xlfn.XLOOKUP(Tableau1[[#This Row],[Code PAS]],'[13]Parc Satin'!$L:$L,'[13]Parc Satin'!$CK:$CK,0,0)</f>
        <v>Nominal InterLan 1.0 sans Secours</v>
      </c>
      <c r="L38" s="250">
        <v>120</v>
      </c>
      <c r="M38" s="250">
        <v>60</v>
      </c>
      <c r="N38" s="252">
        <v>1</v>
      </c>
      <c r="O38" s="252" t="s">
        <v>76</v>
      </c>
      <c r="P38" s="824">
        <v>3000</v>
      </c>
      <c r="Q38" s="824">
        <v>602</v>
      </c>
      <c r="R38" s="824">
        <v>0</v>
      </c>
      <c r="S38" s="824">
        <v>3602</v>
      </c>
      <c r="T38" s="824">
        <v>818</v>
      </c>
      <c r="U38" s="824">
        <v>42</v>
      </c>
      <c r="V38" s="824">
        <v>0</v>
      </c>
      <c r="W38" s="824">
        <v>5</v>
      </c>
      <c r="X38" s="824">
        <f>Tableau1[[#This Row],[Coût Abonnement offre]]+Tableau1[[#This Row],[Coût Abonnement Chassis]]+Tableau1[[#This Row],[Cout Cartes interface ]]+Tableau1[[#This Row],[Cout canaux voix supplémentaire]]</f>
        <v>865</v>
      </c>
      <c r="Y38" s="824">
        <v>36</v>
      </c>
      <c r="Z38" s="966">
        <v>0</v>
      </c>
      <c r="AA38" s="966">
        <v>0</v>
      </c>
      <c r="AB38" s="969">
        <v>0</v>
      </c>
      <c r="AC38" s="969">
        <v>0</v>
      </c>
      <c r="AD38" s="969">
        <v>0</v>
      </c>
      <c r="AE38" s="264">
        <v>10</v>
      </c>
      <c r="AF38" s="264">
        <v>120</v>
      </c>
      <c r="AG38" s="264">
        <v>60</v>
      </c>
      <c r="AH38" s="264">
        <v>180</v>
      </c>
      <c r="AI38" s="973">
        <v>5</v>
      </c>
      <c r="AJ38" s="263">
        <v>10</v>
      </c>
      <c r="AK38" s="987">
        <v>180</v>
      </c>
      <c r="AL38" s="263">
        <f>VLOOKUP(Tableau1[[#This Row],[Code PAS]],'Facturation PAS RIN5 RUN'!C:F,4,0)</f>
        <v>0</v>
      </c>
      <c r="AM38" s="263"/>
      <c r="AN38" s="263" t="b">
        <f>ROUND(Tableau1[[#This Row],[Montant Options coûts récurrents]],0)=ROUND(Tableau1[[#This Row],[GTRS1 (Coût Plage de support 24h/24 7j/7)]],0)</f>
        <v>0</v>
      </c>
      <c r="AO38" s="265" t="e">
        <f>_xlfn.XLOOKUP(Tableau1[[#This Row],[Code PAS]],'parc SATIN 08012026v'!K:K,'parc SATIN 08012026v'!#REF!,0,0)</f>
        <v>#REF!</v>
      </c>
      <c r="AP38" s="263" t="e">
        <f>VLOOKUP(Tableau1[[#This Row],[Code PAS]],#REF!,3,0)</f>
        <v>#REF!</v>
      </c>
      <c r="AQ38" s="263" t="e">
        <f>VLOOKUP(Tableau1[[#This Row],[Code PAS]],[14]Feuil1!$B:$G,6,0)</f>
        <v>#N/A</v>
      </c>
      <c r="AR38" s="263" t="str">
        <f>_xlfn.XLOOKUP(Tableau1[[#This Row],[Code PAS]],'Facturation PAS RIN5 RUN'!C:C,'Facturation PAS RIN5 RUN'!B:B,0,0)</f>
        <v>Bronze_10_0</v>
      </c>
      <c r="AS38" s="263" t="b">
        <f>Tableau1[[#This Row],[Etat facturation]]=Tableau1[[#This Row],[Index offre du fournisseur]]</f>
        <v>1</v>
      </c>
      <c r="AT38" s="250" t="str">
        <f>_xlfn.XLOOKUP(Tableau1[[#This Row],[Code PAS]],'parc SATIN 08012026v'!K:K,'parc SATIN 08012026v'!M:M,0,0)</f>
        <v>PARC</v>
      </c>
      <c r="AU38" s="250" t="str">
        <f>_xlfn.XLOOKUP(Tableau1[[#This Row],[Code PAS]],'parc SATIN 08012026v'!K:K,'parc SATIN 08012026v'!O:O,0,0)</f>
        <v>PARC</v>
      </c>
      <c r="AV38" s="251">
        <f>_xlfn.XLOOKUP(Tableau1[[#This Row],[Code PAS]],'parc SATIN 08012026v'!K:K,'parc SATIN 08012026v'!Q:Q,0,0)</f>
        <v>45547</v>
      </c>
      <c r="AW38" s="251" t="str">
        <f>_xlfn.XLOOKUP(Tableau1[[#This Row],[Code PAS]],'parc SATIN 08012026v'!K:K,'parc SATIN 08012026v'!S:S,0,0)</f>
        <v>création</v>
      </c>
      <c r="AX38" s="250" t="str">
        <f>_xlfn.XLOOKUP(Tableau1[[#This Row],[Code PAS]],'parc SATIN 08012026v'!K:K,'parc SATIN 08012026v'!AF:AF,0,0)</f>
        <v>10 Mb/s</v>
      </c>
      <c r="AY3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39" spans="1:52" s="250" customFormat="1" ht="15" customHeight="1" x14ac:dyDescent="0.3">
      <c r="A39" s="248" t="s">
        <v>2735</v>
      </c>
      <c r="B39" s="248"/>
      <c r="C39" s="249"/>
      <c r="D39" s="249"/>
      <c r="E39" s="250" t="s">
        <v>2933</v>
      </c>
      <c r="F39" s="984" t="s">
        <v>591</v>
      </c>
      <c r="G39" s="250" t="s">
        <v>2841</v>
      </c>
      <c r="H39" s="250" t="s">
        <v>2841</v>
      </c>
      <c r="I39" s="250" t="s">
        <v>165</v>
      </c>
      <c r="J39" s="248" t="str">
        <f>_xlfn.XLOOKUP(Tableau1[[#This Row],[Code PAS]],'[13]Parc Satin'!$L:$L,'[13]Parc Satin'!$CK:$CK,0,0)</f>
        <v>Nominal InterLan 1.0 sans Secours</v>
      </c>
      <c r="L39" s="250">
        <v>600</v>
      </c>
      <c r="M39" s="250">
        <v>1200</v>
      </c>
      <c r="N39" s="250">
        <v>1</v>
      </c>
      <c r="O39" s="250" t="s">
        <v>76</v>
      </c>
      <c r="P39" s="824">
        <v>0</v>
      </c>
      <c r="Q39" s="824">
        <v>0</v>
      </c>
      <c r="R39" s="824">
        <v>0</v>
      </c>
      <c r="S39" s="824">
        <v>0</v>
      </c>
      <c r="T39" s="824">
        <v>5101</v>
      </c>
      <c r="U39" s="824">
        <v>95</v>
      </c>
      <c r="V39" s="824">
        <v>36</v>
      </c>
      <c r="W39" s="824">
        <v>108</v>
      </c>
      <c r="X39" s="824">
        <f>Tableau1[[#This Row],[Coût Abonnement offre]]+Tableau1[[#This Row],[Coût Abonnement Chassis]]+Tableau1[[#This Row],[Cout Cartes interface ]]+Tableau1[[#This Row],[Cout canaux voix supplémentaire]]</f>
        <v>5340</v>
      </c>
      <c r="Y39" s="824">
        <v>36</v>
      </c>
      <c r="Z39" s="966">
        <v>0</v>
      </c>
      <c r="AA39" s="966">
        <v>0</v>
      </c>
      <c r="AB39" s="969">
        <v>0</v>
      </c>
      <c r="AC39" s="969">
        <v>0</v>
      </c>
      <c r="AD39" s="969">
        <v>0</v>
      </c>
      <c r="AE39" s="264">
        <v>100</v>
      </c>
      <c r="AF39" s="264">
        <v>600</v>
      </c>
      <c r="AG39" s="264">
        <v>1200</v>
      </c>
      <c r="AH39" s="264">
        <v>1800</v>
      </c>
      <c r="AI39" s="973">
        <v>108</v>
      </c>
      <c r="AJ39" s="263">
        <v>100</v>
      </c>
      <c r="AK39" s="987">
        <v>1800</v>
      </c>
      <c r="AL39" s="263">
        <f>VLOOKUP(Tableau1[[#This Row],[Code PAS]],'Facturation PAS RIN5 RUN'!C:F,4,0)</f>
        <v>36</v>
      </c>
      <c r="AM39" s="263"/>
      <c r="AN39" s="263" t="b">
        <f>ROUND(Tableau1[[#This Row],[Montant Options coûts récurrents]],0)=ROUND(Tableau1[[#This Row],[GTRS1 (Coût Plage de support 24h/24 7j/7)]],0)</f>
        <v>1</v>
      </c>
      <c r="AO39" s="265" t="e">
        <f>_xlfn.XLOOKUP(Tableau1[[#This Row],[Code PAS]],'parc SATIN 08012026v'!K:K,'parc SATIN 08012026v'!#REF!,0,0)</f>
        <v>#REF!</v>
      </c>
      <c r="AP39" s="263" t="e">
        <f>VLOOKUP(Tableau1[[#This Row],[Code PAS]],#REF!,3,0)</f>
        <v>#REF!</v>
      </c>
      <c r="AQ39" s="263" t="e">
        <f>VLOOKUP(Tableau1[[#This Row],[Code PAS]],[14]Feuil1!$B:$G,6,0)</f>
        <v>#N/A</v>
      </c>
      <c r="AR39" s="263" t="str">
        <f>_xlfn.XLOOKUP(Tableau1[[#This Row],[Code PAS]],'Facturation PAS RIN5 RUN'!C:C,'Facturation PAS RIN5 RUN'!B:B,0,0)</f>
        <v>Platinum_Man_100_0</v>
      </c>
      <c r="AS39" s="263" t="b">
        <f>Tableau1[[#This Row],[Etat facturation]]=Tableau1[[#This Row],[Index offre du fournisseur]]</f>
        <v>1</v>
      </c>
      <c r="AT39" s="250" t="str">
        <f>_xlfn.XLOOKUP(Tableau1[[#This Row],[Code PAS]],'parc SATIN 08012026v'!K:K,'parc SATIN 08012026v'!M:M,0,0)</f>
        <v>PARC</v>
      </c>
      <c r="AU39" s="250" t="str">
        <f>_xlfn.XLOOKUP(Tableau1[[#This Row],[Code PAS]],'parc SATIN 08012026v'!K:K,'parc SATIN 08012026v'!O:O,0,0)</f>
        <v>PARC</v>
      </c>
      <c r="AV39" s="251">
        <f>_xlfn.XLOOKUP(Tableau1[[#This Row],[Code PAS]],'parc SATIN 08012026v'!K:K,'parc SATIN 08012026v'!Q:Q,0,0)</f>
        <v>44573</v>
      </c>
      <c r="AW39" s="251" t="str">
        <f>_xlfn.XLOOKUP(Tableau1[[#This Row],[Code PAS]],'parc SATIN 08012026v'!K:K,'parc SATIN 08012026v'!S:S,0,0)</f>
        <v>change</v>
      </c>
      <c r="AX39" s="250" t="str">
        <f>_xlfn.XLOOKUP(Tableau1[[#This Row],[Code PAS]],'parc SATIN 08012026v'!K:K,'parc SATIN 08012026v'!AF:AF,0,0)</f>
        <v>100 Mb/s</v>
      </c>
      <c r="AY39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100</v>
      </c>
    </row>
    <row r="40" spans="1:52" s="250" customFormat="1" ht="15" customHeight="1" x14ac:dyDescent="0.3">
      <c r="A40" s="248" t="s">
        <v>2735</v>
      </c>
      <c r="B40" s="248"/>
      <c r="C40" s="249"/>
      <c r="D40" s="249"/>
      <c r="E40" s="248" t="s">
        <v>2934</v>
      </c>
      <c r="F40" s="981" t="s">
        <v>539</v>
      </c>
      <c r="G40" s="250" t="s">
        <v>2768</v>
      </c>
      <c r="H40" s="248" t="s">
        <v>2768</v>
      </c>
      <c r="I40" s="248" t="s">
        <v>165</v>
      </c>
      <c r="J40" s="248" t="str">
        <f>_xlfn.XLOOKUP(Tableau1[[#This Row],[Code PAS]],'[13]Parc Satin'!$L:$L,'[13]Parc Satin'!$CK:$CK,0,0)</f>
        <v>Nominal InterLan 1.0 Secours InterLan 1.0</v>
      </c>
      <c r="K40" s="248" t="s">
        <v>2829</v>
      </c>
      <c r="L40" s="248">
        <v>120</v>
      </c>
      <c r="M40" s="248">
        <v>60</v>
      </c>
      <c r="N40" s="248">
        <v>1</v>
      </c>
      <c r="O40" s="248" t="s">
        <v>76</v>
      </c>
      <c r="P40" s="822">
        <v>0</v>
      </c>
      <c r="Q40" s="822">
        <v>221</v>
      </c>
      <c r="R40" s="822">
        <v>0</v>
      </c>
      <c r="S40" s="822">
        <v>221</v>
      </c>
      <c r="T40" s="823">
        <v>1229</v>
      </c>
      <c r="U40" s="823">
        <v>44</v>
      </c>
      <c r="V40" s="823">
        <v>40</v>
      </c>
      <c r="W40" s="823">
        <v>5</v>
      </c>
      <c r="X40" s="823">
        <f>Tableau1[[#This Row],[Coût Abonnement offre]]+Tableau1[[#This Row],[Coût Abonnement Chassis]]+Tableau1[[#This Row],[Cout Cartes interface ]]+Tableau1[[#This Row],[Cout canaux voix supplémentaire]]</f>
        <v>1318</v>
      </c>
      <c r="Y40" s="823">
        <v>66</v>
      </c>
      <c r="Z40" s="966">
        <v>0</v>
      </c>
      <c r="AA40" s="966">
        <v>0</v>
      </c>
      <c r="AB40" s="969">
        <v>0</v>
      </c>
      <c r="AC40" s="969">
        <v>0</v>
      </c>
      <c r="AD40" s="969">
        <v>0</v>
      </c>
      <c r="AE40" s="264">
        <v>10</v>
      </c>
      <c r="AF40" s="264">
        <v>120</v>
      </c>
      <c r="AG40" s="264">
        <v>60</v>
      </c>
      <c r="AH40" s="264">
        <v>180</v>
      </c>
      <c r="AI40" s="973">
        <v>5</v>
      </c>
      <c r="AJ40" s="263">
        <v>10</v>
      </c>
      <c r="AK40" s="987">
        <v>180</v>
      </c>
      <c r="AL40" s="263">
        <f>VLOOKUP(Tableau1[[#This Row],[Code PAS]],'Facturation PAS RIN5 RUN'!C:F,4,0)</f>
        <v>40</v>
      </c>
      <c r="AM40" s="263"/>
      <c r="AN40" s="263" t="b">
        <f>ROUND(Tableau1[[#This Row],[Montant Options coûts récurrents]],0)=ROUND(Tableau1[[#This Row],[GTRS1 (Coût Plage de support 24h/24 7j/7)]],0)</f>
        <v>0</v>
      </c>
      <c r="AO40" s="265" t="e">
        <f>_xlfn.XLOOKUP(Tableau1[[#This Row],[Code PAS]],'parc SATIN 08012026v'!K:K,'parc SATIN 08012026v'!#REF!,0,0)</f>
        <v>#REF!</v>
      </c>
      <c r="AP40" s="263" t="e">
        <f>VLOOKUP(Tableau1[[#This Row],[Code PAS]],#REF!,3,0)</f>
        <v>#REF!</v>
      </c>
      <c r="AQ40" s="263" t="e">
        <f>VLOOKUP(Tableau1[[#This Row],[Code PAS]],[14]Feuil1!$B:$G,6,0)</f>
        <v>#N/A</v>
      </c>
      <c r="AR40" s="263" t="str">
        <f>_xlfn.XLOOKUP(Tableau1[[#This Row],[Code PAS]],'Facturation PAS RIN5 RUN'!C:C,'Facturation PAS RIN5 RUN'!B:B,0,0)</f>
        <v>Gold_10_10</v>
      </c>
      <c r="AS40" s="263" t="b">
        <f>Tableau1[[#This Row],[Etat facturation]]=Tableau1[[#This Row],[Index offre du fournisseur]]</f>
        <v>1</v>
      </c>
      <c r="AT40" s="250" t="str">
        <f>_xlfn.XLOOKUP(Tableau1[[#This Row],[Code PAS]],'parc SATIN 08012026v'!K:K,'parc SATIN 08012026v'!M:M,0,0)</f>
        <v>PARC</v>
      </c>
      <c r="AU40" s="250" t="str">
        <f>_xlfn.XLOOKUP(Tableau1[[#This Row],[Code PAS]],'parc SATIN 08012026v'!K:K,'parc SATIN 08012026v'!O:O,0,0)</f>
        <v>PARC</v>
      </c>
      <c r="AV40" s="251">
        <f>_xlfn.XLOOKUP(Tableau1[[#This Row],[Code PAS]],'parc SATIN 08012026v'!K:K,'parc SATIN 08012026v'!Q:Q,0,0)</f>
        <v>44991</v>
      </c>
      <c r="AW40" s="251" t="str">
        <f>_xlfn.XLOOKUP(Tableau1[[#This Row],[Code PAS]],'parc SATIN 08012026v'!K:K,'parc SATIN 08012026v'!S:S,0,0)</f>
        <v>change</v>
      </c>
      <c r="AX40" s="250" t="str">
        <f>_xlfn.XLOOKUP(Tableau1[[#This Row],[Code PAS]],'parc SATIN 08012026v'!K:K,'parc SATIN 08012026v'!AF:AF,0,0)</f>
        <v>10 Mb/s</v>
      </c>
      <c r="AY4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41" spans="1:52" s="250" customFormat="1" ht="15" customHeight="1" x14ac:dyDescent="0.3">
      <c r="A41" s="250" t="s">
        <v>2758</v>
      </c>
      <c r="C41" s="249"/>
      <c r="D41" s="249"/>
      <c r="E41" s="250" t="s">
        <v>2935</v>
      </c>
      <c r="F41" s="984" t="s">
        <v>2366</v>
      </c>
      <c r="H41" s="250" t="s">
        <v>2757</v>
      </c>
      <c r="J41" s="248" t="str">
        <f>_xlfn.XLOOKUP(Tableau1[[#This Row],[Code PAS]],'[13]Parc Satin'!$L:$L,'[13]Parc Satin'!$CK:$CK,0,0)</f>
        <v>Nominal C2E Fibre sans Secours</v>
      </c>
      <c r="P41" s="820">
        <v>0</v>
      </c>
      <c r="Q41" s="820">
        <v>0</v>
      </c>
      <c r="R41" s="820">
        <v>0</v>
      </c>
      <c r="S41" s="820">
        <v>0</v>
      </c>
      <c r="T41" s="824">
        <v>356</v>
      </c>
      <c r="U41" s="824">
        <v>12</v>
      </c>
      <c r="V41" s="824">
        <v>0</v>
      </c>
      <c r="W41" s="824">
        <v>0</v>
      </c>
      <c r="X41" s="823">
        <f>Tableau1[[#This Row],[Coût Abonnement offre]]+Tableau1[[#This Row],[Coût Abonnement Chassis]]+Tableau1[[#This Row],[Cout Cartes interface ]]+Tableau1[[#This Row],[Cout canaux voix supplémentaire]]</f>
        <v>368</v>
      </c>
      <c r="Y41" s="824">
        <v>0</v>
      </c>
      <c r="Z41" s="966">
        <v>0</v>
      </c>
      <c r="AA41" s="966">
        <v>0</v>
      </c>
      <c r="AB41" s="969">
        <v>0</v>
      </c>
      <c r="AC41" s="969">
        <v>0</v>
      </c>
      <c r="AD41" s="969">
        <v>0</v>
      </c>
      <c r="AE41" s="264">
        <v>4</v>
      </c>
      <c r="AF41" s="264">
        <v>40</v>
      </c>
      <c r="AG41" s="264">
        <v>30</v>
      </c>
      <c r="AH41" s="264">
        <v>70</v>
      </c>
      <c r="AI41" s="973">
        <v>27</v>
      </c>
      <c r="AJ41" s="263">
        <v>4</v>
      </c>
      <c r="AK41" s="987">
        <v>40</v>
      </c>
      <c r="AL41" s="263">
        <f>VLOOKUP(Tableau1[[#This Row],[Code PAS]],'Facturation PAS RIN5 RUN'!C:F,4,0)</f>
        <v>0</v>
      </c>
      <c r="AM41" s="263"/>
      <c r="AN41" s="263" t="b">
        <f>ROUND(Tableau1[[#This Row],[Montant Options coûts récurrents]],0)=ROUND(Tableau1[[#This Row],[GTRS1 (Coût Plage de support 24h/24 7j/7)]],0)</f>
        <v>1</v>
      </c>
      <c r="AO41" s="265" t="e">
        <f>_xlfn.XLOOKUP(Tableau1[[#This Row],[Code PAS]],'parc SATIN 08012026v'!K:K,'parc SATIN 08012026v'!#REF!,0,0)</f>
        <v>#REF!</v>
      </c>
      <c r="AP41" s="263" t="e">
        <f>VLOOKUP(Tableau1[[#This Row],[Code PAS]],#REF!,3,0)</f>
        <v>#REF!</v>
      </c>
      <c r="AQ41" s="263" t="e">
        <f>VLOOKUP(Tableau1[[#This Row],[Code PAS]],[14]Feuil1!$B:$G,6,0)</f>
        <v>#N/A</v>
      </c>
      <c r="AR41" s="263" t="str">
        <f>_xlfn.XLOOKUP(Tableau1[[#This Row],[Code PAS]],'Facturation PAS RIN5 RUN'!C:C,'Facturation PAS RIN5 RUN'!B:B,0,0)</f>
        <v>Bronze_4_0</v>
      </c>
      <c r="AS41" s="263" t="b">
        <f>Tableau1[[#This Row],[Etat facturation]]=Tableau1[[#This Row],[Index offre du fournisseur]]</f>
        <v>1</v>
      </c>
      <c r="AT41" s="250" t="str">
        <f>_xlfn.XLOOKUP(Tableau1[[#This Row],[Code PAS]],'parc SATIN 08012026v'!K:K,'parc SATIN 08012026v'!M:M,0,0)</f>
        <v>PARC</v>
      </c>
      <c r="AU41" s="250" t="str">
        <f>_xlfn.XLOOKUP(Tableau1[[#This Row],[Code PAS]],'parc SATIN 08012026v'!K:K,'parc SATIN 08012026v'!O:O,0,0)</f>
        <v>PARC</v>
      </c>
      <c r="AV41" s="251">
        <f>_xlfn.XLOOKUP(Tableau1[[#This Row],[Code PAS]],'parc SATIN 08012026v'!K:K,'parc SATIN 08012026v'!Q:Q,0,0)</f>
        <v>44082</v>
      </c>
      <c r="AW41" s="251" t="str">
        <f>_xlfn.XLOOKUP(Tableau1[[#This Row],[Code PAS]],'parc SATIN 08012026v'!K:K,'parc SATIN 08012026v'!S:S,0,0)</f>
        <v>création</v>
      </c>
      <c r="AX41" s="250" t="str">
        <f>_xlfn.XLOOKUP(Tableau1[[#This Row],[Code PAS]],'parc SATIN 08012026v'!K:K,'parc SATIN 08012026v'!AF:AF,0,0)</f>
        <v>4 Mb/s</v>
      </c>
      <c r="AY4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41" s="250" t="s">
        <v>2868</v>
      </c>
    </row>
    <row r="42" spans="1:52" s="250" customFormat="1" ht="15" customHeight="1" x14ac:dyDescent="0.3">
      <c r="A42" s="250" t="s">
        <v>2739</v>
      </c>
      <c r="C42" s="249"/>
      <c r="D42" s="249"/>
      <c r="E42" s="250" t="s">
        <v>2936</v>
      </c>
      <c r="F42" s="981" t="s">
        <v>1607</v>
      </c>
      <c r="G42" s="250" t="s">
        <v>2825</v>
      </c>
      <c r="H42" s="250" t="s">
        <v>2825</v>
      </c>
      <c r="I42" s="250" t="s">
        <v>78</v>
      </c>
      <c r="J42" s="248" t="s">
        <v>2829</v>
      </c>
      <c r="K42" s="250" t="s">
        <v>2829</v>
      </c>
      <c r="L42" s="250">
        <v>1200</v>
      </c>
      <c r="M42" s="250">
        <v>13800</v>
      </c>
      <c r="N42" s="250">
        <v>2</v>
      </c>
      <c r="O42" s="250" t="s">
        <v>74</v>
      </c>
      <c r="P42" s="824">
        <v>0</v>
      </c>
      <c r="Q42" s="824">
        <v>0</v>
      </c>
      <c r="R42" s="824">
        <v>0</v>
      </c>
      <c r="S42" s="824">
        <v>0</v>
      </c>
      <c r="T42" s="824">
        <v>2532</v>
      </c>
      <c r="U42" s="824">
        <v>689</v>
      </c>
      <c r="V42" s="824">
        <v>54</v>
      </c>
      <c r="W42" s="824">
        <v>1242</v>
      </c>
      <c r="X42" s="824">
        <v>4517.6340333549615</v>
      </c>
      <c r="Y42" s="824">
        <v>0</v>
      </c>
      <c r="Z42" s="966">
        <v>0</v>
      </c>
      <c r="AA42" s="966">
        <v>0</v>
      </c>
      <c r="AB42" s="969">
        <v>0</v>
      </c>
      <c r="AC42" s="969">
        <v>0</v>
      </c>
      <c r="AD42" s="969">
        <v>0</v>
      </c>
      <c r="AE42" s="264">
        <v>800</v>
      </c>
      <c r="AF42" s="264">
        <v>1200</v>
      </c>
      <c r="AG42" s="264">
        <v>13800</v>
      </c>
      <c r="AH42" s="264">
        <v>15000</v>
      </c>
      <c r="AI42" s="973">
        <v>1242</v>
      </c>
      <c r="AJ42" s="263">
        <v>1000</v>
      </c>
      <c r="AK42" s="987">
        <v>20000</v>
      </c>
      <c r="AL42" s="263">
        <f>VLOOKUP(Tableau1[[#This Row],[Code PAS]],'Facturation PAS RIN5 RUN'!C:F,4,0)</f>
        <v>54</v>
      </c>
      <c r="AM42" s="263"/>
      <c r="AN42" s="263" t="b">
        <f>ROUND(Tableau1[[#This Row],[Montant Options coûts récurrents]],0)=ROUND(Tableau1[[#This Row],[GTRS1 (Coût Plage de support 24h/24 7j/7)]],0)</f>
        <v>0</v>
      </c>
      <c r="AO42" s="265" t="e">
        <f>_xlfn.XLOOKUP(Tableau1[[#This Row],[Code PAS]],'parc SATIN 08012026v'!K:K,'parc SATIN 08012026v'!#REF!,0,0)</f>
        <v>#REF!</v>
      </c>
      <c r="AP42" s="263" t="e">
        <f>VLOOKUP(Tableau1[[#This Row],[Code PAS]],#REF!,3,0)</f>
        <v>#REF!</v>
      </c>
      <c r="AQ42" s="263" t="str">
        <f>VLOOKUP(Tableau1[[#This Row],[Code PAS]],[14]Feuil1!$B:$G,6,0)</f>
        <v>Lundi au Samedi 8h-18h</v>
      </c>
      <c r="AR42" s="263" t="str">
        <f>_xlfn.XLOOKUP(Tableau1[[#This Row],[Code PAS]],'Facturation PAS RIN5 RUN'!C:C,'Facturation PAS RIN5 RUN'!B:B,0,0)</f>
        <v>Platinum_800_800</v>
      </c>
      <c r="AS42" s="263" t="b">
        <f>Tableau1[[#This Row],[Etat facturation]]=Tableau1[[#This Row],[Index offre du fournisseur]]</f>
        <v>1</v>
      </c>
      <c r="AT42" s="250" t="str">
        <f>_xlfn.XLOOKUP(Tableau1[[#This Row],[Code PAS]],'parc SATIN 08012026v'!K:K,'parc SATIN 08012026v'!M:M,0,0)</f>
        <v>PARC</v>
      </c>
      <c r="AU42" s="250" t="str">
        <f>_xlfn.XLOOKUP(Tableau1[[#This Row],[Code PAS]],'parc SATIN 08012026v'!K:K,'parc SATIN 08012026v'!O:O,0,0)</f>
        <v>EN COURS</v>
      </c>
      <c r="AV42" s="251">
        <f>_xlfn.XLOOKUP(Tableau1[[#This Row],[Code PAS]],'parc SATIN 08012026v'!K:K,'parc SATIN 08012026v'!Q:Q,0,0)</f>
        <v>0</v>
      </c>
      <c r="AW42" s="251" t="str">
        <f>_xlfn.XLOOKUP(Tableau1[[#This Row],[Code PAS]],'parc SATIN 08012026v'!K:K,'parc SATIN 08012026v'!S:S,0,0)</f>
        <v>change</v>
      </c>
      <c r="AX42" s="250" t="str">
        <f>_xlfn.XLOOKUP(Tableau1[[#This Row],[Code PAS]],'parc SATIN 08012026v'!K:K,'parc SATIN 08012026v'!AF:AF,0,0)</f>
        <v>1 Gbits/s</v>
      </c>
      <c r="AY4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800</v>
      </c>
      <c r="AZ42" s="250" t="s">
        <v>2937</v>
      </c>
    </row>
    <row r="43" spans="1:52" s="250" customFormat="1" ht="15" customHeight="1" x14ac:dyDescent="0.3">
      <c r="A43" s="248" t="s">
        <v>2735</v>
      </c>
      <c r="B43" s="248"/>
      <c r="C43" s="249"/>
      <c r="D43" s="249"/>
      <c r="E43" s="248" t="s">
        <v>2938</v>
      </c>
      <c r="F43" s="981" t="s">
        <v>893</v>
      </c>
      <c r="H43" s="248" t="s">
        <v>2771</v>
      </c>
      <c r="I43" s="248"/>
      <c r="J43" s="248" t="str">
        <f>_xlfn.XLOOKUP(Tableau1[[#This Row],[Code PAS]],'[13]Parc Satin'!$L:$L,'[13]Parc Satin'!$CK:$CK,0,0)</f>
        <v>Nominal InterLan 1.0 Secours InterLan 1.0</v>
      </c>
      <c r="K43" s="248"/>
      <c r="L43" s="248"/>
      <c r="M43" s="248"/>
      <c r="N43" s="248"/>
      <c r="O43" s="248"/>
      <c r="P43" s="822">
        <v>0</v>
      </c>
      <c r="Q43" s="822">
        <v>0</v>
      </c>
      <c r="R43" s="822">
        <v>0</v>
      </c>
      <c r="S43" s="822">
        <v>0</v>
      </c>
      <c r="T43" s="823">
        <v>1995</v>
      </c>
      <c r="U43" s="823">
        <v>239</v>
      </c>
      <c r="V43" s="823">
        <v>16</v>
      </c>
      <c r="W43" s="823">
        <v>108</v>
      </c>
      <c r="X43" s="823">
        <f>Tableau1[[#This Row],[Coût Abonnement offre]]+Tableau1[[#This Row],[Coût Abonnement Chassis]]+Tableau1[[#This Row],[Cout Cartes interface ]]+Tableau1[[#This Row],[Cout canaux voix supplémentaire]]</f>
        <v>2358</v>
      </c>
      <c r="Y43" s="823">
        <v>66</v>
      </c>
      <c r="Z43" s="966">
        <v>0</v>
      </c>
      <c r="AA43" s="966">
        <v>0</v>
      </c>
      <c r="AB43" s="969">
        <v>0</v>
      </c>
      <c r="AC43" s="969">
        <v>0</v>
      </c>
      <c r="AD43" s="969">
        <v>0</v>
      </c>
      <c r="AE43" s="264">
        <v>100</v>
      </c>
      <c r="AF43" s="264">
        <v>600</v>
      </c>
      <c r="AG43" s="264">
        <v>1200</v>
      </c>
      <c r="AH43" s="264">
        <v>1800</v>
      </c>
      <c r="AI43" s="973">
        <v>108</v>
      </c>
      <c r="AJ43" s="263">
        <v>100</v>
      </c>
      <c r="AK43" s="987">
        <v>1800</v>
      </c>
      <c r="AL43" s="263">
        <f>VLOOKUP(Tableau1[[#This Row],[Code PAS]],'Facturation PAS RIN5 RUN'!C:F,4,0)</f>
        <v>16</v>
      </c>
      <c r="AM43" s="263"/>
      <c r="AN43" s="263" t="b">
        <f>ROUND(Tableau1[[#This Row],[Montant Options coûts récurrents]],0)=ROUND(Tableau1[[#This Row],[GTRS1 (Coût Plage de support 24h/24 7j/7)]],0)</f>
        <v>0</v>
      </c>
      <c r="AO43" s="265" t="e">
        <f>_xlfn.XLOOKUP(Tableau1[[#This Row],[Code PAS]],'parc SATIN 08012026v'!K:K,'parc SATIN 08012026v'!#REF!,0,0)</f>
        <v>#REF!</v>
      </c>
      <c r="AP43" s="263" t="e">
        <f>VLOOKUP(Tableau1[[#This Row],[Code PAS]],#REF!,3,0)</f>
        <v>#REF!</v>
      </c>
      <c r="AQ43" s="263" t="e">
        <f>VLOOKUP(Tableau1[[#This Row],[Code PAS]],[14]Feuil1!$B:$G,6,0)</f>
        <v>#N/A</v>
      </c>
      <c r="AR43" s="263" t="str">
        <f>_xlfn.XLOOKUP(Tableau1[[#This Row],[Code PAS]],'Facturation PAS RIN5 RUN'!C:C,'Facturation PAS RIN5 RUN'!B:B,0,0)</f>
        <v>Platinum_100_100</v>
      </c>
      <c r="AS43" s="263" t="b">
        <f>Tableau1[[#This Row],[Etat facturation]]=Tableau1[[#This Row],[Index offre du fournisseur]]</f>
        <v>1</v>
      </c>
      <c r="AT43" s="250" t="str">
        <f>_xlfn.XLOOKUP(Tableau1[[#This Row],[Code PAS]],'parc SATIN 08012026v'!K:K,'parc SATIN 08012026v'!M:M,0,0)</f>
        <v>PARC</v>
      </c>
      <c r="AU43" s="250" t="str">
        <f>_xlfn.XLOOKUP(Tableau1[[#This Row],[Code PAS]],'parc SATIN 08012026v'!K:K,'parc SATIN 08012026v'!O:O,0,0)</f>
        <v>PARC</v>
      </c>
      <c r="AV43" s="251">
        <f>_xlfn.XLOOKUP(Tableau1[[#This Row],[Code PAS]],'parc SATIN 08012026v'!K:K,'parc SATIN 08012026v'!Q:Q,0,0)</f>
        <v>43795</v>
      </c>
      <c r="AW43" s="251" t="str">
        <f>_xlfn.XLOOKUP(Tableau1[[#This Row],[Code PAS]],'parc SATIN 08012026v'!K:K,'parc SATIN 08012026v'!S:S,0,0)</f>
        <v>création</v>
      </c>
      <c r="AX43" s="250" t="str">
        <f>_xlfn.XLOOKUP(Tableau1[[#This Row],[Code PAS]],'parc SATIN 08012026v'!K:K,'parc SATIN 08012026v'!AF:AF,0,0)</f>
        <v>100 Mb/s</v>
      </c>
      <c r="AY4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44" spans="1:52" s="250" customFormat="1" ht="15" customHeight="1" x14ac:dyDescent="0.3">
      <c r="A44" s="248" t="s">
        <v>2735</v>
      </c>
      <c r="B44" s="248"/>
      <c r="C44" s="249"/>
      <c r="D44" s="249"/>
      <c r="E44" s="250" t="s">
        <v>2939</v>
      </c>
      <c r="F44" s="984" t="s">
        <v>512</v>
      </c>
      <c r="G44" s="250" t="s">
        <v>2940</v>
      </c>
      <c r="H44" s="250" t="s">
        <v>2940</v>
      </c>
      <c r="I44" s="250" t="s">
        <v>2817</v>
      </c>
      <c r="J44" s="248" t="str">
        <f>_xlfn.XLOOKUP(Tableau1[[#This Row],[Code PAS]],'[13]Parc Satin'!$L:$L,'[13]Parc Satin'!$CK:$CK,0,0)</f>
        <v>Nominal C2E Fibre Secours C2E Fibre</v>
      </c>
      <c r="K44" s="250" t="s">
        <v>2820</v>
      </c>
      <c r="L44" s="250">
        <v>400</v>
      </c>
      <c r="M44" s="250">
        <v>150</v>
      </c>
      <c r="N44" s="250">
        <v>1</v>
      </c>
      <c r="O44" s="250" t="s">
        <v>74</v>
      </c>
      <c r="P44" s="824">
        <v>0</v>
      </c>
      <c r="Q44" s="824">
        <v>0</v>
      </c>
      <c r="R44" s="824">
        <v>0</v>
      </c>
      <c r="S44" s="824">
        <v>0</v>
      </c>
      <c r="T44" s="824">
        <v>2623</v>
      </c>
      <c r="U44" s="824">
        <v>60</v>
      </c>
      <c r="V44" s="824">
        <v>48</v>
      </c>
      <c r="W44" s="824">
        <v>14</v>
      </c>
      <c r="X44" s="824">
        <f>Tableau1[[#This Row],[Coût Abonnement offre]]+Tableau1[[#This Row],[Coût Abonnement Chassis]]+Tableau1[[#This Row],[Cout Cartes interface ]]+Tableau1[[#This Row],[Cout canaux voix supplémentaire]]</f>
        <v>2745</v>
      </c>
      <c r="Y44" s="824">
        <v>0</v>
      </c>
      <c r="Z44" s="966">
        <v>0</v>
      </c>
      <c r="AA44" s="966">
        <v>0</v>
      </c>
      <c r="AB44" s="969">
        <v>0</v>
      </c>
      <c r="AC44" s="969">
        <v>0</v>
      </c>
      <c r="AD44" s="969">
        <v>0</v>
      </c>
      <c r="AE44" s="264">
        <v>30</v>
      </c>
      <c r="AF44" s="264">
        <v>400</v>
      </c>
      <c r="AG44" s="264">
        <v>150</v>
      </c>
      <c r="AH44" s="264">
        <v>550</v>
      </c>
      <c r="AI44" s="973">
        <v>14</v>
      </c>
      <c r="AJ44" s="263">
        <v>30</v>
      </c>
      <c r="AK44" s="987">
        <v>550</v>
      </c>
      <c r="AL44" s="263">
        <f>VLOOKUP(Tableau1[[#This Row],[Code PAS]],'Facturation PAS RIN5 RUN'!C:F,4,0)</f>
        <v>48</v>
      </c>
      <c r="AM44" s="263"/>
      <c r="AN44" s="263" t="b">
        <f>ROUND(Tableau1[[#This Row],[Montant Options coûts récurrents]],0)=ROUND(Tableau1[[#This Row],[GTRS1 (Coût Plage de support 24h/24 7j/7)]],0)</f>
        <v>0</v>
      </c>
      <c r="AO44" s="265" t="e">
        <f>_xlfn.XLOOKUP(Tableau1[[#This Row],[Code PAS]],'parc SATIN 08012026v'!K:K,'parc SATIN 08012026v'!#REF!,0,0)</f>
        <v>#REF!</v>
      </c>
      <c r="AP44" s="263" t="e">
        <f>VLOOKUP(Tableau1[[#This Row],[Code PAS]],#REF!,3,0)</f>
        <v>#REF!</v>
      </c>
      <c r="AQ44" s="263" t="str">
        <f>VLOOKUP(Tableau1[[#This Row],[Code PAS]],[14]Feuil1!$B:$G,6,0)</f>
        <v>Lundi au Samedi 8h-18h</v>
      </c>
      <c r="AR44" s="263" t="str">
        <f>_xlfn.XLOOKUP(Tableau1[[#This Row],[Code PAS]],'Facturation PAS RIN5 RUN'!C:C,'Facturation PAS RIN5 RUN'!B:B,0,0)</f>
        <v>Silver_30_30</v>
      </c>
      <c r="AS44" s="263" t="b">
        <f>Tableau1[[#This Row],[Etat facturation]]=Tableau1[[#This Row],[Index offre du fournisseur]]</f>
        <v>1</v>
      </c>
      <c r="AT44" s="250" t="str">
        <f>_xlfn.XLOOKUP(Tableau1[[#This Row],[Code PAS]],'parc SATIN 08012026v'!K:K,'parc SATIN 08012026v'!M:M,0,0)</f>
        <v>PARC</v>
      </c>
      <c r="AU44" s="250" t="str">
        <f>_xlfn.XLOOKUP(Tableau1[[#This Row],[Code PAS]],'parc SATIN 08012026v'!K:K,'parc SATIN 08012026v'!O:O,0,0)</f>
        <v>PARC</v>
      </c>
      <c r="AV44" s="251">
        <f>_xlfn.XLOOKUP(Tableau1[[#This Row],[Code PAS]],'parc SATIN 08012026v'!K:K,'parc SATIN 08012026v'!Q:Q,0,0)</f>
        <v>45708</v>
      </c>
      <c r="AW44" s="251" t="str">
        <f>_xlfn.XLOOKUP(Tableau1[[#This Row],[Code PAS]],'parc SATIN 08012026v'!K:K,'parc SATIN 08012026v'!S:S,0,0)</f>
        <v>change</v>
      </c>
      <c r="AX44" s="250" t="str">
        <f>_xlfn.XLOOKUP(Tableau1[[#This Row],[Code PAS]],'parc SATIN 08012026v'!K:K,'parc SATIN 08012026v'!AF:AF,0,0)</f>
        <v>30 Mb/s</v>
      </c>
      <c r="AY4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45" spans="1:52" s="250" customFormat="1" ht="15" customHeight="1" x14ac:dyDescent="0.3">
      <c r="A45" s="250" t="s">
        <v>2743</v>
      </c>
      <c r="C45" s="249"/>
      <c r="D45" s="249"/>
      <c r="E45" s="250" t="s">
        <v>2941</v>
      </c>
      <c r="F45" s="984" t="s">
        <v>2598</v>
      </c>
      <c r="H45" s="250" t="s">
        <v>2909</v>
      </c>
      <c r="J45" s="248" t="str">
        <f>_xlfn.XLOOKUP(Tableau1[[#This Row],[Code PAS]],'[13]Parc Satin'!$L:$L,'[13]Parc Satin'!$CK:$CK,0,0)</f>
        <v>Nominal C2E Fibre Secours C2E Fibre</v>
      </c>
      <c r="P45" s="820">
        <v>69122</v>
      </c>
      <c r="Q45" s="820">
        <v>0</v>
      </c>
      <c r="R45" s="820">
        <v>0</v>
      </c>
      <c r="S45" s="820">
        <v>0</v>
      </c>
      <c r="T45" s="824">
        <v>1988</v>
      </c>
      <c r="U45" s="824">
        <v>44</v>
      </c>
      <c r="V45" s="824">
        <v>0</v>
      </c>
      <c r="W45" s="824">
        <v>0</v>
      </c>
      <c r="X45" s="823">
        <f>Tableau1[[#This Row],[Coût Abonnement offre]]+Tableau1[[#This Row],[Coût Abonnement Chassis]]+Tableau1[[#This Row],[Cout Cartes interface ]]+Tableau1[[#This Row],[Cout canaux voix supplémentaire]]</f>
        <v>2032</v>
      </c>
      <c r="Y45" s="824">
        <v>0</v>
      </c>
      <c r="Z45" s="966">
        <v>0</v>
      </c>
      <c r="AA45" s="966">
        <v>0</v>
      </c>
      <c r="AB45" s="969">
        <v>0</v>
      </c>
      <c r="AC45" s="969">
        <v>0</v>
      </c>
      <c r="AD45" s="969">
        <v>0</v>
      </c>
      <c r="AE45" s="264">
        <v>10</v>
      </c>
      <c r="AF45" s="264">
        <v>120</v>
      </c>
      <c r="AG45" s="264">
        <v>60</v>
      </c>
      <c r="AH45" s="264">
        <v>180</v>
      </c>
      <c r="AI45" s="973">
        <v>5</v>
      </c>
      <c r="AJ45" s="263">
        <v>10</v>
      </c>
      <c r="AK45" s="987">
        <v>120</v>
      </c>
      <c r="AL45" s="263">
        <f>VLOOKUP(Tableau1[[#This Row],[Code PAS]],'Facturation PAS RIN5 RUN'!C:F,4,0)</f>
        <v>0</v>
      </c>
      <c r="AM45" s="263"/>
      <c r="AN45" s="263" t="b">
        <f>ROUND(Tableau1[[#This Row],[Montant Options coûts récurrents]],0)=ROUND(Tableau1[[#This Row],[GTRS1 (Coût Plage de support 24h/24 7j/7)]],0)</f>
        <v>1</v>
      </c>
      <c r="AO45" s="265" t="e">
        <f>_xlfn.XLOOKUP(Tableau1[[#This Row],[Code PAS]],'parc SATIN 08012026v'!K:K,'parc SATIN 08012026v'!#REF!,0,0)</f>
        <v>#REF!</v>
      </c>
      <c r="AP45" s="263" t="e">
        <f>VLOOKUP(Tableau1[[#This Row],[Code PAS]],#REF!,3,0)</f>
        <v>#REF!</v>
      </c>
      <c r="AQ45" s="263" t="str">
        <f>VLOOKUP(Tableau1[[#This Row],[Code PAS]],[14]Feuil1!$B:$G,6,0)</f>
        <v>Lundi au Samedi 8h-18h</v>
      </c>
      <c r="AR45" s="263" t="str">
        <f>_xlfn.XLOOKUP(Tableau1[[#This Row],[Code PAS]],'Facturation PAS RIN5 RUN'!C:C,'Facturation PAS RIN5 RUN'!B:B,0,0)</f>
        <v>Silver_10_10</v>
      </c>
      <c r="AS45" s="263" t="b">
        <f>Tableau1[[#This Row],[Etat facturation]]=Tableau1[[#This Row],[Index offre du fournisseur]]</f>
        <v>1</v>
      </c>
      <c r="AT45" s="250" t="str">
        <f>_xlfn.XLOOKUP(Tableau1[[#This Row],[Code PAS]],'parc SATIN 08012026v'!K:K,'parc SATIN 08012026v'!M:M,0,0)</f>
        <v>PARC</v>
      </c>
      <c r="AU45" s="250" t="str">
        <f>_xlfn.XLOOKUP(Tableau1[[#This Row],[Code PAS]],'parc SATIN 08012026v'!K:K,'parc SATIN 08012026v'!O:O,0,0)</f>
        <v>PARC</v>
      </c>
      <c r="AV45" s="251">
        <f>_xlfn.XLOOKUP(Tableau1[[#This Row],[Code PAS]],'parc SATIN 08012026v'!K:K,'parc SATIN 08012026v'!Q:Q,0,0)</f>
        <v>44105</v>
      </c>
      <c r="AW45" s="251" t="str">
        <f>_xlfn.XLOOKUP(Tableau1[[#This Row],[Code PAS]],'parc SATIN 08012026v'!K:K,'parc SATIN 08012026v'!S:S,0,0)</f>
        <v>change</v>
      </c>
      <c r="AX45" s="250" t="str">
        <f>_xlfn.XLOOKUP(Tableau1[[#This Row],[Code PAS]],'parc SATIN 08012026v'!K:K,'parc SATIN 08012026v'!AF:AF,0,0)</f>
        <v>10 Mb/s</v>
      </c>
      <c r="AY4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45" s="250" t="s">
        <v>2868</v>
      </c>
    </row>
    <row r="46" spans="1:52" s="250" customFormat="1" ht="15" customHeight="1" x14ac:dyDescent="0.3">
      <c r="A46" s="250" t="s">
        <v>2739</v>
      </c>
      <c r="C46" s="249"/>
      <c r="D46" s="249"/>
      <c r="E46" s="250" t="s">
        <v>2942</v>
      </c>
      <c r="F46" s="984" t="s">
        <v>2581</v>
      </c>
      <c r="G46" s="250" t="s">
        <v>2813</v>
      </c>
      <c r="H46" s="250" t="s">
        <v>2813</v>
      </c>
      <c r="I46" s="250" t="s">
        <v>2817</v>
      </c>
      <c r="J46" s="248" t="str">
        <f>_xlfn.XLOOKUP(Tableau1[[#This Row],[Code PAS]],'[13]Parc Satin'!$L:$L,'[13]Parc Satin'!$CK:$CK,0,0)</f>
        <v>Nominal C2E Fibre Secours C2E Fibre</v>
      </c>
      <c r="K46" s="250" t="s">
        <v>2850</v>
      </c>
      <c r="L46" s="250">
        <v>300</v>
      </c>
      <c r="M46" s="250">
        <v>50</v>
      </c>
      <c r="O46" s="250" t="s">
        <v>74</v>
      </c>
      <c r="P46" s="820">
        <v>0</v>
      </c>
      <c r="Q46" s="820">
        <v>0</v>
      </c>
      <c r="R46" s="820">
        <v>0</v>
      </c>
      <c r="S46" s="820">
        <v>0</v>
      </c>
      <c r="T46" s="824">
        <v>2384</v>
      </c>
      <c r="U46" s="824">
        <v>44</v>
      </c>
      <c r="V46" s="824">
        <v>32</v>
      </c>
      <c r="W46" s="824">
        <v>5</v>
      </c>
      <c r="X46" s="823">
        <f>Tableau1[[#This Row],[Coût Abonnement offre]]+Tableau1[[#This Row],[Coût Abonnement Chassis]]+Tableau1[[#This Row],[Cout Cartes interface ]]+Tableau1[[#This Row],[Cout canaux voix supplémentaire]]</f>
        <v>2465</v>
      </c>
      <c r="Y46" s="824">
        <v>0</v>
      </c>
      <c r="Z46" s="966">
        <v>0</v>
      </c>
      <c r="AA46" s="966">
        <v>0</v>
      </c>
      <c r="AB46" s="969">
        <v>0</v>
      </c>
      <c r="AC46" s="969">
        <v>0</v>
      </c>
      <c r="AD46" s="969">
        <v>0</v>
      </c>
      <c r="AE46" s="264">
        <v>20</v>
      </c>
      <c r="AF46" s="264">
        <v>300</v>
      </c>
      <c r="AG46" s="264">
        <v>50</v>
      </c>
      <c r="AH46" s="264">
        <v>350</v>
      </c>
      <c r="AI46" s="973">
        <v>5</v>
      </c>
      <c r="AJ46" s="263">
        <v>20</v>
      </c>
      <c r="AK46" s="987">
        <v>120</v>
      </c>
      <c r="AL46" s="263">
        <f>VLOOKUP(Tableau1[[#This Row],[Code PAS]],'Facturation PAS RIN5 RUN'!C:F,4,0)</f>
        <v>32</v>
      </c>
      <c r="AM46" s="263"/>
      <c r="AN46" s="263" t="b">
        <f>ROUND(Tableau1[[#This Row],[Montant Options coûts récurrents]],0)=ROUND(Tableau1[[#This Row],[GTRS1 (Coût Plage de support 24h/24 7j/7)]],0)</f>
        <v>0</v>
      </c>
      <c r="AO46" s="265" t="e">
        <f>_xlfn.XLOOKUP(Tableau1[[#This Row],[Code PAS]],'parc SATIN 08012026v'!K:K,'parc SATIN 08012026v'!#REF!,0,0)</f>
        <v>#REF!</v>
      </c>
      <c r="AP46" s="263" t="e">
        <f>VLOOKUP(Tableau1[[#This Row],[Code PAS]],#REF!,3,0)</f>
        <v>#REF!</v>
      </c>
      <c r="AQ46" s="263" t="e">
        <f>VLOOKUP(Tableau1[[#This Row],[Code PAS]],[14]Feuil1!$B:$G,6,0)</f>
        <v>#N/A</v>
      </c>
      <c r="AR46" s="263" t="str">
        <f>_xlfn.XLOOKUP(Tableau1[[#This Row],[Code PAS]],'Facturation PAS RIN5 RUN'!C:C,'Facturation PAS RIN5 RUN'!B:B,0,0)</f>
        <v>Silver_20_20</v>
      </c>
      <c r="AS46" s="263" t="b">
        <f>Tableau1[[#This Row],[Etat facturation]]=Tableau1[[#This Row],[Index offre du fournisseur]]</f>
        <v>1</v>
      </c>
      <c r="AT46" s="250" t="str">
        <f>_xlfn.XLOOKUP(Tableau1[[#This Row],[Code PAS]],'parc SATIN 08012026v'!K:K,'parc SATIN 08012026v'!M:M,0,0)</f>
        <v>PARC</v>
      </c>
      <c r="AU46" s="250" t="str">
        <f>_xlfn.XLOOKUP(Tableau1[[#This Row],[Code PAS]],'parc SATIN 08012026v'!K:K,'parc SATIN 08012026v'!O:O,0,0)</f>
        <v>PARC</v>
      </c>
      <c r="AV46" s="251">
        <f>_xlfn.XLOOKUP(Tableau1[[#This Row],[Code PAS]],'parc SATIN 08012026v'!K:K,'parc SATIN 08012026v'!Q:Q,0,0)</f>
        <v>45371</v>
      </c>
      <c r="AW46" s="251" t="str">
        <f>_xlfn.XLOOKUP(Tableau1[[#This Row],[Code PAS]],'parc SATIN 08012026v'!K:K,'parc SATIN 08012026v'!S:S,0,0)</f>
        <v>change</v>
      </c>
      <c r="AX46" s="250" t="str">
        <f>_xlfn.XLOOKUP(Tableau1[[#This Row],[Code PAS]],'parc SATIN 08012026v'!K:K,'parc SATIN 08012026v'!AF:AF,0,0)</f>
        <v>20 Mb/s</v>
      </c>
      <c r="AY4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47" spans="1:52" s="250" customFormat="1" ht="15" customHeight="1" x14ac:dyDescent="0.3">
      <c r="A47" s="250" t="s">
        <v>2785</v>
      </c>
      <c r="C47" s="249"/>
      <c r="D47" s="249"/>
      <c r="E47" s="250" t="s">
        <v>2943</v>
      </c>
      <c r="F47" s="984" t="s">
        <v>2687</v>
      </c>
      <c r="G47" s="250" t="s">
        <v>2800</v>
      </c>
      <c r="H47" s="250" t="s">
        <v>2867</v>
      </c>
      <c r="J47" s="248" t="str">
        <f>_xlfn.XLOOKUP(Tableau1[[#This Row],[Code PAS]],'[13]Parc Satin'!$L:$L,'[13]Parc Satin'!$CK:$CK,0,0)</f>
        <v>Nominal C2E sans Secours</v>
      </c>
      <c r="P47" s="820">
        <v>0</v>
      </c>
      <c r="Q47" s="820">
        <v>0</v>
      </c>
      <c r="R47" s="820">
        <v>0</v>
      </c>
      <c r="S47" s="820">
        <v>0</v>
      </c>
      <c r="T47" s="824">
        <v>290</v>
      </c>
      <c r="U47" s="824">
        <v>12</v>
      </c>
      <c r="V47" s="824">
        <v>0</v>
      </c>
      <c r="W47" s="824">
        <v>0</v>
      </c>
      <c r="X47" s="823">
        <f>Tableau1[[#This Row],[Coût Abonnement offre]]+Tableau1[[#This Row],[Coût Abonnement Chassis]]+Tableau1[[#This Row],[Cout Cartes interface ]]+Tableau1[[#This Row],[Cout canaux voix supplémentaire]]</f>
        <v>302</v>
      </c>
      <c r="Y47" s="824">
        <v>0</v>
      </c>
      <c r="Z47" s="966">
        <v>0</v>
      </c>
      <c r="AA47" s="966">
        <v>0</v>
      </c>
      <c r="AB47" s="969">
        <v>0</v>
      </c>
      <c r="AC47" s="969">
        <v>0</v>
      </c>
      <c r="AD47" s="969">
        <v>0</v>
      </c>
      <c r="AE47" s="264">
        <v>2</v>
      </c>
      <c r="AF47" s="264">
        <v>20</v>
      </c>
      <c r="AG47" s="264">
        <v>10</v>
      </c>
      <c r="AH47" s="264">
        <v>30</v>
      </c>
      <c r="AI47" s="973">
        <v>9</v>
      </c>
      <c r="AJ47" s="263">
        <v>2</v>
      </c>
      <c r="AK47" s="987">
        <v>20</v>
      </c>
      <c r="AL47" s="263">
        <f>VLOOKUP(Tableau1[[#This Row],[Code PAS]],'Facturation PAS RIN5 RUN'!C:F,4,0)</f>
        <v>0</v>
      </c>
      <c r="AM47" s="263"/>
      <c r="AN47" s="263" t="b">
        <f>ROUND(Tableau1[[#This Row],[Montant Options coûts récurrents]],0)=ROUND(Tableau1[[#This Row],[GTRS1 (Coût Plage de support 24h/24 7j/7)]],0)</f>
        <v>1</v>
      </c>
      <c r="AO47" s="265" t="e">
        <f>_xlfn.XLOOKUP(Tableau1[[#This Row],[Code PAS]],'parc SATIN 08012026v'!K:K,'parc SATIN 08012026v'!#REF!,0,0)</f>
        <v>#REF!</v>
      </c>
      <c r="AP47" s="263" t="e">
        <f>VLOOKUP(Tableau1[[#This Row],[Code PAS]],#REF!,3,0)</f>
        <v>#REF!</v>
      </c>
      <c r="AQ47" s="263" t="e">
        <f>VLOOKUP(Tableau1[[#This Row],[Code PAS]],[14]Feuil1!$B:$G,6,0)</f>
        <v>#N/A</v>
      </c>
      <c r="AR47" s="263" t="str">
        <f>_xlfn.XLOOKUP(Tableau1[[#This Row],[Code PAS]],'Facturation PAS RIN5 RUN'!C:C,'Facturation PAS RIN5 RUN'!B:B,0,0)</f>
        <v>Bronze_2_0</v>
      </c>
      <c r="AS47" s="263" t="b">
        <f>Tableau1[[#This Row],[Etat facturation]]=Tableau1[[#This Row],[Index offre du fournisseur]]</f>
        <v>1</v>
      </c>
      <c r="AT47" s="250" t="str">
        <f>_xlfn.XLOOKUP(Tableau1[[#This Row],[Code PAS]],'parc SATIN 08012026v'!K:K,'parc SATIN 08012026v'!M:M,0,0)</f>
        <v>PARC</v>
      </c>
      <c r="AU47" s="250" t="str">
        <f>_xlfn.XLOOKUP(Tableau1[[#This Row],[Code PAS]],'parc SATIN 08012026v'!K:K,'parc SATIN 08012026v'!O:O,0,0)</f>
        <v>PARC</v>
      </c>
      <c r="AV47" s="251">
        <f>_xlfn.XLOOKUP(Tableau1[[#This Row],[Code PAS]],'parc SATIN 08012026v'!K:K,'parc SATIN 08012026v'!Q:Q,0,0)</f>
        <v>43782</v>
      </c>
      <c r="AW47" s="251" t="str">
        <f>_xlfn.XLOOKUP(Tableau1[[#This Row],[Code PAS]],'parc SATIN 08012026v'!K:K,'parc SATIN 08012026v'!S:S,0,0)</f>
        <v>création</v>
      </c>
      <c r="AX47" s="250" t="str">
        <f>_xlfn.XLOOKUP(Tableau1[[#This Row],[Code PAS]],'parc SATIN 08012026v'!K:K,'parc SATIN 08012026v'!AF:AF,0,0)</f>
        <v>2 Mb/s</v>
      </c>
      <c r="AY4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47" s="250" t="s">
        <v>2868</v>
      </c>
    </row>
    <row r="48" spans="1:52" s="250" customFormat="1" ht="15" customHeight="1" x14ac:dyDescent="0.3">
      <c r="A48" s="248" t="s">
        <v>2735</v>
      </c>
      <c r="B48" s="248"/>
      <c r="C48" s="249">
        <v>45783</v>
      </c>
      <c r="D48" s="249">
        <v>45783</v>
      </c>
      <c r="E48" s="250" t="s">
        <v>2945</v>
      </c>
      <c r="F48" s="984" t="s">
        <v>493</v>
      </c>
      <c r="G48" s="250" t="s">
        <v>2745</v>
      </c>
      <c r="H48" s="250" t="s">
        <v>2745</v>
      </c>
      <c r="I48" s="250" t="s">
        <v>2946</v>
      </c>
      <c r="J48" s="248" t="s">
        <v>2860</v>
      </c>
      <c r="K48" s="250" t="s">
        <v>2860</v>
      </c>
      <c r="L48" s="250">
        <v>600</v>
      </c>
      <c r="M48" s="250">
        <v>1200</v>
      </c>
      <c r="N48" s="250">
        <v>1</v>
      </c>
      <c r="O48" s="250" t="s">
        <v>74</v>
      </c>
      <c r="P48" s="824">
        <v>0</v>
      </c>
      <c r="Q48" s="824">
        <v>0</v>
      </c>
      <c r="R48" s="824">
        <v>0</v>
      </c>
      <c r="S48" s="824">
        <v>0</v>
      </c>
      <c r="T48" s="824">
        <v>1628</v>
      </c>
      <c r="U48" s="824">
        <v>94</v>
      </c>
      <c r="V48" s="824">
        <v>106</v>
      </c>
      <c r="W48" s="824">
        <v>108</v>
      </c>
      <c r="X48" s="824">
        <v>1935.8564263010346</v>
      </c>
      <c r="Y48" s="824">
        <v>0</v>
      </c>
      <c r="Z48" s="966">
        <v>0</v>
      </c>
      <c r="AA48" s="966">
        <v>0</v>
      </c>
      <c r="AB48" s="969">
        <v>0</v>
      </c>
      <c r="AC48" s="969">
        <v>0</v>
      </c>
      <c r="AD48" s="969">
        <v>0</v>
      </c>
      <c r="AE48" s="264">
        <v>100</v>
      </c>
      <c r="AF48" s="264">
        <v>600</v>
      </c>
      <c r="AG48" s="264">
        <v>1200</v>
      </c>
      <c r="AH48" s="264">
        <v>1800</v>
      </c>
      <c r="AI48" s="973">
        <v>108</v>
      </c>
      <c r="AJ48" s="263">
        <v>100</v>
      </c>
      <c r="AK48" s="987">
        <v>1800</v>
      </c>
      <c r="AL48" s="263">
        <f>VLOOKUP(Tableau1[[#This Row],[Code PAS]],'Facturation PAS RIN5 RUN'!C:F,4,0)</f>
        <v>106</v>
      </c>
      <c r="AM48" s="263"/>
      <c r="AN48" s="263" t="b">
        <f>ROUND(Tableau1[[#This Row],[Montant Options coûts récurrents]],0)=ROUND(Tableau1[[#This Row],[GTRS1 (Coût Plage de support 24h/24 7j/7)]],0)</f>
        <v>0</v>
      </c>
      <c r="AO48" s="265" t="e">
        <f>_xlfn.XLOOKUP(Tableau1[[#This Row],[Code PAS]],'parc SATIN 08012026v'!K:K,'parc SATIN 08012026v'!#REF!,0,0)</f>
        <v>#REF!</v>
      </c>
      <c r="AP48" s="263" t="e">
        <f>VLOOKUP(Tableau1[[#This Row],[Code PAS]],#REF!,3,0)</f>
        <v>#REF!</v>
      </c>
      <c r="AQ48" s="263" t="e">
        <f>VLOOKUP(Tableau1[[#This Row],[Code PAS]],[14]Feuil1!$B:$G,6,0)</f>
        <v>#N/A</v>
      </c>
      <c r="AR48" s="263" t="str">
        <f>_xlfn.XLOOKUP(Tableau1[[#This Row],[Code PAS]],'Facturation PAS RIN5 RUN'!C:C,'Facturation PAS RIN5 RUN'!B:B,0,0)</f>
        <v>Gold_100_100</v>
      </c>
      <c r="AS48" s="263" t="b">
        <f>Tableau1[[#This Row],[Etat facturation]]=Tableau1[[#This Row],[Index offre du fournisseur]]</f>
        <v>1</v>
      </c>
      <c r="AT48" s="250" t="str">
        <f>_xlfn.XLOOKUP(Tableau1[[#This Row],[Code PAS]],'parc SATIN 08012026v'!K:K,'parc SATIN 08012026v'!M:M,0,0)</f>
        <v>PARC</v>
      </c>
      <c r="AU48" s="250" t="str">
        <f>_xlfn.XLOOKUP(Tableau1[[#This Row],[Code PAS]],'parc SATIN 08012026v'!K:K,'parc SATIN 08012026v'!O:O,0,0)</f>
        <v>PARC</v>
      </c>
      <c r="AV48" s="251">
        <f>_xlfn.XLOOKUP(Tableau1[[#This Row],[Code PAS]],'parc SATIN 08012026v'!K:K,'parc SATIN 08012026v'!Q:Q,0,0)</f>
        <v>45783</v>
      </c>
      <c r="AW48" s="251" t="str">
        <f>_xlfn.XLOOKUP(Tableau1[[#This Row],[Code PAS]],'parc SATIN 08012026v'!K:K,'parc SATIN 08012026v'!S:S,0,0)</f>
        <v>change</v>
      </c>
      <c r="AX48" s="250" t="str">
        <f>_xlfn.XLOOKUP(Tableau1[[#This Row],[Code PAS]],'parc SATIN 08012026v'!K:K,'parc SATIN 08012026v'!AF:AF,0,0)</f>
        <v>100 Mb/s</v>
      </c>
      <c r="AY4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  <c r="AZ48" s="250" t="s">
        <v>2947</v>
      </c>
    </row>
    <row r="49" spans="1:52" s="250" customFormat="1" ht="15" customHeight="1" x14ac:dyDescent="0.3">
      <c r="A49" s="250" t="s">
        <v>2743</v>
      </c>
      <c r="C49" s="249"/>
      <c r="D49" s="249"/>
      <c r="E49" s="250" t="s">
        <v>2948</v>
      </c>
      <c r="F49" s="984" t="s">
        <v>1265</v>
      </c>
      <c r="G49" s="250" t="s">
        <v>2813</v>
      </c>
      <c r="H49" s="250" t="s">
        <v>2813</v>
      </c>
      <c r="I49" s="250" t="s">
        <v>78</v>
      </c>
      <c r="J49" s="248" t="str">
        <f>_xlfn.XLOOKUP(Tableau1[[#This Row],[Code PAS]],'[13]Parc Satin'!$L:$L,'[13]Parc Satin'!$CK:$CK,0,0)</f>
        <v>Nominal C2E Fibre Secours C2E Fibre</v>
      </c>
      <c r="K49" s="250" t="s">
        <v>2814</v>
      </c>
      <c r="L49" s="250">
        <v>300</v>
      </c>
      <c r="M49" s="250">
        <v>50</v>
      </c>
      <c r="N49" s="250">
        <v>0</v>
      </c>
      <c r="O49" s="250" t="s">
        <v>74</v>
      </c>
      <c r="P49" s="824">
        <v>0</v>
      </c>
      <c r="Q49" s="824">
        <v>0</v>
      </c>
      <c r="R49" s="824">
        <v>0</v>
      </c>
      <c r="S49" s="824">
        <v>0</v>
      </c>
      <c r="T49" s="824">
        <v>1149</v>
      </c>
      <c r="U49" s="824">
        <v>71</v>
      </c>
      <c r="V49" s="824">
        <v>48</v>
      </c>
      <c r="W49" s="824">
        <v>5</v>
      </c>
      <c r="X49" s="824">
        <f>Tableau1[[#This Row],[Coût Abonnement offre]]+Tableau1[[#This Row],[Coût Abonnement Chassis]]+Tableau1[[#This Row],[Cout Cartes interface ]]+Tableau1[[#This Row],[Cout canaux voix supplémentaire]]</f>
        <v>1273</v>
      </c>
      <c r="Y49" s="824">
        <v>0</v>
      </c>
      <c r="Z49" s="966">
        <v>0</v>
      </c>
      <c r="AA49" s="966">
        <v>0</v>
      </c>
      <c r="AB49" s="969">
        <v>0</v>
      </c>
      <c r="AC49" s="969">
        <v>0</v>
      </c>
      <c r="AD49" s="969">
        <v>0</v>
      </c>
      <c r="AE49" s="264">
        <v>20</v>
      </c>
      <c r="AF49" s="264">
        <v>300</v>
      </c>
      <c r="AG49" s="264">
        <v>50</v>
      </c>
      <c r="AH49" s="264">
        <v>350</v>
      </c>
      <c r="AI49" s="973">
        <v>5</v>
      </c>
      <c r="AJ49" s="263">
        <v>20</v>
      </c>
      <c r="AK49" s="987">
        <v>350</v>
      </c>
      <c r="AL49" s="263">
        <f>VLOOKUP(Tableau1[[#This Row],[Code PAS]],'Facturation PAS RIN5 RUN'!C:F,4,0)</f>
        <v>48</v>
      </c>
      <c r="AM49" s="263"/>
      <c r="AN49" s="263" t="b">
        <f>ROUND(Tableau1[[#This Row],[Montant Options coûts récurrents]],0)=ROUND(Tableau1[[#This Row],[GTRS1 (Coût Plage de support 24h/24 7j/7)]],0)</f>
        <v>0</v>
      </c>
      <c r="AO49" s="265" t="e">
        <f>_xlfn.XLOOKUP(Tableau1[[#This Row],[Code PAS]],'parc SATIN 08012026v'!K:K,'parc SATIN 08012026v'!#REF!,0,0)</f>
        <v>#REF!</v>
      </c>
      <c r="AP49" s="263" t="e">
        <f>VLOOKUP(Tableau1[[#This Row],[Code PAS]],#REF!,3,0)</f>
        <v>#REF!</v>
      </c>
      <c r="AQ49" s="263" t="e">
        <f>VLOOKUP(Tableau1[[#This Row],[Code PAS]],[14]Feuil1!$B:$G,6,0)</f>
        <v>#N/A</v>
      </c>
      <c r="AR49" s="263" t="str">
        <f>_xlfn.XLOOKUP(Tableau1[[#This Row],[Code PAS]],'Facturation PAS RIN5 RUN'!C:C,'Facturation PAS RIN5 RUN'!B:B,0,0)</f>
        <v>Silver_20_20</v>
      </c>
      <c r="AS49" s="263" t="b">
        <f>Tableau1[[#This Row],[Etat facturation]]=Tableau1[[#This Row],[Index offre du fournisseur]]</f>
        <v>1</v>
      </c>
      <c r="AT49" s="250" t="str">
        <f>_xlfn.XLOOKUP(Tableau1[[#This Row],[Code PAS]],'parc SATIN 08012026v'!K:K,'parc SATIN 08012026v'!M:M,0,0)</f>
        <v>PARC</v>
      </c>
      <c r="AU49" s="250" t="str">
        <f>_xlfn.XLOOKUP(Tableau1[[#This Row],[Code PAS]],'parc SATIN 08012026v'!K:K,'parc SATIN 08012026v'!O:O,0,0)</f>
        <v>PARC</v>
      </c>
      <c r="AV49" s="251">
        <f>_xlfn.XLOOKUP(Tableau1[[#This Row],[Code PAS]],'parc SATIN 08012026v'!K:K,'parc SATIN 08012026v'!Q:Q,0,0)</f>
        <v>45758</v>
      </c>
      <c r="AW49" s="251" t="str">
        <f>_xlfn.XLOOKUP(Tableau1[[#This Row],[Code PAS]],'parc SATIN 08012026v'!K:K,'parc SATIN 08012026v'!S:S,0,0)</f>
        <v>change</v>
      </c>
      <c r="AX49" s="250" t="str">
        <f>_xlfn.XLOOKUP(Tableau1[[#This Row],[Code PAS]],'parc SATIN 08012026v'!K:K,'parc SATIN 08012026v'!AF:AF,0,0)</f>
        <v>20 Mb/s</v>
      </c>
      <c r="AY4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50" spans="1:52" s="250" customFormat="1" ht="15" customHeight="1" x14ac:dyDescent="0.3">
      <c r="A50" s="250" t="s">
        <v>2785</v>
      </c>
      <c r="C50" s="249"/>
      <c r="D50" s="249"/>
      <c r="E50" s="250" t="s">
        <v>2949</v>
      </c>
      <c r="F50" s="984" t="s">
        <v>2679</v>
      </c>
      <c r="G50" s="250" t="s">
        <v>2800</v>
      </c>
      <c r="H50" s="250" t="s">
        <v>2867</v>
      </c>
      <c r="J50" s="248" t="str">
        <f>_xlfn.XLOOKUP(Tableau1[[#This Row],[Code PAS]],'[13]Parc Satin'!$L:$L,'[13]Parc Satin'!$CK:$CK,0,0)</f>
        <v>Nominal C2E sans Secours</v>
      </c>
      <c r="P50" s="820">
        <v>0</v>
      </c>
      <c r="Q50" s="820">
        <v>0</v>
      </c>
      <c r="R50" s="820">
        <v>0</v>
      </c>
      <c r="S50" s="820">
        <v>0</v>
      </c>
      <c r="T50" s="824">
        <v>290</v>
      </c>
      <c r="U50" s="824">
        <v>12</v>
      </c>
      <c r="V50" s="824">
        <v>0</v>
      </c>
      <c r="W50" s="824">
        <v>0</v>
      </c>
      <c r="X50" s="823">
        <f>Tableau1[[#This Row],[Coût Abonnement offre]]+Tableau1[[#This Row],[Coût Abonnement Chassis]]+Tableau1[[#This Row],[Cout Cartes interface ]]+Tableau1[[#This Row],[Cout canaux voix supplémentaire]]</f>
        <v>302</v>
      </c>
      <c r="Y50" s="824">
        <v>0</v>
      </c>
      <c r="Z50" s="966">
        <v>0</v>
      </c>
      <c r="AA50" s="966">
        <v>0</v>
      </c>
      <c r="AB50" s="969">
        <v>0</v>
      </c>
      <c r="AC50" s="969">
        <v>0</v>
      </c>
      <c r="AD50" s="969">
        <v>0</v>
      </c>
      <c r="AE50" s="264">
        <v>2</v>
      </c>
      <c r="AF50" s="264">
        <v>20</v>
      </c>
      <c r="AG50" s="264">
        <v>10</v>
      </c>
      <c r="AH50" s="264">
        <v>30</v>
      </c>
      <c r="AI50" s="973">
        <v>9</v>
      </c>
      <c r="AJ50" s="263">
        <v>2</v>
      </c>
      <c r="AK50" s="987">
        <v>20</v>
      </c>
      <c r="AL50" s="263">
        <f>VLOOKUP(Tableau1[[#This Row],[Code PAS]],'Facturation PAS RIN5 RUN'!C:F,4,0)</f>
        <v>0</v>
      </c>
      <c r="AM50" s="263"/>
      <c r="AN50" s="263" t="b">
        <f>ROUND(Tableau1[[#This Row],[Montant Options coûts récurrents]],0)=ROUND(Tableau1[[#This Row],[GTRS1 (Coût Plage de support 24h/24 7j/7)]],0)</f>
        <v>1</v>
      </c>
      <c r="AO50" s="265" t="e">
        <f>_xlfn.XLOOKUP(Tableau1[[#This Row],[Code PAS]],'parc SATIN 08012026v'!K:K,'parc SATIN 08012026v'!#REF!,0,0)</f>
        <v>#REF!</v>
      </c>
      <c r="AP50" s="263" t="e">
        <f>VLOOKUP(Tableau1[[#This Row],[Code PAS]],#REF!,3,0)</f>
        <v>#REF!</v>
      </c>
      <c r="AQ50" s="263" t="e">
        <f>VLOOKUP(Tableau1[[#This Row],[Code PAS]],[14]Feuil1!$B:$G,6,0)</f>
        <v>#N/A</v>
      </c>
      <c r="AR50" s="263" t="str">
        <f>_xlfn.XLOOKUP(Tableau1[[#This Row],[Code PAS]],'Facturation PAS RIN5 RUN'!C:C,'Facturation PAS RIN5 RUN'!B:B,0,0)</f>
        <v>Bronze_2_0</v>
      </c>
      <c r="AS50" s="263" t="b">
        <f>Tableau1[[#This Row],[Etat facturation]]=Tableau1[[#This Row],[Index offre du fournisseur]]</f>
        <v>1</v>
      </c>
      <c r="AT50" s="250" t="str">
        <f>_xlfn.XLOOKUP(Tableau1[[#This Row],[Code PAS]],'parc SATIN 08012026v'!K:K,'parc SATIN 08012026v'!M:M,0,0)</f>
        <v>PARC</v>
      </c>
      <c r="AU50" s="250" t="str">
        <f>_xlfn.XLOOKUP(Tableau1[[#This Row],[Code PAS]],'parc SATIN 08012026v'!K:K,'parc SATIN 08012026v'!O:O,0,0)</f>
        <v>PARC</v>
      </c>
      <c r="AV50" s="251">
        <f>_xlfn.XLOOKUP(Tableau1[[#This Row],[Code PAS]],'parc SATIN 08012026v'!K:K,'parc SATIN 08012026v'!Q:Q,0,0)</f>
        <v>43852</v>
      </c>
      <c r="AW50" s="251" t="str">
        <f>_xlfn.XLOOKUP(Tableau1[[#This Row],[Code PAS]],'parc SATIN 08012026v'!K:K,'parc SATIN 08012026v'!S:S,0,0)</f>
        <v>création</v>
      </c>
      <c r="AX50" s="250" t="str">
        <f>_xlfn.XLOOKUP(Tableau1[[#This Row],[Code PAS]],'parc SATIN 08012026v'!K:K,'parc SATIN 08012026v'!AF:AF,0,0)</f>
        <v>2 Mb/s</v>
      </c>
      <c r="AY5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50" s="250" t="s">
        <v>2868</v>
      </c>
    </row>
    <row r="51" spans="1:52" s="250" customFormat="1" ht="15" customHeight="1" x14ac:dyDescent="0.3">
      <c r="A51" s="250" t="s">
        <v>2785</v>
      </c>
      <c r="C51" s="249"/>
      <c r="D51" s="249"/>
      <c r="E51" s="250" t="s">
        <v>2950</v>
      </c>
      <c r="F51" s="984" t="s">
        <v>2383</v>
      </c>
      <c r="G51" s="250" t="s">
        <v>2800</v>
      </c>
      <c r="H51" s="250" t="s">
        <v>2867</v>
      </c>
      <c r="J51" s="248" t="str">
        <f>_xlfn.XLOOKUP(Tableau1[[#This Row],[Code PAS]],'[13]Parc Satin'!$L:$L,'[13]Parc Satin'!$CK:$CK,0,0)</f>
        <v>Nominal C2E sans Secours</v>
      </c>
      <c r="P51" s="820">
        <v>0</v>
      </c>
      <c r="Q51" s="820">
        <v>0</v>
      </c>
      <c r="R51" s="820">
        <v>0</v>
      </c>
      <c r="S51" s="820">
        <v>0</v>
      </c>
      <c r="T51" s="824">
        <v>290</v>
      </c>
      <c r="U51" s="824">
        <v>12</v>
      </c>
      <c r="V51" s="824">
        <v>0</v>
      </c>
      <c r="W51" s="824">
        <v>0</v>
      </c>
      <c r="X51" s="823">
        <f>Tableau1[[#This Row],[Coût Abonnement offre]]+Tableau1[[#This Row],[Coût Abonnement Chassis]]+Tableau1[[#This Row],[Cout Cartes interface ]]+Tableau1[[#This Row],[Cout canaux voix supplémentaire]]</f>
        <v>302</v>
      </c>
      <c r="Y51" s="824">
        <v>0</v>
      </c>
      <c r="Z51" s="966">
        <v>0</v>
      </c>
      <c r="AA51" s="966">
        <v>0</v>
      </c>
      <c r="AB51" s="969">
        <v>0</v>
      </c>
      <c r="AC51" s="969">
        <v>0</v>
      </c>
      <c r="AD51" s="969">
        <v>0</v>
      </c>
      <c r="AE51" s="264">
        <v>2</v>
      </c>
      <c r="AF51" s="264">
        <v>20</v>
      </c>
      <c r="AG51" s="264">
        <v>10</v>
      </c>
      <c r="AH51" s="264">
        <v>30</v>
      </c>
      <c r="AI51" s="973">
        <v>9</v>
      </c>
      <c r="AJ51" s="263">
        <v>2</v>
      </c>
      <c r="AK51" s="987">
        <v>20</v>
      </c>
      <c r="AL51" s="263">
        <f>VLOOKUP(Tableau1[[#This Row],[Code PAS]],'Facturation PAS RIN5 RUN'!C:F,4,0)</f>
        <v>0</v>
      </c>
      <c r="AM51" s="263"/>
      <c r="AN51" s="263" t="b">
        <f>ROUND(Tableau1[[#This Row],[Montant Options coûts récurrents]],0)=ROUND(Tableau1[[#This Row],[GTRS1 (Coût Plage de support 24h/24 7j/7)]],0)</f>
        <v>1</v>
      </c>
      <c r="AO51" s="265" t="e">
        <f>_xlfn.XLOOKUP(Tableau1[[#This Row],[Code PAS]],'parc SATIN 08012026v'!K:K,'parc SATIN 08012026v'!#REF!,0,0)</f>
        <v>#REF!</v>
      </c>
      <c r="AP51" s="263" t="e">
        <f>VLOOKUP(Tableau1[[#This Row],[Code PAS]],#REF!,3,0)</f>
        <v>#REF!</v>
      </c>
      <c r="AQ51" s="263" t="e">
        <f>VLOOKUP(Tableau1[[#This Row],[Code PAS]],[14]Feuil1!$B:$G,6,0)</f>
        <v>#N/A</v>
      </c>
      <c r="AR51" s="263" t="str">
        <f>_xlfn.XLOOKUP(Tableau1[[#This Row],[Code PAS]],'Facturation PAS RIN5 RUN'!C:C,'Facturation PAS RIN5 RUN'!B:B,0,0)</f>
        <v>Bronze_2_0</v>
      </c>
      <c r="AS51" s="263" t="b">
        <f>Tableau1[[#This Row],[Etat facturation]]=Tableau1[[#This Row],[Index offre du fournisseur]]</f>
        <v>1</v>
      </c>
      <c r="AT51" s="250" t="str">
        <f>_xlfn.XLOOKUP(Tableau1[[#This Row],[Code PAS]],'parc SATIN 08012026v'!K:K,'parc SATIN 08012026v'!M:M,0,0)</f>
        <v>PARC</v>
      </c>
      <c r="AU51" s="250" t="str">
        <f>_xlfn.XLOOKUP(Tableau1[[#This Row],[Code PAS]],'parc SATIN 08012026v'!K:K,'parc SATIN 08012026v'!O:O,0,0)</f>
        <v>PARC</v>
      </c>
      <c r="AV51" s="251">
        <f>_xlfn.XLOOKUP(Tableau1[[#This Row],[Code PAS]],'parc SATIN 08012026v'!K:K,'parc SATIN 08012026v'!Q:Q,0,0)</f>
        <v>43852</v>
      </c>
      <c r="AW51" s="251" t="str">
        <f>_xlfn.XLOOKUP(Tableau1[[#This Row],[Code PAS]],'parc SATIN 08012026v'!K:K,'parc SATIN 08012026v'!S:S,0,0)</f>
        <v>création</v>
      </c>
      <c r="AX51" s="250" t="str">
        <f>_xlfn.XLOOKUP(Tableau1[[#This Row],[Code PAS]],'parc SATIN 08012026v'!K:K,'parc SATIN 08012026v'!AF:AF,0,0)</f>
        <v>2 Mb/s</v>
      </c>
      <c r="AY5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51" s="250" t="s">
        <v>2868</v>
      </c>
    </row>
    <row r="52" spans="1:52" s="250" customFormat="1" ht="15" customHeight="1" x14ac:dyDescent="0.3">
      <c r="A52" s="250" t="s">
        <v>2758</v>
      </c>
      <c r="C52" s="249"/>
      <c r="D52" s="249">
        <v>45749</v>
      </c>
      <c r="E52" s="250" t="s">
        <v>2951</v>
      </c>
      <c r="F52" s="984" t="s">
        <v>2229</v>
      </c>
      <c r="G52" s="250" t="s">
        <v>2748</v>
      </c>
      <c r="H52" s="250" t="s">
        <v>2748</v>
      </c>
      <c r="I52" s="250" t="s">
        <v>165</v>
      </c>
      <c r="J52" s="248"/>
      <c r="L52" s="250">
        <v>300</v>
      </c>
      <c r="M52" s="250">
        <v>50</v>
      </c>
      <c r="N52" s="250">
        <v>1</v>
      </c>
      <c r="O52" s="250" t="s">
        <v>74</v>
      </c>
      <c r="P52" s="824">
        <v>0</v>
      </c>
      <c r="Q52" s="824">
        <v>0</v>
      </c>
      <c r="R52" s="824">
        <v>0</v>
      </c>
      <c r="S52" s="824">
        <v>0</v>
      </c>
      <c r="T52" s="824">
        <v>1149</v>
      </c>
      <c r="U52" s="824">
        <v>44</v>
      </c>
      <c r="V52" s="824">
        <v>40</v>
      </c>
      <c r="W52" s="824">
        <v>5</v>
      </c>
      <c r="X52" s="824">
        <v>1237.7564263010347</v>
      </c>
      <c r="Y52" s="824">
        <v>0</v>
      </c>
      <c r="Z52" s="966">
        <v>0</v>
      </c>
      <c r="AA52" s="966">
        <v>0</v>
      </c>
      <c r="AB52" s="969">
        <v>0</v>
      </c>
      <c r="AC52" s="969">
        <v>0</v>
      </c>
      <c r="AD52" s="969">
        <v>0</v>
      </c>
      <c r="AE52" s="264">
        <v>20</v>
      </c>
      <c r="AF52" s="264">
        <v>300</v>
      </c>
      <c r="AG52" s="264">
        <v>50</v>
      </c>
      <c r="AH52" s="264">
        <v>350</v>
      </c>
      <c r="AI52" s="973">
        <v>5</v>
      </c>
      <c r="AJ52" s="263">
        <v>20</v>
      </c>
      <c r="AK52" s="987">
        <v>350</v>
      </c>
      <c r="AL52" s="263">
        <f>VLOOKUP(Tableau1[[#This Row],[Code PAS]],'Facturation PAS RIN5 RUN'!C:F,4,0)</f>
        <v>40</v>
      </c>
      <c r="AM52" s="263"/>
      <c r="AN52" s="263" t="b">
        <f>ROUND(Tableau1[[#This Row],[Montant Options coûts récurrents]],0)=ROUND(Tableau1[[#This Row],[GTRS1 (Coût Plage de support 24h/24 7j/7)]],0)</f>
        <v>0</v>
      </c>
      <c r="AO52" s="265" t="e">
        <f>_xlfn.XLOOKUP(Tableau1[[#This Row],[Code PAS]],'parc SATIN 08012026v'!K:K,'parc SATIN 08012026v'!#REF!,0,0)</f>
        <v>#REF!</v>
      </c>
      <c r="AP52" s="263" t="e">
        <f>VLOOKUP(Tableau1[[#This Row],[Code PAS]],#REF!,3,0)</f>
        <v>#REF!</v>
      </c>
      <c r="AQ52" s="263" t="e">
        <f>VLOOKUP(Tableau1[[#This Row],[Code PAS]],[14]Feuil1!$B:$G,6,0)</f>
        <v>#N/A</v>
      </c>
      <c r="AR52" s="263" t="str">
        <f>_xlfn.XLOOKUP(Tableau1[[#This Row],[Code PAS]],'Facturation PAS RIN5 RUN'!C:C,'Facturation PAS RIN5 RUN'!B:B,0,0)</f>
        <v>Gold_20_20</v>
      </c>
      <c r="AS52" s="263" t="b">
        <f>Tableau1[[#This Row],[Etat facturation]]=Tableau1[[#This Row],[Index offre du fournisseur]]</f>
        <v>1</v>
      </c>
      <c r="AT52" s="250" t="str">
        <f>_xlfn.XLOOKUP(Tableau1[[#This Row],[Code PAS]],'parc SATIN 08012026v'!K:K,'parc SATIN 08012026v'!M:M,0,0)</f>
        <v>PARC</v>
      </c>
      <c r="AU52" s="250" t="str">
        <f>_xlfn.XLOOKUP(Tableau1[[#This Row],[Code PAS]],'parc SATIN 08012026v'!K:K,'parc SATIN 08012026v'!O:O,0,0)</f>
        <v>PARC</v>
      </c>
      <c r="AV52" s="251">
        <f>_xlfn.XLOOKUP(Tableau1[[#This Row],[Code PAS]],'parc SATIN 08012026v'!K:K,'parc SATIN 08012026v'!Q:Q,0,0)</f>
        <v>45754</v>
      </c>
      <c r="AW52" s="251" t="str">
        <f>_xlfn.XLOOKUP(Tableau1[[#This Row],[Code PAS]],'parc SATIN 08012026v'!K:K,'parc SATIN 08012026v'!S:S,0,0)</f>
        <v>change</v>
      </c>
      <c r="AX52" s="250" t="str">
        <f>_xlfn.XLOOKUP(Tableau1[[#This Row],[Code PAS]],'parc SATIN 08012026v'!K:K,'parc SATIN 08012026v'!AF:AF,0,0)</f>
        <v>20 Mb/s</v>
      </c>
      <c r="AY5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52" s="250" t="s">
        <v>2842</v>
      </c>
    </row>
    <row r="53" spans="1:52" s="250" customFormat="1" ht="15" customHeight="1" x14ac:dyDescent="0.3">
      <c r="A53" s="250" t="s">
        <v>2743</v>
      </c>
      <c r="C53" s="249"/>
      <c r="D53" s="249"/>
      <c r="E53" s="250" t="s">
        <v>2952</v>
      </c>
      <c r="F53" s="984" t="s">
        <v>1993</v>
      </c>
      <c r="G53" s="250" t="s">
        <v>2800</v>
      </c>
      <c r="H53" s="250" t="s">
        <v>2953</v>
      </c>
      <c r="J53" s="248" t="str">
        <f>_xlfn.XLOOKUP(Tableau1[[#This Row],[Code PAS]],'[13]Parc Satin'!$L:$L,'[13]Parc Satin'!$CK:$CK,0,0)</f>
        <v>Nominal InterLan 1.0 Secours InterLan 1.0</v>
      </c>
      <c r="P53" s="820">
        <v>2268</v>
      </c>
      <c r="Q53" s="820">
        <v>0</v>
      </c>
      <c r="R53" s="820">
        <v>0</v>
      </c>
      <c r="S53" s="820">
        <v>0</v>
      </c>
      <c r="T53" s="824">
        <v>2266</v>
      </c>
      <c r="U53" s="824">
        <v>299</v>
      </c>
      <c r="V53" s="824">
        <v>114</v>
      </c>
      <c r="W53" s="824">
        <v>414</v>
      </c>
      <c r="X53" s="823">
        <f>Tableau1[[#This Row],[Coût Abonnement offre]]+Tableau1[[#This Row],[Coût Abonnement Chassis]]+Tableau1[[#This Row],[Cout Cartes interface ]]+Tableau1[[#This Row],[Cout canaux voix supplémentaire]]</f>
        <v>3093</v>
      </c>
      <c r="Y53" s="824">
        <v>66</v>
      </c>
      <c r="Z53" s="966">
        <v>0</v>
      </c>
      <c r="AA53" s="966">
        <v>0</v>
      </c>
      <c r="AB53" s="969">
        <v>0</v>
      </c>
      <c r="AC53" s="969">
        <v>0</v>
      </c>
      <c r="AD53" s="969">
        <v>0</v>
      </c>
      <c r="AE53" s="264">
        <v>300</v>
      </c>
      <c r="AF53" s="264">
        <v>900</v>
      </c>
      <c r="AG53" s="264">
        <v>4600</v>
      </c>
      <c r="AH53" s="264">
        <v>5500</v>
      </c>
      <c r="AI53" s="973">
        <v>414</v>
      </c>
      <c r="AJ53" s="263">
        <v>300</v>
      </c>
      <c r="AK53" s="987">
        <v>5500</v>
      </c>
      <c r="AL53" s="263">
        <f>VLOOKUP(Tableau1[[#This Row],[Code PAS]],'Facturation PAS RIN5 RUN'!C:F,4,0)</f>
        <v>114</v>
      </c>
      <c r="AM53" s="263"/>
      <c r="AN53" s="263" t="b">
        <f>ROUND(Tableau1[[#This Row],[Montant Options coûts récurrents]],0)=ROUND(Tableau1[[#This Row],[GTRS1 (Coût Plage de support 24h/24 7j/7)]],0)</f>
        <v>0</v>
      </c>
      <c r="AO53" s="265" t="e">
        <f>_xlfn.XLOOKUP(Tableau1[[#This Row],[Code PAS]],'parc SATIN 08012026v'!K:K,'parc SATIN 08012026v'!#REF!,0,0)</f>
        <v>#REF!</v>
      </c>
      <c r="AP53" s="263" t="e">
        <f>VLOOKUP(Tableau1[[#This Row],[Code PAS]],#REF!,3,0)</f>
        <v>#REF!</v>
      </c>
      <c r="AQ53" s="263" t="str">
        <f>VLOOKUP(Tableau1[[#This Row],[Code PAS]],[14]Feuil1!$B:$G,6,0)</f>
        <v>24h/24 - 7j/7</v>
      </c>
      <c r="AR53" s="263" t="str">
        <f>_xlfn.XLOOKUP(Tableau1[[#This Row],[Code PAS]],'Facturation PAS RIN5 RUN'!C:C,'Facturation PAS RIN5 RUN'!B:B,0,0)</f>
        <v>Platinum_300_300</v>
      </c>
      <c r="AS53" s="263" t="b">
        <f>Tableau1[[#This Row],[Etat facturation]]=Tableau1[[#This Row],[Index offre du fournisseur]]</f>
        <v>1</v>
      </c>
      <c r="AT53" s="250" t="str">
        <f>_xlfn.XLOOKUP(Tableau1[[#This Row],[Code PAS]],'parc SATIN 08012026v'!K:K,'parc SATIN 08012026v'!M:M,0,0)</f>
        <v>PARC</v>
      </c>
      <c r="AU53" s="250" t="str">
        <f>_xlfn.XLOOKUP(Tableau1[[#This Row],[Code PAS]],'parc SATIN 08012026v'!K:K,'parc SATIN 08012026v'!O:O,0,0)</f>
        <v>PARC</v>
      </c>
      <c r="AV53" s="251">
        <f>_xlfn.XLOOKUP(Tableau1[[#This Row],[Code PAS]],'parc SATIN 08012026v'!K:K,'parc SATIN 08012026v'!Q:Q,0,0)</f>
        <v>44642</v>
      </c>
      <c r="AW53" s="251" t="str">
        <f>_xlfn.XLOOKUP(Tableau1[[#This Row],[Code PAS]],'parc SATIN 08012026v'!K:K,'parc SATIN 08012026v'!S:S,0,0)</f>
        <v>change</v>
      </c>
      <c r="AX53" s="250" t="str">
        <f>_xlfn.XLOOKUP(Tableau1[[#This Row],[Code PAS]],'parc SATIN 08012026v'!K:K,'parc SATIN 08012026v'!AF:AF,0,0)</f>
        <v>300 Mbits/s</v>
      </c>
      <c r="AY5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300</v>
      </c>
    </row>
    <row r="54" spans="1:52" s="250" customFormat="1" ht="15" customHeight="1" x14ac:dyDescent="0.3">
      <c r="A54" s="250" t="s">
        <v>2758</v>
      </c>
      <c r="B54" s="249">
        <v>45881</v>
      </c>
      <c r="C54" s="249">
        <v>45881</v>
      </c>
      <c r="D54" s="249"/>
      <c r="E54" s="250" t="s">
        <v>2954</v>
      </c>
      <c r="F54" s="984" t="s">
        <v>2220</v>
      </c>
      <c r="G54" s="250" t="s">
        <v>2791</v>
      </c>
      <c r="H54" s="250" t="s">
        <v>2791</v>
      </c>
      <c r="I54" s="250" t="s">
        <v>165</v>
      </c>
      <c r="J54" s="248" t="str">
        <f>_xlfn.XLOOKUP(Tableau1[[#This Row],[Code PAS]],'[13]Parc Satin'!$L:$L,'[13]Parc Satin'!$CK:$CK,0,0)</f>
        <v>Nominal C2E Fibre Secours C2E Fibre</v>
      </c>
      <c r="L54" s="250">
        <v>500</v>
      </c>
      <c r="M54" s="250">
        <v>400</v>
      </c>
      <c r="N54" s="250">
        <v>1</v>
      </c>
      <c r="O54" s="250" t="s">
        <v>74</v>
      </c>
      <c r="P54" s="824">
        <v>0</v>
      </c>
      <c r="Q54" s="824">
        <v>228</v>
      </c>
      <c r="R54" s="824">
        <v>0</v>
      </c>
      <c r="S54" s="824">
        <v>228</v>
      </c>
      <c r="T54" s="824">
        <v>1454</v>
      </c>
      <c r="U54" s="824">
        <v>84</v>
      </c>
      <c r="V54" s="824">
        <v>0</v>
      </c>
      <c r="W54" s="824">
        <v>36</v>
      </c>
      <c r="X54" s="824">
        <f>Tableau1[[#This Row],[Coût Abonnement offre]]+Tableau1[[#This Row],[Coût Abonnement Chassis]]+Tableau1[[#This Row],[Cout Cartes interface ]]+Tableau1[[#This Row],[Cout canaux voix supplémentaire]]</f>
        <v>1574</v>
      </c>
      <c r="Y54" s="824">
        <v>0</v>
      </c>
      <c r="Z54" s="966">
        <v>0</v>
      </c>
      <c r="AA54" s="966">
        <v>0</v>
      </c>
      <c r="AB54" s="969">
        <v>0</v>
      </c>
      <c r="AC54" s="969">
        <v>0</v>
      </c>
      <c r="AD54" s="969">
        <v>0</v>
      </c>
      <c r="AE54" s="264">
        <v>50</v>
      </c>
      <c r="AF54" s="264">
        <v>500</v>
      </c>
      <c r="AG54" s="264">
        <v>400</v>
      </c>
      <c r="AH54" s="264">
        <v>900</v>
      </c>
      <c r="AI54" s="973">
        <v>36</v>
      </c>
      <c r="AJ54" s="263">
        <v>50</v>
      </c>
      <c r="AK54" s="987">
        <v>900</v>
      </c>
      <c r="AL54" s="263">
        <f>VLOOKUP(Tableau1[[#This Row],[Code PAS]],'Facturation PAS RIN5 RUN'!C:F,4,0)</f>
        <v>0</v>
      </c>
      <c r="AM54" s="263"/>
      <c r="AN54" s="263" t="b">
        <f>ROUND(Tableau1[[#This Row],[Montant Options coûts récurrents]],0)=ROUND(Tableau1[[#This Row],[GTRS1 (Coût Plage de support 24h/24 7j/7)]],0)</f>
        <v>1</v>
      </c>
      <c r="AO54" s="265" t="e">
        <f>_xlfn.XLOOKUP(Tableau1[[#This Row],[Code PAS]],'parc SATIN 08012026v'!K:K,'parc SATIN 08012026v'!#REF!,0,0)</f>
        <v>#REF!</v>
      </c>
      <c r="AP54" s="263" t="e">
        <f>VLOOKUP(Tableau1[[#This Row],[Code PAS]],#REF!,3,0)</f>
        <v>#REF!</v>
      </c>
      <c r="AQ54" s="263" t="e">
        <f>VLOOKUP(Tableau1[[#This Row],[Code PAS]],[14]Feuil1!$B:$G,6,0)</f>
        <v>#N/A</v>
      </c>
      <c r="AR54" s="263" t="str">
        <f>_xlfn.XLOOKUP(Tableau1[[#This Row],[Code PAS]],'Facturation PAS RIN5 RUN'!C:C,'Facturation PAS RIN5 RUN'!B:B,0,0)</f>
        <v>Silver_50_50</v>
      </c>
      <c r="AS54" s="263" t="b">
        <f>Tableau1[[#This Row],[Etat facturation]]=Tableau1[[#This Row],[Index offre du fournisseur]]</f>
        <v>1</v>
      </c>
      <c r="AT54" s="250" t="str">
        <f>_xlfn.XLOOKUP(Tableau1[[#This Row],[Code PAS]],'parc SATIN 08012026v'!K:K,'parc SATIN 08012026v'!M:M,0,0)</f>
        <v>PARC</v>
      </c>
      <c r="AU54" s="250" t="str">
        <f>_xlfn.XLOOKUP(Tableau1[[#This Row],[Code PAS]],'parc SATIN 08012026v'!K:K,'parc SATIN 08012026v'!O:O,0,0)</f>
        <v>PARC</v>
      </c>
      <c r="AV54" s="251">
        <f>_xlfn.XLOOKUP(Tableau1[[#This Row],[Code PAS]],'parc SATIN 08012026v'!K:K,'parc SATIN 08012026v'!Q:Q,0,0)</f>
        <v>45881</v>
      </c>
      <c r="AW54" s="251" t="str">
        <f>_xlfn.XLOOKUP(Tableau1[[#This Row],[Code PAS]],'parc SATIN 08012026v'!K:K,'parc SATIN 08012026v'!S:S,0,0)</f>
        <v>change</v>
      </c>
      <c r="AX54" s="250" t="str">
        <f>_xlfn.XLOOKUP(Tableau1[[#This Row],[Code PAS]],'parc SATIN 08012026v'!K:K,'parc SATIN 08012026v'!AF:AF,0,0)</f>
        <v>50 Mb/s</v>
      </c>
      <c r="AY5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55" spans="1:52" s="250" customFormat="1" ht="15" customHeight="1" x14ac:dyDescent="0.3">
      <c r="A55" s="248" t="s">
        <v>2735</v>
      </c>
      <c r="B55" s="248"/>
      <c r="C55" s="249"/>
      <c r="D55" s="249"/>
      <c r="E55" s="248" t="s">
        <v>2955</v>
      </c>
      <c r="F55" s="981" t="s">
        <v>697</v>
      </c>
      <c r="H55" s="248" t="s">
        <v>2784</v>
      </c>
      <c r="I55" s="248"/>
      <c r="J55" s="248" t="str">
        <f>_xlfn.XLOOKUP(Tableau1[[#This Row],[Code PAS]],'[13]Parc Satin'!$L:$L,'[13]Parc Satin'!$CK:$CK,0,0)</f>
        <v>Nominal InterLan 1.0 Secours InterLan 1.0</v>
      </c>
      <c r="K55" s="248"/>
      <c r="L55" s="248"/>
      <c r="M55" s="248"/>
      <c r="N55" s="248"/>
      <c r="O55" s="248"/>
      <c r="P55" s="822">
        <v>0</v>
      </c>
      <c r="Q55" s="822">
        <v>0</v>
      </c>
      <c r="R55" s="822">
        <v>0</v>
      </c>
      <c r="S55" s="822">
        <v>0</v>
      </c>
      <c r="T55" s="823">
        <v>1454</v>
      </c>
      <c r="U55" s="823">
        <v>165</v>
      </c>
      <c r="V55" s="823">
        <v>16</v>
      </c>
      <c r="W55" s="823">
        <v>36</v>
      </c>
      <c r="X55" s="823">
        <f>Tableau1[[#This Row],[Coût Abonnement offre]]+Tableau1[[#This Row],[Coût Abonnement Chassis]]+Tableau1[[#This Row],[Cout Cartes interface ]]+Tableau1[[#This Row],[Cout canaux voix supplémentaire]]</f>
        <v>1671</v>
      </c>
      <c r="Y55" s="823"/>
      <c r="Z55" s="966">
        <v>0</v>
      </c>
      <c r="AA55" s="966">
        <v>0</v>
      </c>
      <c r="AB55" s="969">
        <v>0</v>
      </c>
      <c r="AC55" s="969">
        <v>0</v>
      </c>
      <c r="AD55" s="969">
        <v>0</v>
      </c>
      <c r="AE55" s="264">
        <v>50</v>
      </c>
      <c r="AF55" s="264">
        <v>500</v>
      </c>
      <c r="AG55" s="264">
        <v>400</v>
      </c>
      <c r="AH55" s="264">
        <v>900</v>
      </c>
      <c r="AI55" s="973">
        <v>36</v>
      </c>
      <c r="AJ55" s="263">
        <v>50</v>
      </c>
      <c r="AK55" s="987">
        <v>900</v>
      </c>
      <c r="AL55" s="263">
        <f>VLOOKUP(Tableau1[[#This Row],[Code PAS]],'Facturation PAS RIN5 RUN'!C:F,4,0)</f>
        <v>16</v>
      </c>
      <c r="AM55" s="263"/>
      <c r="AN55" s="263" t="b">
        <f>ROUND(Tableau1[[#This Row],[Montant Options coûts récurrents]],0)=ROUND(Tableau1[[#This Row],[GTRS1 (Coût Plage de support 24h/24 7j/7)]],0)</f>
        <v>0</v>
      </c>
      <c r="AO55" s="265" t="e">
        <f>_xlfn.XLOOKUP(Tableau1[[#This Row],[Code PAS]],'parc SATIN 08012026v'!K:K,'parc SATIN 08012026v'!#REF!,0,0)</f>
        <v>#REF!</v>
      </c>
      <c r="AP55" s="263" t="e">
        <f>VLOOKUP(Tableau1[[#This Row],[Code PAS]],#REF!,3,0)</f>
        <v>#REF!</v>
      </c>
      <c r="AQ55" s="263" t="str">
        <f>VLOOKUP(Tableau1[[#This Row],[Code PAS]],[14]Feuil1!$B:$G,6,0)</f>
        <v>Lundi au Samedi 8h-18h</v>
      </c>
      <c r="AR55" s="263" t="str">
        <f>_xlfn.XLOOKUP(Tableau1[[#This Row],[Code PAS]],'Facturation PAS RIN5 RUN'!C:C,'Facturation PAS RIN5 RUN'!B:B,0,0)</f>
        <v>Gold_50_50</v>
      </c>
      <c r="AS55" s="263" t="b">
        <f>Tableau1[[#This Row],[Etat facturation]]=Tableau1[[#This Row],[Index offre du fournisseur]]</f>
        <v>1</v>
      </c>
      <c r="AT55" s="250" t="str">
        <f>_xlfn.XLOOKUP(Tableau1[[#This Row],[Code PAS]],'parc SATIN 08012026v'!K:K,'parc SATIN 08012026v'!M:M,0,0)</f>
        <v>PARC</v>
      </c>
      <c r="AU55" s="250" t="str">
        <f>_xlfn.XLOOKUP(Tableau1[[#This Row],[Code PAS]],'parc SATIN 08012026v'!K:K,'parc SATIN 08012026v'!O:O,0,0)</f>
        <v>PARC</v>
      </c>
      <c r="AV55" s="251">
        <f>_xlfn.XLOOKUP(Tableau1[[#This Row],[Code PAS]],'parc SATIN 08012026v'!K:K,'parc SATIN 08012026v'!Q:Q,0,0)</f>
        <v>44077</v>
      </c>
      <c r="AW55" s="251" t="str">
        <f>_xlfn.XLOOKUP(Tableau1[[#This Row],[Code PAS]],'parc SATIN 08012026v'!K:K,'parc SATIN 08012026v'!S:S,0,0)</f>
        <v>change</v>
      </c>
      <c r="AX55" s="250" t="str">
        <f>_xlfn.XLOOKUP(Tableau1[[#This Row],[Code PAS]],'parc SATIN 08012026v'!K:K,'parc SATIN 08012026v'!AF:AF,0,0)</f>
        <v>50 Mb/s</v>
      </c>
      <c r="AY5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56" spans="1:52" s="250" customFormat="1" ht="15" customHeight="1" x14ac:dyDescent="0.3">
      <c r="A56" s="248" t="s">
        <v>2735</v>
      </c>
      <c r="B56" s="248"/>
      <c r="C56" s="249"/>
      <c r="D56" s="249"/>
      <c r="E56" s="248" t="s">
        <v>2956</v>
      </c>
      <c r="F56" s="981" t="s">
        <v>484</v>
      </c>
      <c r="G56" s="250" t="s">
        <v>2748</v>
      </c>
      <c r="H56" s="248" t="s">
        <v>2748</v>
      </c>
      <c r="I56" s="248" t="s">
        <v>2817</v>
      </c>
      <c r="J56" s="248" t="s">
        <v>2820</v>
      </c>
      <c r="K56" s="248" t="s">
        <v>2820</v>
      </c>
      <c r="L56" s="248">
        <v>300</v>
      </c>
      <c r="M56" s="248">
        <v>50</v>
      </c>
      <c r="N56" s="248"/>
      <c r="O56" s="248" t="s">
        <v>74</v>
      </c>
      <c r="P56" s="822"/>
      <c r="Q56" s="822"/>
      <c r="R56" s="822"/>
      <c r="S56" s="822">
        <v>0</v>
      </c>
      <c r="T56" s="824">
        <v>2384</v>
      </c>
      <c r="U56" s="823">
        <v>44.4</v>
      </c>
      <c r="V56" s="823">
        <v>32</v>
      </c>
      <c r="W56" s="823">
        <v>4.5</v>
      </c>
      <c r="X56" s="823">
        <v>2464.7564263010345</v>
      </c>
      <c r="Y56" s="823"/>
      <c r="Z56" s="966">
        <v>0</v>
      </c>
      <c r="AA56" s="966">
        <v>0</v>
      </c>
      <c r="AB56" s="969">
        <v>0</v>
      </c>
      <c r="AC56" s="969">
        <v>0</v>
      </c>
      <c r="AD56" s="969">
        <v>0</v>
      </c>
      <c r="AE56" s="264">
        <v>20</v>
      </c>
      <c r="AF56" s="264">
        <v>300</v>
      </c>
      <c r="AG56" s="264">
        <v>50</v>
      </c>
      <c r="AH56" s="264">
        <v>350</v>
      </c>
      <c r="AI56" s="973">
        <v>5</v>
      </c>
      <c r="AJ56" s="263">
        <v>20</v>
      </c>
      <c r="AK56" s="987">
        <v>350</v>
      </c>
      <c r="AL56" s="263">
        <f>VLOOKUP(Tableau1[[#This Row],[Code PAS]],'Facturation PAS RIN5 RUN'!C:F,4,0)</f>
        <v>32</v>
      </c>
      <c r="AM56" s="263"/>
      <c r="AN56" s="263" t="b">
        <f>ROUND(Tableau1[[#This Row],[Montant Options coûts récurrents]],0)=ROUND(Tableau1[[#This Row],[GTRS1 (Coût Plage de support 24h/24 7j/7)]],0)</f>
        <v>0</v>
      </c>
      <c r="AO56" s="265" t="e">
        <f>_xlfn.XLOOKUP(Tableau1[[#This Row],[Code PAS]],'parc SATIN 08012026v'!K:K,'parc SATIN 08012026v'!#REF!,0,0)</f>
        <v>#REF!</v>
      </c>
      <c r="AP56" s="263" t="e">
        <f>VLOOKUP(Tableau1[[#This Row],[Code PAS]],#REF!,3,0)</f>
        <v>#REF!</v>
      </c>
      <c r="AQ56" s="263" t="e">
        <f>VLOOKUP(Tableau1[[#This Row],[Code PAS]],[14]Feuil1!$B:$G,6,0)</f>
        <v>#N/A</v>
      </c>
      <c r="AR56" s="263" t="str">
        <f>_xlfn.XLOOKUP(Tableau1[[#This Row],[Code PAS]],'Facturation PAS RIN5 RUN'!C:C,'Facturation PAS RIN5 RUN'!B:B,0,0)</f>
        <v>Gold_20_20</v>
      </c>
      <c r="AS56" s="263" t="b">
        <f>Tableau1[[#This Row],[Etat facturation]]=Tableau1[[#This Row],[Index offre du fournisseur]]</f>
        <v>1</v>
      </c>
      <c r="AT56" s="250" t="str">
        <f>_xlfn.XLOOKUP(Tableau1[[#This Row],[Code PAS]],'parc SATIN 08012026v'!K:K,'parc SATIN 08012026v'!M:M,0,0)</f>
        <v>PARC</v>
      </c>
      <c r="AU56" s="250" t="str">
        <f>_xlfn.XLOOKUP(Tableau1[[#This Row],[Code PAS]],'parc SATIN 08012026v'!K:K,'parc SATIN 08012026v'!O:O,0,0)</f>
        <v>PARC</v>
      </c>
      <c r="AV56" s="251">
        <f>_xlfn.XLOOKUP(Tableau1[[#This Row],[Code PAS]],'parc SATIN 08012026v'!K:K,'parc SATIN 08012026v'!Q:Q,0,0)</f>
        <v>45555</v>
      </c>
      <c r="AW56" s="251" t="str">
        <f>_xlfn.XLOOKUP(Tableau1[[#This Row],[Code PAS]],'parc SATIN 08012026v'!K:K,'parc SATIN 08012026v'!S:S,0,0)</f>
        <v>change</v>
      </c>
      <c r="AX56" s="250" t="str">
        <f>_xlfn.XLOOKUP(Tableau1[[#This Row],[Code PAS]],'parc SATIN 08012026v'!K:K,'parc SATIN 08012026v'!AF:AF,0,0)</f>
        <v>20 Mb/s</v>
      </c>
      <c r="AY5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57" spans="1:52" s="250" customFormat="1" ht="15" customHeight="1" x14ac:dyDescent="0.3">
      <c r="A57" s="250" t="s">
        <v>2758</v>
      </c>
      <c r="C57" s="249"/>
      <c r="D57" s="249">
        <v>45693</v>
      </c>
      <c r="E57" s="250" t="s">
        <v>2957</v>
      </c>
      <c r="F57" s="984" t="s">
        <v>2159</v>
      </c>
      <c r="G57" s="250" t="s">
        <v>2748</v>
      </c>
      <c r="H57" s="250" t="s">
        <v>2748</v>
      </c>
      <c r="I57" s="250" t="s">
        <v>165</v>
      </c>
      <c r="J57" s="248" t="s">
        <v>2820</v>
      </c>
      <c r="K57" s="250" t="s">
        <v>2820</v>
      </c>
      <c r="L57" s="250">
        <v>300</v>
      </c>
      <c r="M57" s="250">
        <v>50</v>
      </c>
      <c r="N57" s="250">
        <v>1</v>
      </c>
      <c r="O57" s="250" t="s">
        <v>74</v>
      </c>
      <c r="P57" s="820">
        <v>0</v>
      </c>
      <c r="Q57" s="820">
        <v>0</v>
      </c>
      <c r="R57" s="820">
        <v>0</v>
      </c>
      <c r="S57" s="820">
        <v>0</v>
      </c>
      <c r="T57" s="824">
        <v>1149</v>
      </c>
      <c r="U57" s="824">
        <v>44</v>
      </c>
      <c r="V57" s="824">
        <v>40</v>
      </c>
      <c r="W57" s="824">
        <v>5</v>
      </c>
      <c r="X57" s="823">
        <v>1237.7564263010347</v>
      </c>
      <c r="Y57" s="824">
        <v>0</v>
      </c>
      <c r="Z57" s="966">
        <v>0</v>
      </c>
      <c r="AA57" s="966">
        <v>0</v>
      </c>
      <c r="AB57" s="969">
        <v>0</v>
      </c>
      <c r="AC57" s="969">
        <v>0</v>
      </c>
      <c r="AD57" s="969">
        <v>0</v>
      </c>
      <c r="AE57" s="264">
        <v>20</v>
      </c>
      <c r="AF57" s="264">
        <v>300</v>
      </c>
      <c r="AG57" s="264">
        <v>50</v>
      </c>
      <c r="AH57" s="264">
        <v>350</v>
      </c>
      <c r="AI57" s="973">
        <v>5</v>
      </c>
      <c r="AJ57" s="263">
        <v>30</v>
      </c>
      <c r="AK57" s="987">
        <v>550</v>
      </c>
      <c r="AL57" s="263">
        <f>VLOOKUP(Tableau1[[#This Row],[Code PAS]],'Facturation PAS RIN5 RUN'!C:F,4,0)</f>
        <v>40</v>
      </c>
      <c r="AM57" s="263"/>
      <c r="AN57" s="263" t="b">
        <f>ROUND(Tableau1[[#This Row],[Montant Options coûts récurrents]],0)=ROUND(Tableau1[[#This Row],[GTRS1 (Coût Plage de support 24h/24 7j/7)]],0)</f>
        <v>0</v>
      </c>
      <c r="AO57" s="265" t="e">
        <f>_xlfn.XLOOKUP(Tableau1[[#This Row],[Code PAS]],'parc SATIN 08012026v'!K:K,'parc SATIN 08012026v'!#REF!,0,0)</f>
        <v>#REF!</v>
      </c>
      <c r="AP57" s="263" t="e">
        <f>VLOOKUP(Tableau1[[#This Row],[Code PAS]],#REF!,3,0)</f>
        <v>#REF!</v>
      </c>
      <c r="AQ57" s="263" t="e">
        <f>VLOOKUP(Tableau1[[#This Row],[Code PAS]],[14]Feuil1!$B:$G,6,0)</f>
        <v>#N/A</v>
      </c>
      <c r="AR57" s="263" t="str">
        <f>_xlfn.XLOOKUP(Tableau1[[#This Row],[Code PAS]],'Facturation PAS RIN5 RUN'!C:C,'Facturation PAS RIN5 RUN'!B:B,0,0)</f>
        <v>Gold_20_20</v>
      </c>
      <c r="AS57" s="263" t="b">
        <f>Tableau1[[#This Row],[Etat facturation]]=Tableau1[[#This Row],[Index offre du fournisseur]]</f>
        <v>1</v>
      </c>
      <c r="AT57" s="250" t="str">
        <f>_xlfn.XLOOKUP(Tableau1[[#This Row],[Code PAS]],'parc SATIN 08012026v'!K:K,'parc SATIN 08012026v'!M:M,0,0)</f>
        <v>PARC</v>
      </c>
      <c r="AU57" s="250" t="str">
        <f>_xlfn.XLOOKUP(Tableau1[[#This Row],[Code PAS]],'parc SATIN 08012026v'!K:K,'parc SATIN 08012026v'!O:O,0,0)</f>
        <v>PARC</v>
      </c>
      <c r="AV57" s="251">
        <f>_xlfn.XLOOKUP(Tableau1[[#This Row],[Code PAS]],'parc SATIN 08012026v'!K:K,'parc SATIN 08012026v'!Q:Q,0,0)</f>
        <v>45693</v>
      </c>
      <c r="AW57" s="251" t="str">
        <f>_xlfn.XLOOKUP(Tableau1[[#This Row],[Code PAS]],'parc SATIN 08012026v'!K:K,'parc SATIN 08012026v'!S:S,0,0)</f>
        <v>change</v>
      </c>
      <c r="AX57" s="250" t="str">
        <f>_xlfn.XLOOKUP(Tableau1[[#This Row],[Code PAS]],'parc SATIN 08012026v'!K:K,'parc SATIN 08012026v'!AF:AF,0,0)</f>
        <v>30 Mb/s</v>
      </c>
      <c r="AY5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57" s="248" t="s">
        <v>2958</v>
      </c>
    </row>
    <row r="58" spans="1:52" s="250" customFormat="1" ht="15" customHeight="1" x14ac:dyDescent="0.3">
      <c r="A58" s="250" t="s">
        <v>2758</v>
      </c>
      <c r="C58" s="249"/>
      <c r="D58" s="249"/>
      <c r="E58" s="250" t="s">
        <v>2959</v>
      </c>
      <c r="F58" s="984" t="s">
        <v>2564</v>
      </c>
      <c r="G58" s="250" t="s">
        <v>2800</v>
      </c>
      <c r="H58" s="250" t="s">
        <v>2960</v>
      </c>
      <c r="J58" s="248" t="str">
        <f>_xlfn.XLOOKUP(Tableau1[[#This Row],[Code PAS]],'[13]Parc Satin'!$L:$L,'[13]Parc Satin'!$CK:$CK,0,0)</f>
        <v>Nominal C2E sans Secours</v>
      </c>
      <c r="P58" s="820">
        <v>0</v>
      </c>
      <c r="Q58" s="820">
        <v>0</v>
      </c>
      <c r="R58" s="820">
        <v>0</v>
      </c>
      <c r="S58" s="820">
        <v>0</v>
      </c>
      <c r="T58" s="824">
        <v>356</v>
      </c>
      <c r="U58" s="824">
        <v>12</v>
      </c>
      <c r="V58" s="824">
        <v>0</v>
      </c>
      <c r="W58" s="824">
        <v>0</v>
      </c>
      <c r="X58" s="823">
        <f>Tableau1[[#This Row],[Coût Abonnement offre]]+Tableau1[[#This Row],[Coût Abonnement Chassis]]+Tableau1[[#This Row],[Cout Cartes interface ]]+Tableau1[[#This Row],[Cout canaux voix supplémentaire]]</f>
        <v>368</v>
      </c>
      <c r="Y58" s="824">
        <v>36</v>
      </c>
      <c r="Z58" s="966">
        <v>0</v>
      </c>
      <c r="AA58" s="966">
        <v>0</v>
      </c>
      <c r="AB58" s="969">
        <v>0</v>
      </c>
      <c r="AC58" s="969">
        <v>0</v>
      </c>
      <c r="AD58" s="969">
        <v>0</v>
      </c>
      <c r="AE58" s="264">
        <v>4</v>
      </c>
      <c r="AF58" s="264">
        <v>40</v>
      </c>
      <c r="AG58" s="264">
        <v>30</v>
      </c>
      <c r="AH58" s="264">
        <v>70</v>
      </c>
      <c r="AI58" s="973">
        <v>27</v>
      </c>
      <c r="AJ58" s="263">
        <v>4</v>
      </c>
      <c r="AK58" s="987">
        <v>40</v>
      </c>
      <c r="AL58" s="263">
        <f>VLOOKUP(Tableau1[[#This Row],[Code PAS]],'Facturation PAS RIN5 RUN'!C:F,4,0)</f>
        <v>0</v>
      </c>
      <c r="AM58" s="263"/>
      <c r="AN58" s="263" t="b">
        <f>ROUND(Tableau1[[#This Row],[Montant Options coûts récurrents]],0)=ROUND(Tableau1[[#This Row],[GTRS1 (Coût Plage de support 24h/24 7j/7)]],0)</f>
        <v>0</v>
      </c>
      <c r="AO58" s="265" t="e">
        <f>_xlfn.XLOOKUP(Tableau1[[#This Row],[Code PAS]],'parc SATIN 08012026v'!K:K,'parc SATIN 08012026v'!#REF!,0,0)</f>
        <v>#REF!</v>
      </c>
      <c r="AP58" s="263" t="e">
        <f>VLOOKUP(Tableau1[[#This Row],[Code PAS]],#REF!,3,0)</f>
        <v>#REF!</v>
      </c>
      <c r="AQ58" s="263" t="e">
        <f>VLOOKUP(Tableau1[[#This Row],[Code PAS]],[14]Feuil1!$B:$G,6,0)</f>
        <v>#N/A</v>
      </c>
      <c r="AR58" s="263" t="str">
        <f>_xlfn.XLOOKUP(Tableau1[[#This Row],[Code PAS]],'Facturation PAS RIN5 RUN'!C:C,'Facturation PAS RIN5 RUN'!B:B,0,0)</f>
        <v>Platinum_Man_4_0</v>
      </c>
      <c r="AS58" s="263" t="b">
        <f>Tableau1[[#This Row],[Etat facturation]]=Tableau1[[#This Row],[Index offre du fournisseur]]</f>
        <v>1</v>
      </c>
      <c r="AT58" s="250" t="str">
        <f>_xlfn.XLOOKUP(Tableau1[[#This Row],[Code PAS]],'parc SATIN 08012026v'!K:K,'parc SATIN 08012026v'!M:M,0,0)</f>
        <v>PARC</v>
      </c>
      <c r="AU58" s="250" t="str">
        <f>_xlfn.XLOOKUP(Tableau1[[#This Row],[Code PAS]],'parc SATIN 08012026v'!K:K,'parc SATIN 08012026v'!O:O,0,0)</f>
        <v>PARC</v>
      </c>
      <c r="AV58" s="251">
        <f>_xlfn.XLOOKUP(Tableau1[[#This Row],[Code PAS]],'parc SATIN 08012026v'!K:K,'parc SATIN 08012026v'!Q:Q,0,0)</f>
        <v>44097</v>
      </c>
      <c r="AW58" s="251" t="str">
        <f>_xlfn.XLOOKUP(Tableau1[[#This Row],[Code PAS]],'parc SATIN 08012026v'!K:K,'parc SATIN 08012026v'!S:S,0,0)</f>
        <v>création</v>
      </c>
      <c r="AX58" s="250" t="str">
        <f>_xlfn.XLOOKUP(Tableau1[[#This Row],[Code PAS]],'parc SATIN 08012026v'!K:K,'parc SATIN 08012026v'!AF:AF,0,0)</f>
        <v>4 Mb/s</v>
      </c>
      <c r="AY58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4</v>
      </c>
      <c r="AZ58" s="250" t="s">
        <v>2868</v>
      </c>
    </row>
    <row r="59" spans="1:52" s="250" customFormat="1" ht="15" customHeight="1" x14ac:dyDescent="0.3">
      <c r="A59" s="250" t="s">
        <v>2743</v>
      </c>
      <c r="C59" s="249"/>
      <c r="D59" s="249">
        <v>45735</v>
      </c>
      <c r="E59" s="250" t="s">
        <v>2962</v>
      </c>
      <c r="F59" s="984" t="s">
        <v>1200</v>
      </c>
      <c r="G59" s="250" t="s">
        <v>2748</v>
      </c>
      <c r="H59" s="250" t="s">
        <v>2748</v>
      </c>
      <c r="I59" s="250" t="s">
        <v>78</v>
      </c>
      <c r="J59" s="248"/>
      <c r="L59" s="250">
        <v>300</v>
      </c>
      <c r="M59" s="250">
        <v>50</v>
      </c>
      <c r="P59" s="820">
        <v>0</v>
      </c>
      <c r="Q59" s="820">
        <v>0</v>
      </c>
      <c r="R59" s="820">
        <v>0</v>
      </c>
      <c r="S59" s="820">
        <v>0</v>
      </c>
      <c r="T59" s="824">
        <v>1149</v>
      </c>
      <c r="U59" s="824">
        <v>44</v>
      </c>
      <c r="V59" s="824">
        <v>32</v>
      </c>
      <c r="W59" s="824">
        <v>5</v>
      </c>
      <c r="X59" s="823">
        <v>1229.7564263010347</v>
      </c>
      <c r="Y59" s="824">
        <v>0</v>
      </c>
      <c r="Z59" s="966">
        <v>0</v>
      </c>
      <c r="AA59" s="966">
        <v>0</v>
      </c>
      <c r="AB59" s="969">
        <v>0</v>
      </c>
      <c r="AC59" s="969">
        <v>0</v>
      </c>
      <c r="AD59" s="969">
        <v>0</v>
      </c>
      <c r="AE59" s="264">
        <v>20</v>
      </c>
      <c r="AF59" s="264">
        <v>300</v>
      </c>
      <c r="AG59" s="264">
        <v>50</v>
      </c>
      <c r="AH59" s="264">
        <v>350</v>
      </c>
      <c r="AI59" s="973">
        <v>5</v>
      </c>
      <c r="AJ59" s="263">
        <v>20</v>
      </c>
      <c r="AK59" s="987">
        <v>350</v>
      </c>
      <c r="AL59" s="263">
        <f>VLOOKUP(Tableau1[[#This Row],[Code PAS]],'Facturation PAS RIN5 RUN'!C:F,4,0)</f>
        <v>32</v>
      </c>
      <c r="AM59" s="263"/>
      <c r="AN59" s="263" t="b">
        <f>ROUND(Tableau1[[#This Row],[Montant Options coûts récurrents]],0)=ROUND(Tableau1[[#This Row],[GTRS1 (Coût Plage de support 24h/24 7j/7)]],0)</f>
        <v>0</v>
      </c>
      <c r="AO59" s="265" t="e">
        <f>_xlfn.XLOOKUP(Tableau1[[#This Row],[Code PAS]],'parc SATIN 08012026v'!K:K,'parc SATIN 08012026v'!#REF!,0,0)</f>
        <v>#REF!</v>
      </c>
      <c r="AP59" s="263" t="e">
        <f>VLOOKUP(Tableau1[[#This Row],[Code PAS]],#REF!,3,0)</f>
        <v>#REF!</v>
      </c>
      <c r="AQ59" s="263" t="e">
        <f>VLOOKUP(Tableau1[[#This Row],[Code PAS]],[14]Feuil1!$B:$G,6,0)</f>
        <v>#N/A</v>
      </c>
      <c r="AR59" s="263" t="str">
        <f>_xlfn.XLOOKUP(Tableau1[[#This Row],[Code PAS]],'Facturation PAS RIN5 RUN'!C:C,'Facturation PAS RIN5 RUN'!B:B,0,0)</f>
        <v>Gold_20_20</v>
      </c>
      <c r="AS59" s="263" t="b">
        <f>Tableau1[[#This Row],[Etat facturation]]=Tableau1[[#This Row],[Index offre du fournisseur]]</f>
        <v>1</v>
      </c>
      <c r="AT59" s="250" t="str">
        <f>_xlfn.XLOOKUP(Tableau1[[#This Row],[Code PAS]],'parc SATIN 08012026v'!K:K,'parc SATIN 08012026v'!M:M,0,0)</f>
        <v>PARC</v>
      </c>
      <c r="AU59" s="250" t="str">
        <f>_xlfn.XLOOKUP(Tableau1[[#This Row],[Code PAS]],'parc SATIN 08012026v'!K:K,'parc SATIN 08012026v'!O:O,0,0)</f>
        <v>PARC</v>
      </c>
      <c r="AV59" s="251">
        <f>_xlfn.XLOOKUP(Tableau1[[#This Row],[Code PAS]],'parc SATIN 08012026v'!K:K,'parc SATIN 08012026v'!Q:Q,0,0)</f>
        <v>45735</v>
      </c>
      <c r="AW59" s="251" t="str">
        <f>_xlfn.XLOOKUP(Tableau1[[#This Row],[Code PAS]],'parc SATIN 08012026v'!K:K,'parc SATIN 08012026v'!S:S,0,0)</f>
        <v>change</v>
      </c>
      <c r="AX59" s="250" t="str">
        <f>_xlfn.XLOOKUP(Tableau1[[#This Row],[Code PAS]],'parc SATIN 08012026v'!K:K,'parc SATIN 08012026v'!AF:AF,0,0)</f>
        <v>20 Mb/s</v>
      </c>
      <c r="AY5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59" s="250" t="s">
        <v>2842</v>
      </c>
    </row>
    <row r="60" spans="1:52" s="250" customFormat="1" ht="15" customHeight="1" x14ac:dyDescent="0.3">
      <c r="A60" s="250" t="s">
        <v>2758</v>
      </c>
      <c r="C60" s="249"/>
      <c r="D60" s="249">
        <v>45825.756712962997</v>
      </c>
      <c r="E60" s="250" t="s">
        <v>2963</v>
      </c>
      <c r="F60" s="984" t="s">
        <v>2211</v>
      </c>
      <c r="G60" s="250" t="s">
        <v>2871</v>
      </c>
      <c r="H60" s="250" t="s">
        <v>2871</v>
      </c>
      <c r="I60" s="248" t="s">
        <v>165</v>
      </c>
      <c r="J60" s="248"/>
      <c r="L60" s="250">
        <v>500</v>
      </c>
      <c r="M60" s="250">
        <v>400</v>
      </c>
      <c r="O60" s="250" t="s">
        <v>76</v>
      </c>
      <c r="P60" s="824">
        <v>0</v>
      </c>
      <c r="Q60" s="824">
        <v>0</v>
      </c>
      <c r="R60" s="824">
        <v>0</v>
      </c>
      <c r="S60" s="824">
        <v>0</v>
      </c>
      <c r="T60" s="824">
        <v>861</v>
      </c>
      <c r="U60" s="824">
        <v>35</v>
      </c>
      <c r="V60" s="824">
        <v>3</v>
      </c>
      <c r="W60" s="824">
        <v>36</v>
      </c>
      <c r="X60" s="824">
        <v>935.15287434270363</v>
      </c>
      <c r="Y60" s="824">
        <v>36</v>
      </c>
      <c r="Z60" s="966">
        <v>0</v>
      </c>
      <c r="AA60" s="966">
        <v>0</v>
      </c>
      <c r="AB60" s="969">
        <v>0</v>
      </c>
      <c r="AC60" s="969">
        <v>0</v>
      </c>
      <c r="AD60" s="969">
        <v>0</v>
      </c>
      <c r="AE60" s="264">
        <v>50</v>
      </c>
      <c r="AF60" s="264">
        <v>500</v>
      </c>
      <c r="AG60" s="264">
        <v>400</v>
      </c>
      <c r="AH60" s="264">
        <v>900</v>
      </c>
      <c r="AI60" s="973">
        <v>36</v>
      </c>
      <c r="AJ60" s="263">
        <v>50</v>
      </c>
      <c r="AK60" s="987">
        <v>900</v>
      </c>
      <c r="AL60" s="263">
        <f>VLOOKUP(Tableau1[[#This Row],[Code PAS]],'Facturation PAS RIN5 RUN'!C:F,4,0)</f>
        <v>3</v>
      </c>
      <c r="AM60" s="263"/>
      <c r="AN60" s="263" t="b">
        <f>ROUND(Tableau1[[#This Row],[Montant Options coûts récurrents]],0)=ROUND(Tableau1[[#This Row],[GTRS1 (Coût Plage de support 24h/24 7j/7)]],0)</f>
        <v>0</v>
      </c>
      <c r="AO60" s="265" t="e">
        <f>_xlfn.XLOOKUP(Tableau1[[#This Row],[Code PAS]],'parc SATIN 08012026v'!K:K,'parc SATIN 08012026v'!#REF!,0,0)</f>
        <v>#REF!</v>
      </c>
      <c r="AP60" s="263" t="e">
        <f>VLOOKUP(Tableau1[[#This Row],[Code PAS]],#REF!,3,0)</f>
        <v>#REF!</v>
      </c>
      <c r="AQ60" s="263" t="e">
        <f>VLOOKUP(Tableau1[[#This Row],[Code PAS]],[14]Feuil1!$B:$G,6,0)</f>
        <v>#N/A</v>
      </c>
      <c r="AR60" s="263" t="str">
        <f>_xlfn.XLOOKUP(Tableau1[[#This Row],[Code PAS]],'Facturation PAS RIN5 RUN'!C:C,'Facturation PAS RIN5 RUN'!B:B,0,0)</f>
        <v>Platinum_Man_50_0</v>
      </c>
      <c r="AS60" s="263" t="b">
        <f>Tableau1[[#This Row],[Etat facturation]]=Tableau1[[#This Row],[Index offre du fournisseur]]</f>
        <v>1</v>
      </c>
      <c r="AT60" s="250" t="str">
        <f>_xlfn.XLOOKUP(Tableau1[[#This Row],[Code PAS]],'parc SATIN 08012026v'!K:K,'parc SATIN 08012026v'!M:M,0,0)</f>
        <v>PARC</v>
      </c>
      <c r="AU60" s="250" t="str">
        <f>_xlfn.XLOOKUP(Tableau1[[#This Row],[Code PAS]],'parc SATIN 08012026v'!K:K,'parc SATIN 08012026v'!O:O,0,0)</f>
        <v>PARC</v>
      </c>
      <c r="AV60" s="251">
        <f>_xlfn.XLOOKUP(Tableau1[[#This Row],[Code PAS]],'parc SATIN 08012026v'!K:K,'parc SATIN 08012026v'!Q:Q,0,0)</f>
        <v>45861</v>
      </c>
      <c r="AW60" s="251" t="str">
        <f>_xlfn.XLOOKUP(Tableau1[[#This Row],[Code PAS]],'parc SATIN 08012026v'!K:K,'parc SATIN 08012026v'!S:S,0,0)</f>
        <v>change</v>
      </c>
      <c r="AX60" s="250" t="str">
        <f>_xlfn.XLOOKUP(Tableau1[[#This Row],[Code PAS]],'parc SATIN 08012026v'!K:K,'parc SATIN 08012026v'!AF:AF,0,0)</f>
        <v>50 Mb/s</v>
      </c>
      <c r="AY60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50</v>
      </c>
      <c r="AZ60" s="250" t="s">
        <v>2842</v>
      </c>
    </row>
    <row r="61" spans="1:52" s="250" customFormat="1" ht="15" customHeight="1" x14ac:dyDescent="0.3">
      <c r="A61" s="250" t="s">
        <v>2758</v>
      </c>
      <c r="B61" s="249">
        <v>45777</v>
      </c>
      <c r="C61" s="249">
        <v>45786</v>
      </c>
      <c r="D61" s="249">
        <v>45786</v>
      </c>
      <c r="E61" s="250" t="s">
        <v>2964</v>
      </c>
      <c r="F61" s="984" t="s">
        <v>2203</v>
      </c>
      <c r="G61" s="250" t="s">
        <v>2965</v>
      </c>
      <c r="H61" s="250" t="s">
        <v>2966</v>
      </c>
      <c r="I61" s="250" t="s">
        <v>165</v>
      </c>
      <c r="J61" s="248"/>
      <c r="L61" s="250">
        <v>120</v>
      </c>
      <c r="M61" s="250">
        <v>60</v>
      </c>
      <c r="N61" s="250">
        <v>1</v>
      </c>
      <c r="O61" s="250" t="s">
        <v>76</v>
      </c>
      <c r="P61" s="823">
        <v>0</v>
      </c>
      <c r="Q61" s="824">
        <v>0</v>
      </c>
      <c r="R61" s="824">
        <v>0</v>
      </c>
      <c r="S61" s="824">
        <v>0</v>
      </c>
      <c r="T61" s="824">
        <v>568</v>
      </c>
      <c r="U61" s="824">
        <v>42</v>
      </c>
      <c r="V61" s="824">
        <v>0</v>
      </c>
      <c r="W61" s="824">
        <v>5</v>
      </c>
      <c r="X61" s="824">
        <v>615.81198185659002</v>
      </c>
      <c r="Y61" s="824">
        <v>0</v>
      </c>
      <c r="Z61" s="966">
        <v>0</v>
      </c>
      <c r="AA61" s="966">
        <v>0</v>
      </c>
      <c r="AB61" s="969">
        <v>0</v>
      </c>
      <c r="AC61" s="969">
        <v>0</v>
      </c>
      <c r="AD61" s="969">
        <v>0</v>
      </c>
      <c r="AE61" s="264">
        <v>10</v>
      </c>
      <c r="AF61" s="264">
        <v>120</v>
      </c>
      <c r="AG61" s="264">
        <v>60</v>
      </c>
      <c r="AH61" s="264">
        <v>180</v>
      </c>
      <c r="AI61" s="973">
        <v>5</v>
      </c>
      <c r="AJ61" s="263">
        <v>20</v>
      </c>
      <c r="AK61" s="987">
        <v>350</v>
      </c>
      <c r="AL61" s="263">
        <f>VLOOKUP(Tableau1[[#This Row],[Code PAS]],'Facturation PAS RIN5 RUN'!C:F,4,0)</f>
        <v>0</v>
      </c>
      <c r="AM61" s="263"/>
      <c r="AN61" s="263" t="b">
        <f>ROUND(Tableau1[[#This Row],[Montant Options coûts récurrents]],0)=ROUND(Tableau1[[#This Row],[GTRS1 (Coût Plage de support 24h/24 7j/7)]],0)</f>
        <v>1</v>
      </c>
      <c r="AO61" s="265" t="e">
        <f>_xlfn.XLOOKUP(Tableau1[[#This Row],[Code PAS]],'parc SATIN 08012026v'!K:K,'parc SATIN 08012026v'!#REF!,0,0)</f>
        <v>#REF!</v>
      </c>
      <c r="AP61" s="263" t="e">
        <f>VLOOKUP(Tableau1[[#This Row],[Code PAS]],#REF!,3,0)</f>
        <v>#REF!</v>
      </c>
      <c r="AQ61" s="263" t="e">
        <f>VLOOKUP(Tableau1[[#This Row],[Code PAS]],[14]Feuil1!$B:$G,6,0)</f>
        <v>#N/A</v>
      </c>
      <c r="AR61" s="263" t="str">
        <f>_xlfn.XLOOKUP(Tableau1[[#This Row],[Code PAS]],'Facturation PAS RIN5 RUN'!C:C,'Facturation PAS RIN5 RUN'!B:B,0,0)</f>
        <v>Platinum_Man_10_0</v>
      </c>
      <c r="AS61" s="263" t="b">
        <f>Tableau1[[#This Row],[Etat facturation]]=Tableau1[[#This Row],[Index offre du fournisseur]]</f>
        <v>1</v>
      </c>
      <c r="AT61" s="250" t="str">
        <f>_xlfn.XLOOKUP(Tableau1[[#This Row],[Code PAS]],'parc SATIN 08012026v'!K:K,'parc SATIN 08012026v'!M:M,0,0)</f>
        <v>PARC</v>
      </c>
      <c r="AU61" s="250" t="str">
        <f>_xlfn.XLOOKUP(Tableau1[[#This Row],[Code PAS]],'parc SATIN 08012026v'!K:K,'parc SATIN 08012026v'!O:O,0,0)</f>
        <v>EN COURS</v>
      </c>
      <c r="AV61" s="251">
        <f>_xlfn.XLOOKUP(Tableau1[[#This Row],[Code PAS]],'parc SATIN 08012026v'!K:K,'parc SATIN 08012026v'!Q:Q,0,0)</f>
        <v>0</v>
      </c>
      <c r="AW61" s="251" t="str">
        <f>_xlfn.XLOOKUP(Tableau1[[#This Row],[Code PAS]],'parc SATIN 08012026v'!K:K,'parc SATIN 08012026v'!S:S,0,0)</f>
        <v>change</v>
      </c>
      <c r="AX61" s="250" t="str">
        <f>_xlfn.XLOOKUP(Tableau1[[#This Row],[Code PAS]],'parc SATIN 08012026v'!K:K,'parc SATIN 08012026v'!AF:AF,0,0)</f>
        <v>20 Mb/s</v>
      </c>
      <c r="AY61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10</v>
      </c>
      <c r="AZ61" s="250" t="s">
        <v>2967</v>
      </c>
    </row>
    <row r="62" spans="1:52" s="250" customFormat="1" ht="15" customHeight="1" x14ac:dyDescent="0.3">
      <c r="A62" s="250" t="s">
        <v>2758</v>
      </c>
      <c r="C62" s="249"/>
      <c r="D62" s="249"/>
      <c r="E62" s="250" t="s">
        <v>2968</v>
      </c>
      <c r="F62" s="984" t="s">
        <v>2555</v>
      </c>
      <c r="G62" s="250" t="s">
        <v>2800</v>
      </c>
      <c r="H62" s="250" t="s">
        <v>2969</v>
      </c>
      <c r="J62" s="248" t="str">
        <f>_xlfn.XLOOKUP(Tableau1[[#This Row],[Code PAS]],'[13]Parc Satin'!$L:$L,'[13]Parc Satin'!$CK:$CK,0,0)</f>
        <v>Nominal C2E Fibre sans Secours</v>
      </c>
      <c r="P62" s="820">
        <v>0</v>
      </c>
      <c r="Q62" s="820">
        <v>0</v>
      </c>
      <c r="R62" s="820">
        <v>0</v>
      </c>
      <c r="S62" s="820">
        <v>0</v>
      </c>
      <c r="T62" s="824">
        <v>1437</v>
      </c>
      <c r="U62" s="824">
        <v>35</v>
      </c>
      <c r="V62" s="824">
        <v>0</v>
      </c>
      <c r="W62" s="824">
        <v>0</v>
      </c>
      <c r="X62" s="823">
        <f>Tableau1[[#This Row],[Coût Abonnement offre]]+Tableau1[[#This Row],[Coût Abonnement Chassis]]+Tableau1[[#This Row],[Cout Cartes interface ]]+Tableau1[[#This Row],[Cout canaux voix supplémentaire]]</f>
        <v>1472</v>
      </c>
      <c r="Y62" s="824">
        <v>36</v>
      </c>
      <c r="Z62" s="966">
        <v>0</v>
      </c>
      <c r="AA62" s="966">
        <v>0</v>
      </c>
      <c r="AB62" s="969">
        <v>0</v>
      </c>
      <c r="AC62" s="969">
        <v>0</v>
      </c>
      <c r="AD62" s="969">
        <v>0</v>
      </c>
      <c r="AE62" s="264">
        <v>30</v>
      </c>
      <c r="AF62" s="264">
        <v>400</v>
      </c>
      <c r="AG62" s="264">
        <v>150</v>
      </c>
      <c r="AH62" s="264">
        <v>550</v>
      </c>
      <c r="AI62" s="973">
        <v>14</v>
      </c>
      <c r="AJ62" s="263">
        <v>30</v>
      </c>
      <c r="AK62" s="987">
        <v>400</v>
      </c>
      <c r="AL62" s="263">
        <f>VLOOKUP(Tableau1[[#This Row],[Code PAS]],'Facturation PAS RIN5 RUN'!C:F,4,0)</f>
        <v>0</v>
      </c>
      <c r="AM62" s="263"/>
      <c r="AN62" s="263" t="b">
        <f>ROUND(Tableau1[[#This Row],[Montant Options coûts récurrents]],0)=ROUND(Tableau1[[#This Row],[GTRS1 (Coût Plage de support 24h/24 7j/7)]],0)</f>
        <v>0</v>
      </c>
      <c r="AO62" s="265" t="e">
        <f>_xlfn.XLOOKUP(Tableau1[[#This Row],[Code PAS]],'parc SATIN 08012026v'!K:K,'parc SATIN 08012026v'!#REF!,0,0)</f>
        <v>#REF!</v>
      </c>
      <c r="AP62" s="263" t="e">
        <f>VLOOKUP(Tableau1[[#This Row],[Code PAS]],#REF!,3,0)</f>
        <v>#REF!</v>
      </c>
      <c r="AQ62" s="263" t="e">
        <f>VLOOKUP(Tableau1[[#This Row],[Code PAS]],[14]Feuil1!$B:$G,6,0)</f>
        <v>#N/A</v>
      </c>
      <c r="AR62" s="263" t="str">
        <f>_xlfn.XLOOKUP(Tableau1[[#This Row],[Code PAS]],'Facturation PAS RIN5 RUN'!C:C,'Facturation PAS RIN5 RUN'!B:B,0,0)</f>
        <v>Platinum_Man_30_0</v>
      </c>
      <c r="AS62" s="263" t="b">
        <f>Tableau1[[#This Row],[Etat facturation]]=Tableau1[[#This Row],[Index offre du fournisseur]]</f>
        <v>1</v>
      </c>
      <c r="AT62" s="250" t="str">
        <f>_xlfn.XLOOKUP(Tableau1[[#This Row],[Code PAS]],'parc SATIN 08012026v'!K:K,'parc SATIN 08012026v'!M:M,0,0)</f>
        <v>PARC</v>
      </c>
      <c r="AU62" s="250" t="str">
        <f>_xlfn.XLOOKUP(Tableau1[[#This Row],[Code PAS]],'parc SATIN 08012026v'!K:K,'parc SATIN 08012026v'!O:O,0,0)</f>
        <v>PARC</v>
      </c>
      <c r="AV62" s="251">
        <f>_xlfn.XLOOKUP(Tableau1[[#This Row],[Code PAS]],'parc SATIN 08012026v'!K:K,'parc SATIN 08012026v'!Q:Q,0,0)</f>
        <v>44098</v>
      </c>
      <c r="AW62" s="251" t="str">
        <f>_xlfn.XLOOKUP(Tableau1[[#This Row],[Code PAS]],'parc SATIN 08012026v'!K:K,'parc SATIN 08012026v'!S:S,0,0)</f>
        <v>création</v>
      </c>
      <c r="AX62" s="250" t="str">
        <f>_xlfn.XLOOKUP(Tableau1[[#This Row],[Code PAS]],'parc SATIN 08012026v'!K:K,'parc SATIN 08012026v'!AF:AF,0,0)</f>
        <v>30 Mb/s</v>
      </c>
      <c r="AY62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30</v>
      </c>
      <c r="AZ62" s="250" t="s">
        <v>2868</v>
      </c>
    </row>
    <row r="63" spans="1:52" s="250" customFormat="1" ht="15" customHeight="1" x14ac:dyDescent="0.3">
      <c r="A63" s="250" t="s">
        <v>2743</v>
      </c>
      <c r="C63" s="249"/>
      <c r="D63" s="249"/>
      <c r="E63" s="250" t="s">
        <v>2970</v>
      </c>
      <c r="F63" s="984" t="s">
        <v>1984</v>
      </c>
      <c r="G63" s="250" t="s">
        <v>2800</v>
      </c>
      <c r="H63" s="250" t="s">
        <v>2953</v>
      </c>
      <c r="J63" s="248" t="str">
        <f>_xlfn.XLOOKUP(Tableau1[[#This Row],[Code PAS]],'[13]Parc Satin'!$L:$L,'[13]Parc Satin'!$CK:$CK,0,0)</f>
        <v>Nominal InterLan 1.0 Secours InterLan 1.0</v>
      </c>
      <c r="P63" s="820">
        <v>0</v>
      </c>
      <c r="Q63" s="820">
        <v>0</v>
      </c>
      <c r="R63" s="820">
        <v>0</v>
      </c>
      <c r="S63" s="820">
        <v>0</v>
      </c>
      <c r="T63" s="824">
        <v>2266</v>
      </c>
      <c r="U63" s="824">
        <v>299</v>
      </c>
      <c r="V63" s="824">
        <v>65</v>
      </c>
      <c r="W63" s="824">
        <v>414</v>
      </c>
      <c r="X63" s="823">
        <f>Tableau1[[#This Row],[Coût Abonnement offre]]+Tableau1[[#This Row],[Coût Abonnement Chassis]]+Tableau1[[#This Row],[Cout Cartes interface ]]+Tableau1[[#This Row],[Cout canaux voix supplémentaire]]</f>
        <v>3044</v>
      </c>
      <c r="Y63" s="824">
        <v>66</v>
      </c>
      <c r="Z63" s="966">
        <v>0</v>
      </c>
      <c r="AA63" s="966">
        <v>0</v>
      </c>
      <c r="AB63" s="969">
        <v>0</v>
      </c>
      <c r="AC63" s="969">
        <v>0</v>
      </c>
      <c r="AD63" s="969">
        <v>0</v>
      </c>
      <c r="AE63" s="264">
        <v>300</v>
      </c>
      <c r="AF63" s="264">
        <v>900</v>
      </c>
      <c r="AG63" s="264">
        <v>4600</v>
      </c>
      <c r="AH63" s="264">
        <v>5500</v>
      </c>
      <c r="AI63" s="973">
        <v>414</v>
      </c>
      <c r="AJ63" s="263">
        <v>300</v>
      </c>
      <c r="AK63" s="987">
        <v>5500</v>
      </c>
      <c r="AL63" s="263">
        <f>VLOOKUP(Tableau1[[#This Row],[Code PAS]],'Facturation PAS RIN5 RUN'!C:F,4,0)</f>
        <v>65</v>
      </c>
      <c r="AM63" s="263"/>
      <c r="AN63" s="263" t="b">
        <f>ROUND(Tableau1[[#This Row],[Montant Options coûts récurrents]],0)=ROUND(Tableau1[[#This Row],[GTRS1 (Coût Plage de support 24h/24 7j/7)]],0)</f>
        <v>0</v>
      </c>
      <c r="AO63" s="265" t="e">
        <f>_xlfn.XLOOKUP(Tableau1[[#This Row],[Code PAS]],'parc SATIN 08012026v'!K:K,'parc SATIN 08012026v'!#REF!,0,0)</f>
        <v>#REF!</v>
      </c>
      <c r="AP63" s="263" t="e">
        <f>VLOOKUP(Tableau1[[#This Row],[Code PAS]],#REF!,3,0)</f>
        <v>#REF!</v>
      </c>
      <c r="AQ63" s="263" t="e">
        <f>VLOOKUP(Tableau1[[#This Row],[Code PAS]],[14]Feuil1!$B:$G,6,0)</f>
        <v>#N/A</v>
      </c>
      <c r="AR63" s="263" t="str">
        <f>_xlfn.XLOOKUP(Tableau1[[#This Row],[Code PAS]],'Facturation PAS RIN5 RUN'!C:C,'Facturation PAS RIN5 RUN'!B:B,0,0)</f>
        <v>Platinum_300_300</v>
      </c>
      <c r="AS63" s="263" t="b">
        <f>Tableau1[[#This Row],[Etat facturation]]=Tableau1[[#This Row],[Index offre du fournisseur]]</f>
        <v>1</v>
      </c>
      <c r="AT63" s="250" t="str">
        <f>_xlfn.XLOOKUP(Tableau1[[#This Row],[Code PAS]],'parc SATIN 08012026v'!K:K,'parc SATIN 08012026v'!M:M,0,0)</f>
        <v>PARC</v>
      </c>
      <c r="AU63" s="250" t="str">
        <f>_xlfn.XLOOKUP(Tableau1[[#This Row],[Code PAS]],'parc SATIN 08012026v'!K:K,'parc SATIN 08012026v'!O:O,0,0)</f>
        <v>PARC</v>
      </c>
      <c r="AV63" s="251">
        <f>_xlfn.XLOOKUP(Tableau1[[#This Row],[Code PAS]],'parc SATIN 08012026v'!K:K,'parc SATIN 08012026v'!Q:Q,0,0)</f>
        <v>44244</v>
      </c>
      <c r="AW63" s="251" t="str">
        <f>_xlfn.XLOOKUP(Tableau1[[#This Row],[Code PAS]],'parc SATIN 08012026v'!K:K,'parc SATIN 08012026v'!S:S,0,0)</f>
        <v>change</v>
      </c>
      <c r="AX63" s="250" t="str">
        <f>_xlfn.XLOOKUP(Tableau1[[#This Row],[Code PAS]],'parc SATIN 08012026v'!K:K,'parc SATIN 08012026v'!AF:AF,0,0)</f>
        <v>300 Mbits/s</v>
      </c>
      <c r="AY6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300</v>
      </c>
    </row>
    <row r="64" spans="1:52" s="250" customFormat="1" ht="15" customHeight="1" x14ac:dyDescent="0.3">
      <c r="A64" s="250" t="s">
        <v>2743</v>
      </c>
      <c r="C64" s="249"/>
      <c r="D64" s="249"/>
      <c r="E64" s="250" t="s">
        <v>2971</v>
      </c>
      <c r="F64" s="984" t="s">
        <v>1273</v>
      </c>
      <c r="G64" s="250" t="s">
        <v>2800</v>
      </c>
      <c r="H64" s="250" t="s">
        <v>2765</v>
      </c>
      <c r="J64" s="248" t="str">
        <f>_xlfn.XLOOKUP(Tableau1[[#This Row],[Code PAS]],'[13]Parc Satin'!$L:$L,'[13]Parc Satin'!$CK:$CK,0,0)</f>
        <v>Nominal InterLan 1.0 Secours InterLan 1.0</v>
      </c>
      <c r="P64" s="820">
        <v>0</v>
      </c>
      <c r="Q64" s="820">
        <v>0</v>
      </c>
      <c r="R64" s="820">
        <v>0</v>
      </c>
      <c r="S64" s="820">
        <v>0</v>
      </c>
      <c r="T64" s="824">
        <v>1249</v>
      </c>
      <c r="U64" s="824">
        <v>71</v>
      </c>
      <c r="V64" s="824">
        <v>16</v>
      </c>
      <c r="W64" s="824">
        <v>14</v>
      </c>
      <c r="X64" s="823">
        <f>Tableau1[[#This Row],[Coût Abonnement offre]]+Tableau1[[#This Row],[Coût Abonnement Chassis]]+Tableau1[[#This Row],[Cout Cartes interface ]]+Tableau1[[#This Row],[Cout canaux voix supplémentaire]]</f>
        <v>1350</v>
      </c>
      <c r="Y64" s="824"/>
      <c r="Z64" s="966">
        <v>0</v>
      </c>
      <c r="AA64" s="966">
        <v>0</v>
      </c>
      <c r="AB64" s="969">
        <v>0</v>
      </c>
      <c r="AC64" s="969">
        <v>0</v>
      </c>
      <c r="AD64" s="969">
        <v>0</v>
      </c>
      <c r="AE64" s="264">
        <v>30</v>
      </c>
      <c r="AF64" s="264">
        <v>400</v>
      </c>
      <c r="AG64" s="264">
        <v>150</v>
      </c>
      <c r="AH64" s="264">
        <v>550</v>
      </c>
      <c r="AI64" s="973">
        <v>14</v>
      </c>
      <c r="AJ64" s="263">
        <v>30</v>
      </c>
      <c r="AK64" s="987">
        <v>550</v>
      </c>
      <c r="AL64" s="263">
        <f>VLOOKUP(Tableau1[[#This Row],[Code PAS]],'Facturation PAS RIN5 RUN'!C:F,4,0)</f>
        <v>16</v>
      </c>
      <c r="AM64" s="263"/>
      <c r="AN64" s="263" t="b">
        <f>ROUND(Tableau1[[#This Row],[Montant Options coûts récurrents]],0)=ROUND(Tableau1[[#This Row],[GTRS1 (Coût Plage de support 24h/24 7j/7)]],0)</f>
        <v>0</v>
      </c>
      <c r="AO64" s="265" t="e">
        <f>_xlfn.XLOOKUP(Tableau1[[#This Row],[Code PAS]],'parc SATIN 08012026v'!K:K,'parc SATIN 08012026v'!#REF!,0,0)</f>
        <v>#REF!</v>
      </c>
      <c r="AP64" s="263" t="e">
        <f>VLOOKUP(Tableau1[[#This Row],[Code PAS]],#REF!,3,0)</f>
        <v>#REF!</v>
      </c>
      <c r="AQ64" s="263" t="str">
        <f>VLOOKUP(Tableau1[[#This Row],[Code PAS]],[14]Feuil1!$B:$G,6,0)</f>
        <v>Lundi au Samedi 8h-18h</v>
      </c>
      <c r="AR64" s="263" t="str">
        <f>_xlfn.XLOOKUP(Tableau1[[#This Row],[Code PAS]],'Facturation PAS RIN5 RUN'!C:C,'Facturation PAS RIN5 RUN'!B:B,0,0)</f>
        <v>Gold_30_30</v>
      </c>
      <c r="AS64" s="263" t="b">
        <f>Tableau1[[#This Row],[Etat facturation]]=Tableau1[[#This Row],[Index offre du fournisseur]]</f>
        <v>1</v>
      </c>
      <c r="AT64" s="250" t="str">
        <f>_xlfn.XLOOKUP(Tableau1[[#This Row],[Code PAS]],'parc SATIN 08012026v'!K:K,'parc SATIN 08012026v'!M:M,0,0)</f>
        <v>PARC</v>
      </c>
      <c r="AU64" s="250" t="str">
        <f>_xlfn.XLOOKUP(Tableau1[[#This Row],[Code PAS]],'parc SATIN 08012026v'!K:K,'parc SATIN 08012026v'!O:O,0,0)</f>
        <v>PARC</v>
      </c>
      <c r="AV64" s="251">
        <f>_xlfn.XLOOKUP(Tableau1[[#This Row],[Code PAS]],'parc SATIN 08012026v'!K:K,'parc SATIN 08012026v'!Q:Q,0,0)</f>
        <v>44088</v>
      </c>
      <c r="AW64" s="251" t="str">
        <f>_xlfn.XLOOKUP(Tableau1[[#This Row],[Code PAS]],'parc SATIN 08012026v'!K:K,'parc SATIN 08012026v'!S:S,0,0)</f>
        <v>change</v>
      </c>
      <c r="AX64" s="250" t="str">
        <f>_xlfn.XLOOKUP(Tableau1[[#This Row],[Code PAS]],'parc SATIN 08012026v'!K:K,'parc SATIN 08012026v'!AF:AF,0,0)</f>
        <v>30 Mb/s</v>
      </c>
      <c r="AY6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65" spans="1:52" s="250" customFormat="1" ht="15" customHeight="1" x14ac:dyDescent="0.3">
      <c r="A65" s="248" t="s">
        <v>2735</v>
      </c>
      <c r="B65" s="248"/>
      <c r="C65" s="248"/>
      <c r="D65" s="248"/>
      <c r="E65" s="248" t="s">
        <v>2972</v>
      </c>
      <c r="F65" s="981" t="s">
        <v>884</v>
      </c>
      <c r="H65" s="248" t="s">
        <v>2751</v>
      </c>
      <c r="I65" s="248"/>
      <c r="J65" s="248" t="str">
        <f>_xlfn.XLOOKUP(Tableau1[[#This Row],[Code PAS]],'[13]Parc Satin'!$L:$L,'[13]Parc Satin'!$CK:$CK,0,0)</f>
        <v>Nominal C2E Fibre sans Secours</v>
      </c>
      <c r="K65" s="248"/>
      <c r="L65" s="248"/>
      <c r="M65" s="248"/>
      <c r="N65" s="248"/>
      <c r="O65" s="248"/>
      <c r="P65" s="822">
        <v>0</v>
      </c>
      <c r="Q65" s="822">
        <v>0</v>
      </c>
      <c r="R65" s="822">
        <v>0</v>
      </c>
      <c r="S65" s="822">
        <v>0</v>
      </c>
      <c r="T65" s="823">
        <v>568</v>
      </c>
      <c r="U65" s="823">
        <v>35</v>
      </c>
      <c r="V65" s="823">
        <v>8</v>
      </c>
      <c r="W65" s="823">
        <v>5</v>
      </c>
      <c r="X65" s="823">
        <f>Tableau1[[#This Row],[Coût Abonnement offre]]+Tableau1[[#This Row],[Coût Abonnement Chassis]]+Tableau1[[#This Row],[Cout Cartes interface ]]+Tableau1[[#This Row],[Cout canaux voix supplémentaire]]</f>
        <v>616</v>
      </c>
      <c r="Y65" s="823">
        <v>0</v>
      </c>
      <c r="Z65" s="966">
        <v>0</v>
      </c>
      <c r="AA65" s="966">
        <v>0</v>
      </c>
      <c r="AB65" s="969">
        <v>0</v>
      </c>
      <c r="AC65" s="969">
        <v>0</v>
      </c>
      <c r="AD65" s="969">
        <v>0</v>
      </c>
      <c r="AE65" s="264">
        <v>10</v>
      </c>
      <c r="AF65" s="264">
        <v>120</v>
      </c>
      <c r="AG65" s="264">
        <v>60</v>
      </c>
      <c r="AH65" s="264">
        <v>180</v>
      </c>
      <c r="AI65" s="973">
        <v>5</v>
      </c>
      <c r="AJ65" s="263">
        <v>10</v>
      </c>
      <c r="AK65" s="987">
        <v>180</v>
      </c>
      <c r="AL65" s="263">
        <f>VLOOKUP(Tableau1[[#This Row],[Code PAS]],'Facturation PAS RIN5 RUN'!C:F,4,0)</f>
        <v>8</v>
      </c>
      <c r="AM65" s="263"/>
      <c r="AN65" s="263" t="b">
        <f>ROUND(Tableau1[[#This Row],[Montant Options coûts récurrents]],0)=ROUND(Tableau1[[#This Row],[GTRS1 (Coût Plage de support 24h/24 7j/7)]],0)</f>
        <v>0</v>
      </c>
      <c r="AO65" s="265" t="e">
        <f>_xlfn.XLOOKUP(Tableau1[[#This Row],[Code PAS]],'parc SATIN 08012026v'!K:K,'parc SATIN 08012026v'!#REF!,0,0)</f>
        <v>#REF!</v>
      </c>
      <c r="AP65" s="263" t="e">
        <f>VLOOKUP(Tableau1[[#This Row],[Code PAS]],#REF!,3,0)</f>
        <v>#REF!</v>
      </c>
      <c r="AQ65" s="263" t="e">
        <f>VLOOKUP(Tableau1[[#This Row],[Code PAS]],[14]Feuil1!$B:$G,6,0)</f>
        <v>#N/A</v>
      </c>
      <c r="AR65" s="263" t="str">
        <f>_xlfn.XLOOKUP(Tableau1[[#This Row],[Code PAS]],'Facturation PAS RIN5 RUN'!C:C,'Facturation PAS RIN5 RUN'!B:B,0,0)</f>
        <v>Bronze_10_0</v>
      </c>
      <c r="AS65" s="263" t="b">
        <f>Tableau1[[#This Row],[Etat facturation]]=Tableau1[[#This Row],[Index offre du fournisseur]]</f>
        <v>1</v>
      </c>
      <c r="AT65" s="250" t="str">
        <f>_xlfn.XLOOKUP(Tableau1[[#This Row],[Code PAS]],'parc SATIN 08012026v'!K:K,'parc SATIN 08012026v'!M:M,0,0)</f>
        <v>PARC</v>
      </c>
      <c r="AU65" s="250" t="str">
        <f>_xlfn.XLOOKUP(Tableau1[[#This Row],[Code PAS]],'parc SATIN 08012026v'!K:K,'parc SATIN 08012026v'!O:O,0,0)</f>
        <v>PARC</v>
      </c>
      <c r="AV65" s="251">
        <f>_xlfn.XLOOKUP(Tableau1[[#This Row],[Code PAS]],'parc SATIN 08012026v'!K:K,'parc SATIN 08012026v'!Q:Q,0,0)</f>
        <v>43931</v>
      </c>
      <c r="AW65" s="251" t="str">
        <f>_xlfn.XLOOKUP(Tableau1[[#This Row],[Code PAS]],'parc SATIN 08012026v'!K:K,'parc SATIN 08012026v'!S:S,0,0)</f>
        <v>change</v>
      </c>
      <c r="AX65" s="250" t="str">
        <f>_xlfn.XLOOKUP(Tableau1[[#This Row],[Code PAS]],'parc SATIN 08012026v'!K:K,'parc SATIN 08012026v'!AF:AF,0,0)</f>
        <v>10 Mb/s</v>
      </c>
      <c r="AY6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66" spans="1:52" s="250" customFormat="1" ht="15" customHeight="1" x14ac:dyDescent="0.3">
      <c r="A66" s="248" t="s">
        <v>2735</v>
      </c>
      <c r="B66" s="248"/>
      <c r="C66" s="249"/>
      <c r="D66" s="249"/>
      <c r="E66" s="250" t="s">
        <v>2833</v>
      </c>
      <c r="F66" s="984" t="s">
        <v>261</v>
      </c>
      <c r="G66" s="250" t="s">
        <v>2765</v>
      </c>
      <c r="H66" s="250" t="s">
        <v>2765</v>
      </c>
      <c r="I66" s="250" t="s">
        <v>78</v>
      </c>
      <c r="J66" s="248" t="str">
        <f>_xlfn.XLOOKUP(Tableau1[[#This Row],[Code PAS]],'[13]Parc Satin'!$L:$L,'[13]Parc Satin'!$CK:$CK,0,0)</f>
        <v>Nominal InterLan 1.0 Secours InterLan 1.0</v>
      </c>
      <c r="K66" s="250" t="s">
        <v>2829</v>
      </c>
      <c r="L66" s="250">
        <v>400</v>
      </c>
      <c r="M66" s="250">
        <v>150</v>
      </c>
      <c r="N66" s="250">
        <v>1</v>
      </c>
      <c r="O66" s="250" t="s">
        <v>74</v>
      </c>
      <c r="P66" s="824">
        <v>0</v>
      </c>
      <c r="Q66" s="824">
        <v>0</v>
      </c>
      <c r="R66" s="824">
        <v>0</v>
      </c>
      <c r="S66" s="824">
        <v>0</v>
      </c>
      <c r="T66" s="824">
        <v>1249</v>
      </c>
      <c r="U66" s="824">
        <v>165</v>
      </c>
      <c r="V66" s="824">
        <v>80</v>
      </c>
      <c r="W66" s="824">
        <v>14</v>
      </c>
      <c r="X66" s="824">
        <v>1508</v>
      </c>
      <c r="Y66" s="824">
        <v>0</v>
      </c>
      <c r="Z66" s="966">
        <v>0</v>
      </c>
      <c r="AA66" s="966">
        <v>0</v>
      </c>
      <c r="AB66" s="969">
        <v>0</v>
      </c>
      <c r="AC66" s="969">
        <v>0</v>
      </c>
      <c r="AD66" s="969">
        <v>0</v>
      </c>
      <c r="AE66" s="264">
        <v>30</v>
      </c>
      <c r="AF66" s="264">
        <v>400</v>
      </c>
      <c r="AG66" s="264">
        <v>150</v>
      </c>
      <c r="AH66" s="264">
        <v>550</v>
      </c>
      <c r="AI66" s="973">
        <v>14</v>
      </c>
      <c r="AJ66" s="263">
        <v>30</v>
      </c>
      <c r="AK66" s="987">
        <v>550</v>
      </c>
      <c r="AL66" s="263">
        <f>VLOOKUP(Tableau1[[#This Row],[Code PAS]],'Facturation PAS RIN5 RUN'!C:F,4,0)</f>
        <v>80</v>
      </c>
      <c r="AM66" s="263"/>
      <c r="AN66" s="263" t="b">
        <f>ROUND(Tableau1[[#This Row],[Montant Options coûts récurrents]],0)=ROUND(Tableau1[[#This Row],[GTRS1 (Coût Plage de support 24h/24 7j/7)]],0)</f>
        <v>0</v>
      </c>
      <c r="AO66" s="265" t="e">
        <f>_xlfn.XLOOKUP(Tableau1[[#This Row],[Code PAS]],'parc SATIN 08012026v'!K:K,'parc SATIN 08012026v'!#REF!,0,0)</f>
        <v>#REF!</v>
      </c>
      <c r="AP66" s="263" t="e">
        <f>VLOOKUP(Tableau1[[#This Row],[Code PAS]],#REF!,3,0)</f>
        <v>#REF!</v>
      </c>
      <c r="AQ66" s="263" t="e">
        <f>VLOOKUP(Tableau1[[#This Row],[Code PAS]],[14]Feuil1!$B:$G,6,0)</f>
        <v>#N/A</v>
      </c>
      <c r="AR66" s="263" t="str">
        <f>_xlfn.XLOOKUP(Tableau1[[#This Row],[Code PAS]],'Facturation PAS RIN5 RUN'!C:C,'Facturation PAS RIN5 RUN'!B:B,0,0)</f>
        <v>Gold_30_30</v>
      </c>
      <c r="AS66" s="263" t="b">
        <f>Tableau1[[#This Row],[Etat facturation]]=Tableau1[[#This Row],[Index offre du fournisseur]]</f>
        <v>1</v>
      </c>
      <c r="AT66" s="250" t="str">
        <f>_xlfn.XLOOKUP(Tableau1[[#This Row],[Code PAS]],'parc SATIN 08012026v'!K:K,'parc SATIN 08012026v'!M:M,0,0)</f>
        <v>PARC</v>
      </c>
      <c r="AU66" s="250" t="str">
        <f>_xlfn.XLOOKUP(Tableau1[[#This Row],[Code PAS]],'parc SATIN 08012026v'!K:K,'parc SATIN 08012026v'!O:O,0,0)</f>
        <v>EN COURS</v>
      </c>
      <c r="AV66" s="251">
        <f>_xlfn.XLOOKUP(Tableau1[[#This Row],[Code PAS]],'parc SATIN 08012026v'!K:K,'parc SATIN 08012026v'!Q:Q,0,0)</f>
        <v>0</v>
      </c>
      <c r="AW66" s="251" t="str">
        <f>_xlfn.XLOOKUP(Tableau1[[#This Row],[Code PAS]],'parc SATIN 08012026v'!K:K,'parc SATIN 08012026v'!S:S,0,0)</f>
        <v>change</v>
      </c>
      <c r="AX66" s="250" t="str">
        <f>_xlfn.XLOOKUP(Tableau1[[#This Row],[Code PAS]],'parc SATIN 08012026v'!K:K,'parc SATIN 08012026v'!AF:AF,0,0)</f>
        <v>30 Mb/s</v>
      </c>
      <c r="AY6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67" spans="1:52" s="250" customFormat="1" ht="15" customHeight="1" x14ac:dyDescent="0.3">
      <c r="A67" s="250" t="s">
        <v>2758</v>
      </c>
      <c r="C67" s="249"/>
      <c r="D67" s="249"/>
      <c r="E67" s="250" t="s">
        <v>2973</v>
      </c>
      <c r="F67" s="984" t="s">
        <v>2331</v>
      </c>
      <c r="G67" s="250" t="s">
        <v>2800</v>
      </c>
      <c r="H67" s="250" t="s">
        <v>2867</v>
      </c>
      <c r="J67" s="248" t="str">
        <f>_xlfn.XLOOKUP(Tableau1[[#This Row],[Code PAS]],'[13]Parc Satin'!$L:$L,'[13]Parc Satin'!$CK:$CK,0,0)</f>
        <v>Nominal C2E sans Secours</v>
      </c>
      <c r="P67" s="820">
        <v>0</v>
      </c>
      <c r="Q67" s="820">
        <v>0</v>
      </c>
      <c r="R67" s="820">
        <v>0</v>
      </c>
      <c r="S67" s="820">
        <v>0</v>
      </c>
      <c r="T67" s="824">
        <v>290</v>
      </c>
      <c r="U67" s="824">
        <v>12</v>
      </c>
      <c r="V67" s="824">
        <v>0</v>
      </c>
      <c r="W67" s="824">
        <v>0</v>
      </c>
      <c r="X67" s="823">
        <f>Tableau1[[#This Row],[Coût Abonnement offre]]+Tableau1[[#This Row],[Coût Abonnement Chassis]]+Tableau1[[#This Row],[Cout Cartes interface ]]+Tableau1[[#This Row],[Cout canaux voix supplémentaire]]</f>
        <v>302</v>
      </c>
      <c r="Y67" s="824">
        <v>0</v>
      </c>
      <c r="Z67" s="966">
        <v>0</v>
      </c>
      <c r="AA67" s="966">
        <v>0</v>
      </c>
      <c r="AB67" s="969">
        <v>0</v>
      </c>
      <c r="AC67" s="969">
        <v>0</v>
      </c>
      <c r="AD67" s="969">
        <v>0</v>
      </c>
      <c r="AE67" s="264">
        <v>2</v>
      </c>
      <c r="AF67" s="264">
        <v>20</v>
      </c>
      <c r="AG67" s="264">
        <v>10</v>
      </c>
      <c r="AH67" s="264">
        <v>30</v>
      </c>
      <c r="AI67" s="973">
        <v>9</v>
      </c>
      <c r="AJ67" s="263">
        <v>2</v>
      </c>
      <c r="AK67" s="987">
        <v>20</v>
      </c>
      <c r="AL67" s="263">
        <f>VLOOKUP(Tableau1[[#This Row],[Code PAS]],'Facturation PAS RIN5 RUN'!C:F,4,0)</f>
        <v>0</v>
      </c>
      <c r="AM67" s="263"/>
      <c r="AN67" s="263" t="b">
        <f>ROUND(Tableau1[[#This Row],[Montant Options coûts récurrents]],0)=ROUND(Tableau1[[#This Row],[GTRS1 (Coût Plage de support 24h/24 7j/7)]],0)</f>
        <v>1</v>
      </c>
      <c r="AO67" s="265" t="e">
        <f>_xlfn.XLOOKUP(Tableau1[[#This Row],[Code PAS]],'parc SATIN 08012026v'!K:K,'parc SATIN 08012026v'!#REF!,0,0)</f>
        <v>#REF!</v>
      </c>
      <c r="AP67" s="263" t="e">
        <f>VLOOKUP(Tableau1[[#This Row],[Code PAS]],#REF!,3,0)</f>
        <v>#REF!</v>
      </c>
      <c r="AQ67" s="263" t="e">
        <f>VLOOKUP(Tableau1[[#This Row],[Code PAS]],[14]Feuil1!$B:$G,6,0)</f>
        <v>#N/A</v>
      </c>
      <c r="AR67" s="263" t="str">
        <f>_xlfn.XLOOKUP(Tableau1[[#This Row],[Code PAS]],'Facturation PAS RIN5 RUN'!C:C,'Facturation PAS RIN5 RUN'!B:B,0,0)</f>
        <v>Bronze_2_0</v>
      </c>
      <c r="AS67" s="263" t="b">
        <f>Tableau1[[#This Row],[Etat facturation]]=Tableau1[[#This Row],[Index offre du fournisseur]]</f>
        <v>1</v>
      </c>
      <c r="AT67" s="250" t="str">
        <f>_xlfn.XLOOKUP(Tableau1[[#This Row],[Code PAS]],'parc SATIN 08012026v'!K:K,'parc SATIN 08012026v'!M:M,0,0)</f>
        <v>PARC</v>
      </c>
      <c r="AU67" s="250" t="str">
        <f>_xlfn.XLOOKUP(Tableau1[[#This Row],[Code PAS]],'parc SATIN 08012026v'!K:K,'parc SATIN 08012026v'!O:O,0,0)</f>
        <v>PARC</v>
      </c>
      <c r="AV67" s="251">
        <f>_xlfn.XLOOKUP(Tableau1[[#This Row],[Code PAS]],'parc SATIN 08012026v'!K:K,'parc SATIN 08012026v'!Q:Q,0,0)</f>
        <v>44200</v>
      </c>
      <c r="AW67" s="251" t="str">
        <f>_xlfn.XLOOKUP(Tableau1[[#This Row],[Code PAS]],'parc SATIN 08012026v'!K:K,'parc SATIN 08012026v'!S:S,0,0)</f>
        <v>change</v>
      </c>
      <c r="AX67" s="250" t="str">
        <f>_xlfn.XLOOKUP(Tableau1[[#This Row],[Code PAS]],'parc SATIN 08012026v'!K:K,'parc SATIN 08012026v'!AF:AF,0,0)</f>
        <v>2 Mb/s</v>
      </c>
      <c r="AY6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67" s="250" t="s">
        <v>2868</v>
      </c>
    </row>
    <row r="68" spans="1:52" s="250" customFormat="1" ht="15" customHeight="1" x14ac:dyDescent="0.3">
      <c r="A68" s="248" t="s">
        <v>2735</v>
      </c>
      <c r="B68" s="248"/>
      <c r="C68" s="249"/>
      <c r="D68" s="249"/>
      <c r="E68" s="248" t="s">
        <v>2974</v>
      </c>
      <c r="F68" s="981" t="s">
        <v>252</v>
      </c>
      <c r="G68" s="250" t="s">
        <v>2784</v>
      </c>
      <c r="H68" s="248" t="s">
        <v>2784</v>
      </c>
      <c r="I68" s="248" t="s">
        <v>2946</v>
      </c>
      <c r="J68" s="248" t="str">
        <f>_xlfn.XLOOKUP(Tableau1[[#This Row],[Code PAS]],'[13]Parc Satin'!$L:$L,'[13]Parc Satin'!$CK:$CK,0,0)</f>
        <v>Nominal C2E Fibre Secours C2E Fibre</v>
      </c>
      <c r="K68" s="248" t="s">
        <v>2820</v>
      </c>
      <c r="L68" s="248">
        <v>500</v>
      </c>
      <c r="M68" s="248">
        <v>400</v>
      </c>
      <c r="N68" s="248">
        <v>2</v>
      </c>
      <c r="O68" s="248" t="s">
        <v>74</v>
      </c>
      <c r="P68" s="822">
        <v>0</v>
      </c>
      <c r="Q68" s="822">
        <v>0</v>
      </c>
      <c r="R68" s="822">
        <v>0</v>
      </c>
      <c r="S68" s="822">
        <v>0</v>
      </c>
      <c r="T68" s="823">
        <v>1454</v>
      </c>
      <c r="U68" s="823">
        <v>165</v>
      </c>
      <c r="V68" s="823">
        <v>40</v>
      </c>
      <c r="W68" s="823">
        <v>36</v>
      </c>
      <c r="X68" s="823">
        <f>Tableau1[[#This Row],[Coût Abonnement offre]]+Tableau1[[#This Row],[Coût Abonnement Chassis]]+Tableau1[[#This Row],[Cout Cartes interface ]]+Tableau1[[#This Row],[Cout canaux voix supplémentaire]]</f>
        <v>1695</v>
      </c>
      <c r="Y68" s="823">
        <v>0</v>
      </c>
      <c r="Z68" s="966">
        <v>0</v>
      </c>
      <c r="AA68" s="966">
        <v>0</v>
      </c>
      <c r="AB68" s="969">
        <v>0</v>
      </c>
      <c r="AC68" s="969">
        <v>0</v>
      </c>
      <c r="AD68" s="969">
        <v>0</v>
      </c>
      <c r="AE68" s="264">
        <v>50</v>
      </c>
      <c r="AF68" s="264">
        <v>500</v>
      </c>
      <c r="AG68" s="264">
        <v>400</v>
      </c>
      <c r="AH68" s="264">
        <v>900</v>
      </c>
      <c r="AI68" s="973">
        <v>36</v>
      </c>
      <c r="AJ68" s="263">
        <v>50</v>
      </c>
      <c r="AK68" s="987">
        <v>900</v>
      </c>
      <c r="AL68" s="263">
        <f>VLOOKUP(Tableau1[[#This Row],[Code PAS]],'Facturation PAS RIN5 RUN'!C:F,4,0)</f>
        <v>40</v>
      </c>
      <c r="AM68" s="263"/>
      <c r="AN68" s="263" t="b">
        <f>ROUND(Tableau1[[#This Row],[Montant Options coûts récurrents]],0)=ROUND(Tableau1[[#This Row],[GTRS1 (Coût Plage de support 24h/24 7j/7)]],0)</f>
        <v>0</v>
      </c>
      <c r="AO68" s="265" t="e">
        <f>_xlfn.XLOOKUP(Tableau1[[#This Row],[Code PAS]],'parc SATIN 08012026v'!K:K,'parc SATIN 08012026v'!#REF!,0,0)</f>
        <v>#REF!</v>
      </c>
      <c r="AP68" s="263" t="e">
        <f>VLOOKUP(Tableau1[[#This Row],[Code PAS]],#REF!,3,0)</f>
        <v>#REF!</v>
      </c>
      <c r="AQ68" s="263" t="e">
        <f>VLOOKUP(Tableau1[[#This Row],[Code PAS]],[14]Feuil1!$B:$G,6,0)</f>
        <v>#N/A</v>
      </c>
      <c r="AR68" s="263" t="str">
        <f>_xlfn.XLOOKUP(Tableau1[[#This Row],[Code PAS]],'Facturation PAS RIN5 RUN'!C:C,'Facturation PAS RIN5 RUN'!B:B,0,0)</f>
        <v>Gold_50_50</v>
      </c>
      <c r="AS68" s="263" t="b">
        <f>Tableau1[[#This Row],[Etat facturation]]=Tableau1[[#This Row],[Index offre du fournisseur]]</f>
        <v>1</v>
      </c>
      <c r="AT68" s="250" t="str">
        <f>_xlfn.XLOOKUP(Tableau1[[#This Row],[Code PAS]],'parc SATIN 08012026v'!K:K,'parc SATIN 08012026v'!M:M,0,0)</f>
        <v>PARC</v>
      </c>
      <c r="AU68" s="250" t="str">
        <f>_xlfn.XLOOKUP(Tableau1[[#This Row],[Code PAS]],'parc SATIN 08012026v'!K:K,'parc SATIN 08012026v'!O:O,0,0)</f>
        <v>PARC</v>
      </c>
      <c r="AV68" s="251">
        <f>_xlfn.XLOOKUP(Tableau1[[#This Row],[Code PAS]],'parc SATIN 08012026v'!K:K,'parc SATIN 08012026v'!Q:Q,0,0)</f>
        <v>44859</v>
      </c>
      <c r="AW68" s="251" t="str">
        <f>_xlfn.XLOOKUP(Tableau1[[#This Row],[Code PAS]],'parc SATIN 08012026v'!K:K,'parc SATIN 08012026v'!S:S,0,0)</f>
        <v>change</v>
      </c>
      <c r="AX68" s="250" t="str">
        <f>_xlfn.XLOOKUP(Tableau1[[#This Row],[Code PAS]],'parc SATIN 08012026v'!K:K,'parc SATIN 08012026v'!AF:AF,0,0)</f>
        <v>50 Mb/s</v>
      </c>
      <c r="AY6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69" spans="1:52" s="250" customFormat="1" ht="15" customHeight="1" x14ac:dyDescent="0.3">
      <c r="A69" s="250" t="s">
        <v>2743</v>
      </c>
      <c r="B69" s="256">
        <v>45336</v>
      </c>
      <c r="C69" s="249">
        <v>45336</v>
      </c>
      <c r="D69" s="249"/>
      <c r="E69" s="250" t="s">
        <v>2975</v>
      </c>
      <c r="F69" s="984" t="s">
        <v>2409</v>
      </c>
      <c r="G69" s="250" t="s">
        <v>2757</v>
      </c>
      <c r="H69" s="250" t="s">
        <v>2757</v>
      </c>
      <c r="I69" s="250" t="s">
        <v>2817</v>
      </c>
      <c r="J69" s="248" t="str">
        <f>_xlfn.XLOOKUP(Tableau1[[#This Row],[Code PAS]],'[13]Parc Satin'!$L:$L,'[13]Parc Satin'!$CK:$CK,0,0)</f>
        <v>Nominal C2E Fibre sans Secours</v>
      </c>
      <c r="L69" s="250">
        <v>40</v>
      </c>
      <c r="M69" s="250">
        <v>30</v>
      </c>
      <c r="N69" s="250">
        <v>1</v>
      </c>
      <c r="O69" s="250" t="s">
        <v>74</v>
      </c>
      <c r="P69" s="820">
        <v>3000</v>
      </c>
      <c r="Q69" s="820">
        <v>0</v>
      </c>
      <c r="R69" s="820">
        <v>0</v>
      </c>
      <c r="S69" s="820">
        <v>3000</v>
      </c>
      <c r="T69" s="824">
        <v>896</v>
      </c>
      <c r="U69" s="824">
        <v>12</v>
      </c>
      <c r="V69" s="824">
        <v>0</v>
      </c>
      <c r="W69" s="824">
        <v>27</v>
      </c>
      <c r="X69" s="823">
        <f>Tableau1[[#This Row],[Coût Abonnement offre]]+Tableau1[[#This Row],[Coût Abonnement Chassis]]+Tableau1[[#This Row],[Cout Cartes interface ]]+Tableau1[[#This Row],[Cout canaux voix supplémentaire]]</f>
        <v>935</v>
      </c>
      <c r="Y69" s="824">
        <v>0</v>
      </c>
      <c r="Z69" s="966">
        <v>0</v>
      </c>
      <c r="AA69" s="966">
        <v>0</v>
      </c>
      <c r="AB69" s="969">
        <v>0</v>
      </c>
      <c r="AC69" s="969">
        <v>0</v>
      </c>
      <c r="AD69" s="969">
        <v>0</v>
      </c>
      <c r="AE69" s="264">
        <v>4</v>
      </c>
      <c r="AF69" s="264">
        <v>40</v>
      </c>
      <c r="AG69" s="264">
        <v>30</v>
      </c>
      <c r="AH69" s="264">
        <v>70</v>
      </c>
      <c r="AI69" s="973">
        <v>27</v>
      </c>
      <c r="AJ69" s="263">
        <v>4</v>
      </c>
      <c r="AK69" s="987">
        <v>70</v>
      </c>
      <c r="AL69" s="263">
        <f>VLOOKUP(Tableau1[[#This Row],[Code PAS]],'Facturation PAS RIN5 RUN'!C:F,4,0)</f>
        <v>0</v>
      </c>
      <c r="AM69" s="263"/>
      <c r="AN69" s="263" t="b">
        <f>ROUND(Tableau1[[#This Row],[Montant Options coûts récurrents]],0)=ROUND(Tableau1[[#This Row],[GTRS1 (Coût Plage de support 24h/24 7j/7)]],0)</f>
        <v>1</v>
      </c>
      <c r="AO69" s="265" t="e">
        <f>_xlfn.XLOOKUP(Tableau1[[#This Row],[Code PAS]],'parc SATIN 08012026v'!K:K,'parc SATIN 08012026v'!#REF!,0,0)</f>
        <v>#REF!</v>
      </c>
      <c r="AP69" s="263" t="e">
        <f>VLOOKUP(Tableau1[[#This Row],[Code PAS]],#REF!,3,0)</f>
        <v>#REF!</v>
      </c>
      <c r="AQ69" s="263" t="e">
        <f>VLOOKUP(Tableau1[[#This Row],[Code PAS]],[14]Feuil1!$B:$G,6,0)</f>
        <v>#N/A</v>
      </c>
      <c r="AR69" s="263" t="str">
        <f>_xlfn.XLOOKUP(Tableau1[[#This Row],[Code PAS]],'Facturation PAS RIN5 RUN'!C:C,'Facturation PAS RIN5 RUN'!B:B,0,0)</f>
        <v>Bronze_4_0</v>
      </c>
      <c r="AS69" s="263" t="b">
        <f>Tableau1[[#This Row],[Etat facturation]]=Tableau1[[#This Row],[Index offre du fournisseur]]</f>
        <v>1</v>
      </c>
      <c r="AT69" s="250" t="str">
        <f>_xlfn.XLOOKUP(Tableau1[[#This Row],[Code PAS]],'parc SATIN 08012026v'!K:K,'parc SATIN 08012026v'!M:M,0,0)</f>
        <v>PARC</v>
      </c>
      <c r="AU69" s="250" t="str">
        <f>_xlfn.XLOOKUP(Tableau1[[#This Row],[Code PAS]],'parc SATIN 08012026v'!K:K,'parc SATIN 08012026v'!O:O,0,0)</f>
        <v>PARC</v>
      </c>
      <c r="AV69" s="251">
        <f>_xlfn.XLOOKUP(Tableau1[[#This Row],[Code PAS]],'parc SATIN 08012026v'!K:K,'parc SATIN 08012026v'!Q:Q,0,0)</f>
        <v>45336</v>
      </c>
      <c r="AW69" s="251" t="str">
        <f>_xlfn.XLOOKUP(Tableau1[[#This Row],[Code PAS]],'parc SATIN 08012026v'!K:K,'parc SATIN 08012026v'!S:S,0,0)</f>
        <v>change</v>
      </c>
      <c r="AX69" s="250" t="str">
        <f>_xlfn.XLOOKUP(Tableau1[[#This Row],[Code PAS]],'parc SATIN 08012026v'!K:K,'parc SATIN 08012026v'!AF:AF,0,0)</f>
        <v>4 Mb/s</v>
      </c>
      <c r="AY6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</row>
    <row r="70" spans="1:52" s="250" customFormat="1" ht="15" customHeight="1" x14ac:dyDescent="0.3">
      <c r="A70" s="250" t="s">
        <v>2743</v>
      </c>
      <c r="E70" s="250" t="s">
        <v>2976</v>
      </c>
      <c r="F70" s="984" t="s">
        <v>1976</v>
      </c>
      <c r="H70" s="250" t="s">
        <v>2751</v>
      </c>
      <c r="J70" s="248" t="str">
        <f>_xlfn.XLOOKUP(Tableau1[[#This Row],[Code PAS]],'[13]Parc Satin'!$L:$L,'[13]Parc Satin'!$CK:$CK,0,0)</f>
        <v>Nominal C2E Fibre sans Secours</v>
      </c>
      <c r="P70" s="820">
        <v>0</v>
      </c>
      <c r="Q70" s="820">
        <v>0</v>
      </c>
      <c r="R70" s="820">
        <v>0</v>
      </c>
      <c r="S70" s="820">
        <v>0</v>
      </c>
      <c r="T70" s="824">
        <v>568</v>
      </c>
      <c r="U70" s="824">
        <v>22</v>
      </c>
      <c r="V70" s="824">
        <v>16</v>
      </c>
      <c r="W70" s="824">
        <v>0</v>
      </c>
      <c r="X70" s="823">
        <f>Tableau1[[#This Row],[Coût Abonnement offre]]+Tableau1[[#This Row],[Coût Abonnement Chassis]]+Tableau1[[#This Row],[Cout Cartes interface ]]+Tableau1[[#This Row],[Cout canaux voix supplémentaire]]</f>
        <v>606</v>
      </c>
      <c r="Y70" s="824">
        <v>0</v>
      </c>
      <c r="Z70" s="966">
        <v>0</v>
      </c>
      <c r="AA70" s="966">
        <v>0</v>
      </c>
      <c r="AB70" s="969">
        <v>0</v>
      </c>
      <c r="AC70" s="969">
        <v>0</v>
      </c>
      <c r="AD70" s="969">
        <v>0</v>
      </c>
      <c r="AE70" s="264">
        <v>10</v>
      </c>
      <c r="AF70" s="264">
        <v>120</v>
      </c>
      <c r="AG70" s="264">
        <v>60</v>
      </c>
      <c r="AH70" s="264">
        <v>180</v>
      </c>
      <c r="AI70" s="973">
        <v>5</v>
      </c>
      <c r="AJ70" s="263">
        <v>10</v>
      </c>
      <c r="AK70" s="987">
        <v>120</v>
      </c>
      <c r="AL70" s="263">
        <f>VLOOKUP(Tableau1[[#This Row],[Code PAS]],'Facturation PAS RIN5 RUN'!C:F,4,0)</f>
        <v>16</v>
      </c>
      <c r="AM70" s="263"/>
      <c r="AN70" s="263" t="b">
        <f>ROUND(Tableau1[[#This Row],[Montant Options coûts récurrents]],0)=ROUND(Tableau1[[#This Row],[GTRS1 (Coût Plage de support 24h/24 7j/7)]],0)</f>
        <v>0</v>
      </c>
      <c r="AO70" s="265" t="e">
        <f>_xlfn.XLOOKUP(Tableau1[[#This Row],[Code PAS]],'parc SATIN 08012026v'!K:K,'parc SATIN 08012026v'!#REF!,0,0)</f>
        <v>#REF!</v>
      </c>
      <c r="AP70" s="263" t="e">
        <f>VLOOKUP(Tableau1[[#This Row],[Code PAS]],#REF!,3,0)</f>
        <v>#REF!</v>
      </c>
      <c r="AQ70" s="263" t="e">
        <f>VLOOKUP(Tableau1[[#This Row],[Code PAS]],[14]Feuil1!$B:$G,6,0)</f>
        <v>#N/A</v>
      </c>
      <c r="AR70" s="263" t="str">
        <f>_xlfn.XLOOKUP(Tableau1[[#This Row],[Code PAS]],'Facturation PAS RIN5 RUN'!C:C,'Facturation PAS RIN5 RUN'!B:B,0,0)</f>
        <v>Bronze_10_0</v>
      </c>
      <c r="AS70" s="263" t="b">
        <f>Tableau1[[#This Row],[Etat facturation]]=Tableau1[[#This Row],[Index offre du fournisseur]]</f>
        <v>1</v>
      </c>
      <c r="AT70" s="250" t="str">
        <f>_xlfn.XLOOKUP(Tableau1[[#This Row],[Code PAS]],'parc SATIN 08012026v'!K:K,'parc SATIN 08012026v'!M:M,0,0)</f>
        <v>PARC</v>
      </c>
      <c r="AU70" s="250" t="str">
        <f>_xlfn.XLOOKUP(Tableau1[[#This Row],[Code PAS]],'parc SATIN 08012026v'!K:K,'parc SATIN 08012026v'!O:O,0,0)</f>
        <v>PARC</v>
      </c>
      <c r="AV70" s="251">
        <f>_xlfn.XLOOKUP(Tableau1[[#This Row],[Code PAS]],'parc SATIN 08012026v'!K:K,'parc SATIN 08012026v'!Q:Q,0,0)</f>
        <v>44377</v>
      </c>
      <c r="AW70" s="251" t="str">
        <f>_xlfn.XLOOKUP(Tableau1[[#This Row],[Code PAS]],'parc SATIN 08012026v'!K:K,'parc SATIN 08012026v'!S:S,0,0)</f>
        <v>création</v>
      </c>
      <c r="AX70" s="250" t="str">
        <f>_xlfn.XLOOKUP(Tableau1[[#This Row],[Code PAS]],'parc SATIN 08012026v'!K:K,'parc SATIN 08012026v'!AF:AF,0,0)</f>
        <v>10 Mb/s</v>
      </c>
      <c r="AY7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70" s="250" t="s">
        <v>2868</v>
      </c>
    </row>
    <row r="71" spans="1:52" s="250" customFormat="1" ht="15" customHeight="1" x14ac:dyDescent="0.3">
      <c r="A71" s="248" t="s">
        <v>2735</v>
      </c>
      <c r="B71" s="248"/>
      <c r="C71" s="249"/>
      <c r="D71" s="249"/>
      <c r="E71" s="248" t="s">
        <v>2977</v>
      </c>
      <c r="F71" s="981" t="s">
        <v>873</v>
      </c>
      <c r="H71" s="248" t="s">
        <v>2771</v>
      </c>
      <c r="I71" s="248"/>
      <c r="J71" s="248" t="str">
        <f>_xlfn.XLOOKUP(Tableau1[[#This Row],[Code PAS]],'[13]Parc Satin'!$L:$L,'[13]Parc Satin'!$CK:$CK,0,0)</f>
        <v>Nominal InterLan 1.0 Secours InterLan 1.0</v>
      </c>
      <c r="K71" s="248"/>
      <c r="L71" s="248"/>
      <c r="M71" s="248"/>
      <c r="N71" s="248"/>
      <c r="O71" s="248"/>
      <c r="P71" s="822">
        <v>4968</v>
      </c>
      <c r="Q71" s="822">
        <v>0</v>
      </c>
      <c r="R71" s="822">
        <v>0</v>
      </c>
      <c r="S71" s="822">
        <v>0</v>
      </c>
      <c r="T71" s="823">
        <v>1995</v>
      </c>
      <c r="U71" s="823">
        <v>239</v>
      </c>
      <c r="V71" s="823">
        <v>16</v>
      </c>
      <c r="W71" s="823">
        <v>108</v>
      </c>
      <c r="X71" s="823">
        <f>Tableau1[[#This Row],[Coût Abonnement offre]]+Tableau1[[#This Row],[Coût Abonnement Chassis]]+Tableau1[[#This Row],[Cout Cartes interface ]]+Tableau1[[#This Row],[Cout canaux voix supplémentaire]]</f>
        <v>2358</v>
      </c>
      <c r="Y71" s="823">
        <v>66</v>
      </c>
      <c r="Z71" s="966">
        <v>0</v>
      </c>
      <c r="AA71" s="966">
        <v>0</v>
      </c>
      <c r="AB71" s="969">
        <v>0</v>
      </c>
      <c r="AC71" s="969">
        <v>0</v>
      </c>
      <c r="AD71" s="969">
        <v>0</v>
      </c>
      <c r="AE71" s="264">
        <v>100</v>
      </c>
      <c r="AF71" s="264">
        <v>600</v>
      </c>
      <c r="AG71" s="264">
        <v>1200</v>
      </c>
      <c r="AH71" s="264">
        <v>1800</v>
      </c>
      <c r="AI71" s="973">
        <v>108</v>
      </c>
      <c r="AJ71" s="263">
        <v>100</v>
      </c>
      <c r="AK71" s="987">
        <v>1800</v>
      </c>
      <c r="AL71" s="263">
        <f>VLOOKUP(Tableau1[[#This Row],[Code PAS]],'Facturation PAS RIN5 RUN'!C:F,4,0)</f>
        <v>16</v>
      </c>
      <c r="AM71" s="263"/>
      <c r="AN71" s="263" t="b">
        <f>ROUND(Tableau1[[#This Row],[Montant Options coûts récurrents]],0)=ROUND(Tableau1[[#This Row],[GTRS1 (Coût Plage de support 24h/24 7j/7)]],0)</f>
        <v>0</v>
      </c>
      <c r="AO71" s="265" t="e">
        <f>_xlfn.XLOOKUP(Tableau1[[#This Row],[Code PAS]],'parc SATIN 08012026v'!K:K,'parc SATIN 08012026v'!#REF!,0,0)</f>
        <v>#REF!</v>
      </c>
      <c r="AP71" s="263" t="e">
        <f>VLOOKUP(Tableau1[[#This Row],[Code PAS]],#REF!,3,0)</f>
        <v>#REF!</v>
      </c>
      <c r="AQ71" s="263" t="e">
        <f>VLOOKUP(Tableau1[[#This Row],[Code PAS]],[14]Feuil1!$B:$G,6,0)</f>
        <v>#N/A</v>
      </c>
      <c r="AR71" s="263" t="str">
        <f>_xlfn.XLOOKUP(Tableau1[[#This Row],[Code PAS]],'Facturation PAS RIN5 RUN'!C:C,'Facturation PAS RIN5 RUN'!B:B,0,0)</f>
        <v>Platinum_100_100</v>
      </c>
      <c r="AS71" s="263" t="b">
        <f>Tableau1[[#This Row],[Etat facturation]]=Tableau1[[#This Row],[Index offre du fournisseur]]</f>
        <v>1</v>
      </c>
      <c r="AT71" s="250" t="str">
        <f>_xlfn.XLOOKUP(Tableau1[[#This Row],[Code PAS]],'parc SATIN 08012026v'!K:K,'parc SATIN 08012026v'!M:M,0,0)</f>
        <v>PARC</v>
      </c>
      <c r="AU71" s="250" t="str">
        <f>_xlfn.XLOOKUP(Tableau1[[#This Row],[Code PAS]],'parc SATIN 08012026v'!K:K,'parc SATIN 08012026v'!O:O,0,0)</f>
        <v>PARC</v>
      </c>
      <c r="AV71" s="251">
        <f>_xlfn.XLOOKUP(Tableau1[[#This Row],[Code PAS]],'parc SATIN 08012026v'!K:K,'parc SATIN 08012026v'!Q:Q,0,0)</f>
        <v>43707</v>
      </c>
      <c r="AW71" s="251" t="str">
        <f>_xlfn.XLOOKUP(Tableau1[[#This Row],[Code PAS]],'parc SATIN 08012026v'!K:K,'parc SATIN 08012026v'!S:S,0,0)</f>
        <v>création</v>
      </c>
      <c r="AX71" s="250" t="str">
        <f>_xlfn.XLOOKUP(Tableau1[[#This Row],[Code PAS]],'parc SATIN 08012026v'!K:K,'parc SATIN 08012026v'!AF:AF,0,0)</f>
        <v>100 Mb/s</v>
      </c>
      <c r="AY7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72" spans="1:52" s="250" customFormat="1" ht="15" customHeight="1" x14ac:dyDescent="0.3">
      <c r="A72" s="250" t="s">
        <v>2743</v>
      </c>
      <c r="C72" s="249">
        <v>44034</v>
      </c>
      <c r="D72" s="249"/>
      <c r="E72" s="250" t="s">
        <v>2978</v>
      </c>
      <c r="F72" s="984" t="s">
        <v>1324</v>
      </c>
      <c r="G72" s="250" t="s">
        <v>2784</v>
      </c>
      <c r="H72" s="250" t="s">
        <v>2784</v>
      </c>
      <c r="I72" s="250" t="s">
        <v>78</v>
      </c>
      <c r="J72" s="248" t="str">
        <f>_xlfn.XLOOKUP(Tableau1[[#This Row],[Code PAS]],'[13]Parc Satin'!$L:$L,'[13]Parc Satin'!$CK:$CK,0,0)</f>
        <v>Nominal InterLan 1.0 Secours InterLan 1.0</v>
      </c>
      <c r="K72" s="250" t="s">
        <v>2860</v>
      </c>
      <c r="L72" s="250">
        <v>500</v>
      </c>
      <c r="M72" s="250">
        <v>400</v>
      </c>
      <c r="O72" s="250" t="s">
        <v>74</v>
      </c>
      <c r="P72" s="820">
        <v>0</v>
      </c>
      <c r="Q72" s="820">
        <v>728</v>
      </c>
      <c r="R72" s="820">
        <v>57</v>
      </c>
      <c r="S72" s="820">
        <v>785</v>
      </c>
      <c r="T72" s="824">
        <v>1454</v>
      </c>
      <c r="U72" s="824">
        <v>95</v>
      </c>
      <c r="V72" s="824">
        <v>56</v>
      </c>
      <c r="W72" s="824">
        <v>36</v>
      </c>
      <c r="X72" s="823">
        <v>1640.4564263010345</v>
      </c>
      <c r="Y72" s="824">
        <v>0</v>
      </c>
      <c r="Z72" s="966">
        <v>0</v>
      </c>
      <c r="AA72" s="966">
        <v>0</v>
      </c>
      <c r="AB72" s="969">
        <v>0</v>
      </c>
      <c r="AC72" s="969">
        <v>0</v>
      </c>
      <c r="AD72" s="969">
        <v>0</v>
      </c>
      <c r="AE72" s="264">
        <v>50</v>
      </c>
      <c r="AF72" s="264">
        <v>500</v>
      </c>
      <c r="AG72" s="264">
        <v>400</v>
      </c>
      <c r="AH72" s="264">
        <v>900</v>
      </c>
      <c r="AI72" s="973">
        <v>36</v>
      </c>
      <c r="AJ72" s="263">
        <v>50</v>
      </c>
      <c r="AK72" s="987">
        <v>900</v>
      </c>
      <c r="AL72" s="263">
        <f>VLOOKUP(Tableau1[[#This Row],[Code PAS]],'Facturation PAS RIN5 RUN'!C:F,4,0)</f>
        <v>56</v>
      </c>
      <c r="AM72" s="263"/>
      <c r="AN72" s="263" t="b">
        <f>ROUND(Tableau1[[#This Row],[Montant Options coûts récurrents]],0)=ROUND(Tableau1[[#This Row],[GTRS1 (Coût Plage de support 24h/24 7j/7)]],0)</f>
        <v>0</v>
      </c>
      <c r="AO72" s="265" t="e">
        <f>_xlfn.XLOOKUP(Tableau1[[#This Row],[Code PAS]],'parc SATIN 08012026v'!K:K,'parc SATIN 08012026v'!#REF!,0,0)</f>
        <v>#REF!</v>
      </c>
      <c r="AP72" s="263" t="e">
        <f>VLOOKUP(Tableau1[[#This Row],[Code PAS]],#REF!,3,0)</f>
        <v>#REF!</v>
      </c>
      <c r="AQ72" s="263" t="e">
        <f>VLOOKUP(Tableau1[[#This Row],[Code PAS]],[14]Feuil1!$B:$G,6,0)</f>
        <v>#N/A</v>
      </c>
      <c r="AR72" s="263" t="str">
        <f>_xlfn.XLOOKUP(Tableau1[[#This Row],[Code PAS]],'Facturation PAS RIN5 RUN'!C:C,'Facturation PAS RIN5 RUN'!B:B,0,0)</f>
        <v>Gold_50_50</v>
      </c>
      <c r="AS72" s="263" t="b">
        <f>Tableau1[[#This Row],[Etat facturation]]=Tableau1[[#This Row],[Index offre du fournisseur]]</f>
        <v>1</v>
      </c>
      <c r="AT72" s="250" t="str">
        <f>_xlfn.XLOOKUP(Tableau1[[#This Row],[Code PAS]],'parc SATIN 08012026v'!K:K,'parc SATIN 08012026v'!M:M,0,0)</f>
        <v>PARC</v>
      </c>
      <c r="AU72" s="250" t="str">
        <f>_xlfn.XLOOKUP(Tableau1[[#This Row],[Code PAS]],'parc SATIN 08012026v'!K:K,'parc SATIN 08012026v'!O:O,0,0)</f>
        <v>PARC</v>
      </c>
      <c r="AV72" s="251">
        <f>_xlfn.XLOOKUP(Tableau1[[#This Row],[Code PAS]],'parc SATIN 08012026v'!K:K,'parc SATIN 08012026v'!Q:Q,0,0)</f>
        <v>44139</v>
      </c>
      <c r="AW72" s="251" t="str">
        <f>_xlfn.XLOOKUP(Tableau1[[#This Row],[Code PAS]],'parc SATIN 08012026v'!K:K,'parc SATIN 08012026v'!S:S,0,0)</f>
        <v>change</v>
      </c>
      <c r="AX72" s="250" t="str">
        <f>_xlfn.XLOOKUP(Tableau1[[#This Row],[Code PAS]],'parc SATIN 08012026v'!K:K,'parc SATIN 08012026v'!AF:AF,0,0)</f>
        <v>50 Mb/s</v>
      </c>
      <c r="AY7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73" spans="1:52" s="250" customFormat="1" ht="15" customHeight="1" x14ac:dyDescent="0.3">
      <c r="A73" s="248" t="s">
        <v>2735</v>
      </c>
      <c r="B73" s="248"/>
      <c r="C73" s="249"/>
      <c r="D73" s="249"/>
      <c r="E73" s="250" t="s">
        <v>2979</v>
      </c>
      <c r="F73" s="981" t="s">
        <v>473</v>
      </c>
      <c r="G73" s="250" t="s">
        <v>2877</v>
      </c>
      <c r="H73" s="250" t="s">
        <v>2877</v>
      </c>
      <c r="I73" s="250" t="s">
        <v>78</v>
      </c>
      <c r="J73" s="248" t="str">
        <f>_xlfn.XLOOKUP(Tableau1[[#This Row],[Code PAS]],'[13]Parc Satin'!$L:$L,'[13]Parc Satin'!$CK:$CK,0,0)</f>
        <v>Nominal InterLan 1.0 sans Secours</v>
      </c>
      <c r="L73" s="250">
        <v>400</v>
      </c>
      <c r="M73" s="250">
        <v>150</v>
      </c>
      <c r="N73" s="250">
        <v>1</v>
      </c>
      <c r="O73" s="250" t="s">
        <v>76</v>
      </c>
      <c r="P73" s="824">
        <v>0</v>
      </c>
      <c r="Q73" s="824">
        <v>0</v>
      </c>
      <c r="R73" s="824">
        <v>0</v>
      </c>
      <c r="S73" s="824">
        <v>0</v>
      </c>
      <c r="T73" s="824">
        <v>738</v>
      </c>
      <c r="U73" s="824">
        <v>120</v>
      </c>
      <c r="V73" s="824">
        <v>16</v>
      </c>
      <c r="W73" s="824">
        <v>14</v>
      </c>
      <c r="X73" s="824">
        <f>Tableau1[[#This Row],[Coût Abonnement offre]]+Tableau1[[#This Row],[Coût Abonnement Chassis]]+Tableau1[[#This Row],[Cout Cartes interface ]]+Tableau1[[#This Row],[Cout canaux voix supplémentaire]]</f>
        <v>888</v>
      </c>
      <c r="Y73" s="824">
        <v>36</v>
      </c>
      <c r="Z73" s="966">
        <v>0</v>
      </c>
      <c r="AA73" s="966">
        <v>0</v>
      </c>
      <c r="AB73" s="969">
        <v>0</v>
      </c>
      <c r="AC73" s="969">
        <v>0</v>
      </c>
      <c r="AD73" s="969">
        <v>0</v>
      </c>
      <c r="AE73" s="264">
        <v>30</v>
      </c>
      <c r="AF73" s="264">
        <v>400</v>
      </c>
      <c r="AG73" s="264">
        <v>150</v>
      </c>
      <c r="AH73" s="264">
        <v>550</v>
      </c>
      <c r="AI73" s="973">
        <v>14</v>
      </c>
      <c r="AJ73" s="263">
        <v>30</v>
      </c>
      <c r="AK73" s="987">
        <v>550</v>
      </c>
      <c r="AL73" s="263">
        <f>VLOOKUP(Tableau1[[#This Row],[Code PAS]],'Facturation PAS RIN5 RUN'!C:F,4,0)</f>
        <v>16</v>
      </c>
      <c r="AM73" s="263"/>
      <c r="AN73" s="263" t="b">
        <f>ROUND(Tableau1[[#This Row],[Montant Options coûts récurrents]],0)=ROUND(Tableau1[[#This Row],[GTRS1 (Coût Plage de support 24h/24 7j/7)]],0)</f>
        <v>0</v>
      </c>
      <c r="AO73" s="265" t="e">
        <f>_xlfn.XLOOKUP(Tableau1[[#This Row],[Code PAS]],'parc SATIN 08012026v'!K:K,'parc SATIN 08012026v'!#REF!,0,0)</f>
        <v>#REF!</v>
      </c>
      <c r="AP73" s="263" t="e">
        <f>VLOOKUP(Tableau1[[#This Row],[Code PAS]],#REF!,3,0)</f>
        <v>#REF!</v>
      </c>
      <c r="AQ73" s="263" t="e">
        <f>VLOOKUP(Tableau1[[#This Row],[Code PAS]],[14]Feuil1!$B:$G,6,0)</f>
        <v>#N/A</v>
      </c>
      <c r="AR73" s="263" t="str">
        <f>_xlfn.XLOOKUP(Tableau1[[#This Row],[Code PAS]],'Facturation PAS RIN5 RUN'!C:C,'Facturation PAS RIN5 RUN'!B:B,0,0)</f>
        <v>Bronze_30_0</v>
      </c>
      <c r="AS73" s="263" t="b">
        <f>Tableau1[[#This Row],[Etat facturation]]=Tableau1[[#This Row],[Index offre du fournisseur]]</f>
        <v>1</v>
      </c>
      <c r="AT73" s="250" t="str">
        <f>_xlfn.XLOOKUP(Tableau1[[#This Row],[Code PAS]],'parc SATIN 08012026v'!K:K,'parc SATIN 08012026v'!M:M,0,0)</f>
        <v>PARC</v>
      </c>
      <c r="AU73" s="250" t="str">
        <f>_xlfn.XLOOKUP(Tableau1[[#This Row],[Code PAS]],'parc SATIN 08012026v'!K:K,'parc SATIN 08012026v'!O:O,0,0)</f>
        <v>PARC</v>
      </c>
      <c r="AV73" s="251">
        <f>_xlfn.XLOOKUP(Tableau1[[#This Row],[Code PAS]],'parc SATIN 08012026v'!K:K,'parc SATIN 08012026v'!Q:Q,0,0)</f>
        <v>44727</v>
      </c>
      <c r="AW73" s="251" t="str">
        <f>_xlfn.XLOOKUP(Tableau1[[#This Row],[Code PAS]],'parc SATIN 08012026v'!K:K,'parc SATIN 08012026v'!S:S,0,0)</f>
        <v>change</v>
      </c>
      <c r="AX73" s="250" t="str">
        <f>_xlfn.XLOOKUP(Tableau1[[#This Row],[Code PAS]],'parc SATIN 08012026v'!K:K,'parc SATIN 08012026v'!AF:AF,0,0)</f>
        <v>30 Mb/s</v>
      </c>
      <c r="AY7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74" spans="1:52" s="250" customFormat="1" ht="15" customHeight="1" x14ac:dyDescent="0.3">
      <c r="A74" s="248" t="s">
        <v>2752</v>
      </c>
      <c r="B74" s="248"/>
      <c r="C74" s="249"/>
      <c r="D74" s="249"/>
      <c r="E74" s="250" t="s">
        <v>2980</v>
      </c>
      <c r="F74" s="984" t="s">
        <v>103</v>
      </c>
      <c r="G74" s="250" t="s">
        <v>2765</v>
      </c>
      <c r="H74" s="250" t="s">
        <v>2765</v>
      </c>
      <c r="I74" s="250" t="s">
        <v>2946</v>
      </c>
      <c r="J74" s="248" t="str">
        <f>_xlfn.XLOOKUP(Tableau1[[#This Row],[Code PAS]],'[13]Parc Satin'!$L:$L,'[13]Parc Satin'!$CK:$CK,0,0)</f>
        <v>Nominal InterLan 1.0 Secours InterLan 1.0</v>
      </c>
      <c r="K74" s="250" t="s">
        <v>2829</v>
      </c>
      <c r="L74" s="250">
        <v>400</v>
      </c>
      <c r="M74" s="250">
        <v>150</v>
      </c>
      <c r="N74" s="250">
        <v>2</v>
      </c>
      <c r="O74" s="250" t="s">
        <v>74</v>
      </c>
      <c r="P74" s="824">
        <v>0</v>
      </c>
      <c r="Q74" s="824">
        <v>500</v>
      </c>
      <c r="R74" s="824">
        <v>0</v>
      </c>
      <c r="S74" s="824">
        <v>500</v>
      </c>
      <c r="T74" s="824">
        <v>1249</v>
      </c>
      <c r="U74" s="824">
        <v>165</v>
      </c>
      <c r="V74" s="824">
        <v>48</v>
      </c>
      <c r="W74" s="824">
        <v>14</v>
      </c>
      <c r="X74" s="824">
        <v>1476</v>
      </c>
      <c r="Y74" s="824">
        <v>0</v>
      </c>
      <c r="Z74" s="966">
        <v>0</v>
      </c>
      <c r="AA74" s="966">
        <v>0</v>
      </c>
      <c r="AB74" s="969">
        <v>0</v>
      </c>
      <c r="AC74" s="969">
        <v>0</v>
      </c>
      <c r="AD74" s="969">
        <v>0</v>
      </c>
      <c r="AE74" s="264">
        <v>30</v>
      </c>
      <c r="AF74" s="264">
        <v>400</v>
      </c>
      <c r="AG74" s="264">
        <v>150</v>
      </c>
      <c r="AH74" s="264">
        <v>550</v>
      </c>
      <c r="AI74" s="973">
        <v>14</v>
      </c>
      <c r="AJ74" s="263">
        <v>30</v>
      </c>
      <c r="AK74" s="987">
        <v>550</v>
      </c>
      <c r="AL74" s="263">
        <f>VLOOKUP(Tableau1[[#This Row],[Code PAS]],'Facturation PAS RIN5 RUN'!C:F,4,0)</f>
        <v>48</v>
      </c>
      <c r="AM74" s="263"/>
      <c r="AN74" s="263" t="b">
        <f>ROUND(Tableau1[[#This Row],[Montant Options coûts récurrents]],0)=ROUND(Tableau1[[#This Row],[GTRS1 (Coût Plage de support 24h/24 7j/7)]],0)</f>
        <v>0</v>
      </c>
      <c r="AO74" s="265" t="e">
        <f>_xlfn.XLOOKUP(Tableau1[[#This Row],[Code PAS]],'parc SATIN 08012026v'!K:K,'parc SATIN 08012026v'!#REF!,0,0)</f>
        <v>#REF!</v>
      </c>
      <c r="AP74" s="263" t="e">
        <f>VLOOKUP(Tableau1[[#This Row],[Code PAS]],#REF!,3,0)</f>
        <v>#REF!</v>
      </c>
      <c r="AQ74" s="263" t="e">
        <f>VLOOKUP(Tableau1[[#This Row],[Code PAS]],[14]Feuil1!$B:$G,6,0)</f>
        <v>#N/A</v>
      </c>
      <c r="AR74" s="263" t="str">
        <f>_xlfn.XLOOKUP(Tableau1[[#This Row],[Code PAS]],'Facturation PAS RIN5 RUN'!C:C,'Facturation PAS RIN5 RUN'!B:B,0,0)</f>
        <v>Gold_30_30</v>
      </c>
      <c r="AS74" s="263" t="b">
        <f>Tableau1[[#This Row],[Etat facturation]]=Tableau1[[#This Row],[Index offre du fournisseur]]</f>
        <v>1</v>
      </c>
      <c r="AT74" s="250" t="str">
        <f>_xlfn.XLOOKUP(Tableau1[[#This Row],[Code PAS]],'parc SATIN 08012026v'!K:K,'parc SATIN 08012026v'!M:M,0,0)</f>
        <v>PARC</v>
      </c>
      <c r="AU74" s="250" t="str">
        <f>_xlfn.XLOOKUP(Tableau1[[#This Row],[Code PAS]],'parc SATIN 08012026v'!K:K,'parc SATIN 08012026v'!O:O,0,0)</f>
        <v>EN COURS</v>
      </c>
      <c r="AV74" s="251">
        <f>_xlfn.XLOOKUP(Tableau1[[#This Row],[Code PAS]],'parc SATIN 08012026v'!K:K,'parc SATIN 08012026v'!Q:Q,0,0)</f>
        <v>0</v>
      </c>
      <c r="AW74" s="251" t="str">
        <f>_xlfn.XLOOKUP(Tableau1[[#This Row],[Code PAS]],'parc SATIN 08012026v'!K:K,'parc SATIN 08012026v'!S:S,0,0)</f>
        <v>change</v>
      </c>
      <c r="AX74" s="250" t="str">
        <f>_xlfn.XLOOKUP(Tableau1[[#This Row],[Code PAS]],'parc SATIN 08012026v'!K:K,'parc SATIN 08012026v'!AF:AF,0,0)</f>
        <v>30 Mb/s</v>
      </c>
      <c r="AY7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75" spans="1:52" s="250" customFormat="1" ht="15" customHeight="1" x14ac:dyDescent="0.3">
      <c r="A75" s="250" t="s">
        <v>2739</v>
      </c>
      <c r="C75" s="249"/>
      <c r="D75" s="249"/>
      <c r="E75" s="250" t="s">
        <v>2983</v>
      </c>
      <c r="F75" s="984" t="s">
        <v>920</v>
      </c>
      <c r="G75" s="250" t="s">
        <v>2800</v>
      </c>
      <c r="H75" s="250" t="s">
        <v>2748</v>
      </c>
      <c r="J75" s="248" t="str">
        <f>_xlfn.XLOOKUP(Tableau1[[#This Row],[Code PAS]],'[13]Parc Satin'!$L:$L,'[13]Parc Satin'!$CK:$CK,0,0)</f>
        <v>Nominal C2E Fibre Secours C2E Fibre</v>
      </c>
      <c r="P75" s="820">
        <v>0</v>
      </c>
      <c r="Q75" s="820">
        <v>0</v>
      </c>
      <c r="R75" s="820">
        <v>0</v>
      </c>
      <c r="S75" s="820">
        <v>0</v>
      </c>
      <c r="T75" s="824">
        <v>1149</v>
      </c>
      <c r="U75" s="824">
        <v>44</v>
      </c>
      <c r="V75" s="824">
        <v>32</v>
      </c>
      <c r="W75" s="824">
        <v>0</v>
      </c>
      <c r="X75" s="823">
        <f>Tableau1[[#This Row],[Coût Abonnement offre]]+Tableau1[[#This Row],[Coût Abonnement Chassis]]+Tableau1[[#This Row],[Cout Cartes interface ]]+Tableau1[[#This Row],[Cout canaux voix supplémentaire]]</f>
        <v>1225</v>
      </c>
      <c r="Y75" s="824">
        <v>0</v>
      </c>
      <c r="Z75" s="966">
        <v>0</v>
      </c>
      <c r="AA75" s="966">
        <v>0</v>
      </c>
      <c r="AB75" s="969">
        <v>0</v>
      </c>
      <c r="AC75" s="969">
        <v>0</v>
      </c>
      <c r="AD75" s="969">
        <v>0</v>
      </c>
      <c r="AE75" s="264">
        <v>20</v>
      </c>
      <c r="AF75" s="264">
        <v>300</v>
      </c>
      <c r="AG75" s="264">
        <v>50</v>
      </c>
      <c r="AH75" s="264">
        <v>350</v>
      </c>
      <c r="AI75" s="973">
        <v>5</v>
      </c>
      <c r="AJ75" s="263">
        <v>20</v>
      </c>
      <c r="AK75" s="987">
        <v>300</v>
      </c>
      <c r="AL75" s="263">
        <f>VLOOKUP(Tableau1[[#This Row],[Code PAS]],'Facturation PAS RIN5 RUN'!C:F,4,0)</f>
        <v>32</v>
      </c>
      <c r="AM75" s="263"/>
      <c r="AN75" s="263" t="b">
        <f>ROUND(Tableau1[[#This Row],[Montant Options coûts récurrents]],0)=ROUND(Tableau1[[#This Row],[GTRS1 (Coût Plage de support 24h/24 7j/7)]],0)</f>
        <v>0</v>
      </c>
      <c r="AO75" s="265" t="e">
        <f>_xlfn.XLOOKUP(Tableau1[[#This Row],[Code PAS]],'parc SATIN 08012026v'!K:K,'parc SATIN 08012026v'!#REF!,0,0)</f>
        <v>#REF!</v>
      </c>
      <c r="AP75" s="263" t="e">
        <f>VLOOKUP(Tableau1[[#This Row],[Code PAS]],#REF!,3,0)</f>
        <v>#REF!</v>
      </c>
      <c r="AQ75" s="263" t="e">
        <f>VLOOKUP(Tableau1[[#This Row],[Code PAS]],[14]Feuil1!$B:$G,6,0)</f>
        <v>#N/A</v>
      </c>
      <c r="AR75" s="263" t="str">
        <f>_xlfn.XLOOKUP(Tableau1[[#This Row],[Code PAS]],'Facturation PAS RIN5 RUN'!C:C,'Facturation PAS RIN5 RUN'!B:B,0,0)</f>
        <v>Gold_20_20</v>
      </c>
      <c r="AS75" s="263" t="b">
        <f>Tableau1[[#This Row],[Etat facturation]]=Tableau1[[#This Row],[Index offre du fournisseur]]</f>
        <v>1</v>
      </c>
      <c r="AT75" s="250" t="str">
        <f>_xlfn.XLOOKUP(Tableau1[[#This Row],[Code PAS]],'parc SATIN 08012026v'!K:K,'parc SATIN 08012026v'!M:M,0,0)</f>
        <v>PARC</v>
      </c>
      <c r="AU75" s="250" t="str">
        <f>_xlfn.XLOOKUP(Tableau1[[#This Row],[Code PAS]],'parc SATIN 08012026v'!K:K,'parc SATIN 08012026v'!O:O,0,0)</f>
        <v>PARC</v>
      </c>
      <c r="AV75" s="251">
        <f>_xlfn.XLOOKUP(Tableau1[[#This Row],[Code PAS]],'parc SATIN 08012026v'!K:K,'parc SATIN 08012026v'!Q:Q,0,0)</f>
        <v>43914</v>
      </c>
      <c r="AW75" s="251" t="str">
        <f>_xlfn.XLOOKUP(Tableau1[[#This Row],[Code PAS]],'parc SATIN 08012026v'!K:K,'parc SATIN 08012026v'!S:S,0,0)</f>
        <v>change</v>
      </c>
      <c r="AX75" s="250" t="str">
        <f>_xlfn.XLOOKUP(Tableau1[[#This Row],[Code PAS]],'parc SATIN 08012026v'!K:K,'parc SATIN 08012026v'!AF:AF,0,0)</f>
        <v>20 Mb/s</v>
      </c>
      <c r="AY7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75" s="250" t="s">
        <v>2984</v>
      </c>
    </row>
    <row r="76" spans="1:52" s="250" customFormat="1" ht="15" customHeight="1" x14ac:dyDescent="0.3">
      <c r="A76" s="250" t="s">
        <v>2758</v>
      </c>
      <c r="C76" s="249"/>
      <c r="D76" s="249"/>
      <c r="E76" s="250" t="s">
        <v>2985</v>
      </c>
      <c r="F76" s="984" t="s">
        <v>2647</v>
      </c>
      <c r="G76" s="250" t="s">
        <v>2800</v>
      </c>
      <c r="H76" s="250" t="s">
        <v>2867</v>
      </c>
      <c r="J76" s="248" t="str">
        <f>_xlfn.XLOOKUP(Tableau1[[#This Row],[Code PAS]],'[13]Parc Satin'!$L:$L,'[13]Parc Satin'!$CK:$CK,0,0)</f>
        <v>Nominal C2E CN2 sans Secours</v>
      </c>
      <c r="P76" s="820">
        <v>0</v>
      </c>
      <c r="Q76" s="820">
        <v>0</v>
      </c>
      <c r="R76" s="820">
        <v>0</v>
      </c>
      <c r="S76" s="820">
        <v>0</v>
      </c>
      <c r="T76" s="824">
        <v>290</v>
      </c>
      <c r="U76" s="824">
        <v>12</v>
      </c>
      <c r="V76" s="824">
        <v>0</v>
      </c>
      <c r="W76" s="824">
        <v>0</v>
      </c>
      <c r="X76" s="823">
        <f>Tableau1[[#This Row],[Coût Abonnement offre]]+Tableau1[[#This Row],[Coût Abonnement Chassis]]+Tableau1[[#This Row],[Cout Cartes interface ]]+Tableau1[[#This Row],[Cout canaux voix supplémentaire]]</f>
        <v>302</v>
      </c>
      <c r="Y76" s="824">
        <v>0</v>
      </c>
      <c r="Z76" s="966">
        <v>0</v>
      </c>
      <c r="AA76" s="966">
        <v>0</v>
      </c>
      <c r="AB76" s="969">
        <v>0</v>
      </c>
      <c r="AC76" s="969">
        <v>0</v>
      </c>
      <c r="AD76" s="969">
        <v>0</v>
      </c>
      <c r="AE76" s="264">
        <v>2</v>
      </c>
      <c r="AF76" s="264">
        <v>20</v>
      </c>
      <c r="AG76" s="264">
        <v>10</v>
      </c>
      <c r="AH76" s="264">
        <v>30</v>
      </c>
      <c r="AI76" s="973">
        <v>9</v>
      </c>
      <c r="AJ76" s="263">
        <v>2</v>
      </c>
      <c r="AK76" s="987">
        <v>20</v>
      </c>
      <c r="AL76" s="263">
        <f>VLOOKUP(Tableau1[[#This Row],[Code PAS]],'Facturation PAS RIN5 RUN'!C:F,4,0)</f>
        <v>0</v>
      </c>
      <c r="AM76" s="263"/>
      <c r="AN76" s="263" t="b">
        <f>ROUND(Tableau1[[#This Row],[Montant Options coûts récurrents]],0)=ROUND(Tableau1[[#This Row],[GTRS1 (Coût Plage de support 24h/24 7j/7)]],0)</f>
        <v>1</v>
      </c>
      <c r="AO76" s="265" t="e">
        <f>_xlfn.XLOOKUP(Tableau1[[#This Row],[Code PAS]],'parc SATIN 08012026v'!K:K,'parc SATIN 08012026v'!#REF!,0,0)</f>
        <v>#REF!</v>
      </c>
      <c r="AP76" s="263" t="e">
        <f>VLOOKUP(Tableau1[[#This Row],[Code PAS]],#REF!,3,0)</f>
        <v>#REF!</v>
      </c>
      <c r="AQ76" s="263" t="e">
        <f>VLOOKUP(Tableau1[[#This Row],[Code PAS]],[14]Feuil1!$B:$G,6,0)</f>
        <v>#N/A</v>
      </c>
      <c r="AR76" s="263" t="str">
        <f>_xlfn.XLOOKUP(Tableau1[[#This Row],[Code PAS]],'Facturation PAS RIN5 RUN'!C:C,'Facturation PAS RIN5 RUN'!B:B,0,0)</f>
        <v>Bronze_2_0</v>
      </c>
      <c r="AS76" s="263" t="b">
        <f>Tableau1[[#This Row],[Etat facturation]]=Tableau1[[#This Row],[Index offre du fournisseur]]</f>
        <v>1</v>
      </c>
      <c r="AT76" s="250" t="str">
        <f>_xlfn.XLOOKUP(Tableau1[[#This Row],[Code PAS]],'parc SATIN 08012026v'!K:K,'parc SATIN 08012026v'!M:M,0,0)</f>
        <v>PARC</v>
      </c>
      <c r="AU76" s="250" t="str">
        <f>_xlfn.XLOOKUP(Tableau1[[#This Row],[Code PAS]],'parc SATIN 08012026v'!K:K,'parc SATIN 08012026v'!O:O,0,0)</f>
        <v>PARC</v>
      </c>
      <c r="AV76" s="251">
        <f>_xlfn.XLOOKUP(Tableau1[[#This Row],[Code PAS]],'parc SATIN 08012026v'!K:K,'parc SATIN 08012026v'!Q:Q,0,0)</f>
        <v>44078</v>
      </c>
      <c r="AW76" s="251" t="str">
        <f>_xlfn.XLOOKUP(Tableau1[[#This Row],[Code PAS]],'parc SATIN 08012026v'!K:K,'parc SATIN 08012026v'!S:S,0,0)</f>
        <v>change</v>
      </c>
      <c r="AX76" s="250" t="str">
        <f>_xlfn.XLOOKUP(Tableau1[[#This Row],[Code PAS]],'parc SATIN 08012026v'!K:K,'parc SATIN 08012026v'!AF:AF,0,0)</f>
        <v>2 Mb/s</v>
      </c>
      <c r="AY7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76" s="250" t="s">
        <v>2868</v>
      </c>
    </row>
    <row r="77" spans="1:52" s="250" customFormat="1" ht="15" customHeight="1" x14ac:dyDescent="0.3">
      <c r="A77" s="250" t="s">
        <v>2743</v>
      </c>
      <c r="C77" s="249"/>
      <c r="D77" s="249">
        <v>46009</v>
      </c>
      <c r="E77" s="250" t="s">
        <v>2986</v>
      </c>
      <c r="F77" s="984" t="s">
        <v>1171</v>
      </c>
      <c r="H77" s="250" t="s">
        <v>2987</v>
      </c>
      <c r="I77" s="250" t="s">
        <v>78</v>
      </c>
      <c r="J77" s="248" t="s">
        <v>2814</v>
      </c>
      <c r="K77" s="250" t="s">
        <v>2814</v>
      </c>
      <c r="L77" s="250">
        <v>500</v>
      </c>
      <c r="M77" s="250">
        <v>400</v>
      </c>
      <c r="N77" s="250">
        <v>1</v>
      </c>
      <c r="O77" s="250" t="s">
        <v>74</v>
      </c>
      <c r="P77" s="820"/>
      <c r="Q77" s="820">
        <v>228.19999999999993</v>
      </c>
      <c r="R77" s="820"/>
      <c r="S77" s="820">
        <v>228.19999999999993</v>
      </c>
      <c r="T77" s="824">
        <v>1453.8564263010346</v>
      </c>
      <c r="U77" s="824">
        <v>84</v>
      </c>
      <c r="V77" s="824"/>
      <c r="W77" s="824">
        <v>36</v>
      </c>
      <c r="X77" s="823">
        <v>1573.8564263010346</v>
      </c>
      <c r="Y77" s="824">
        <v>0</v>
      </c>
      <c r="Z77" s="966">
        <v>0</v>
      </c>
      <c r="AA77" s="966">
        <v>0</v>
      </c>
      <c r="AB77" s="969">
        <v>0</v>
      </c>
      <c r="AC77" s="969">
        <v>0</v>
      </c>
      <c r="AD77" s="969">
        <v>0</v>
      </c>
      <c r="AE77" s="264">
        <v>50</v>
      </c>
      <c r="AF77" s="264">
        <v>500</v>
      </c>
      <c r="AG77" s="264">
        <v>400</v>
      </c>
      <c r="AH77" s="264">
        <v>900</v>
      </c>
      <c r="AI77" s="973">
        <v>36</v>
      </c>
      <c r="AJ77" s="263">
        <v>50</v>
      </c>
      <c r="AK77" s="987">
        <v>900</v>
      </c>
      <c r="AL77" s="263">
        <f>VLOOKUP(Tableau1[[#This Row],[Code PAS]],'Facturation PAS RIN5 RUN'!C:F,4,0)</f>
        <v>0</v>
      </c>
      <c r="AM77" s="263"/>
      <c r="AN77" s="263" t="b">
        <f>ROUND(Tableau1[[#This Row],[Montant Options coûts récurrents]],0)=ROUND(Tableau1[[#This Row],[GTRS1 (Coût Plage de support 24h/24 7j/7)]],0)</f>
        <v>1</v>
      </c>
      <c r="AO77" s="265" t="e">
        <f>_xlfn.XLOOKUP(Tableau1[[#This Row],[Code PAS]],'parc SATIN 08012026v'!K:K,'parc SATIN 08012026v'!#REF!,0,0)</f>
        <v>#REF!</v>
      </c>
      <c r="AP77" s="263" t="e">
        <f>VLOOKUP(Tableau1[[#This Row],[Code PAS]],#REF!,3,0)</f>
        <v>#REF!</v>
      </c>
      <c r="AQ77" s="263" t="e">
        <f>VLOOKUP(Tableau1[[#This Row],[Code PAS]],[14]Feuil1!$B:$G,6,0)</f>
        <v>#N/A</v>
      </c>
      <c r="AR77" s="263" t="str">
        <f>_xlfn.XLOOKUP(Tableau1[[#This Row],[Code PAS]],'Facturation PAS RIN5 RUN'!C:C,'Facturation PAS RIN5 RUN'!B:B,0,0)</f>
        <v>Silver_50_50</v>
      </c>
      <c r="AS77" s="263" t="b">
        <f>Tableau1[[#This Row],[Etat facturation]]=Tableau1[[#This Row],[Index offre du fournisseur]]</f>
        <v>1</v>
      </c>
      <c r="AT77" s="250" t="str">
        <f>_xlfn.XLOOKUP(Tableau1[[#This Row],[Code PAS]],'parc SATIN 08012026v'!K:K,'parc SATIN 08012026v'!M:M,0,0)</f>
        <v>PARC</v>
      </c>
      <c r="AU77" s="250" t="str">
        <f>_xlfn.XLOOKUP(Tableau1[[#This Row],[Code PAS]],'parc SATIN 08012026v'!K:K,'parc SATIN 08012026v'!O:O,0,0)</f>
        <v>PARC</v>
      </c>
      <c r="AV77" s="251">
        <f>_xlfn.XLOOKUP(Tableau1[[#This Row],[Code PAS]],'parc SATIN 08012026v'!K:K,'parc SATIN 08012026v'!Q:Q,0,0)</f>
        <v>46010</v>
      </c>
      <c r="AW77" s="251" t="str">
        <f>_xlfn.XLOOKUP(Tableau1[[#This Row],[Code PAS]],'parc SATIN 08012026v'!K:K,'parc SATIN 08012026v'!S:S,0,0)</f>
        <v>change</v>
      </c>
      <c r="AX77" s="250" t="str">
        <f>_xlfn.XLOOKUP(Tableau1[[#This Row],[Code PAS]],'parc SATIN 08012026v'!K:K,'parc SATIN 08012026v'!AF:AF,0,0)</f>
        <v>50 Mb/s</v>
      </c>
      <c r="AY7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78" spans="1:52" s="250" customFormat="1" ht="15" customHeight="1" x14ac:dyDescent="0.3">
      <c r="A78" s="250" t="s">
        <v>2758</v>
      </c>
      <c r="C78" s="249"/>
      <c r="D78" s="249"/>
      <c r="E78" s="250" t="s">
        <v>2988</v>
      </c>
      <c r="F78" s="984" t="s">
        <v>2357</v>
      </c>
      <c r="G78" s="250" t="s">
        <v>2800</v>
      </c>
      <c r="H78" s="250" t="s">
        <v>2867</v>
      </c>
      <c r="J78" s="248" t="str">
        <f>_xlfn.XLOOKUP(Tableau1[[#This Row],[Code PAS]],'[13]Parc Satin'!$L:$L,'[13]Parc Satin'!$CK:$CK,0,0)</f>
        <v>Nominal C2E CN2 sans Secours</v>
      </c>
      <c r="P78" s="820">
        <v>0</v>
      </c>
      <c r="Q78" s="820">
        <v>0</v>
      </c>
      <c r="R78" s="820">
        <v>0</v>
      </c>
      <c r="S78" s="820">
        <v>0</v>
      </c>
      <c r="T78" s="824">
        <v>290</v>
      </c>
      <c r="U78" s="824">
        <v>12</v>
      </c>
      <c r="V78" s="824">
        <v>18</v>
      </c>
      <c r="W78" s="824">
        <v>0</v>
      </c>
      <c r="X78" s="823">
        <f>Tableau1[[#This Row],[Coût Abonnement offre]]+Tableau1[[#This Row],[Coût Abonnement Chassis]]+Tableau1[[#This Row],[Cout Cartes interface ]]+Tableau1[[#This Row],[Cout canaux voix supplémentaire]]</f>
        <v>320</v>
      </c>
      <c r="Y78" s="824">
        <v>0</v>
      </c>
      <c r="Z78" s="966">
        <v>0</v>
      </c>
      <c r="AA78" s="966">
        <v>0</v>
      </c>
      <c r="AB78" s="969">
        <v>0</v>
      </c>
      <c r="AC78" s="969">
        <v>0</v>
      </c>
      <c r="AD78" s="969">
        <v>0</v>
      </c>
      <c r="AE78" s="264">
        <v>2</v>
      </c>
      <c r="AF78" s="264">
        <v>20</v>
      </c>
      <c r="AG78" s="264">
        <v>10</v>
      </c>
      <c r="AH78" s="264">
        <v>30</v>
      </c>
      <c r="AI78" s="973">
        <v>9</v>
      </c>
      <c r="AJ78" s="263">
        <v>2</v>
      </c>
      <c r="AK78" s="987">
        <v>20</v>
      </c>
      <c r="AL78" s="263">
        <f>VLOOKUP(Tableau1[[#This Row],[Code PAS]],'Facturation PAS RIN5 RUN'!C:F,4,0)</f>
        <v>18</v>
      </c>
      <c r="AM78" s="263"/>
      <c r="AN78" s="263" t="b">
        <f>ROUND(Tableau1[[#This Row],[Montant Options coûts récurrents]],0)=ROUND(Tableau1[[#This Row],[GTRS1 (Coût Plage de support 24h/24 7j/7)]],0)</f>
        <v>0</v>
      </c>
      <c r="AO78" s="265" t="e">
        <f>_xlfn.XLOOKUP(Tableau1[[#This Row],[Code PAS]],'parc SATIN 08012026v'!K:K,'parc SATIN 08012026v'!#REF!,0,0)</f>
        <v>#REF!</v>
      </c>
      <c r="AP78" s="263" t="e">
        <f>VLOOKUP(Tableau1[[#This Row],[Code PAS]],#REF!,3,0)</f>
        <v>#REF!</v>
      </c>
      <c r="AQ78" s="263" t="e">
        <f>VLOOKUP(Tableau1[[#This Row],[Code PAS]],[14]Feuil1!$B:$G,6,0)</f>
        <v>#N/A</v>
      </c>
      <c r="AR78" s="263" t="str">
        <f>_xlfn.XLOOKUP(Tableau1[[#This Row],[Code PAS]],'Facturation PAS RIN5 RUN'!C:C,'Facturation PAS RIN5 RUN'!B:B,0,0)</f>
        <v>Bronze_2_0</v>
      </c>
      <c r="AS78" s="263" t="b">
        <f>Tableau1[[#This Row],[Etat facturation]]=Tableau1[[#This Row],[Index offre du fournisseur]]</f>
        <v>1</v>
      </c>
      <c r="AT78" s="250" t="str">
        <f>_xlfn.XLOOKUP(Tableau1[[#This Row],[Code PAS]],'parc SATIN 08012026v'!K:K,'parc SATIN 08012026v'!M:M,0,0)</f>
        <v>PARC</v>
      </c>
      <c r="AU78" s="250" t="str">
        <f>_xlfn.XLOOKUP(Tableau1[[#This Row],[Code PAS]],'parc SATIN 08012026v'!K:K,'parc SATIN 08012026v'!O:O,0,0)</f>
        <v>PARC</v>
      </c>
      <c r="AV78" s="251">
        <f>_xlfn.XLOOKUP(Tableau1[[#This Row],[Code PAS]],'parc SATIN 08012026v'!K:K,'parc SATIN 08012026v'!Q:Q,0,0)</f>
        <v>43873</v>
      </c>
      <c r="AW78" s="251" t="str">
        <f>_xlfn.XLOOKUP(Tableau1[[#This Row],[Code PAS]],'parc SATIN 08012026v'!K:K,'parc SATIN 08012026v'!S:S,0,0)</f>
        <v>change</v>
      </c>
      <c r="AX78" s="250" t="str">
        <f>_xlfn.XLOOKUP(Tableau1[[#This Row],[Code PAS]],'parc SATIN 08012026v'!K:K,'parc SATIN 08012026v'!AF:AF,0,0)</f>
        <v>2 Mb/s</v>
      </c>
      <c r="AY7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78" s="250" t="s">
        <v>2868</v>
      </c>
    </row>
    <row r="79" spans="1:52" s="250" customFormat="1" ht="15" customHeight="1" x14ac:dyDescent="0.3">
      <c r="A79" s="250" t="s">
        <v>2739</v>
      </c>
      <c r="C79" s="249"/>
      <c r="D79" s="249"/>
      <c r="E79" s="250" t="s">
        <v>2989</v>
      </c>
      <c r="F79" s="984" t="s">
        <v>1429</v>
      </c>
      <c r="H79" s="250" t="s">
        <v>2748</v>
      </c>
      <c r="J79" s="248" t="str">
        <f>_xlfn.XLOOKUP(Tableau1[[#This Row],[Code PAS]],'[13]Parc Satin'!$L:$L,'[13]Parc Satin'!$CK:$CK,0,0)</f>
        <v>Nominal InterLan 1.0 Secours InterLan 1.0</v>
      </c>
      <c r="P79" s="820">
        <v>0</v>
      </c>
      <c r="Q79" s="820">
        <v>0</v>
      </c>
      <c r="R79" s="820">
        <v>0</v>
      </c>
      <c r="S79" s="820">
        <v>0</v>
      </c>
      <c r="T79" s="824">
        <v>1149</v>
      </c>
      <c r="U79" s="824">
        <v>44</v>
      </c>
      <c r="V79" s="824">
        <v>80</v>
      </c>
      <c r="W79" s="824">
        <v>5</v>
      </c>
      <c r="X79" s="823">
        <f>Tableau1[[#This Row],[Coût Abonnement offre]]+Tableau1[[#This Row],[Coût Abonnement Chassis]]+Tableau1[[#This Row],[Cout Cartes interface ]]+Tableau1[[#This Row],[Cout canaux voix supplémentaire]]</f>
        <v>1278</v>
      </c>
      <c r="Y79" s="824">
        <v>0</v>
      </c>
      <c r="Z79" s="966">
        <v>0</v>
      </c>
      <c r="AA79" s="966">
        <v>0</v>
      </c>
      <c r="AB79" s="969">
        <v>0</v>
      </c>
      <c r="AC79" s="969">
        <v>0</v>
      </c>
      <c r="AD79" s="969">
        <v>0</v>
      </c>
      <c r="AE79" s="264">
        <v>20</v>
      </c>
      <c r="AF79" s="264">
        <v>300</v>
      </c>
      <c r="AG79" s="264">
        <v>50</v>
      </c>
      <c r="AH79" s="264">
        <v>350</v>
      </c>
      <c r="AI79" s="973">
        <v>5</v>
      </c>
      <c r="AJ79" s="263">
        <v>20</v>
      </c>
      <c r="AK79" s="987">
        <v>350</v>
      </c>
      <c r="AL79" s="263">
        <f>VLOOKUP(Tableau1[[#This Row],[Code PAS]],'Facturation PAS RIN5 RUN'!C:F,4,0)</f>
        <v>80</v>
      </c>
      <c r="AM79" s="263"/>
      <c r="AN79" s="263" t="b">
        <f>ROUND(Tableau1[[#This Row],[Montant Options coûts récurrents]],0)=ROUND(Tableau1[[#This Row],[GTRS1 (Coût Plage de support 24h/24 7j/7)]],0)</f>
        <v>0</v>
      </c>
      <c r="AO79" s="265" t="e">
        <f>_xlfn.XLOOKUP(Tableau1[[#This Row],[Code PAS]],'parc SATIN 08012026v'!K:K,'parc SATIN 08012026v'!#REF!,0,0)</f>
        <v>#REF!</v>
      </c>
      <c r="AP79" s="263" t="e">
        <f>VLOOKUP(Tableau1[[#This Row],[Code PAS]],#REF!,3,0)</f>
        <v>#REF!</v>
      </c>
      <c r="AQ79" s="263" t="e">
        <f>VLOOKUP(Tableau1[[#This Row],[Code PAS]],[14]Feuil1!$B:$G,6,0)</f>
        <v>#N/A</v>
      </c>
      <c r="AR79" s="263" t="str">
        <f>_xlfn.XLOOKUP(Tableau1[[#This Row],[Code PAS]],'Facturation PAS RIN5 RUN'!C:C,'Facturation PAS RIN5 RUN'!B:B,0,0)</f>
        <v>Gold_20_20</v>
      </c>
      <c r="AS79" s="263" t="b">
        <f>Tableau1[[#This Row],[Etat facturation]]=Tableau1[[#This Row],[Index offre du fournisseur]]</f>
        <v>1</v>
      </c>
      <c r="AT79" s="250" t="str">
        <f>_xlfn.XLOOKUP(Tableau1[[#This Row],[Code PAS]],'parc SATIN 08012026v'!K:K,'parc SATIN 08012026v'!M:M,0,0)</f>
        <v>PARC</v>
      </c>
      <c r="AU79" s="250" t="str">
        <f>_xlfn.XLOOKUP(Tableau1[[#This Row],[Code PAS]],'parc SATIN 08012026v'!K:K,'parc SATIN 08012026v'!O:O,0,0)</f>
        <v>PARC</v>
      </c>
      <c r="AV79" s="251">
        <f>_xlfn.XLOOKUP(Tableau1[[#This Row],[Code PAS]],'parc SATIN 08012026v'!K:K,'parc SATIN 08012026v'!Q:Q,0,0)</f>
        <v>44041</v>
      </c>
      <c r="AW79" s="251" t="str">
        <f>_xlfn.XLOOKUP(Tableau1[[#This Row],[Code PAS]],'parc SATIN 08012026v'!K:K,'parc SATIN 08012026v'!S:S,0,0)</f>
        <v>change</v>
      </c>
      <c r="AX79" s="250" t="str">
        <f>_xlfn.XLOOKUP(Tableau1[[#This Row],[Code PAS]],'parc SATIN 08012026v'!K:K,'parc SATIN 08012026v'!AF:AF,0,0)</f>
        <v>20 Mb/s</v>
      </c>
      <c r="AY7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80" spans="1:52" s="250" customFormat="1" ht="15" customHeight="1" x14ac:dyDescent="0.3">
      <c r="A80" s="250" t="s">
        <v>2758</v>
      </c>
      <c r="C80" s="249"/>
      <c r="D80" s="249"/>
      <c r="E80" s="250" t="s">
        <v>2990</v>
      </c>
      <c r="F80" s="984" t="s">
        <v>2149</v>
      </c>
      <c r="G80" s="250" t="s">
        <v>2991</v>
      </c>
      <c r="H80" s="250" t="s">
        <v>2991</v>
      </c>
      <c r="I80" s="250" t="s">
        <v>165</v>
      </c>
      <c r="J80" s="248" t="str">
        <f>_xlfn.XLOOKUP(Tableau1[[#This Row],[Code PAS]],'[13]Parc Satin'!$L:$L,'[13]Parc Satin'!$CK:$CK,0,0)</f>
        <v>Nominal C2E Fibre sans Secours</v>
      </c>
      <c r="L80" s="250">
        <v>300</v>
      </c>
      <c r="M80" s="250">
        <v>50</v>
      </c>
      <c r="N80" s="250">
        <v>1</v>
      </c>
      <c r="O80" s="250" t="s">
        <v>74</v>
      </c>
      <c r="P80" s="824">
        <v>0</v>
      </c>
      <c r="Q80" s="824" t="e">
        <v>#VALUE!</v>
      </c>
      <c r="R80" s="824">
        <v>0</v>
      </c>
      <c r="S80" s="824">
        <v>0</v>
      </c>
      <c r="T80" s="824">
        <v>675</v>
      </c>
      <c r="U80" s="824">
        <v>22</v>
      </c>
      <c r="V80" s="824">
        <v>8</v>
      </c>
      <c r="W80" s="824">
        <v>5</v>
      </c>
      <c r="X80" s="824">
        <f>Tableau1[[#This Row],[Coût Abonnement offre]]+Tableau1[[#This Row],[Coût Abonnement Chassis]]+Tableau1[[#This Row],[Cout Cartes interface ]]+Tableau1[[#This Row],[Cout canaux voix supplémentaire]]</f>
        <v>710</v>
      </c>
      <c r="Y80" s="824">
        <v>0</v>
      </c>
      <c r="Z80" s="966">
        <v>0</v>
      </c>
      <c r="AA80" s="966">
        <v>0</v>
      </c>
      <c r="AB80" s="969">
        <v>0</v>
      </c>
      <c r="AC80" s="969">
        <v>0</v>
      </c>
      <c r="AD80" s="969">
        <v>0</v>
      </c>
      <c r="AE80" s="264">
        <v>20</v>
      </c>
      <c r="AF80" s="264">
        <v>300</v>
      </c>
      <c r="AG80" s="264">
        <v>50</v>
      </c>
      <c r="AH80" s="264">
        <v>350</v>
      </c>
      <c r="AI80" s="973">
        <v>5</v>
      </c>
      <c r="AJ80" s="263">
        <v>20</v>
      </c>
      <c r="AK80" s="987">
        <v>350</v>
      </c>
      <c r="AL80" s="263">
        <f>VLOOKUP(Tableau1[[#This Row],[Code PAS]],'Facturation PAS RIN5 RUN'!C:F,4,0)</f>
        <v>8</v>
      </c>
      <c r="AM80" s="263"/>
      <c r="AN80" s="263" t="b">
        <f>ROUND(Tableau1[[#This Row],[Montant Options coûts récurrents]],0)=ROUND(Tableau1[[#This Row],[GTRS1 (Coût Plage de support 24h/24 7j/7)]],0)</f>
        <v>0</v>
      </c>
      <c r="AO80" s="265" t="e">
        <f>_xlfn.XLOOKUP(Tableau1[[#This Row],[Code PAS]],'parc SATIN 08012026v'!K:K,'parc SATIN 08012026v'!#REF!,0,0)</f>
        <v>#REF!</v>
      </c>
      <c r="AP80" s="263" t="e">
        <f>VLOOKUP(Tableau1[[#This Row],[Code PAS]],#REF!,3,0)</f>
        <v>#REF!</v>
      </c>
      <c r="AQ80" s="263" t="str">
        <f>VLOOKUP(Tableau1[[#This Row],[Code PAS]],[14]Feuil1!$B:$G,6,0)</f>
        <v>Lundi au Samedi 8h-18h</v>
      </c>
      <c r="AR80" s="263" t="str">
        <f>_xlfn.XLOOKUP(Tableau1[[#This Row],[Code PAS]],'Facturation PAS RIN5 RUN'!C:C,'Facturation PAS RIN5 RUN'!B:B,0,0)</f>
        <v>Platinum_Man_20_0</v>
      </c>
      <c r="AS80" s="263" t="b">
        <f>Tableau1[[#This Row],[Etat facturation]]=Tableau1[[#This Row],[Index offre du fournisseur]]</f>
        <v>1</v>
      </c>
      <c r="AT80" s="250" t="str">
        <f>_xlfn.XLOOKUP(Tableau1[[#This Row],[Code PAS]],'parc SATIN 08012026v'!K:K,'parc SATIN 08012026v'!M:M,0,0)</f>
        <v>PARC</v>
      </c>
      <c r="AU80" s="250" t="str">
        <f>_xlfn.XLOOKUP(Tableau1[[#This Row],[Code PAS]],'parc SATIN 08012026v'!K:K,'parc SATIN 08012026v'!O:O,0,0)</f>
        <v>PARC</v>
      </c>
      <c r="AV80" s="251">
        <f>_xlfn.XLOOKUP(Tableau1[[#This Row],[Code PAS]],'parc SATIN 08012026v'!K:K,'parc SATIN 08012026v'!Q:Q,0,0)</f>
        <v>44174</v>
      </c>
      <c r="AW80" s="251" t="str">
        <f>_xlfn.XLOOKUP(Tableau1[[#This Row],[Code PAS]],'parc SATIN 08012026v'!K:K,'parc SATIN 08012026v'!S:S,0,0)</f>
        <v>création</v>
      </c>
      <c r="AX80" s="250" t="str">
        <f>_xlfn.XLOOKUP(Tableau1[[#This Row],[Code PAS]],'parc SATIN 08012026v'!K:K,'parc SATIN 08012026v'!AF:AF,0,0)</f>
        <v>20 Mb/s</v>
      </c>
      <c r="AY80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20</v>
      </c>
    </row>
    <row r="81" spans="1:52" s="250" customFormat="1" ht="15" customHeight="1" x14ac:dyDescent="0.3">
      <c r="A81" s="248" t="s">
        <v>2735</v>
      </c>
      <c r="B81" s="248"/>
      <c r="C81" s="249"/>
      <c r="D81" s="249"/>
      <c r="E81" s="250" t="s">
        <v>2992</v>
      </c>
      <c r="F81" s="984" t="s">
        <v>466</v>
      </c>
      <c r="G81" s="250" t="s">
        <v>2784</v>
      </c>
      <c r="H81" s="250" t="s">
        <v>2784</v>
      </c>
      <c r="I81" s="250" t="s">
        <v>165</v>
      </c>
      <c r="J81" s="248" t="str">
        <f>_xlfn.XLOOKUP(Tableau1[[#This Row],[Code PAS]],'[13]Parc Satin'!$L:$L,'[13]Parc Satin'!$CK:$CK,0,0)</f>
        <v>Nominal C2E Fibre Secours C2E Fibre</v>
      </c>
      <c r="K81" s="248"/>
      <c r="L81" s="250">
        <v>500</v>
      </c>
      <c r="M81" s="250">
        <v>400</v>
      </c>
      <c r="N81" s="250">
        <v>1</v>
      </c>
      <c r="O81" s="250" t="s">
        <v>74</v>
      </c>
      <c r="P81" s="824">
        <v>0</v>
      </c>
      <c r="Q81" s="824">
        <v>228</v>
      </c>
      <c r="R81" s="824">
        <v>0</v>
      </c>
      <c r="S81" s="824">
        <v>228</v>
      </c>
      <c r="T81" s="824">
        <v>1454</v>
      </c>
      <c r="U81" s="824">
        <v>84</v>
      </c>
      <c r="V81" s="824">
        <v>0</v>
      </c>
      <c r="W81" s="824">
        <v>36</v>
      </c>
      <c r="X81" s="824">
        <f>Tableau1[[#This Row],[Coût Abonnement offre]]+Tableau1[[#This Row],[Coût Abonnement Chassis]]+Tableau1[[#This Row],[Cout Cartes interface ]]+Tableau1[[#This Row],[Cout canaux voix supplémentaire]]</f>
        <v>1574</v>
      </c>
      <c r="Y81" s="824">
        <v>0</v>
      </c>
      <c r="Z81" s="966">
        <v>0</v>
      </c>
      <c r="AA81" s="966">
        <v>0</v>
      </c>
      <c r="AB81" s="969">
        <v>0</v>
      </c>
      <c r="AC81" s="969">
        <v>0</v>
      </c>
      <c r="AD81" s="969">
        <v>0</v>
      </c>
      <c r="AE81" s="264">
        <v>50</v>
      </c>
      <c r="AF81" s="264">
        <v>500</v>
      </c>
      <c r="AG81" s="264">
        <v>400</v>
      </c>
      <c r="AH81" s="264">
        <v>900</v>
      </c>
      <c r="AI81" s="973">
        <v>36</v>
      </c>
      <c r="AJ81" s="263">
        <v>50</v>
      </c>
      <c r="AK81" s="987">
        <v>900</v>
      </c>
      <c r="AL81" s="263">
        <f>VLOOKUP(Tableau1[[#This Row],[Code PAS]],'Facturation PAS RIN5 RUN'!C:F,4,0)</f>
        <v>0</v>
      </c>
      <c r="AM81" s="263"/>
      <c r="AN81" s="263" t="b">
        <f>ROUND(Tableau1[[#This Row],[Montant Options coûts récurrents]],0)=ROUND(Tableau1[[#This Row],[GTRS1 (Coût Plage de support 24h/24 7j/7)]],0)</f>
        <v>1</v>
      </c>
      <c r="AO81" s="265" t="e">
        <f>_xlfn.XLOOKUP(Tableau1[[#This Row],[Code PAS]],'parc SATIN 08012026v'!K:K,'parc SATIN 08012026v'!#REF!,0,0)</f>
        <v>#REF!</v>
      </c>
      <c r="AP81" s="263" t="e">
        <f>VLOOKUP(Tableau1[[#This Row],[Code PAS]],#REF!,3,0)</f>
        <v>#REF!</v>
      </c>
      <c r="AQ81" s="263" t="e">
        <f>VLOOKUP(Tableau1[[#This Row],[Code PAS]],[14]Feuil1!$B:$G,6,0)</f>
        <v>#N/A</v>
      </c>
      <c r="AR81" s="263" t="str">
        <f>_xlfn.XLOOKUP(Tableau1[[#This Row],[Code PAS]],'Facturation PAS RIN5 RUN'!C:C,'Facturation PAS RIN5 RUN'!B:B,0,0)</f>
        <v>Gold_50_50</v>
      </c>
      <c r="AS81" s="263" t="b">
        <f>Tableau1[[#This Row],[Etat facturation]]=Tableau1[[#This Row],[Index offre du fournisseur]]</f>
        <v>1</v>
      </c>
      <c r="AT81" s="250" t="str">
        <f>_xlfn.XLOOKUP(Tableau1[[#This Row],[Code PAS]],'parc SATIN 08012026v'!K:K,'parc SATIN 08012026v'!M:M,0,0)</f>
        <v>PARC</v>
      </c>
      <c r="AU81" s="250" t="str">
        <f>_xlfn.XLOOKUP(Tableau1[[#This Row],[Code PAS]],'parc SATIN 08012026v'!K:K,'parc SATIN 08012026v'!O:O,0,0)</f>
        <v>PARC</v>
      </c>
      <c r="AV81" s="251">
        <f>_xlfn.XLOOKUP(Tableau1[[#This Row],[Code PAS]],'parc SATIN 08012026v'!K:K,'parc SATIN 08012026v'!Q:Q,0,0)</f>
        <v>45905</v>
      </c>
      <c r="AW81" s="251" t="str">
        <f>_xlfn.XLOOKUP(Tableau1[[#This Row],[Code PAS]],'parc SATIN 08012026v'!K:K,'parc SATIN 08012026v'!S:S,0,0)</f>
        <v>change</v>
      </c>
      <c r="AX81" s="250" t="str">
        <f>_xlfn.XLOOKUP(Tableau1[[#This Row],[Code PAS]],'parc SATIN 08012026v'!K:K,'parc SATIN 08012026v'!AF:AF,0,0)</f>
        <v>50 Mb/s</v>
      </c>
      <c r="AY8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82" spans="1:52" s="250" customFormat="1" ht="15" customHeight="1" x14ac:dyDescent="0.3">
      <c r="A82" s="248" t="s">
        <v>2735</v>
      </c>
      <c r="B82" s="248"/>
      <c r="C82" s="249"/>
      <c r="D82" s="249"/>
      <c r="E82" s="250" t="s">
        <v>2993</v>
      </c>
      <c r="F82" s="984" t="s">
        <v>457</v>
      </c>
      <c r="G82" s="250" t="s">
        <v>2748</v>
      </c>
      <c r="H82" s="250" t="s">
        <v>2748</v>
      </c>
      <c r="I82" s="250" t="s">
        <v>2817</v>
      </c>
      <c r="J82" s="248" t="str">
        <f>_xlfn.XLOOKUP(Tableau1[[#This Row],[Code PAS]],'[13]Parc Satin'!$L:$L,'[13]Parc Satin'!$CK:$CK,0,0)</f>
        <v>Nominal C2E Fibre Secours C2E Fibre</v>
      </c>
      <c r="K82" s="250" t="s">
        <v>165</v>
      </c>
      <c r="L82" s="250">
        <v>300</v>
      </c>
      <c r="M82" s="250">
        <v>50</v>
      </c>
      <c r="N82" s="250">
        <v>1</v>
      </c>
      <c r="O82" s="250" t="s">
        <v>74</v>
      </c>
      <c r="P82" s="824">
        <v>0</v>
      </c>
      <c r="Q82" s="824">
        <v>0</v>
      </c>
      <c r="R82" s="824">
        <v>0</v>
      </c>
      <c r="S82" s="824">
        <v>0</v>
      </c>
      <c r="T82" s="824">
        <v>1149</v>
      </c>
      <c r="U82" s="824">
        <v>44</v>
      </c>
      <c r="V82" s="824">
        <v>32</v>
      </c>
      <c r="W82" s="824">
        <v>5</v>
      </c>
      <c r="X82" s="824">
        <f>Tableau1[[#This Row],[Coût Abonnement offre]]+Tableau1[[#This Row],[Coût Abonnement Chassis]]+Tableau1[[#This Row],[Cout Cartes interface ]]+Tableau1[[#This Row],[Cout canaux voix supplémentaire]]</f>
        <v>1230</v>
      </c>
      <c r="Y82" s="824">
        <v>0</v>
      </c>
      <c r="Z82" s="966">
        <v>0</v>
      </c>
      <c r="AA82" s="966">
        <v>0</v>
      </c>
      <c r="AB82" s="969">
        <v>0</v>
      </c>
      <c r="AC82" s="969">
        <v>0</v>
      </c>
      <c r="AD82" s="969">
        <v>0</v>
      </c>
      <c r="AE82" s="264">
        <v>20</v>
      </c>
      <c r="AF82" s="264">
        <v>300</v>
      </c>
      <c r="AG82" s="264">
        <v>50</v>
      </c>
      <c r="AH82" s="264">
        <v>350</v>
      </c>
      <c r="AI82" s="973">
        <v>5</v>
      </c>
      <c r="AJ82" s="263">
        <v>20</v>
      </c>
      <c r="AK82" s="987">
        <v>350</v>
      </c>
      <c r="AL82" s="263">
        <f>VLOOKUP(Tableau1[[#This Row],[Code PAS]],'Facturation PAS RIN5 RUN'!C:F,4,0)</f>
        <v>32</v>
      </c>
      <c r="AM82" s="263"/>
      <c r="AN82" s="263" t="b">
        <f>ROUND(Tableau1[[#This Row],[Montant Options coûts récurrents]],0)=ROUND(Tableau1[[#This Row],[GTRS1 (Coût Plage de support 24h/24 7j/7)]],0)</f>
        <v>0</v>
      </c>
      <c r="AO82" s="265" t="e">
        <f>_xlfn.XLOOKUP(Tableau1[[#This Row],[Code PAS]],'parc SATIN 08012026v'!K:K,'parc SATIN 08012026v'!#REF!,0,0)</f>
        <v>#REF!</v>
      </c>
      <c r="AP82" s="263" t="e">
        <f>VLOOKUP(Tableau1[[#This Row],[Code PAS]],#REF!,3,0)</f>
        <v>#REF!</v>
      </c>
      <c r="AQ82" s="263" t="e">
        <f>VLOOKUP(Tableau1[[#This Row],[Code PAS]],[14]Feuil1!$B:$G,6,0)</f>
        <v>#N/A</v>
      </c>
      <c r="AR82" s="263" t="str">
        <f>_xlfn.XLOOKUP(Tableau1[[#This Row],[Code PAS]],'Facturation PAS RIN5 RUN'!C:C,'Facturation PAS RIN5 RUN'!B:B,0,0)</f>
        <v>Gold_20_20</v>
      </c>
      <c r="AS82" s="263" t="b">
        <f>Tableau1[[#This Row],[Etat facturation]]=Tableau1[[#This Row],[Index offre du fournisseur]]</f>
        <v>1</v>
      </c>
      <c r="AT82" s="250" t="str">
        <f>_xlfn.XLOOKUP(Tableau1[[#This Row],[Code PAS]],'parc SATIN 08012026v'!K:K,'parc SATIN 08012026v'!M:M,0,0)</f>
        <v>PARC</v>
      </c>
      <c r="AU82" s="250" t="str">
        <f>_xlfn.XLOOKUP(Tableau1[[#This Row],[Code PAS]],'parc SATIN 08012026v'!K:K,'parc SATIN 08012026v'!O:O,0,0)</f>
        <v>PARC</v>
      </c>
      <c r="AV82" s="251">
        <f>_xlfn.XLOOKUP(Tableau1[[#This Row],[Code PAS]],'parc SATIN 08012026v'!K:K,'parc SATIN 08012026v'!Q:Q,0,0)</f>
        <v>45589</v>
      </c>
      <c r="AW82" s="251" t="str">
        <f>_xlfn.XLOOKUP(Tableau1[[#This Row],[Code PAS]],'parc SATIN 08012026v'!K:K,'parc SATIN 08012026v'!S:S,0,0)</f>
        <v>change</v>
      </c>
      <c r="AX82" s="250" t="str">
        <f>_xlfn.XLOOKUP(Tableau1[[#This Row],[Code PAS]],'parc SATIN 08012026v'!K:K,'parc SATIN 08012026v'!AF:AF,0,0)</f>
        <v>20 Mb/s</v>
      </c>
      <c r="AY8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83" spans="1:52" s="250" customFormat="1" ht="15" customHeight="1" x14ac:dyDescent="0.3">
      <c r="A83" s="250" t="s">
        <v>2743</v>
      </c>
      <c r="C83" s="249"/>
      <c r="D83" s="249"/>
      <c r="E83" s="250" t="s">
        <v>2994</v>
      </c>
      <c r="F83" s="984" t="s">
        <v>1162</v>
      </c>
      <c r="G83" s="250" t="s">
        <v>2791</v>
      </c>
      <c r="H83" s="250" t="s">
        <v>2791</v>
      </c>
      <c r="I83" s="250" t="s">
        <v>165</v>
      </c>
      <c r="J83" s="248" t="str">
        <f>_xlfn.XLOOKUP(Tableau1[[#This Row],[Code PAS]],'[13]Parc Satin'!$L:$L,'[13]Parc Satin'!$CK:$CK,0,0)</f>
        <v>Nominal C2E Fibre Secours C2E Fibre</v>
      </c>
      <c r="K83" s="248" t="s">
        <v>2814</v>
      </c>
      <c r="L83" s="250">
        <v>500</v>
      </c>
      <c r="M83" s="250">
        <v>400</v>
      </c>
      <c r="N83" s="250">
        <v>1</v>
      </c>
      <c r="O83" s="250" t="s">
        <v>74</v>
      </c>
      <c r="P83" s="824">
        <v>0</v>
      </c>
      <c r="Q83" s="824">
        <v>0</v>
      </c>
      <c r="R83" s="824">
        <v>0</v>
      </c>
      <c r="S83" s="824">
        <v>0</v>
      </c>
      <c r="T83" s="824">
        <v>1454</v>
      </c>
      <c r="U83" s="824">
        <v>84</v>
      </c>
      <c r="V83" s="824">
        <v>0</v>
      </c>
      <c r="W83" s="824">
        <v>36</v>
      </c>
      <c r="X83" s="824">
        <f>Tableau1[[#This Row],[Coût Abonnement offre]]+Tableau1[[#This Row],[Coût Abonnement Chassis]]+Tableau1[[#This Row],[Cout Cartes interface ]]+Tableau1[[#This Row],[Cout canaux voix supplémentaire]]</f>
        <v>1574</v>
      </c>
      <c r="Y83" s="824">
        <v>0</v>
      </c>
      <c r="Z83" s="966">
        <v>0</v>
      </c>
      <c r="AA83" s="966">
        <v>0</v>
      </c>
      <c r="AB83" s="969">
        <v>0</v>
      </c>
      <c r="AC83" s="969">
        <v>0</v>
      </c>
      <c r="AD83" s="969">
        <v>0</v>
      </c>
      <c r="AE83" s="264">
        <v>50</v>
      </c>
      <c r="AF83" s="264">
        <v>500</v>
      </c>
      <c r="AG83" s="264">
        <v>400</v>
      </c>
      <c r="AH83" s="264">
        <v>900</v>
      </c>
      <c r="AI83" s="973">
        <v>36</v>
      </c>
      <c r="AJ83" s="263">
        <v>50</v>
      </c>
      <c r="AK83" s="987">
        <v>900</v>
      </c>
      <c r="AL83" s="263">
        <f>VLOOKUP(Tableau1[[#This Row],[Code PAS]],'Facturation PAS RIN5 RUN'!C:F,4,0)</f>
        <v>0</v>
      </c>
      <c r="AM83" s="263"/>
      <c r="AN83" s="263" t="b">
        <f>ROUND(Tableau1[[#This Row],[Montant Options coûts récurrents]],0)=ROUND(Tableau1[[#This Row],[GTRS1 (Coût Plage de support 24h/24 7j/7)]],0)</f>
        <v>1</v>
      </c>
      <c r="AO83" s="265" t="e">
        <f>_xlfn.XLOOKUP(Tableau1[[#This Row],[Code PAS]],'parc SATIN 08012026v'!K:K,'parc SATIN 08012026v'!#REF!,0,0)</f>
        <v>#REF!</v>
      </c>
      <c r="AP83" s="263" t="e">
        <f>VLOOKUP(Tableau1[[#This Row],[Code PAS]],#REF!,3,0)</f>
        <v>#REF!</v>
      </c>
      <c r="AQ83" s="263" t="e">
        <f>VLOOKUP(Tableau1[[#This Row],[Code PAS]],[14]Feuil1!$B:$G,6,0)</f>
        <v>#N/A</v>
      </c>
      <c r="AR83" s="263" t="str">
        <f>_xlfn.XLOOKUP(Tableau1[[#This Row],[Code PAS]],'Facturation PAS RIN5 RUN'!C:C,'Facturation PAS RIN5 RUN'!B:B,0,0)</f>
        <v>Silver_50_50</v>
      </c>
      <c r="AS83" s="263" t="b">
        <f>Tableau1[[#This Row],[Etat facturation]]=Tableau1[[#This Row],[Index offre du fournisseur]]</f>
        <v>1</v>
      </c>
      <c r="AT83" s="250" t="str">
        <f>_xlfn.XLOOKUP(Tableau1[[#This Row],[Code PAS]],'parc SATIN 08012026v'!K:K,'parc SATIN 08012026v'!M:M,0,0)</f>
        <v>PARC</v>
      </c>
      <c r="AU83" s="250" t="str">
        <f>_xlfn.XLOOKUP(Tableau1[[#This Row],[Code PAS]],'parc SATIN 08012026v'!K:K,'parc SATIN 08012026v'!O:O,0,0)</f>
        <v>PARC</v>
      </c>
      <c r="AV83" s="251">
        <f>_xlfn.XLOOKUP(Tableau1[[#This Row],[Code PAS]],'parc SATIN 08012026v'!K:K,'parc SATIN 08012026v'!Q:Q,0,0)</f>
        <v>45805</v>
      </c>
      <c r="AW83" s="251" t="str">
        <f>_xlfn.XLOOKUP(Tableau1[[#This Row],[Code PAS]],'parc SATIN 08012026v'!K:K,'parc SATIN 08012026v'!S:S,0,0)</f>
        <v>change</v>
      </c>
      <c r="AX83" s="250" t="str">
        <f>_xlfn.XLOOKUP(Tableau1[[#This Row],[Code PAS]],'parc SATIN 08012026v'!K:K,'parc SATIN 08012026v'!AF:AF,0,0)</f>
        <v>50 Mb/s</v>
      </c>
      <c r="AY8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84" spans="1:52" s="250" customFormat="1" ht="15" customHeight="1" x14ac:dyDescent="0.3">
      <c r="A84" s="248" t="s">
        <v>2735</v>
      </c>
      <c r="B84" s="248"/>
      <c r="C84" s="249"/>
      <c r="D84" s="249">
        <v>45854</v>
      </c>
      <c r="E84" s="250" t="s">
        <v>2995</v>
      </c>
      <c r="F84" s="984" t="s">
        <v>448</v>
      </c>
      <c r="G84" s="250" t="s">
        <v>2784</v>
      </c>
      <c r="H84" s="250" t="s">
        <v>2784</v>
      </c>
      <c r="I84" s="250" t="s">
        <v>165</v>
      </c>
      <c r="J84" s="248" t="s">
        <v>2820</v>
      </c>
      <c r="K84" s="250" t="s">
        <v>2820</v>
      </c>
      <c r="L84" s="250">
        <v>500</v>
      </c>
      <c r="M84" s="250">
        <v>400</v>
      </c>
      <c r="N84" s="250">
        <v>1</v>
      </c>
      <c r="O84" s="250" t="s">
        <v>74</v>
      </c>
      <c r="P84" s="824">
        <v>0</v>
      </c>
      <c r="Q84" s="824">
        <v>0</v>
      </c>
      <c r="R84" s="824">
        <v>0</v>
      </c>
      <c r="S84" s="824">
        <v>0</v>
      </c>
      <c r="T84" s="824">
        <v>1454</v>
      </c>
      <c r="U84" s="824">
        <v>71</v>
      </c>
      <c r="V84" s="824">
        <v>32</v>
      </c>
      <c r="W84" s="824">
        <v>36</v>
      </c>
      <c r="X84" s="824">
        <v>1592.4564263010345</v>
      </c>
      <c r="Y84" s="824">
        <v>0</v>
      </c>
      <c r="Z84" s="966">
        <v>0</v>
      </c>
      <c r="AA84" s="966">
        <v>0</v>
      </c>
      <c r="AB84" s="969">
        <v>0</v>
      </c>
      <c r="AC84" s="969">
        <v>0</v>
      </c>
      <c r="AD84" s="969">
        <v>0</v>
      </c>
      <c r="AE84" s="264">
        <v>50</v>
      </c>
      <c r="AF84" s="264">
        <v>500</v>
      </c>
      <c r="AG84" s="264">
        <v>400</v>
      </c>
      <c r="AH84" s="264">
        <v>900</v>
      </c>
      <c r="AI84" s="973">
        <v>36</v>
      </c>
      <c r="AJ84" s="263">
        <v>50</v>
      </c>
      <c r="AK84" s="987">
        <v>900</v>
      </c>
      <c r="AL84" s="263">
        <f>VLOOKUP(Tableau1[[#This Row],[Code PAS]],'Facturation PAS RIN5 RUN'!C:F,4,0)</f>
        <v>32</v>
      </c>
      <c r="AM84" s="263"/>
      <c r="AN84" s="263" t="b">
        <f>ROUND(Tableau1[[#This Row],[Montant Options coûts récurrents]],0)=ROUND(Tableau1[[#This Row],[GTRS1 (Coût Plage de support 24h/24 7j/7)]],0)</f>
        <v>0</v>
      </c>
      <c r="AO84" s="265" t="e">
        <f>_xlfn.XLOOKUP(Tableau1[[#This Row],[Code PAS]],'parc SATIN 08012026v'!K:K,'parc SATIN 08012026v'!#REF!,0,0)</f>
        <v>#REF!</v>
      </c>
      <c r="AP84" s="263" t="e">
        <f>VLOOKUP(Tableau1[[#This Row],[Code PAS]],#REF!,3,0)</f>
        <v>#REF!</v>
      </c>
      <c r="AQ84" s="263" t="e">
        <f>VLOOKUP(Tableau1[[#This Row],[Code PAS]],[14]Feuil1!$B:$G,6,0)</f>
        <v>#N/A</v>
      </c>
      <c r="AR84" s="263" t="str">
        <f>_xlfn.XLOOKUP(Tableau1[[#This Row],[Code PAS]],'Facturation PAS RIN5 RUN'!C:C,'Facturation PAS RIN5 RUN'!B:B,0,0)</f>
        <v>Gold_50_50</v>
      </c>
      <c r="AS84" s="263" t="b">
        <f>Tableau1[[#This Row],[Etat facturation]]=Tableau1[[#This Row],[Index offre du fournisseur]]</f>
        <v>1</v>
      </c>
      <c r="AT84" s="250" t="str">
        <f>_xlfn.XLOOKUP(Tableau1[[#This Row],[Code PAS]],'parc SATIN 08012026v'!K:K,'parc SATIN 08012026v'!M:M,0,0)</f>
        <v>PARC</v>
      </c>
      <c r="AU84" s="250" t="str">
        <f>_xlfn.XLOOKUP(Tableau1[[#This Row],[Code PAS]],'parc SATIN 08012026v'!K:K,'parc SATIN 08012026v'!O:O,0,0)</f>
        <v>PARC</v>
      </c>
      <c r="AV84" s="251">
        <f>_xlfn.XLOOKUP(Tableau1[[#This Row],[Code PAS]],'parc SATIN 08012026v'!K:K,'parc SATIN 08012026v'!Q:Q,0,0)</f>
        <v>45854</v>
      </c>
      <c r="AW84" s="251" t="str">
        <f>_xlfn.XLOOKUP(Tableau1[[#This Row],[Code PAS]],'parc SATIN 08012026v'!K:K,'parc SATIN 08012026v'!S:S,0,0)</f>
        <v>change</v>
      </c>
      <c r="AX84" s="250" t="str">
        <f>_xlfn.XLOOKUP(Tableau1[[#This Row],[Code PAS]],'parc SATIN 08012026v'!K:K,'parc SATIN 08012026v'!AF:AF,0,0)</f>
        <v>50 Mb/s</v>
      </c>
      <c r="AY8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84" s="250" t="s">
        <v>2842</v>
      </c>
    </row>
    <row r="85" spans="1:52" s="250" customFormat="1" ht="15" customHeight="1" x14ac:dyDescent="0.3">
      <c r="A85" s="248" t="s">
        <v>2735</v>
      </c>
      <c r="B85" s="248"/>
      <c r="C85" s="249"/>
      <c r="D85" s="249"/>
      <c r="E85" s="250" t="s">
        <v>2996</v>
      </c>
      <c r="F85" s="984" t="s">
        <v>440</v>
      </c>
      <c r="G85" s="250" t="s">
        <v>2867</v>
      </c>
      <c r="H85" s="250" t="s">
        <v>2867</v>
      </c>
      <c r="I85" s="250" t="s">
        <v>78</v>
      </c>
      <c r="J85" s="248" t="str">
        <f>_xlfn.XLOOKUP(Tableau1[[#This Row],[Code PAS]],'[13]Parc Satin'!$L:$L,'[13]Parc Satin'!$CK:$CK,0,0)</f>
        <v>Nominal C2E Fibre sans Secours</v>
      </c>
      <c r="K85" s="248"/>
      <c r="L85" s="250">
        <v>20</v>
      </c>
      <c r="M85" s="250">
        <v>10</v>
      </c>
      <c r="N85" s="250">
        <v>0</v>
      </c>
      <c r="O85" s="250" t="s">
        <v>74</v>
      </c>
      <c r="P85" s="824">
        <v>0</v>
      </c>
      <c r="Q85" s="824">
        <v>0</v>
      </c>
      <c r="R85" s="824">
        <v>0</v>
      </c>
      <c r="S85" s="824">
        <v>0</v>
      </c>
      <c r="T85" s="824">
        <v>290</v>
      </c>
      <c r="U85" s="824">
        <v>35</v>
      </c>
      <c r="V85" s="824">
        <v>36</v>
      </c>
      <c r="W85" s="824">
        <v>9</v>
      </c>
      <c r="X85" s="824">
        <f>Tableau1[[#This Row],[Coût Abonnement offre]]+Tableau1[[#This Row],[Coût Abonnement Chassis]]+Tableau1[[#This Row],[Cout Cartes interface ]]+Tableau1[[#This Row],[Cout canaux voix supplémentaire]]</f>
        <v>370</v>
      </c>
      <c r="Y85" s="824">
        <v>0</v>
      </c>
      <c r="Z85" s="966">
        <v>0</v>
      </c>
      <c r="AA85" s="966">
        <v>0</v>
      </c>
      <c r="AB85" s="969">
        <v>0</v>
      </c>
      <c r="AC85" s="969">
        <v>0</v>
      </c>
      <c r="AD85" s="969">
        <v>0</v>
      </c>
      <c r="AE85" s="264">
        <v>2</v>
      </c>
      <c r="AF85" s="264">
        <v>20</v>
      </c>
      <c r="AG85" s="264">
        <v>10</v>
      </c>
      <c r="AH85" s="264">
        <v>30</v>
      </c>
      <c r="AI85" s="973">
        <v>9</v>
      </c>
      <c r="AJ85" s="263">
        <v>2</v>
      </c>
      <c r="AK85" s="987">
        <v>30</v>
      </c>
      <c r="AL85" s="263">
        <f>VLOOKUP(Tableau1[[#This Row],[Code PAS]],'Facturation PAS RIN5 RUN'!C:F,4,0)</f>
        <v>36</v>
      </c>
      <c r="AM85" s="263"/>
      <c r="AN85" s="263" t="b">
        <f>ROUND(Tableau1[[#This Row],[Montant Options coûts récurrents]],0)=ROUND(Tableau1[[#This Row],[GTRS1 (Coût Plage de support 24h/24 7j/7)]],0)</f>
        <v>0</v>
      </c>
      <c r="AO85" s="265" t="e">
        <f>_xlfn.XLOOKUP(Tableau1[[#This Row],[Code PAS]],'parc SATIN 08012026v'!K:K,'parc SATIN 08012026v'!#REF!,0,0)</f>
        <v>#REF!</v>
      </c>
      <c r="AP85" s="263" t="e">
        <f>VLOOKUP(Tableau1[[#This Row],[Code PAS]],#REF!,3,0)</f>
        <v>#REF!</v>
      </c>
      <c r="AQ85" s="263" t="e">
        <f>VLOOKUP(Tableau1[[#This Row],[Code PAS]],[14]Feuil1!$B:$G,6,0)</f>
        <v>#N/A</v>
      </c>
      <c r="AR85" s="263" t="str">
        <f>_xlfn.XLOOKUP(Tableau1[[#This Row],[Code PAS]],'Facturation PAS RIN5 RUN'!C:C,'Facturation PAS RIN5 RUN'!B:B,0,0)</f>
        <v>Bronze_2_0</v>
      </c>
      <c r="AS85" s="263" t="b">
        <f>Tableau1[[#This Row],[Etat facturation]]=Tableau1[[#This Row],[Index offre du fournisseur]]</f>
        <v>1</v>
      </c>
      <c r="AT85" s="250" t="str">
        <f>_xlfn.XLOOKUP(Tableau1[[#This Row],[Code PAS]],'parc SATIN 08012026v'!K:K,'parc SATIN 08012026v'!M:M,0,0)</f>
        <v>PARC</v>
      </c>
      <c r="AU85" s="250" t="str">
        <f>_xlfn.XLOOKUP(Tableau1[[#This Row],[Code PAS]],'parc SATIN 08012026v'!K:K,'parc SATIN 08012026v'!O:O,0,0)</f>
        <v>PARC</v>
      </c>
      <c r="AV85" s="251">
        <f>_xlfn.XLOOKUP(Tableau1[[#This Row],[Code PAS]],'parc SATIN 08012026v'!K:K,'parc SATIN 08012026v'!Q:Q,0,0)</f>
        <v>45756</v>
      </c>
      <c r="AW85" s="251" t="str">
        <f>_xlfn.XLOOKUP(Tableau1[[#This Row],[Code PAS]],'parc SATIN 08012026v'!K:K,'parc SATIN 08012026v'!S:S,0,0)</f>
        <v>change</v>
      </c>
      <c r="AX85" s="250" t="str">
        <f>_xlfn.XLOOKUP(Tableau1[[#This Row],[Code PAS]],'parc SATIN 08012026v'!K:K,'parc SATIN 08012026v'!AF:AF,0,0)</f>
        <v>2 Mb/s</v>
      </c>
      <c r="AY8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</row>
    <row r="86" spans="1:52" s="250" customFormat="1" ht="15" customHeight="1" x14ac:dyDescent="0.3">
      <c r="A86" s="248" t="s">
        <v>2735</v>
      </c>
      <c r="B86" s="248"/>
      <c r="C86" s="249"/>
      <c r="D86" s="249"/>
      <c r="E86" s="248" t="s">
        <v>2997</v>
      </c>
      <c r="F86" s="981" t="s">
        <v>431</v>
      </c>
      <c r="G86" s="250" t="s">
        <v>2800</v>
      </c>
      <c r="H86" s="990" t="s">
        <v>2765</v>
      </c>
      <c r="I86" s="248"/>
      <c r="J86" s="248" t="str">
        <f>_xlfn.XLOOKUP(Tableau1[[#This Row],[Code PAS]],'[13]Parc Satin'!$L:$L,'[13]Parc Satin'!$CK:$CK,0,0)</f>
        <v>Nominal InterLan 1.0 Secours C2E Fibre</v>
      </c>
      <c r="K86" s="248"/>
      <c r="L86" s="248"/>
      <c r="M86" s="248"/>
      <c r="N86" s="248"/>
      <c r="O86" s="248"/>
      <c r="P86" s="822">
        <v>0</v>
      </c>
      <c r="Q86" s="822">
        <v>0</v>
      </c>
      <c r="R86" s="822">
        <v>0</v>
      </c>
      <c r="S86" s="822">
        <v>0</v>
      </c>
      <c r="T86" s="823">
        <v>1249</v>
      </c>
      <c r="U86" s="823">
        <v>71</v>
      </c>
      <c r="V86" s="823">
        <v>16</v>
      </c>
      <c r="W86" s="823">
        <v>14</v>
      </c>
      <c r="X86" s="823">
        <f>Tableau1[[#This Row],[Coût Abonnement offre]]+Tableau1[[#This Row],[Coût Abonnement Chassis]]+Tableau1[[#This Row],[Cout Cartes interface ]]+Tableau1[[#This Row],[Cout canaux voix supplémentaire]]</f>
        <v>1350</v>
      </c>
      <c r="Y86" s="823">
        <v>0</v>
      </c>
      <c r="Z86" s="966">
        <v>0</v>
      </c>
      <c r="AA86" s="966">
        <v>0</v>
      </c>
      <c r="AB86" s="969">
        <v>0</v>
      </c>
      <c r="AC86" s="969">
        <v>0</v>
      </c>
      <c r="AD86" s="969">
        <v>0</v>
      </c>
      <c r="AE86" s="264">
        <v>30</v>
      </c>
      <c r="AF86" s="264">
        <v>400</v>
      </c>
      <c r="AG86" s="264">
        <v>150</v>
      </c>
      <c r="AH86" s="264">
        <v>550</v>
      </c>
      <c r="AI86" s="973">
        <v>14</v>
      </c>
      <c r="AJ86" s="263">
        <v>30</v>
      </c>
      <c r="AK86" s="987">
        <v>550</v>
      </c>
      <c r="AL86" s="263">
        <f>VLOOKUP(Tableau1[[#This Row],[Code PAS]],'Facturation PAS RIN5 RUN'!C:F,4,0)</f>
        <v>16</v>
      </c>
      <c r="AM86" s="263"/>
      <c r="AN86" s="263" t="b">
        <f>ROUND(Tableau1[[#This Row],[Montant Options coûts récurrents]],0)=ROUND(Tableau1[[#This Row],[GTRS1 (Coût Plage de support 24h/24 7j/7)]],0)</f>
        <v>0</v>
      </c>
      <c r="AO86" s="265" t="e">
        <f>_xlfn.XLOOKUP(Tableau1[[#This Row],[Code PAS]],'parc SATIN 08012026v'!K:K,'parc SATIN 08012026v'!#REF!,0,0)</f>
        <v>#REF!</v>
      </c>
      <c r="AP86" s="263" t="e">
        <f>VLOOKUP(Tableau1[[#This Row],[Code PAS]],#REF!,3,0)</f>
        <v>#REF!</v>
      </c>
      <c r="AQ86" s="263" t="e">
        <f>VLOOKUP(Tableau1[[#This Row],[Code PAS]],[14]Feuil1!$B:$G,6,0)</f>
        <v>#N/A</v>
      </c>
      <c r="AR86" s="263" t="str">
        <f>_xlfn.XLOOKUP(Tableau1[[#This Row],[Code PAS]],'Facturation PAS RIN5 RUN'!C:C,'Facturation PAS RIN5 RUN'!B:B,0,0)</f>
        <v>Gold_30_30</v>
      </c>
      <c r="AS86" s="263" t="b">
        <f>Tableau1[[#This Row],[Etat facturation]]=Tableau1[[#This Row],[Index offre du fournisseur]]</f>
        <v>1</v>
      </c>
      <c r="AT86" s="250" t="str">
        <f>_xlfn.XLOOKUP(Tableau1[[#This Row],[Code PAS]],'parc SATIN 08012026v'!K:K,'parc SATIN 08012026v'!M:M,0,0)</f>
        <v>PARC</v>
      </c>
      <c r="AU86" s="250" t="str">
        <f>_xlfn.XLOOKUP(Tableau1[[#This Row],[Code PAS]],'parc SATIN 08012026v'!K:K,'parc SATIN 08012026v'!O:O,0,0)</f>
        <v>PARC</v>
      </c>
      <c r="AV86" s="251">
        <f>_xlfn.XLOOKUP(Tableau1[[#This Row],[Code PAS]],'parc SATIN 08012026v'!K:K,'parc SATIN 08012026v'!Q:Q,0,0)</f>
        <v>44260</v>
      </c>
      <c r="AW86" s="251" t="str">
        <f>_xlfn.XLOOKUP(Tableau1[[#This Row],[Code PAS]],'parc SATIN 08012026v'!K:K,'parc SATIN 08012026v'!S:S,0,0)</f>
        <v>change</v>
      </c>
      <c r="AX86" s="250" t="str">
        <f>_xlfn.XLOOKUP(Tableau1[[#This Row],[Code PAS]],'parc SATIN 08012026v'!K:K,'parc SATIN 08012026v'!AF:AF,0,0)</f>
        <v>30 Mb/s</v>
      </c>
      <c r="AY8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87" spans="1:52" s="250" customFormat="1" ht="15" customHeight="1" x14ac:dyDescent="0.3">
      <c r="A87" s="250" t="s">
        <v>2743</v>
      </c>
      <c r="B87" s="249">
        <v>45803</v>
      </c>
      <c r="C87" s="249">
        <v>45803</v>
      </c>
      <c r="D87" s="249"/>
      <c r="E87" s="250" t="s">
        <v>2998</v>
      </c>
      <c r="F87" s="984" t="s">
        <v>1152</v>
      </c>
      <c r="G87" s="250" t="s">
        <v>2926</v>
      </c>
      <c r="H87" s="250" t="s">
        <v>2763</v>
      </c>
      <c r="I87" s="250" t="s">
        <v>78</v>
      </c>
      <c r="J87" s="248" t="str">
        <f>_xlfn.XLOOKUP(Tableau1[[#This Row],[Code PAS]],'[13]Parc Satin'!$L:$L,'[13]Parc Satin'!$CK:$CK,0,0)</f>
        <v>Nominal InterLan 1.0 Secours InterLan 1.0</v>
      </c>
      <c r="K87" s="248" t="s">
        <v>2829</v>
      </c>
      <c r="L87" s="250">
        <v>700</v>
      </c>
      <c r="M87" s="250">
        <v>1900</v>
      </c>
      <c r="N87" s="250">
        <v>1</v>
      </c>
      <c r="O87" s="250" t="s">
        <v>74</v>
      </c>
      <c r="P87" s="824">
        <v>0</v>
      </c>
      <c r="Q87" s="824">
        <v>0</v>
      </c>
      <c r="R87" s="824">
        <v>0</v>
      </c>
      <c r="S87" s="824">
        <v>0</v>
      </c>
      <c r="T87" s="824">
        <v>1665</v>
      </c>
      <c r="U87" s="824">
        <v>84</v>
      </c>
      <c r="V87" s="824">
        <v>0</v>
      </c>
      <c r="W87" s="824">
        <v>171</v>
      </c>
      <c r="X87" s="824">
        <f>Tableau1[[#This Row],[Coût Abonnement offre]]+Tableau1[[#This Row],[Coût Abonnement Chassis]]+Tableau1[[#This Row],[Cout Cartes interface ]]+Tableau1[[#This Row],[Cout canaux voix supplémentaire]]</f>
        <v>1920</v>
      </c>
      <c r="Y87" s="824">
        <v>0</v>
      </c>
      <c r="Z87" s="966">
        <v>0</v>
      </c>
      <c r="AA87" s="966">
        <v>0</v>
      </c>
      <c r="AB87" s="969">
        <v>0</v>
      </c>
      <c r="AC87" s="969">
        <v>0</v>
      </c>
      <c r="AD87" s="969">
        <v>0</v>
      </c>
      <c r="AE87" s="264">
        <v>160</v>
      </c>
      <c r="AF87" s="264">
        <v>0</v>
      </c>
      <c r="AG87" s="264">
        <v>0</v>
      </c>
      <c r="AH87" s="264">
        <v>0</v>
      </c>
      <c r="AI87" s="973">
        <v>0</v>
      </c>
      <c r="AJ87" s="263">
        <v>160</v>
      </c>
      <c r="AK87" s="987">
        <v>1800</v>
      </c>
      <c r="AL87" s="263">
        <f>VLOOKUP(Tableau1[[#This Row],[Code PAS]],'Facturation PAS RIN5 RUN'!C:F,4,0)</f>
        <v>0</v>
      </c>
      <c r="AM87" s="263"/>
      <c r="AN87" s="263" t="b">
        <f>ROUND(Tableau1[[#This Row],[Montant Options coûts récurrents]],0)=ROUND(Tableau1[[#This Row],[GTRS1 (Coût Plage de support 24h/24 7j/7)]],0)</f>
        <v>1</v>
      </c>
      <c r="AO87" s="265" t="e">
        <f>_xlfn.XLOOKUP(Tableau1[[#This Row],[Code PAS]],'parc SATIN 08012026v'!K:K,'parc SATIN 08012026v'!#REF!,0,0)</f>
        <v>#REF!</v>
      </c>
      <c r="AP87" s="263" t="e">
        <f>VLOOKUP(Tableau1[[#This Row],[Code PAS]],#REF!,3,0)</f>
        <v>#REF!</v>
      </c>
      <c r="AQ87" s="263" t="e">
        <f>VLOOKUP(Tableau1[[#This Row],[Code PAS]],[14]Feuil1!$B:$G,6,0)</f>
        <v>#N/A</v>
      </c>
      <c r="AR87" s="263" t="str">
        <f>_xlfn.XLOOKUP(Tableau1[[#This Row],[Code PAS]],'Facturation PAS RIN5 RUN'!C:C,'Facturation PAS RIN5 RUN'!B:B,0,0)</f>
        <v>Gold_160_160</v>
      </c>
      <c r="AS87" s="263" t="b">
        <f>Tableau1[[#This Row],[Etat facturation]]=Tableau1[[#This Row],[Index offre du fournisseur]]</f>
        <v>1</v>
      </c>
      <c r="AT87" s="250" t="str">
        <f>_xlfn.XLOOKUP(Tableau1[[#This Row],[Code PAS]],'parc SATIN 08012026v'!K:K,'parc SATIN 08012026v'!M:M,0,0)</f>
        <v>PARC</v>
      </c>
      <c r="AU87" s="250" t="str">
        <f>_xlfn.XLOOKUP(Tableau1[[#This Row],[Code PAS]],'parc SATIN 08012026v'!K:K,'parc SATIN 08012026v'!O:O,0,0)</f>
        <v>PARC</v>
      </c>
      <c r="AV87" s="251">
        <f>_xlfn.XLOOKUP(Tableau1[[#This Row],[Code PAS]],'parc SATIN 08012026v'!K:K,'parc SATIN 08012026v'!Q:Q,0,0)</f>
        <v>45803</v>
      </c>
      <c r="AW87" s="251" t="str">
        <f>_xlfn.XLOOKUP(Tableau1[[#This Row],[Code PAS]],'parc SATIN 08012026v'!K:K,'parc SATIN 08012026v'!S:S,0,0)</f>
        <v>change</v>
      </c>
      <c r="AX87" s="250" t="str">
        <f>_xlfn.XLOOKUP(Tableau1[[#This Row],[Code PAS]],'parc SATIN 08012026v'!K:K,'parc SATIN 08012026v'!AF:AF,0,0)</f>
        <v>160 Mb/s</v>
      </c>
      <c r="AY8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160</v>
      </c>
    </row>
    <row r="88" spans="1:52" s="250" customFormat="1" ht="15" customHeight="1" x14ac:dyDescent="0.3">
      <c r="A88" s="248"/>
      <c r="B88" s="249">
        <v>45910</v>
      </c>
      <c r="C88" s="249"/>
      <c r="D88" s="249"/>
      <c r="E88" s="250" t="s">
        <v>2999</v>
      </c>
      <c r="F88" s="984" t="s">
        <v>1851</v>
      </c>
      <c r="G88" s="250" t="s">
        <v>2745</v>
      </c>
      <c r="H88" s="250" t="s">
        <v>2745</v>
      </c>
      <c r="I88" s="250" t="s">
        <v>78</v>
      </c>
      <c r="J88" s="248" t="str">
        <f>_xlfn.XLOOKUP(Tableau1[[#This Row],[Code PAS]],'[13]Parc Satin'!$L:$L,'[13]Parc Satin'!$CK:$CK,0,0)</f>
        <v>Nominal InterLan 1.0 Secours InterLan 1.0</v>
      </c>
      <c r="K88" s="250" t="s">
        <v>2829</v>
      </c>
      <c r="L88" s="250">
        <v>600</v>
      </c>
      <c r="M88" s="250">
        <v>1200</v>
      </c>
      <c r="N88" s="250">
        <v>1</v>
      </c>
      <c r="O88" s="250" t="s">
        <v>74</v>
      </c>
      <c r="P88" s="824">
        <v>0</v>
      </c>
      <c r="Q88" s="824">
        <v>652</v>
      </c>
      <c r="R88" s="824">
        <v>0</v>
      </c>
      <c r="S88" s="824">
        <v>652</v>
      </c>
      <c r="T88" s="824">
        <v>1628</v>
      </c>
      <c r="U88" s="824">
        <v>84</v>
      </c>
      <c r="V88" s="824">
        <v>0</v>
      </c>
      <c r="W88" s="824">
        <v>108</v>
      </c>
      <c r="X88" s="824">
        <f>Tableau1[[#This Row],[Coût Abonnement offre]]+Tableau1[[#This Row],[Coût Abonnement Chassis]]+Tableau1[[#This Row],[Cout Cartes interface ]]+Tableau1[[#This Row],[Cout canaux voix supplémentaire]]</f>
        <v>1820</v>
      </c>
      <c r="Y88" s="824">
        <v>0</v>
      </c>
      <c r="Z88" s="966">
        <v>0</v>
      </c>
      <c r="AA88" s="966">
        <v>0</v>
      </c>
      <c r="AB88" s="969">
        <v>0</v>
      </c>
      <c r="AC88" s="969">
        <v>0</v>
      </c>
      <c r="AD88" s="969">
        <v>0</v>
      </c>
      <c r="AE88" s="264">
        <v>100</v>
      </c>
      <c r="AF88" s="264">
        <v>600</v>
      </c>
      <c r="AG88" s="264">
        <v>1200</v>
      </c>
      <c r="AH88" s="264">
        <v>1800</v>
      </c>
      <c r="AI88" s="973">
        <v>108</v>
      </c>
      <c r="AJ88" s="263">
        <v>100</v>
      </c>
      <c r="AK88" s="987">
        <v>1800</v>
      </c>
      <c r="AL88" s="263">
        <f>VLOOKUP(Tableau1[[#This Row],[Code PAS]],'Facturation PAS RIN5 RUN'!C:F,4,0)</f>
        <v>0</v>
      </c>
      <c r="AM88" s="263"/>
      <c r="AN88" s="263" t="b">
        <f>ROUND(Tableau1[[#This Row],[Montant Options coûts récurrents]],0)=ROUND(Tableau1[[#This Row],[GTRS1 (Coût Plage de support 24h/24 7j/7)]],0)</f>
        <v>1</v>
      </c>
      <c r="AO88" s="265" t="e">
        <f>_xlfn.XLOOKUP(Tableau1[[#This Row],[Code PAS]],'parc SATIN 08012026v'!K:K,'parc SATIN 08012026v'!#REF!,0,0)</f>
        <v>#REF!</v>
      </c>
      <c r="AP88" s="263" t="e">
        <f>VLOOKUP(Tableau1[[#This Row],[Code PAS]],#REF!,3,0)</f>
        <v>#REF!</v>
      </c>
      <c r="AQ88" s="263" t="e">
        <f>VLOOKUP(Tableau1[[#This Row],[Code PAS]],[14]Feuil1!$B:$G,6,0)</f>
        <v>#N/A</v>
      </c>
      <c r="AR88" s="263" t="str">
        <f>_xlfn.XLOOKUP(Tableau1[[#This Row],[Code PAS]],'Facturation PAS RIN5 RUN'!C:C,'Facturation PAS RIN5 RUN'!B:B,0,0)</f>
        <v>Gold_100_100</v>
      </c>
      <c r="AS88" s="263" t="b">
        <f>Tableau1[[#This Row],[Etat facturation]]=Tableau1[[#This Row],[Index offre du fournisseur]]</f>
        <v>1</v>
      </c>
      <c r="AT88" s="250" t="str">
        <f>_xlfn.XLOOKUP(Tableau1[[#This Row],[Code PAS]],'parc SATIN 08012026v'!K:K,'parc SATIN 08012026v'!M:M,0,0)</f>
        <v>PARC</v>
      </c>
      <c r="AU88" s="250" t="str">
        <f>_xlfn.XLOOKUP(Tableau1[[#This Row],[Code PAS]],'parc SATIN 08012026v'!K:K,'parc SATIN 08012026v'!O:O,0,0)</f>
        <v>PARC</v>
      </c>
      <c r="AV88" s="251">
        <f>_xlfn.XLOOKUP(Tableau1[[#This Row],[Code PAS]],'parc SATIN 08012026v'!K:K,'parc SATIN 08012026v'!Q:Q,0,0)</f>
        <v>45910</v>
      </c>
      <c r="AW88" s="251" t="str">
        <f>_xlfn.XLOOKUP(Tableau1[[#This Row],[Code PAS]],'parc SATIN 08012026v'!K:K,'parc SATIN 08012026v'!S:S,0,0)</f>
        <v>création</v>
      </c>
      <c r="AX88" s="250" t="str">
        <f>_xlfn.XLOOKUP(Tableau1[[#This Row],[Code PAS]],'parc SATIN 08012026v'!K:K,'parc SATIN 08012026v'!AF:AF,0,0)</f>
        <v>100 Mb/s</v>
      </c>
      <c r="AY8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89" spans="1:52" s="250" customFormat="1" ht="15" customHeight="1" x14ac:dyDescent="0.3">
      <c r="A89" s="248"/>
      <c r="B89" s="249">
        <v>45555</v>
      </c>
      <c r="C89" s="249"/>
      <c r="D89" s="249"/>
      <c r="E89" s="250" t="s">
        <v>3000</v>
      </c>
      <c r="F89" s="984" t="s">
        <v>1805</v>
      </c>
      <c r="G89" s="250" t="s">
        <v>2745</v>
      </c>
      <c r="H89" s="250" t="s">
        <v>2745</v>
      </c>
      <c r="I89" s="250" t="s">
        <v>78</v>
      </c>
      <c r="J89" s="248" t="s">
        <v>2860</v>
      </c>
      <c r="K89" s="250" t="s">
        <v>2860</v>
      </c>
      <c r="L89" s="250">
        <v>600</v>
      </c>
      <c r="M89" s="250">
        <v>1200</v>
      </c>
      <c r="N89" s="250">
        <v>1</v>
      </c>
      <c r="O89" s="250" t="s">
        <v>74</v>
      </c>
      <c r="P89" s="824"/>
      <c r="Q89" s="824">
        <v>651.99999999999989</v>
      </c>
      <c r="R89" s="824"/>
      <c r="S89" s="824">
        <v>651.99999999999989</v>
      </c>
      <c r="T89" s="824">
        <v>1627.8564263010346</v>
      </c>
      <c r="U89" s="824">
        <v>84</v>
      </c>
      <c r="V89" s="824">
        <v>0</v>
      </c>
      <c r="W89" s="824">
        <v>108</v>
      </c>
      <c r="X89" s="824">
        <v>1819.8564263010346</v>
      </c>
      <c r="Y89" s="824"/>
      <c r="Z89" s="966">
        <v>0</v>
      </c>
      <c r="AA89" s="966">
        <v>0</v>
      </c>
      <c r="AB89" s="969">
        <v>0</v>
      </c>
      <c r="AC89" s="969">
        <v>0</v>
      </c>
      <c r="AD89" s="969">
        <v>0</v>
      </c>
      <c r="AE89" s="264">
        <v>100</v>
      </c>
      <c r="AF89" s="264">
        <v>600</v>
      </c>
      <c r="AG89" s="264">
        <v>1200</v>
      </c>
      <c r="AH89" s="264">
        <v>1800</v>
      </c>
      <c r="AI89" s="973">
        <v>108</v>
      </c>
      <c r="AJ89" s="263">
        <v>100</v>
      </c>
      <c r="AK89" s="987">
        <v>1800</v>
      </c>
      <c r="AL89" s="263">
        <f>VLOOKUP(Tableau1[[#This Row],[Code PAS]],'Facturation PAS RIN5 RUN'!C:F,4,0)</f>
        <v>0</v>
      </c>
      <c r="AM89" s="263"/>
      <c r="AN89" s="263" t="b">
        <f>ROUND(Tableau1[[#This Row],[Montant Options coûts récurrents]],0)=ROUND(Tableau1[[#This Row],[GTRS1 (Coût Plage de support 24h/24 7j/7)]],0)</f>
        <v>1</v>
      </c>
      <c r="AO89" s="265" t="e">
        <f>_xlfn.XLOOKUP(Tableau1[[#This Row],[Code PAS]],'parc SATIN 08012026v'!K:K,'parc SATIN 08012026v'!#REF!,0,0)</f>
        <v>#REF!</v>
      </c>
      <c r="AP89" s="263" t="e">
        <f>VLOOKUP(Tableau1[[#This Row],[Code PAS]],#REF!,3,0)</f>
        <v>#REF!</v>
      </c>
      <c r="AQ89" s="263" t="str">
        <f>VLOOKUP(Tableau1[[#This Row],[Code PAS]],[14]Feuil1!$B:$G,6,0)</f>
        <v>Lundi au Samedi 8h-18h</v>
      </c>
      <c r="AR89" s="263" t="str">
        <f>_xlfn.XLOOKUP(Tableau1[[#This Row],[Code PAS]],'Facturation PAS RIN5 RUN'!C:C,'Facturation PAS RIN5 RUN'!B:B,0,0)</f>
        <v>Platinum_Man_100_0</v>
      </c>
      <c r="AS89" s="263" t="b">
        <f>Tableau1[[#This Row],[Etat facturation]]=Tableau1[[#This Row],[Index offre du fournisseur]]</f>
        <v>0</v>
      </c>
      <c r="AT89" s="250" t="str">
        <f>_xlfn.XLOOKUP(Tableau1[[#This Row],[Code PAS]],'parc SATIN 08012026v'!K:K,'parc SATIN 08012026v'!M:M,0,0)</f>
        <v>PARC</v>
      </c>
      <c r="AU89" s="250" t="str">
        <f>_xlfn.XLOOKUP(Tableau1[[#This Row],[Code PAS]],'parc SATIN 08012026v'!K:K,'parc SATIN 08012026v'!O:O,0,0)</f>
        <v>PARC</v>
      </c>
      <c r="AV89" s="251">
        <f>_xlfn.XLOOKUP(Tableau1[[#This Row],[Code PAS]],'parc SATIN 08012026v'!K:K,'parc SATIN 08012026v'!Q:Q,0,0)</f>
        <v>45555</v>
      </c>
      <c r="AW89" s="251" t="str">
        <f>_xlfn.XLOOKUP(Tableau1[[#This Row],[Code PAS]],'parc SATIN 08012026v'!K:K,'parc SATIN 08012026v'!S:S,0,0)</f>
        <v>création</v>
      </c>
      <c r="AX89" s="250" t="str">
        <f>_xlfn.XLOOKUP(Tableau1[[#This Row],[Code PAS]],'parc SATIN 08012026v'!K:K,'parc SATIN 08012026v'!AF:AF,0,0)</f>
        <v>100 Mb/s</v>
      </c>
      <c r="AY8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90" spans="1:52" s="250" customFormat="1" ht="15" customHeight="1" x14ac:dyDescent="0.3">
      <c r="A90" s="248"/>
      <c r="B90" s="249">
        <v>45446</v>
      </c>
      <c r="C90" s="249"/>
      <c r="D90" s="249"/>
      <c r="E90" s="250" t="s">
        <v>3001</v>
      </c>
      <c r="F90" s="984" t="s">
        <v>1790</v>
      </c>
      <c r="G90" s="250" t="s">
        <v>3002</v>
      </c>
      <c r="H90" s="257" t="s">
        <v>3002</v>
      </c>
      <c r="I90" s="250" t="s">
        <v>3003</v>
      </c>
      <c r="J90" s="248" t="str">
        <f>_xlfn.XLOOKUP(Tableau1[[#This Row],[Code PAS]],'[13]Parc Satin'!$L:$L,'[13]Parc Satin'!$CK:$CK,0,0)</f>
        <v>Nominal InterLan 1.0 Secours InterLan 1.0</v>
      </c>
      <c r="K90" s="250" t="s">
        <v>2850</v>
      </c>
      <c r="L90" s="250">
        <v>1200</v>
      </c>
      <c r="M90" s="250">
        <v>18800</v>
      </c>
      <c r="N90" s="250">
        <v>1</v>
      </c>
      <c r="O90" s="250" t="s">
        <v>74</v>
      </c>
      <c r="P90" s="824">
        <v>8154</v>
      </c>
      <c r="Q90" s="824">
        <v>702</v>
      </c>
      <c r="R90" s="824">
        <v>0</v>
      </c>
      <c r="S90" s="824">
        <v>8856</v>
      </c>
      <c r="T90" s="824">
        <v>3671</v>
      </c>
      <c r="U90" s="824">
        <v>936</v>
      </c>
      <c r="V90" s="824">
        <v>124</v>
      </c>
      <c r="W90" s="824">
        <v>1692</v>
      </c>
      <c r="X90" s="824">
        <f>Tableau1[[#This Row],[Coût Abonnement offre]]+Tableau1[[#This Row],[Coût Abonnement Chassis]]+Tableau1[[#This Row],[Cout Cartes interface ]]+Tableau1[[#This Row],[Cout canaux voix supplémentaire]]</f>
        <v>6423</v>
      </c>
      <c r="Y90" s="824">
        <v>0</v>
      </c>
      <c r="Z90" s="966">
        <v>0</v>
      </c>
      <c r="AA90" s="966">
        <v>0</v>
      </c>
      <c r="AB90" s="969">
        <v>0</v>
      </c>
      <c r="AC90" s="969">
        <v>0</v>
      </c>
      <c r="AD90" s="969">
        <v>0</v>
      </c>
      <c r="AE90" s="264">
        <v>1000</v>
      </c>
      <c r="AF90" s="264">
        <v>1200</v>
      </c>
      <c r="AG90" s="264">
        <v>18800</v>
      </c>
      <c r="AH90" s="264">
        <v>20000</v>
      </c>
      <c r="AI90" s="973">
        <v>1692</v>
      </c>
      <c r="AJ90" s="263">
        <v>1000</v>
      </c>
      <c r="AK90" s="987">
        <v>2000</v>
      </c>
      <c r="AL90" s="263">
        <f>VLOOKUP(Tableau1[[#This Row],[Code PAS]],'Facturation PAS RIN5 RUN'!C:F,4,0)</f>
        <v>124</v>
      </c>
      <c r="AM90" s="263"/>
      <c r="AN90" s="263" t="b">
        <f>ROUND(Tableau1[[#This Row],[Montant Options coûts récurrents]],0)=ROUND(Tableau1[[#This Row],[GTRS1 (Coût Plage de support 24h/24 7j/7)]],0)</f>
        <v>0</v>
      </c>
      <c r="AO90" s="265" t="e">
        <f>_xlfn.XLOOKUP(Tableau1[[#This Row],[Code PAS]],'parc SATIN 08012026v'!K:K,'parc SATIN 08012026v'!#REF!,0,0)</f>
        <v>#REF!</v>
      </c>
      <c r="AP90" s="263" t="e">
        <f>VLOOKUP(Tableau1[[#This Row],[Code PAS]],#REF!,3,0)</f>
        <v>#REF!</v>
      </c>
      <c r="AQ90" s="263" t="str">
        <f>VLOOKUP(Tableau1[[#This Row],[Code PAS]],[14]Feuil1!$B:$G,6,0)</f>
        <v>Lundi au Samedi 8h-18h</v>
      </c>
      <c r="AR90" s="263" t="str">
        <f>_xlfn.XLOOKUP(Tableau1[[#This Row],[Code PAS]],'Facturation PAS RIN5 RUN'!C:C,'Facturation PAS RIN5 RUN'!B:B,0,0)</f>
        <v>Platinum_1000_1000</v>
      </c>
      <c r="AS90" s="263" t="b">
        <f>Tableau1[[#This Row],[Etat facturation]]=Tableau1[[#This Row],[Index offre du fournisseur]]</f>
        <v>1</v>
      </c>
      <c r="AT90" s="250" t="str">
        <f>_xlfn.XLOOKUP(Tableau1[[#This Row],[Code PAS]],'parc SATIN 08012026v'!K:K,'parc SATIN 08012026v'!M:M,0,0)</f>
        <v>PARC</v>
      </c>
      <c r="AU90" s="250" t="str">
        <f>_xlfn.XLOOKUP(Tableau1[[#This Row],[Code PAS]],'parc SATIN 08012026v'!K:K,'parc SATIN 08012026v'!O:O,0,0)</f>
        <v>PARC</v>
      </c>
      <c r="AV90" s="251">
        <f>_xlfn.XLOOKUP(Tableau1[[#This Row],[Code PAS]],'parc SATIN 08012026v'!K:K,'parc SATIN 08012026v'!Q:Q,0,0)</f>
        <v>45583</v>
      </c>
      <c r="AW90" s="251" t="str">
        <f>_xlfn.XLOOKUP(Tableau1[[#This Row],[Code PAS]],'parc SATIN 08012026v'!K:K,'parc SATIN 08012026v'!S:S,0,0)</f>
        <v>création</v>
      </c>
      <c r="AX90" s="250" t="str">
        <f>_xlfn.XLOOKUP(Tableau1[[#This Row],[Code PAS]],'parc SATIN 08012026v'!K:K,'parc SATIN 08012026v'!AF:AF,0,0)</f>
        <v>1 Gbits/s</v>
      </c>
      <c r="AY9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1000</v>
      </c>
    </row>
    <row r="91" spans="1:52" s="250" customFormat="1" ht="15" customHeight="1" x14ac:dyDescent="0.3">
      <c r="A91" s="248" t="s">
        <v>2739</v>
      </c>
      <c r="B91" s="248"/>
      <c r="C91" s="249"/>
      <c r="D91" s="249"/>
      <c r="E91" s="250" t="s">
        <v>3004</v>
      </c>
      <c r="F91" s="984" t="s">
        <v>1723</v>
      </c>
      <c r="G91" s="250" t="s">
        <v>3005</v>
      </c>
      <c r="H91" s="250" t="s">
        <v>3005</v>
      </c>
      <c r="I91" s="250" t="s">
        <v>78</v>
      </c>
      <c r="J91" s="248" t="str">
        <f>_xlfn.XLOOKUP(Tableau1[[#This Row],[Code PAS]],'[13]Parc Satin'!$L:$L,'[13]Parc Satin'!$CK:$CK,0,0)</f>
        <v>Nominal InterLan 1.0 Secours InterLan 1.0</v>
      </c>
      <c r="K91" s="248" t="s">
        <v>2829</v>
      </c>
      <c r="L91" s="250">
        <v>1200</v>
      </c>
      <c r="M91" s="250">
        <v>8800</v>
      </c>
      <c r="N91" s="250">
        <v>1</v>
      </c>
      <c r="O91" s="250" t="s">
        <v>76</v>
      </c>
      <c r="P91" s="824">
        <v>0</v>
      </c>
      <c r="Q91" s="824">
        <v>246</v>
      </c>
      <c r="R91" s="824">
        <v>0</v>
      </c>
      <c r="S91" s="824">
        <v>246</v>
      </c>
      <c r="T91" s="824">
        <v>2484</v>
      </c>
      <c r="U91" s="824">
        <v>142</v>
      </c>
      <c r="V91" s="824">
        <v>16</v>
      </c>
      <c r="W91" s="824">
        <v>792</v>
      </c>
      <c r="X91" s="824">
        <f>Tableau1[[#This Row],[Coût Abonnement offre]]+Tableau1[[#This Row],[Coût Abonnement Chassis]]+Tableau1[[#This Row],[Cout Cartes interface ]]+Tableau1[[#This Row],[Cout canaux voix supplémentaire]]</f>
        <v>3434</v>
      </c>
      <c r="Y91" s="824">
        <v>66</v>
      </c>
      <c r="Z91" s="966">
        <v>0</v>
      </c>
      <c r="AA91" s="966">
        <v>0</v>
      </c>
      <c r="AB91" s="969">
        <v>0</v>
      </c>
      <c r="AC91" s="969">
        <v>0</v>
      </c>
      <c r="AD91" s="969">
        <v>0</v>
      </c>
      <c r="AE91" s="264">
        <v>700</v>
      </c>
      <c r="AF91" s="264">
        <v>1200</v>
      </c>
      <c r="AG91" s="264">
        <v>8800</v>
      </c>
      <c r="AH91" s="264">
        <v>10000</v>
      </c>
      <c r="AI91" s="973">
        <v>792</v>
      </c>
      <c r="AJ91" s="263">
        <v>700</v>
      </c>
      <c r="AK91" s="987">
        <v>15000</v>
      </c>
      <c r="AL91" s="263">
        <f>VLOOKUP(Tableau1[[#This Row],[Code PAS]],'Facturation PAS RIN5 RUN'!C:F,4,0)</f>
        <v>16</v>
      </c>
      <c r="AM91" s="263"/>
      <c r="AN91" s="263" t="b">
        <f>ROUND(Tableau1[[#This Row],[Montant Options coûts récurrents]],0)=ROUND(Tableau1[[#This Row],[GTRS1 (Coût Plage de support 24h/24 7j/7)]],0)</f>
        <v>0</v>
      </c>
      <c r="AO91" s="265" t="e">
        <f>_xlfn.XLOOKUP(Tableau1[[#This Row],[Code PAS]],'parc SATIN 08012026v'!K:K,'parc SATIN 08012026v'!#REF!,0,0)</f>
        <v>#REF!</v>
      </c>
      <c r="AP91" s="263" t="e">
        <f>VLOOKUP(Tableau1[[#This Row],[Code PAS]],#REF!,3,0)</f>
        <v>#REF!</v>
      </c>
      <c r="AQ91" s="263" t="e">
        <f>VLOOKUP(Tableau1[[#This Row],[Code PAS]],[14]Feuil1!$B:$G,6,0)</f>
        <v>#N/A</v>
      </c>
      <c r="AR91" s="263" t="str">
        <f>_xlfn.XLOOKUP(Tableau1[[#This Row],[Code PAS]],'Facturation PAS RIN5 RUN'!C:C,'Facturation PAS RIN5 RUN'!B:B,0,0)</f>
        <v>Platinum_700_700</v>
      </c>
      <c r="AS91" s="263" t="b">
        <f>Tableau1[[#This Row],[Etat facturation]]=Tableau1[[#This Row],[Index offre du fournisseur]]</f>
        <v>1</v>
      </c>
      <c r="AT91" s="250" t="str">
        <f>_xlfn.XLOOKUP(Tableau1[[#This Row],[Code PAS]],'parc SATIN 08012026v'!K:K,'parc SATIN 08012026v'!M:M,0,0)</f>
        <v>PARC</v>
      </c>
      <c r="AU91" s="250" t="str">
        <f>_xlfn.XLOOKUP(Tableau1[[#This Row],[Code PAS]],'parc SATIN 08012026v'!K:K,'parc SATIN 08012026v'!O:O,0,0)</f>
        <v>PARC</v>
      </c>
      <c r="AV91" s="251">
        <f>_xlfn.XLOOKUP(Tableau1[[#This Row],[Code PAS]],'parc SATIN 08012026v'!K:K,'parc SATIN 08012026v'!Q:Q,0,0)</f>
        <v>45687</v>
      </c>
      <c r="AW91" s="251" t="str">
        <f>_xlfn.XLOOKUP(Tableau1[[#This Row],[Code PAS]],'parc SATIN 08012026v'!K:K,'parc SATIN 08012026v'!S:S,0,0)</f>
        <v>change</v>
      </c>
      <c r="AX91" s="250" t="str">
        <f>_xlfn.XLOOKUP(Tableau1[[#This Row],[Code PAS]],'parc SATIN 08012026v'!K:K,'parc SATIN 08012026v'!AF:AF,0,0)</f>
        <v>700 Mb/s</v>
      </c>
      <c r="AY9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700</v>
      </c>
    </row>
    <row r="92" spans="1:52" s="250" customFormat="1" ht="15" customHeight="1" x14ac:dyDescent="0.3">
      <c r="A92" s="248" t="s">
        <v>2739</v>
      </c>
      <c r="B92" s="249">
        <v>45323</v>
      </c>
      <c r="C92" s="249"/>
      <c r="D92" s="249"/>
      <c r="E92" s="248" t="s">
        <v>3006</v>
      </c>
      <c r="F92" s="981" t="s">
        <v>1708</v>
      </c>
      <c r="G92" s="250" t="s">
        <v>2825</v>
      </c>
      <c r="H92" s="248" t="s">
        <v>2825</v>
      </c>
      <c r="I92" s="248" t="s">
        <v>78</v>
      </c>
      <c r="J92" s="248" t="str">
        <f>_xlfn.XLOOKUP(Tableau1[[#This Row],[Code PAS]],'[13]Parc Satin'!$L:$L,'[13]Parc Satin'!$CK:$CK,0,0)</f>
        <v>Nominal InterLan 1.0 Secours InterLan 1.0</v>
      </c>
      <c r="K92" s="248" t="s">
        <v>2829</v>
      </c>
      <c r="L92" s="248">
        <v>1200</v>
      </c>
      <c r="M92" s="248">
        <v>13800</v>
      </c>
      <c r="N92" s="248">
        <v>1</v>
      </c>
      <c r="O92" s="248" t="s">
        <v>76</v>
      </c>
      <c r="P92" s="822">
        <v>0</v>
      </c>
      <c r="Q92" s="822">
        <v>246</v>
      </c>
      <c r="R92" s="822">
        <v>0</v>
      </c>
      <c r="S92" s="822">
        <v>246</v>
      </c>
      <c r="T92" s="823">
        <v>2532</v>
      </c>
      <c r="U92" s="823">
        <v>142</v>
      </c>
      <c r="V92" s="823">
        <v>16</v>
      </c>
      <c r="W92" s="823">
        <v>1242</v>
      </c>
      <c r="X92" s="823">
        <f>Tableau1[[#This Row],[Coût Abonnement offre]]+Tableau1[[#This Row],[Coût Abonnement Chassis]]+Tableau1[[#This Row],[Cout Cartes interface ]]+Tableau1[[#This Row],[Cout canaux voix supplémentaire]]</f>
        <v>3932</v>
      </c>
      <c r="Y92" s="823">
        <v>0</v>
      </c>
      <c r="Z92" s="966">
        <v>0</v>
      </c>
      <c r="AA92" s="966">
        <v>0</v>
      </c>
      <c r="AB92" s="969">
        <v>0</v>
      </c>
      <c r="AC92" s="969">
        <v>0</v>
      </c>
      <c r="AD92" s="969">
        <v>0</v>
      </c>
      <c r="AE92" s="264">
        <v>800</v>
      </c>
      <c r="AF92" s="264">
        <v>1200</v>
      </c>
      <c r="AG92" s="264">
        <v>13800</v>
      </c>
      <c r="AH92" s="264">
        <v>15000</v>
      </c>
      <c r="AI92" s="973">
        <v>1242</v>
      </c>
      <c r="AJ92" s="263">
        <v>800</v>
      </c>
      <c r="AK92" s="987">
        <v>15000</v>
      </c>
      <c r="AL92" s="263">
        <f>VLOOKUP(Tableau1[[#This Row],[Code PAS]],'Facturation PAS RIN5 RUN'!C:F,4,0)</f>
        <v>16</v>
      </c>
      <c r="AM92" s="263"/>
      <c r="AN92" s="263" t="b">
        <f>ROUND(Tableau1[[#This Row],[Montant Options coûts récurrents]],0)=ROUND(Tableau1[[#This Row],[GTRS1 (Coût Plage de support 24h/24 7j/7)]],0)</f>
        <v>0</v>
      </c>
      <c r="AO92" s="265" t="e">
        <f>_xlfn.XLOOKUP(Tableau1[[#This Row],[Code PAS]],'parc SATIN 08012026v'!K:K,'parc SATIN 08012026v'!#REF!,0,0)</f>
        <v>#REF!</v>
      </c>
      <c r="AP92" s="263" t="e">
        <f>VLOOKUP(Tableau1[[#This Row],[Code PAS]],#REF!,3,0)</f>
        <v>#REF!</v>
      </c>
      <c r="AQ92" s="263" t="e">
        <f>VLOOKUP(Tableau1[[#This Row],[Code PAS]],[14]Feuil1!$B:$G,6,0)</f>
        <v>#N/A</v>
      </c>
      <c r="AR92" s="263" t="str">
        <f>_xlfn.XLOOKUP(Tableau1[[#This Row],[Code PAS]],'Facturation PAS RIN5 RUN'!C:C,'Facturation PAS RIN5 RUN'!B:B,0,0)</f>
        <v>Platinum_800_800</v>
      </c>
      <c r="AS92" s="263" t="b">
        <f>Tableau1[[#This Row],[Etat facturation]]=Tableau1[[#This Row],[Index offre du fournisseur]]</f>
        <v>1</v>
      </c>
      <c r="AT92" s="250" t="str">
        <f>_xlfn.XLOOKUP(Tableau1[[#This Row],[Code PAS]],'parc SATIN 08012026v'!K:K,'parc SATIN 08012026v'!M:M,0,0)</f>
        <v>PARC</v>
      </c>
      <c r="AU92" s="250" t="str">
        <f>_xlfn.XLOOKUP(Tableau1[[#This Row],[Code PAS]],'parc SATIN 08012026v'!K:K,'parc SATIN 08012026v'!O:O,0,0)</f>
        <v>PARC</v>
      </c>
      <c r="AV92" s="251">
        <f>_xlfn.XLOOKUP(Tableau1[[#This Row],[Code PAS]],'parc SATIN 08012026v'!K:K,'parc SATIN 08012026v'!Q:Q,0,0)</f>
        <v>45503</v>
      </c>
      <c r="AW92" s="251" t="str">
        <f>_xlfn.XLOOKUP(Tableau1[[#This Row],[Code PAS]],'parc SATIN 08012026v'!K:K,'parc SATIN 08012026v'!S:S,0,0)</f>
        <v>change</v>
      </c>
      <c r="AX92" s="250" t="str">
        <f>_xlfn.XLOOKUP(Tableau1[[#This Row],[Code PAS]],'parc SATIN 08012026v'!K:K,'parc SATIN 08012026v'!AF:AF,0,0)</f>
        <v>800 Mb/s</v>
      </c>
      <c r="AY9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800</v>
      </c>
    </row>
    <row r="93" spans="1:52" s="250" customFormat="1" ht="15" customHeight="1" x14ac:dyDescent="0.3">
      <c r="A93" s="250" t="s">
        <v>2739</v>
      </c>
      <c r="C93" s="249"/>
      <c r="D93" s="249"/>
      <c r="E93" s="250" t="s">
        <v>3010</v>
      </c>
      <c r="F93" s="984" t="s">
        <v>1627</v>
      </c>
      <c r="G93" s="250" t="s">
        <v>3011</v>
      </c>
      <c r="H93" s="250" t="s">
        <v>3011</v>
      </c>
      <c r="I93" s="250" t="s">
        <v>78</v>
      </c>
      <c r="J93" s="248" t="str">
        <f>_xlfn.XLOOKUP(Tableau1[[#This Row],[Code PAS]],'[13]Parc Satin'!$L:$L,'[13]Parc Satin'!$CK:$CK,0,0)</f>
        <v>Nominal InterLan 1.0 Secours InterLan 1.0</v>
      </c>
      <c r="K93" s="250" t="s">
        <v>3009</v>
      </c>
      <c r="L93" s="250">
        <v>1000</v>
      </c>
      <c r="M93" s="250">
        <v>6000</v>
      </c>
      <c r="N93" s="250">
        <v>2</v>
      </c>
      <c r="O93" s="250" t="s">
        <v>74</v>
      </c>
      <c r="P93" s="824">
        <v>0</v>
      </c>
      <c r="Q93" s="824">
        <v>0</v>
      </c>
      <c r="R93" s="824">
        <v>0</v>
      </c>
      <c r="S93" s="824">
        <v>0</v>
      </c>
      <c r="T93" s="823">
        <v>2323</v>
      </c>
      <c r="U93" s="824">
        <v>299</v>
      </c>
      <c r="V93" s="823">
        <v>56</v>
      </c>
      <c r="W93" s="823">
        <v>540</v>
      </c>
      <c r="X93" s="823">
        <f>Tableau1[[#This Row],[Coût Abonnement offre]]+Tableau1[[#This Row],[Coût Abonnement Chassis]]+Tableau1[[#This Row],[Cout Cartes interface ]]+Tableau1[[#This Row],[Cout canaux voix supplémentaire]]</f>
        <v>3218</v>
      </c>
      <c r="Y93" s="824">
        <v>0</v>
      </c>
      <c r="Z93" s="966">
        <v>0</v>
      </c>
      <c r="AA93" s="966">
        <v>0</v>
      </c>
      <c r="AB93" s="969">
        <v>0</v>
      </c>
      <c r="AC93" s="969">
        <v>0</v>
      </c>
      <c r="AD93" s="969">
        <v>0</v>
      </c>
      <c r="AE93" s="264">
        <v>400</v>
      </c>
      <c r="AF93" s="264">
        <v>1000</v>
      </c>
      <c r="AG93" s="264">
        <v>6000</v>
      </c>
      <c r="AH93" s="264">
        <v>7000</v>
      </c>
      <c r="AI93" s="973">
        <v>540</v>
      </c>
      <c r="AJ93" s="263">
        <v>400</v>
      </c>
      <c r="AK93" s="987">
        <v>7000</v>
      </c>
      <c r="AL93" s="263">
        <f>VLOOKUP(Tableau1[[#This Row],[Code PAS]],'Facturation PAS RIN5 RUN'!C:F,4,0)</f>
        <v>56</v>
      </c>
      <c r="AM93" s="263"/>
      <c r="AN93" s="263" t="b">
        <f>ROUND(Tableau1[[#This Row],[Montant Options coûts récurrents]],0)=ROUND(Tableau1[[#This Row],[GTRS1 (Coût Plage de support 24h/24 7j/7)]],0)</f>
        <v>0</v>
      </c>
      <c r="AO93" s="265" t="e">
        <f>_xlfn.XLOOKUP(Tableau1[[#This Row],[Code PAS]],'parc SATIN 08012026v'!K:K,'parc SATIN 08012026v'!#REF!,0,0)</f>
        <v>#REF!</v>
      </c>
      <c r="AP93" s="263" t="e">
        <f>VLOOKUP(Tableau1[[#This Row],[Code PAS]],#REF!,3,0)</f>
        <v>#REF!</v>
      </c>
      <c r="AQ93" s="263" t="e">
        <f>VLOOKUP(Tableau1[[#This Row],[Code PAS]],[14]Feuil1!$B:$G,6,0)</f>
        <v>#N/A</v>
      </c>
      <c r="AR93" s="263" t="str">
        <f>_xlfn.XLOOKUP(Tableau1[[#This Row],[Code PAS]],'Facturation PAS RIN5 RUN'!C:C,'Facturation PAS RIN5 RUN'!B:B,0,0)</f>
        <v>Platinum_400_400</v>
      </c>
      <c r="AS93" s="263" t="b">
        <f>Tableau1[[#This Row],[Etat facturation]]=Tableau1[[#This Row],[Index offre du fournisseur]]</f>
        <v>1</v>
      </c>
      <c r="AT93" s="250" t="str">
        <f>_xlfn.XLOOKUP(Tableau1[[#This Row],[Code PAS]],'parc SATIN 08012026v'!K:K,'parc SATIN 08012026v'!M:M,0,0)</f>
        <v>PARC</v>
      </c>
      <c r="AU93" s="250" t="str">
        <f>_xlfn.XLOOKUP(Tableau1[[#This Row],[Code PAS]],'parc SATIN 08012026v'!K:K,'parc SATIN 08012026v'!O:O,0,0)</f>
        <v>PARC</v>
      </c>
      <c r="AV93" s="251">
        <f>_xlfn.XLOOKUP(Tableau1[[#This Row],[Code PAS]],'parc SATIN 08012026v'!K:K,'parc SATIN 08012026v'!Q:Q,0,0)</f>
        <v>45462</v>
      </c>
      <c r="AW93" s="251" t="str">
        <f>_xlfn.XLOOKUP(Tableau1[[#This Row],[Code PAS]],'parc SATIN 08012026v'!K:K,'parc SATIN 08012026v'!S:S,0,0)</f>
        <v>change</v>
      </c>
      <c r="AX93" s="250" t="str">
        <f>_xlfn.XLOOKUP(Tableau1[[#This Row],[Code PAS]],'parc SATIN 08012026v'!K:K,'parc SATIN 08012026v'!AF:AF,0,0)</f>
        <v>400 Mbits/s</v>
      </c>
      <c r="AY9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400</v>
      </c>
    </row>
    <row r="94" spans="1:52" s="250" customFormat="1" ht="15" customHeight="1" x14ac:dyDescent="0.3">
      <c r="A94" s="250" t="s">
        <v>2758</v>
      </c>
      <c r="C94" s="249">
        <v>44452</v>
      </c>
      <c r="D94" s="249"/>
      <c r="E94" s="250" t="s">
        <v>3012</v>
      </c>
      <c r="F94" s="984" t="s">
        <v>2185</v>
      </c>
      <c r="G94" s="250" t="s">
        <v>2867</v>
      </c>
      <c r="H94" s="250" t="s">
        <v>2757</v>
      </c>
      <c r="I94" s="250" t="s">
        <v>165</v>
      </c>
      <c r="J94" s="248" t="str">
        <f>_xlfn.XLOOKUP(Tableau1[[#This Row],[Code PAS]],'[13]Parc Satin'!$L:$L,'[13]Parc Satin'!$CK:$CK,0,0)</f>
        <v>Nominal C2E Fibre sans Secours</v>
      </c>
      <c r="L94" s="250">
        <v>40</v>
      </c>
      <c r="M94" s="250">
        <v>30</v>
      </c>
      <c r="N94" s="250">
        <v>1</v>
      </c>
      <c r="O94" s="250" t="s">
        <v>74</v>
      </c>
      <c r="P94" s="820">
        <v>0</v>
      </c>
      <c r="Q94" s="820">
        <v>361</v>
      </c>
      <c r="R94" s="820">
        <v>0</v>
      </c>
      <c r="S94" s="820">
        <v>361</v>
      </c>
      <c r="T94" s="824">
        <v>356</v>
      </c>
      <c r="U94" s="824">
        <v>27</v>
      </c>
      <c r="V94" s="824">
        <v>0</v>
      </c>
      <c r="W94" s="824">
        <v>27</v>
      </c>
      <c r="X94" s="823">
        <f>Tableau1[[#This Row],[Coût Abonnement offre]]+Tableau1[[#This Row],[Coût Abonnement Chassis]]+Tableau1[[#This Row],[Cout Cartes interface ]]+Tableau1[[#This Row],[Cout canaux voix supplémentaire]]</f>
        <v>410</v>
      </c>
      <c r="Y94" s="824">
        <v>0</v>
      </c>
      <c r="Z94" s="966">
        <v>0</v>
      </c>
      <c r="AA94" s="966">
        <v>0</v>
      </c>
      <c r="AB94" s="969">
        <v>0</v>
      </c>
      <c r="AC94" s="969">
        <v>0</v>
      </c>
      <c r="AD94" s="969">
        <v>0</v>
      </c>
      <c r="AE94" s="264">
        <v>4</v>
      </c>
      <c r="AF94" s="264">
        <v>40</v>
      </c>
      <c r="AG94" s="264">
        <v>30</v>
      </c>
      <c r="AH94" s="264">
        <v>70</v>
      </c>
      <c r="AI94" s="973">
        <v>27</v>
      </c>
      <c r="AJ94" s="263">
        <v>4</v>
      </c>
      <c r="AK94" s="987">
        <v>70</v>
      </c>
      <c r="AL94" s="263">
        <f>VLOOKUP(Tableau1[[#This Row],[Code PAS]],'Facturation PAS RIN5 RUN'!C:F,4,0)</f>
        <v>0</v>
      </c>
      <c r="AM94" s="263"/>
      <c r="AN94" s="263" t="b">
        <f>ROUND(Tableau1[[#This Row],[Montant Options coûts récurrents]],0)=ROUND(Tableau1[[#This Row],[GTRS1 (Coût Plage de support 24h/24 7j/7)]],0)</f>
        <v>1</v>
      </c>
      <c r="AO94" s="265" t="e">
        <f>_xlfn.XLOOKUP(Tableau1[[#This Row],[Code PAS]],'parc SATIN 08012026v'!K:K,'parc SATIN 08012026v'!#REF!,0,0)</f>
        <v>#REF!</v>
      </c>
      <c r="AP94" s="263" t="e">
        <f>VLOOKUP(Tableau1[[#This Row],[Code PAS]],#REF!,3,0)</f>
        <v>#REF!</v>
      </c>
      <c r="AQ94" s="263" t="e">
        <f>VLOOKUP(Tableau1[[#This Row],[Code PAS]],[14]Feuil1!$B:$G,6,0)</f>
        <v>#N/A</v>
      </c>
      <c r="AR94" s="263" t="str">
        <f>_xlfn.XLOOKUP(Tableau1[[#This Row],[Code PAS]],'Facturation PAS RIN5 RUN'!C:C,'Facturation PAS RIN5 RUN'!B:B,0,0)</f>
        <v>Bronze_4_0</v>
      </c>
      <c r="AS94" s="263" t="b">
        <f>Tableau1[[#This Row],[Etat facturation]]=Tableau1[[#This Row],[Index offre du fournisseur]]</f>
        <v>1</v>
      </c>
      <c r="AT94" s="250" t="str">
        <f>_xlfn.XLOOKUP(Tableau1[[#This Row],[Code PAS]],'parc SATIN 08012026v'!K:K,'parc SATIN 08012026v'!M:M,0,0)</f>
        <v>PARC</v>
      </c>
      <c r="AU94" s="250" t="str">
        <f>_xlfn.XLOOKUP(Tableau1[[#This Row],[Code PAS]],'parc SATIN 08012026v'!K:K,'parc SATIN 08012026v'!O:O,0,0)</f>
        <v>PARC</v>
      </c>
      <c r="AV94" s="251">
        <f>_xlfn.XLOOKUP(Tableau1[[#This Row],[Code PAS]],'parc SATIN 08012026v'!K:K,'parc SATIN 08012026v'!Q:Q,0,0)</f>
        <v>45021</v>
      </c>
      <c r="AW94" s="251" t="str">
        <f>_xlfn.XLOOKUP(Tableau1[[#This Row],[Code PAS]],'parc SATIN 08012026v'!K:K,'parc SATIN 08012026v'!S:S,0,0)</f>
        <v>change</v>
      </c>
      <c r="AX94" s="250" t="str">
        <f>_xlfn.XLOOKUP(Tableau1[[#This Row],[Code PAS]],'parc SATIN 08012026v'!K:K,'parc SATIN 08012026v'!AF:AF,0,0)</f>
        <v>4 Mb/s</v>
      </c>
      <c r="AY9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</row>
    <row r="95" spans="1:52" s="250" customFormat="1" ht="15" customHeight="1" x14ac:dyDescent="0.3">
      <c r="A95" s="248" t="s">
        <v>2735</v>
      </c>
      <c r="B95" s="248"/>
      <c r="C95" s="249"/>
      <c r="D95" s="249"/>
      <c r="E95" s="248" t="s">
        <v>3013</v>
      </c>
      <c r="F95" s="981" t="s">
        <v>423</v>
      </c>
      <c r="G95" s="250" t="s">
        <v>2765</v>
      </c>
      <c r="H95" s="248" t="s">
        <v>2765</v>
      </c>
      <c r="I95" s="248" t="s">
        <v>78</v>
      </c>
      <c r="J95" s="248" t="str">
        <f>_xlfn.XLOOKUP(Tableau1[[#This Row],[Code PAS]],'[13]Parc Satin'!$L:$L,'[13]Parc Satin'!$CK:$CK,0,0)</f>
        <v>Nominal C2E Fibre Secours C2E Fibre</v>
      </c>
      <c r="K95" s="248" t="s">
        <v>2820</v>
      </c>
      <c r="L95" s="248">
        <v>400</v>
      </c>
      <c r="M95" s="248">
        <v>150</v>
      </c>
      <c r="N95" s="248">
        <v>1</v>
      </c>
      <c r="O95" s="248" t="s">
        <v>74</v>
      </c>
      <c r="P95" s="822">
        <v>0</v>
      </c>
      <c r="Q95" s="822">
        <v>0</v>
      </c>
      <c r="R95" s="822">
        <v>0</v>
      </c>
      <c r="S95" s="822">
        <v>0</v>
      </c>
      <c r="T95" s="823">
        <v>1249</v>
      </c>
      <c r="U95" s="823">
        <v>60</v>
      </c>
      <c r="V95" s="823">
        <v>48</v>
      </c>
      <c r="W95" s="823">
        <v>14</v>
      </c>
      <c r="X95" s="823">
        <f>Tableau1[[#This Row],[Coût Abonnement offre]]+Tableau1[[#This Row],[Coût Abonnement Chassis]]+Tableau1[[#This Row],[Cout Cartes interface ]]+Tableau1[[#This Row],[Cout canaux voix supplémentaire]]</f>
        <v>1371</v>
      </c>
      <c r="Y95" s="823">
        <v>0</v>
      </c>
      <c r="Z95" s="966">
        <v>0</v>
      </c>
      <c r="AA95" s="966">
        <v>0</v>
      </c>
      <c r="AB95" s="969">
        <v>0</v>
      </c>
      <c r="AC95" s="969">
        <v>0</v>
      </c>
      <c r="AD95" s="969">
        <v>0</v>
      </c>
      <c r="AE95" s="264">
        <v>30</v>
      </c>
      <c r="AF95" s="264">
        <v>400</v>
      </c>
      <c r="AG95" s="264">
        <v>150</v>
      </c>
      <c r="AH95" s="264">
        <v>550</v>
      </c>
      <c r="AI95" s="973">
        <v>14</v>
      </c>
      <c r="AJ95" s="263">
        <v>50</v>
      </c>
      <c r="AK95" s="987">
        <v>900</v>
      </c>
      <c r="AL95" s="263">
        <f>VLOOKUP(Tableau1[[#This Row],[Code PAS]],'Facturation PAS RIN5 RUN'!C:F,4,0)</f>
        <v>48</v>
      </c>
      <c r="AM95" s="263"/>
      <c r="AN95" s="263" t="b">
        <f>ROUND(Tableau1[[#This Row],[Montant Options coûts récurrents]],0)=ROUND(Tableau1[[#This Row],[GTRS1 (Coût Plage de support 24h/24 7j/7)]],0)</f>
        <v>0</v>
      </c>
      <c r="AO95" s="265" t="e">
        <f>_xlfn.XLOOKUP(Tableau1[[#This Row],[Code PAS]],'parc SATIN 08012026v'!K:K,'parc SATIN 08012026v'!#REF!,0,0)</f>
        <v>#REF!</v>
      </c>
      <c r="AP95" s="263" t="e">
        <f>VLOOKUP(Tableau1[[#This Row],[Code PAS]],#REF!,3,0)</f>
        <v>#REF!</v>
      </c>
      <c r="AQ95" s="263" t="e">
        <f>VLOOKUP(Tableau1[[#This Row],[Code PAS]],[14]Feuil1!$B:$G,6,0)</f>
        <v>#N/A</v>
      </c>
      <c r="AR95" s="263" t="str">
        <f>_xlfn.XLOOKUP(Tableau1[[#This Row],[Code PAS]],'Facturation PAS RIN5 RUN'!C:C,'Facturation PAS RIN5 RUN'!B:B,0,0)</f>
        <v>Gold_30_30</v>
      </c>
      <c r="AS95" s="263" t="b">
        <f>Tableau1[[#This Row],[Etat facturation]]=Tableau1[[#This Row],[Index offre du fournisseur]]</f>
        <v>1</v>
      </c>
      <c r="AT95" s="250" t="str">
        <f>_xlfn.XLOOKUP(Tableau1[[#This Row],[Code PAS]],'parc SATIN 08012026v'!K:K,'parc SATIN 08012026v'!M:M,0,0)</f>
        <v>PARC</v>
      </c>
      <c r="AU95" s="250" t="str">
        <f>_xlfn.XLOOKUP(Tableau1[[#This Row],[Code PAS]],'parc SATIN 08012026v'!K:K,'parc SATIN 08012026v'!O:O,0,0)</f>
        <v>EN COURS</v>
      </c>
      <c r="AV95" s="251">
        <f>_xlfn.XLOOKUP(Tableau1[[#This Row],[Code PAS]],'parc SATIN 08012026v'!K:K,'parc SATIN 08012026v'!Q:Q,0,0)</f>
        <v>0</v>
      </c>
      <c r="AW95" s="251" t="str">
        <f>_xlfn.XLOOKUP(Tableau1[[#This Row],[Code PAS]],'parc SATIN 08012026v'!K:K,'parc SATIN 08012026v'!S:S,0,0)</f>
        <v>change</v>
      </c>
      <c r="AX95" s="250" t="str">
        <f>_xlfn.XLOOKUP(Tableau1[[#This Row],[Code PAS]],'parc SATIN 08012026v'!K:K,'parc SATIN 08012026v'!AF:AF,0,0)</f>
        <v>50 Mb/s</v>
      </c>
      <c r="AY9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96" spans="1:52" s="250" customFormat="1" ht="15" customHeight="1" x14ac:dyDescent="0.3">
      <c r="A96" s="250" t="s">
        <v>2743</v>
      </c>
      <c r="C96" s="249"/>
      <c r="D96" s="249"/>
      <c r="E96" s="250" t="s">
        <v>3015</v>
      </c>
      <c r="F96" s="984" t="s">
        <v>1332</v>
      </c>
      <c r="H96" s="250" t="s">
        <v>2748</v>
      </c>
      <c r="J96" s="248" t="str">
        <f>_xlfn.XLOOKUP(Tableau1[[#This Row],[Code PAS]],'[13]Parc Satin'!$L:$L,'[13]Parc Satin'!$CK:$CK,0,0)</f>
        <v>Nominal InterLan 1.0 Secours C2E Fibre</v>
      </c>
      <c r="P96" s="820">
        <v>0</v>
      </c>
      <c r="Q96" s="820">
        <v>0</v>
      </c>
      <c r="R96" s="820">
        <v>0</v>
      </c>
      <c r="S96" s="820">
        <v>0</v>
      </c>
      <c r="T96" s="824">
        <v>1149</v>
      </c>
      <c r="U96" s="824">
        <v>44</v>
      </c>
      <c r="V96" s="824">
        <v>32</v>
      </c>
      <c r="W96" s="824">
        <v>0</v>
      </c>
      <c r="X96" s="823">
        <f>Tableau1[[#This Row],[Coût Abonnement offre]]+Tableau1[[#This Row],[Coût Abonnement Chassis]]+Tableau1[[#This Row],[Cout Cartes interface ]]+Tableau1[[#This Row],[Cout canaux voix supplémentaire]]</f>
        <v>1225</v>
      </c>
      <c r="Y96" s="824">
        <v>0</v>
      </c>
      <c r="Z96" s="966">
        <v>0</v>
      </c>
      <c r="AA96" s="966">
        <v>0</v>
      </c>
      <c r="AB96" s="969">
        <v>0</v>
      </c>
      <c r="AC96" s="969">
        <v>0</v>
      </c>
      <c r="AD96" s="969">
        <v>0</v>
      </c>
      <c r="AE96" s="264">
        <v>20</v>
      </c>
      <c r="AF96" s="264">
        <v>300</v>
      </c>
      <c r="AG96" s="264">
        <v>50</v>
      </c>
      <c r="AH96" s="264">
        <v>350</v>
      </c>
      <c r="AI96" s="973">
        <v>5</v>
      </c>
      <c r="AJ96" s="263">
        <v>20</v>
      </c>
      <c r="AK96" s="987">
        <v>300</v>
      </c>
      <c r="AL96" s="263">
        <f>VLOOKUP(Tableau1[[#This Row],[Code PAS]],'Facturation PAS RIN5 RUN'!C:F,4,0)</f>
        <v>32</v>
      </c>
      <c r="AM96" s="263"/>
      <c r="AN96" s="263" t="b">
        <f>ROUND(Tableau1[[#This Row],[Montant Options coûts récurrents]],0)=ROUND(Tableau1[[#This Row],[GTRS1 (Coût Plage de support 24h/24 7j/7)]],0)</f>
        <v>0</v>
      </c>
      <c r="AO96" s="265" t="e">
        <f>_xlfn.XLOOKUP(Tableau1[[#This Row],[Code PAS]],'parc SATIN 08012026v'!K:K,'parc SATIN 08012026v'!#REF!,0,0)</f>
        <v>#REF!</v>
      </c>
      <c r="AP96" s="263" t="e">
        <f>VLOOKUP(Tableau1[[#This Row],[Code PAS]],#REF!,3,0)</f>
        <v>#REF!</v>
      </c>
      <c r="AQ96" s="263" t="e">
        <f>VLOOKUP(Tableau1[[#This Row],[Code PAS]],[14]Feuil1!$B:$G,6,0)</f>
        <v>#N/A</v>
      </c>
      <c r="AR96" s="263" t="str">
        <f>_xlfn.XLOOKUP(Tableau1[[#This Row],[Code PAS]],'Facturation PAS RIN5 RUN'!C:C,'Facturation PAS RIN5 RUN'!B:B,0,0)</f>
        <v>Gold_20_20</v>
      </c>
      <c r="AS96" s="263" t="b">
        <f>Tableau1[[#This Row],[Etat facturation]]=Tableau1[[#This Row],[Index offre du fournisseur]]</f>
        <v>1</v>
      </c>
      <c r="AT96" s="250" t="str">
        <f>_xlfn.XLOOKUP(Tableau1[[#This Row],[Code PAS]],'parc SATIN 08012026v'!K:K,'parc SATIN 08012026v'!M:M,0,0)</f>
        <v>PARC</v>
      </c>
      <c r="AU96" s="250" t="str">
        <f>_xlfn.XLOOKUP(Tableau1[[#This Row],[Code PAS]],'parc SATIN 08012026v'!K:K,'parc SATIN 08012026v'!O:O,0,0)</f>
        <v>PARC</v>
      </c>
      <c r="AV96" s="251">
        <f>_xlfn.XLOOKUP(Tableau1[[#This Row],[Code PAS]],'parc SATIN 08012026v'!K:K,'parc SATIN 08012026v'!Q:Q,0,0)</f>
        <v>43823</v>
      </c>
      <c r="AW96" s="251" t="str">
        <f>_xlfn.XLOOKUP(Tableau1[[#This Row],[Code PAS]],'parc SATIN 08012026v'!K:K,'parc SATIN 08012026v'!S:S,0,0)</f>
        <v>change</v>
      </c>
      <c r="AX96" s="250" t="str">
        <f>_xlfn.XLOOKUP(Tableau1[[#This Row],[Code PAS]],'parc SATIN 08012026v'!K:K,'parc SATIN 08012026v'!AF:AF,0,0)</f>
        <v>20 Mb/s</v>
      </c>
      <c r="AY9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96" s="250" t="s">
        <v>2868</v>
      </c>
    </row>
    <row r="97" spans="1:52" s="250" customFormat="1" ht="15" customHeight="1" x14ac:dyDescent="0.3">
      <c r="A97" s="250" t="s">
        <v>2739</v>
      </c>
      <c r="C97" s="249"/>
      <c r="D97" s="249"/>
      <c r="E97" s="250" t="s">
        <v>3016</v>
      </c>
      <c r="F97" s="981" t="s">
        <v>1570</v>
      </c>
      <c r="G97" s="250" t="s">
        <v>2748</v>
      </c>
      <c r="H97" s="250" t="s">
        <v>2748</v>
      </c>
      <c r="I97" s="250" t="s">
        <v>78</v>
      </c>
      <c r="J97" s="248" t="str">
        <f>_xlfn.XLOOKUP(Tableau1[[#This Row],[Code PAS]],'[13]Parc Satin'!$L:$L,'[13]Parc Satin'!$CK:$CK,0,0)</f>
        <v>Nominal InterLan 1.0 Secours InterLan 1.0</v>
      </c>
      <c r="K97" s="250" t="s">
        <v>2829</v>
      </c>
      <c r="L97" s="250">
        <v>300</v>
      </c>
      <c r="M97" s="250">
        <v>50</v>
      </c>
      <c r="N97" s="250">
        <v>1</v>
      </c>
      <c r="O97" s="250" t="s">
        <v>74</v>
      </c>
      <c r="P97" s="824">
        <v>0</v>
      </c>
      <c r="Q97" s="824">
        <v>652</v>
      </c>
      <c r="R97" s="824">
        <v>57</v>
      </c>
      <c r="S97" s="824">
        <v>709</v>
      </c>
      <c r="T97" s="824">
        <v>1149</v>
      </c>
      <c r="U97" s="824">
        <v>71</v>
      </c>
      <c r="V97" s="824">
        <v>40</v>
      </c>
      <c r="W97" s="824">
        <v>5</v>
      </c>
      <c r="X97" s="824">
        <f>Tableau1[[#This Row],[Coût Abonnement offre]]+Tableau1[[#This Row],[Coût Abonnement Chassis]]+Tableau1[[#This Row],[Cout Cartes interface ]]+Tableau1[[#This Row],[Cout canaux voix supplémentaire]]</f>
        <v>1265</v>
      </c>
      <c r="Y97" s="824">
        <v>0</v>
      </c>
      <c r="Z97" s="966">
        <v>0</v>
      </c>
      <c r="AA97" s="966">
        <v>0</v>
      </c>
      <c r="AB97" s="969">
        <v>0</v>
      </c>
      <c r="AC97" s="969">
        <v>0</v>
      </c>
      <c r="AD97" s="969">
        <v>0</v>
      </c>
      <c r="AE97" s="264">
        <v>20</v>
      </c>
      <c r="AF97" s="264">
        <v>300</v>
      </c>
      <c r="AG97" s="264">
        <v>50</v>
      </c>
      <c r="AH97" s="264">
        <v>350</v>
      </c>
      <c r="AI97" s="973">
        <v>5</v>
      </c>
      <c r="AJ97" s="263">
        <v>20</v>
      </c>
      <c r="AK97" s="987">
        <v>350</v>
      </c>
      <c r="AL97" s="263">
        <f>VLOOKUP(Tableau1[[#This Row],[Code PAS]],'Facturation PAS RIN5 RUN'!C:F,4,0)</f>
        <v>40</v>
      </c>
      <c r="AM97" s="263"/>
      <c r="AN97" s="263" t="b">
        <f>ROUND(Tableau1[[#This Row],[Montant Options coûts récurrents]],0)=ROUND(Tableau1[[#This Row],[GTRS1 (Coût Plage de support 24h/24 7j/7)]],0)</f>
        <v>0</v>
      </c>
      <c r="AO97" s="265" t="e">
        <f>_xlfn.XLOOKUP(Tableau1[[#This Row],[Code PAS]],'parc SATIN 08012026v'!K:K,'parc SATIN 08012026v'!#REF!,0,0)</f>
        <v>#REF!</v>
      </c>
      <c r="AP97" s="263" t="e">
        <f>VLOOKUP(Tableau1[[#This Row],[Code PAS]],#REF!,3,0)</f>
        <v>#REF!</v>
      </c>
      <c r="AQ97" s="263" t="str">
        <f>VLOOKUP(Tableau1[[#This Row],[Code PAS]],[14]Feuil1!$B:$G,6,0)</f>
        <v>Lundi au Samedi 8h-18h</v>
      </c>
      <c r="AR97" s="263" t="str">
        <f>_xlfn.XLOOKUP(Tableau1[[#This Row],[Code PAS]],'Facturation PAS RIN5 RUN'!C:C,'Facturation PAS RIN5 RUN'!B:B,0,0)</f>
        <v>Gold_20_20</v>
      </c>
      <c r="AS97" s="263" t="b">
        <f>Tableau1[[#This Row],[Etat facturation]]=Tableau1[[#This Row],[Index offre du fournisseur]]</f>
        <v>1</v>
      </c>
      <c r="AT97" s="250" t="str">
        <f>_xlfn.XLOOKUP(Tableau1[[#This Row],[Code PAS]],'parc SATIN 08012026v'!K:K,'parc SATIN 08012026v'!M:M,0,0)</f>
        <v>PARC</v>
      </c>
      <c r="AU97" s="250" t="str">
        <f>_xlfn.XLOOKUP(Tableau1[[#This Row],[Code PAS]],'parc SATIN 08012026v'!K:K,'parc SATIN 08012026v'!O:O,0,0)</f>
        <v>PARC</v>
      </c>
      <c r="AV97" s="251">
        <f>_xlfn.XLOOKUP(Tableau1[[#This Row],[Code PAS]],'parc SATIN 08012026v'!K:K,'parc SATIN 08012026v'!Q:Q,0,0)</f>
        <v>44281</v>
      </c>
      <c r="AW97" s="251" t="str">
        <f>_xlfn.XLOOKUP(Tableau1[[#This Row],[Code PAS]],'parc SATIN 08012026v'!K:K,'parc SATIN 08012026v'!S:S,0,0)</f>
        <v>création</v>
      </c>
      <c r="AX97" s="250" t="str">
        <f>_xlfn.XLOOKUP(Tableau1[[#This Row],[Code PAS]],'parc SATIN 08012026v'!K:K,'parc SATIN 08012026v'!AF:AF,0,0)</f>
        <v>20 Mb/s</v>
      </c>
      <c r="AY9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98" spans="1:52" s="250" customFormat="1" ht="15" customHeight="1" x14ac:dyDescent="0.3">
      <c r="A98" s="248"/>
      <c r="B98" s="248"/>
      <c r="C98" s="248"/>
      <c r="D98" s="248"/>
      <c r="E98" s="250" t="s">
        <v>3017</v>
      </c>
      <c r="F98" s="984" t="s">
        <v>1731</v>
      </c>
      <c r="G98" s="250" t="s">
        <v>2813</v>
      </c>
      <c r="H98" s="250" t="s">
        <v>2813</v>
      </c>
      <c r="I98" s="250" t="s">
        <v>165</v>
      </c>
      <c r="J98" s="248" t="str">
        <f>_xlfn.XLOOKUP(Tableau1[[#This Row],[Code PAS]],'[13]Parc Satin'!$L:$L,'[13]Parc Satin'!$CK:$CK,0,0)</f>
        <v>Nominal C2E Fibre Secours C2E Fibre</v>
      </c>
      <c r="K98" s="250" t="s">
        <v>2850</v>
      </c>
      <c r="L98" s="250">
        <v>300</v>
      </c>
      <c r="M98" s="250">
        <v>50</v>
      </c>
      <c r="N98" s="250">
        <v>1</v>
      </c>
      <c r="O98" s="250" t="s">
        <v>74</v>
      </c>
      <c r="P98" s="824">
        <v>0</v>
      </c>
      <c r="Q98" s="824">
        <v>652</v>
      </c>
      <c r="R98" s="824">
        <v>0</v>
      </c>
      <c r="S98" s="824">
        <v>652</v>
      </c>
      <c r="T98" s="824">
        <v>1149</v>
      </c>
      <c r="U98" s="824">
        <v>44</v>
      </c>
      <c r="V98" s="824">
        <v>40</v>
      </c>
      <c r="W98" s="824">
        <v>5</v>
      </c>
      <c r="X98" s="824">
        <f>Tableau1[[#This Row],[Coût Abonnement offre]]+Tableau1[[#This Row],[Coût Abonnement Chassis]]+Tableau1[[#This Row],[Cout Cartes interface ]]+Tableau1[[#This Row],[Cout canaux voix supplémentaire]]</f>
        <v>1238</v>
      </c>
      <c r="Y98" s="824">
        <v>0</v>
      </c>
      <c r="Z98" s="966">
        <v>0</v>
      </c>
      <c r="AA98" s="966">
        <v>0</v>
      </c>
      <c r="AB98" s="969">
        <v>0</v>
      </c>
      <c r="AC98" s="969">
        <v>0</v>
      </c>
      <c r="AD98" s="969">
        <v>0</v>
      </c>
      <c r="AE98" s="264">
        <v>20</v>
      </c>
      <c r="AF98" s="264">
        <v>300</v>
      </c>
      <c r="AG98" s="264">
        <v>50</v>
      </c>
      <c r="AH98" s="264">
        <v>350</v>
      </c>
      <c r="AI98" s="973">
        <v>5</v>
      </c>
      <c r="AJ98" s="263">
        <v>20</v>
      </c>
      <c r="AK98" s="987">
        <v>350</v>
      </c>
      <c r="AL98" s="263">
        <f>VLOOKUP(Tableau1[[#This Row],[Code PAS]],'Facturation PAS RIN5 RUN'!C:F,4,0)</f>
        <v>40</v>
      </c>
      <c r="AM98" s="263"/>
      <c r="AN98" s="263" t="b">
        <f>ROUND(Tableau1[[#This Row],[Montant Options coûts récurrents]],0)=ROUND(Tableau1[[#This Row],[GTRS1 (Coût Plage de support 24h/24 7j/7)]],0)</f>
        <v>0</v>
      </c>
      <c r="AO98" s="265" t="e">
        <f>_xlfn.XLOOKUP(Tableau1[[#This Row],[Code PAS]],'parc SATIN 08012026v'!K:K,'parc SATIN 08012026v'!#REF!,0,0)</f>
        <v>#REF!</v>
      </c>
      <c r="AP98" s="263" t="e">
        <f>VLOOKUP(Tableau1[[#This Row],[Code PAS]],#REF!,3,0)</f>
        <v>#REF!</v>
      </c>
      <c r="AQ98" s="263" t="str">
        <f>VLOOKUP(Tableau1[[#This Row],[Code PAS]],[14]Feuil1!$B:$G,6,0)</f>
        <v>Lundi au Samedi 8h-18h</v>
      </c>
      <c r="AR98" s="263" t="str">
        <f>_xlfn.XLOOKUP(Tableau1[[#This Row],[Code PAS]],'Facturation PAS RIN5 RUN'!C:C,'Facturation PAS RIN5 RUN'!B:B,0,0)</f>
        <v>Silver20_20</v>
      </c>
      <c r="AS98" s="263" t="b">
        <f>Tableau1[[#This Row],[Etat facturation]]=Tableau1[[#This Row],[Index offre du fournisseur]]</f>
        <v>0</v>
      </c>
      <c r="AT98" s="250" t="str">
        <f>_xlfn.XLOOKUP(Tableau1[[#This Row],[Code PAS]],'parc SATIN 08012026v'!K:K,'parc SATIN 08012026v'!M:M,0,0)</f>
        <v>PARC</v>
      </c>
      <c r="AU98" s="250" t="str">
        <f>_xlfn.XLOOKUP(Tableau1[[#This Row],[Code PAS]],'parc SATIN 08012026v'!K:K,'parc SATIN 08012026v'!O:O,0,0)</f>
        <v>PARC</v>
      </c>
      <c r="AV98" s="251">
        <f>_xlfn.XLOOKUP(Tableau1[[#This Row],[Code PAS]],'parc SATIN 08012026v'!K:K,'parc SATIN 08012026v'!Q:Q,0,0)</f>
        <v>45440</v>
      </c>
      <c r="AW98" s="251" t="str">
        <f>_xlfn.XLOOKUP(Tableau1[[#This Row],[Code PAS]],'parc SATIN 08012026v'!K:K,'parc SATIN 08012026v'!S:S,0,0)</f>
        <v>création</v>
      </c>
      <c r="AX98" s="250" t="str">
        <f>_xlfn.XLOOKUP(Tableau1[[#This Row],[Code PAS]],'parc SATIN 08012026v'!K:K,'parc SATIN 08012026v'!AF:AF,0,0)</f>
        <v>20 Mb/s</v>
      </c>
      <c r="AY9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99" spans="1:52" s="250" customFormat="1" ht="15" customHeight="1" x14ac:dyDescent="0.3">
      <c r="A99" s="250" t="s">
        <v>2743</v>
      </c>
      <c r="C99" s="249"/>
      <c r="D99" s="249"/>
      <c r="E99" s="250" t="s">
        <v>3018</v>
      </c>
      <c r="F99" s="984" t="s">
        <v>1135</v>
      </c>
      <c r="G99" s="250" t="s">
        <v>2800</v>
      </c>
      <c r="H99" s="250" t="s">
        <v>2784</v>
      </c>
      <c r="J99" s="248" t="str">
        <f>_xlfn.XLOOKUP(Tableau1[[#This Row],[Code PAS]],'[13]Parc Satin'!$L:$L,'[13]Parc Satin'!$CK:$CK,0,0)</f>
        <v>Nominal C2E Fibre Secours C2E Fibre</v>
      </c>
      <c r="P99" s="820">
        <v>0</v>
      </c>
      <c r="Q99" s="820">
        <v>0</v>
      </c>
      <c r="R99" s="820">
        <v>0</v>
      </c>
      <c r="S99" s="820">
        <v>0</v>
      </c>
      <c r="T99" s="824">
        <v>1454</v>
      </c>
      <c r="U99" s="824">
        <v>95</v>
      </c>
      <c r="V99" s="824">
        <v>16</v>
      </c>
      <c r="W99" s="824">
        <v>36</v>
      </c>
      <c r="X99" s="823">
        <f>Tableau1[[#This Row],[Coût Abonnement offre]]+Tableau1[[#This Row],[Coût Abonnement Chassis]]+Tableau1[[#This Row],[Cout Cartes interface ]]+Tableau1[[#This Row],[Cout canaux voix supplémentaire]]</f>
        <v>1601</v>
      </c>
      <c r="Y99" s="824"/>
      <c r="Z99" s="966">
        <v>0</v>
      </c>
      <c r="AA99" s="966">
        <v>0</v>
      </c>
      <c r="AB99" s="969">
        <v>0</v>
      </c>
      <c r="AC99" s="969">
        <v>0</v>
      </c>
      <c r="AD99" s="969">
        <v>0</v>
      </c>
      <c r="AE99" s="264">
        <v>50</v>
      </c>
      <c r="AF99" s="264">
        <v>500</v>
      </c>
      <c r="AG99" s="264">
        <v>400</v>
      </c>
      <c r="AH99" s="264">
        <v>900</v>
      </c>
      <c r="AI99" s="973">
        <v>36</v>
      </c>
      <c r="AJ99" s="263">
        <v>50</v>
      </c>
      <c r="AK99" s="987">
        <v>900</v>
      </c>
      <c r="AL99" s="263">
        <f>VLOOKUP(Tableau1[[#This Row],[Code PAS]],'Facturation PAS RIN5 RUN'!C:F,4,0)</f>
        <v>16</v>
      </c>
      <c r="AM99" s="263"/>
      <c r="AN99" s="263" t="b">
        <f>ROUND(Tableau1[[#This Row],[Montant Options coûts récurrents]],0)=ROUND(Tableau1[[#This Row],[GTRS1 (Coût Plage de support 24h/24 7j/7)]],0)</f>
        <v>0</v>
      </c>
      <c r="AO99" s="265" t="e">
        <f>_xlfn.XLOOKUP(Tableau1[[#This Row],[Code PAS]],'parc SATIN 08012026v'!K:K,'parc SATIN 08012026v'!#REF!,0,0)</f>
        <v>#REF!</v>
      </c>
      <c r="AP99" s="263" t="e">
        <f>VLOOKUP(Tableau1[[#This Row],[Code PAS]],#REF!,3,0)</f>
        <v>#REF!</v>
      </c>
      <c r="AQ99" s="263" t="str">
        <f>VLOOKUP(Tableau1[[#This Row],[Code PAS]],[14]Feuil1!$B:$G,6,0)</f>
        <v>Lundi au Samedi 8h-18h</v>
      </c>
      <c r="AR99" s="263" t="str">
        <f>_xlfn.XLOOKUP(Tableau1[[#This Row],[Code PAS]],'Facturation PAS RIN5 RUN'!C:C,'Facturation PAS RIN5 RUN'!B:B,0,0)</f>
        <v>Gold_50_50</v>
      </c>
      <c r="AS99" s="263" t="b">
        <f>Tableau1[[#This Row],[Etat facturation]]=Tableau1[[#This Row],[Index offre du fournisseur]]</f>
        <v>1</v>
      </c>
      <c r="AT99" s="250" t="str">
        <f>_xlfn.XLOOKUP(Tableau1[[#This Row],[Code PAS]],'parc SATIN 08012026v'!K:K,'parc SATIN 08012026v'!M:M,0,0)</f>
        <v>PARC</v>
      </c>
      <c r="AU99" s="250" t="str">
        <f>_xlfn.XLOOKUP(Tableau1[[#This Row],[Code PAS]],'parc SATIN 08012026v'!K:K,'parc SATIN 08012026v'!O:O,0,0)</f>
        <v>PARC</v>
      </c>
      <c r="AV99" s="251">
        <f>_xlfn.XLOOKUP(Tableau1[[#This Row],[Code PAS]],'parc SATIN 08012026v'!K:K,'parc SATIN 08012026v'!Q:Q,0,0)</f>
        <v>44091</v>
      </c>
      <c r="AW99" s="251" t="str">
        <f>_xlfn.XLOOKUP(Tableau1[[#This Row],[Code PAS]],'parc SATIN 08012026v'!K:K,'parc SATIN 08012026v'!S:S,0,0)</f>
        <v>change</v>
      </c>
      <c r="AX99" s="250" t="str">
        <f>_xlfn.XLOOKUP(Tableau1[[#This Row],[Code PAS]],'parc SATIN 08012026v'!K:K,'parc SATIN 08012026v'!AF:AF,0,0)</f>
        <v>50 Mb/s</v>
      </c>
      <c r="AY9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00" spans="1:52" s="250" customFormat="1" ht="15" customHeight="1" x14ac:dyDescent="0.3">
      <c r="A100" s="248" t="s">
        <v>2735</v>
      </c>
      <c r="B100" s="248"/>
      <c r="C100" s="249"/>
      <c r="D100" s="249">
        <v>45735</v>
      </c>
      <c r="E100" s="248" t="s">
        <v>3019</v>
      </c>
      <c r="F100" s="981" t="s">
        <v>243</v>
      </c>
      <c r="G100" s="250" t="s">
        <v>2748</v>
      </c>
      <c r="H100" s="248" t="s">
        <v>2748</v>
      </c>
      <c r="I100" s="248" t="s">
        <v>2817</v>
      </c>
      <c r="J100" s="248"/>
      <c r="K100" s="248"/>
      <c r="L100" s="248">
        <v>300</v>
      </c>
      <c r="M100" s="248">
        <v>50</v>
      </c>
      <c r="N100" s="248"/>
      <c r="O100" s="248"/>
      <c r="P100" s="822">
        <v>0</v>
      </c>
      <c r="Q100" s="822">
        <v>0</v>
      </c>
      <c r="R100" s="822">
        <v>0</v>
      </c>
      <c r="S100" s="822">
        <v>0</v>
      </c>
      <c r="T100" s="823">
        <v>2384</v>
      </c>
      <c r="U100" s="823">
        <v>71</v>
      </c>
      <c r="V100" s="823">
        <v>48</v>
      </c>
      <c r="W100" s="823">
        <v>5</v>
      </c>
      <c r="X100" s="823">
        <v>2506.9564263010343</v>
      </c>
      <c r="Y100" s="823">
        <v>0</v>
      </c>
      <c r="Z100" s="966">
        <v>0</v>
      </c>
      <c r="AA100" s="966">
        <v>0</v>
      </c>
      <c r="AB100" s="969">
        <v>0</v>
      </c>
      <c r="AC100" s="969">
        <v>0</v>
      </c>
      <c r="AD100" s="969">
        <v>0</v>
      </c>
      <c r="AE100" s="264">
        <v>20</v>
      </c>
      <c r="AF100" s="264">
        <v>300</v>
      </c>
      <c r="AG100" s="264">
        <v>50</v>
      </c>
      <c r="AH100" s="264">
        <v>350</v>
      </c>
      <c r="AI100" s="973">
        <v>5</v>
      </c>
      <c r="AJ100" s="263">
        <v>20</v>
      </c>
      <c r="AK100" s="987">
        <v>350</v>
      </c>
      <c r="AL100" s="263">
        <f>VLOOKUP(Tableau1[[#This Row],[Code PAS]],'Facturation PAS RIN5 RUN'!C:F,4,0)</f>
        <v>48</v>
      </c>
      <c r="AM100" s="263"/>
      <c r="AN100" s="263" t="b">
        <f>ROUND(Tableau1[[#This Row],[Montant Options coûts récurrents]],0)=ROUND(Tableau1[[#This Row],[GTRS1 (Coût Plage de support 24h/24 7j/7)]],0)</f>
        <v>0</v>
      </c>
      <c r="AO100" s="265" t="e">
        <f>_xlfn.XLOOKUP(Tableau1[[#This Row],[Code PAS]],'parc SATIN 08012026v'!K:K,'parc SATIN 08012026v'!#REF!,0,0)</f>
        <v>#REF!</v>
      </c>
      <c r="AP100" s="263" t="e">
        <f>VLOOKUP(Tableau1[[#This Row],[Code PAS]],#REF!,3,0)</f>
        <v>#REF!</v>
      </c>
      <c r="AQ100" s="263" t="e">
        <f>VLOOKUP(Tableau1[[#This Row],[Code PAS]],[14]Feuil1!$B:$G,6,0)</f>
        <v>#N/A</v>
      </c>
      <c r="AR100" s="263" t="str">
        <f>_xlfn.XLOOKUP(Tableau1[[#This Row],[Code PAS]],'Facturation PAS RIN5 RUN'!C:C,'Facturation PAS RIN5 RUN'!B:B,0,0)</f>
        <v>Gold_20_20</v>
      </c>
      <c r="AS100" s="263" t="b">
        <f>Tableau1[[#This Row],[Etat facturation]]=Tableau1[[#This Row],[Index offre du fournisseur]]</f>
        <v>1</v>
      </c>
      <c r="AT100" s="250" t="str">
        <f>_xlfn.XLOOKUP(Tableau1[[#This Row],[Code PAS]],'parc SATIN 08012026v'!K:K,'parc SATIN 08012026v'!M:M,0,0)</f>
        <v>PARC</v>
      </c>
      <c r="AU100" s="250" t="str">
        <f>_xlfn.XLOOKUP(Tableau1[[#This Row],[Code PAS]],'parc SATIN 08012026v'!K:K,'parc SATIN 08012026v'!O:O,0,0)</f>
        <v>PARC</v>
      </c>
      <c r="AV100" s="251">
        <f>_xlfn.XLOOKUP(Tableau1[[#This Row],[Code PAS]],'parc SATIN 08012026v'!K:K,'parc SATIN 08012026v'!Q:Q,0,0)</f>
        <v>45735</v>
      </c>
      <c r="AW100" s="251" t="str">
        <f>_xlfn.XLOOKUP(Tableau1[[#This Row],[Code PAS]],'parc SATIN 08012026v'!K:K,'parc SATIN 08012026v'!S:S,0,0)</f>
        <v>change</v>
      </c>
      <c r="AX100" s="250" t="str">
        <f>_xlfn.XLOOKUP(Tableau1[[#This Row],[Code PAS]],'parc SATIN 08012026v'!K:K,'parc SATIN 08012026v'!AF:AF,0,0)</f>
        <v>20 Mb/s</v>
      </c>
      <c r="AY10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100" s="250" t="s">
        <v>2842</v>
      </c>
    </row>
    <row r="101" spans="1:52" s="250" customFormat="1" ht="15" customHeight="1" x14ac:dyDescent="0.3">
      <c r="A101" s="250" t="s">
        <v>2785</v>
      </c>
      <c r="C101" s="249"/>
      <c r="D101" s="249"/>
      <c r="E101" s="250" t="s">
        <v>3020</v>
      </c>
      <c r="F101" s="984" t="s">
        <v>2390</v>
      </c>
      <c r="H101" s="250" t="s">
        <v>2909</v>
      </c>
      <c r="J101" s="248" t="str">
        <f>_xlfn.XLOOKUP(Tableau1[[#This Row],[Code PAS]],'[13]Parc Satin'!$L:$L,'[13]Parc Satin'!$CK:$CK,0,0)</f>
        <v>Nominal C2E Fibre Secours C2E Fibre</v>
      </c>
      <c r="P101" s="820">
        <v>0</v>
      </c>
      <c r="Q101" s="820">
        <v>0</v>
      </c>
      <c r="R101" s="820">
        <v>0</v>
      </c>
      <c r="S101" s="820">
        <v>0</v>
      </c>
      <c r="T101" s="824">
        <v>979</v>
      </c>
      <c r="U101" s="824">
        <v>44</v>
      </c>
      <c r="V101" s="824">
        <v>40</v>
      </c>
      <c r="W101" s="824">
        <v>0</v>
      </c>
      <c r="X101" s="823">
        <f>Tableau1[[#This Row],[Coût Abonnement offre]]+Tableau1[[#This Row],[Coût Abonnement Chassis]]+Tableau1[[#This Row],[Cout Cartes interface ]]+Tableau1[[#This Row],[Cout canaux voix supplémentaire]]</f>
        <v>1063</v>
      </c>
      <c r="Y101" s="824">
        <v>0</v>
      </c>
      <c r="Z101" s="966">
        <v>0</v>
      </c>
      <c r="AA101" s="966">
        <v>0</v>
      </c>
      <c r="AB101" s="969">
        <v>0</v>
      </c>
      <c r="AC101" s="969">
        <v>0</v>
      </c>
      <c r="AD101" s="969">
        <v>0</v>
      </c>
      <c r="AE101" s="264">
        <v>10</v>
      </c>
      <c r="AF101" s="264">
        <v>120</v>
      </c>
      <c r="AG101" s="264">
        <v>60</v>
      </c>
      <c r="AH101" s="264">
        <v>180</v>
      </c>
      <c r="AI101" s="973">
        <v>5</v>
      </c>
      <c r="AJ101" s="263">
        <v>10</v>
      </c>
      <c r="AK101" s="987">
        <v>120</v>
      </c>
      <c r="AL101" s="263">
        <f>VLOOKUP(Tableau1[[#This Row],[Code PAS]],'Facturation PAS RIN5 RUN'!C:F,4,0)</f>
        <v>40</v>
      </c>
      <c r="AM101" s="263"/>
      <c r="AN101" s="263" t="b">
        <f>ROUND(Tableau1[[#This Row],[Montant Options coûts récurrents]],0)=ROUND(Tableau1[[#This Row],[GTRS1 (Coût Plage de support 24h/24 7j/7)]],0)</f>
        <v>0</v>
      </c>
      <c r="AO101" s="265" t="e">
        <f>_xlfn.XLOOKUP(Tableau1[[#This Row],[Code PAS]],'parc SATIN 08012026v'!K:K,'parc SATIN 08012026v'!#REF!,0,0)</f>
        <v>#REF!</v>
      </c>
      <c r="AP101" s="263" t="e">
        <f>VLOOKUP(Tableau1[[#This Row],[Code PAS]],#REF!,3,0)</f>
        <v>#REF!</v>
      </c>
      <c r="AQ101" s="263" t="e">
        <f>VLOOKUP(Tableau1[[#This Row],[Code PAS]],[14]Feuil1!$B:$G,6,0)</f>
        <v>#N/A</v>
      </c>
      <c r="AR101" s="263" t="str">
        <f>_xlfn.XLOOKUP(Tableau1[[#This Row],[Code PAS]],'Facturation PAS RIN5 RUN'!C:C,'Facturation PAS RIN5 RUN'!B:B,0,0)</f>
        <v>Silver_10_10</v>
      </c>
      <c r="AS101" s="263" t="b">
        <f>Tableau1[[#This Row],[Etat facturation]]=Tableau1[[#This Row],[Index offre du fournisseur]]</f>
        <v>1</v>
      </c>
      <c r="AT101" s="250" t="str">
        <f>_xlfn.XLOOKUP(Tableau1[[#This Row],[Code PAS]],'parc SATIN 08012026v'!K:K,'parc SATIN 08012026v'!M:M,0,0)</f>
        <v>PARC</v>
      </c>
      <c r="AU101" s="250" t="str">
        <f>_xlfn.XLOOKUP(Tableau1[[#This Row],[Code PAS]],'parc SATIN 08012026v'!K:K,'parc SATIN 08012026v'!O:O,0,0)</f>
        <v>PARC</v>
      </c>
      <c r="AV101" s="251">
        <f>_xlfn.XLOOKUP(Tableau1[[#This Row],[Code PAS]],'parc SATIN 08012026v'!K:K,'parc SATIN 08012026v'!Q:Q,0,0)</f>
        <v>44075</v>
      </c>
      <c r="AW101" s="251" t="str">
        <f>_xlfn.XLOOKUP(Tableau1[[#This Row],[Code PAS]],'parc SATIN 08012026v'!K:K,'parc SATIN 08012026v'!S:S,0,0)</f>
        <v>création</v>
      </c>
      <c r="AX101" s="250" t="str">
        <f>_xlfn.XLOOKUP(Tableau1[[#This Row],[Code PAS]],'parc SATIN 08012026v'!K:K,'parc SATIN 08012026v'!AF:AF,0,0)</f>
        <v>10 Mb/s</v>
      </c>
      <c r="AY10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101" s="250" t="s">
        <v>2868</v>
      </c>
    </row>
    <row r="102" spans="1:52" s="250" customFormat="1" ht="15" customHeight="1" x14ac:dyDescent="0.3">
      <c r="A102" s="250" t="s">
        <v>2785</v>
      </c>
      <c r="C102" s="249"/>
      <c r="D102" s="249"/>
      <c r="E102" s="250" t="s">
        <v>3021</v>
      </c>
      <c r="F102" s="984" t="s">
        <v>2299</v>
      </c>
      <c r="G102" s="250" t="s">
        <v>2765</v>
      </c>
      <c r="H102" s="250" t="s">
        <v>2765</v>
      </c>
      <c r="I102" s="250" t="s">
        <v>165</v>
      </c>
      <c r="J102" s="248" t="str">
        <f>_xlfn.XLOOKUP(Tableau1[[#This Row],[Code PAS]],'[13]Parc Satin'!$L:$L,'[13]Parc Satin'!$CK:$CK,0,0)</f>
        <v>Nominal C2E Fibre Secours C2E Fibre</v>
      </c>
      <c r="K102" s="250" t="s">
        <v>3022</v>
      </c>
      <c r="L102" s="250">
        <v>400</v>
      </c>
      <c r="M102" s="250">
        <v>150</v>
      </c>
      <c r="O102" s="250" t="s">
        <v>74</v>
      </c>
      <c r="P102" s="820">
        <v>0</v>
      </c>
      <c r="Q102" s="820">
        <v>0</v>
      </c>
      <c r="R102" s="820">
        <v>0</v>
      </c>
      <c r="S102" s="820">
        <v>0</v>
      </c>
      <c r="T102" s="824">
        <v>1249</v>
      </c>
      <c r="U102" s="824">
        <v>44</v>
      </c>
      <c r="V102" s="824">
        <v>40</v>
      </c>
      <c r="W102" s="824">
        <v>14</v>
      </c>
      <c r="X102" s="823">
        <f>Tableau1[[#This Row],[Coût Abonnement offre]]+Tableau1[[#This Row],[Coût Abonnement Chassis]]+Tableau1[[#This Row],[Cout Cartes interface ]]+Tableau1[[#This Row],[Cout canaux voix supplémentaire]]</f>
        <v>1347</v>
      </c>
      <c r="Y102" s="824">
        <v>0</v>
      </c>
      <c r="Z102" s="966">
        <v>0</v>
      </c>
      <c r="AA102" s="966">
        <v>0</v>
      </c>
      <c r="AB102" s="969">
        <v>0</v>
      </c>
      <c r="AC102" s="969">
        <v>0</v>
      </c>
      <c r="AD102" s="969">
        <v>0</v>
      </c>
      <c r="AE102" s="264">
        <v>30</v>
      </c>
      <c r="AF102" s="264">
        <v>400</v>
      </c>
      <c r="AG102" s="264">
        <v>150</v>
      </c>
      <c r="AH102" s="264">
        <v>550</v>
      </c>
      <c r="AI102" s="973">
        <v>14</v>
      </c>
      <c r="AJ102" s="263">
        <v>50</v>
      </c>
      <c r="AK102" s="987">
        <v>900</v>
      </c>
      <c r="AL102" s="263">
        <f>VLOOKUP(Tableau1[[#This Row],[Code PAS]],'Facturation PAS RIN5 RUN'!C:F,4,0)</f>
        <v>40</v>
      </c>
      <c r="AM102" s="263"/>
      <c r="AN102" s="263" t="b">
        <f>ROUND(Tableau1[[#This Row],[Montant Options coûts récurrents]],0)=ROUND(Tableau1[[#This Row],[GTRS1 (Coût Plage de support 24h/24 7j/7)]],0)</f>
        <v>0</v>
      </c>
      <c r="AO102" s="265" t="e">
        <f>_xlfn.XLOOKUP(Tableau1[[#This Row],[Code PAS]],'parc SATIN 08012026v'!K:K,'parc SATIN 08012026v'!#REF!,0,0)</f>
        <v>#REF!</v>
      </c>
      <c r="AP102" s="263" t="e">
        <f>VLOOKUP(Tableau1[[#This Row],[Code PAS]],#REF!,3,0)</f>
        <v>#REF!</v>
      </c>
      <c r="AQ102" s="263" t="e">
        <f>VLOOKUP(Tableau1[[#This Row],[Code PAS]],[14]Feuil1!$B:$G,6,0)</f>
        <v>#N/A</v>
      </c>
      <c r="AR102" s="263" t="str">
        <f>_xlfn.XLOOKUP(Tableau1[[#This Row],[Code PAS]],'Facturation PAS RIN5 RUN'!C:C,'Facturation PAS RIN5 RUN'!B:B,0,0)</f>
        <v>Gold_30_30</v>
      </c>
      <c r="AS102" s="263" t="b">
        <f>Tableau1[[#This Row],[Etat facturation]]=Tableau1[[#This Row],[Index offre du fournisseur]]</f>
        <v>1</v>
      </c>
      <c r="AT102" s="250" t="str">
        <f>_xlfn.XLOOKUP(Tableau1[[#This Row],[Code PAS]],'parc SATIN 08012026v'!K:K,'parc SATIN 08012026v'!M:M,0,0)</f>
        <v>PARC</v>
      </c>
      <c r="AU102" s="250" t="str">
        <f>_xlfn.XLOOKUP(Tableau1[[#This Row],[Code PAS]],'parc SATIN 08012026v'!K:K,'parc SATIN 08012026v'!O:O,0,0)</f>
        <v>EN COURS</v>
      </c>
      <c r="AV102" s="251">
        <f>_xlfn.XLOOKUP(Tableau1[[#This Row],[Code PAS]],'parc SATIN 08012026v'!K:K,'parc SATIN 08012026v'!Q:Q,0,0)</f>
        <v>0</v>
      </c>
      <c r="AW102" s="251" t="str">
        <f>_xlfn.XLOOKUP(Tableau1[[#This Row],[Code PAS]],'parc SATIN 08012026v'!K:K,'parc SATIN 08012026v'!S:S,0,0)</f>
        <v>change</v>
      </c>
      <c r="AX102" s="250" t="str">
        <f>_xlfn.XLOOKUP(Tableau1[[#This Row],[Code PAS]],'parc SATIN 08012026v'!K:K,'parc SATIN 08012026v'!AF:AF,0,0)</f>
        <v>50 Mb/s</v>
      </c>
      <c r="AY10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103" spans="1:52" s="250" customFormat="1" ht="15" customHeight="1" x14ac:dyDescent="0.3">
      <c r="A103" s="250" t="s">
        <v>2758</v>
      </c>
      <c r="E103" s="250" t="s">
        <v>3023</v>
      </c>
      <c r="F103" s="984" t="s">
        <v>2047</v>
      </c>
      <c r="G103" s="250" t="s">
        <v>2800</v>
      </c>
      <c r="H103" s="250" t="s">
        <v>2751</v>
      </c>
      <c r="J103" s="248" t="str">
        <f>_xlfn.XLOOKUP(Tableau1[[#This Row],[Code PAS]],'[13]Parc Satin'!$L:$L,'[13]Parc Satin'!$CK:$CK,0,0)</f>
        <v>Nominal C2E sans Secours</v>
      </c>
      <c r="P103" s="820">
        <v>0</v>
      </c>
      <c r="Q103" s="820">
        <v>0</v>
      </c>
      <c r="R103" s="820">
        <v>0</v>
      </c>
      <c r="S103" s="820">
        <v>0</v>
      </c>
      <c r="T103" s="824">
        <v>568</v>
      </c>
      <c r="U103" s="824">
        <v>22</v>
      </c>
      <c r="V103" s="824">
        <v>8</v>
      </c>
      <c r="W103" s="824">
        <v>0</v>
      </c>
      <c r="X103" s="823">
        <f>Tableau1[[#This Row],[Coût Abonnement offre]]+Tableau1[[#This Row],[Coût Abonnement Chassis]]+Tableau1[[#This Row],[Cout Cartes interface ]]+Tableau1[[#This Row],[Cout canaux voix supplémentaire]]</f>
        <v>598</v>
      </c>
      <c r="Y103" s="824">
        <v>0</v>
      </c>
      <c r="Z103" s="966">
        <v>0</v>
      </c>
      <c r="AA103" s="966">
        <v>0</v>
      </c>
      <c r="AB103" s="969">
        <v>0</v>
      </c>
      <c r="AC103" s="969">
        <v>0</v>
      </c>
      <c r="AD103" s="969">
        <v>0</v>
      </c>
      <c r="AE103" s="264">
        <v>10</v>
      </c>
      <c r="AF103" s="264">
        <v>120</v>
      </c>
      <c r="AG103" s="264">
        <v>60</v>
      </c>
      <c r="AH103" s="264">
        <v>180</v>
      </c>
      <c r="AI103" s="973">
        <v>5</v>
      </c>
      <c r="AJ103" s="263">
        <v>10</v>
      </c>
      <c r="AK103" s="987">
        <v>120</v>
      </c>
      <c r="AL103" s="263">
        <f>VLOOKUP(Tableau1[[#This Row],[Code PAS]],'Facturation PAS RIN5 RUN'!C:F,4,0)</f>
        <v>8</v>
      </c>
      <c r="AM103" s="263"/>
      <c r="AN103" s="263" t="b">
        <f>ROUND(Tableau1[[#This Row],[Montant Options coûts récurrents]],0)=ROUND(Tableau1[[#This Row],[GTRS1 (Coût Plage de support 24h/24 7j/7)]],0)</f>
        <v>0</v>
      </c>
      <c r="AO103" s="265" t="e">
        <f>_xlfn.XLOOKUP(Tableau1[[#This Row],[Code PAS]],'parc SATIN 08012026v'!K:K,'parc SATIN 08012026v'!#REF!,0,0)</f>
        <v>#REF!</v>
      </c>
      <c r="AP103" s="263" t="e">
        <f>VLOOKUP(Tableau1[[#This Row],[Code PAS]],#REF!,3,0)</f>
        <v>#REF!</v>
      </c>
      <c r="AQ103" s="263" t="e">
        <f>VLOOKUP(Tableau1[[#This Row],[Code PAS]],[14]Feuil1!$B:$G,6,0)</f>
        <v>#N/A</v>
      </c>
      <c r="AR103" s="263" t="str">
        <f>_xlfn.XLOOKUP(Tableau1[[#This Row],[Code PAS]],'Facturation PAS RIN5 RUN'!C:C,'Facturation PAS RIN5 RUN'!B:B,0,0)</f>
        <v>Bronze_10_0</v>
      </c>
      <c r="AS103" s="263" t="b">
        <f>Tableau1[[#This Row],[Etat facturation]]=Tableau1[[#This Row],[Index offre du fournisseur]]</f>
        <v>1</v>
      </c>
      <c r="AT103" s="250" t="str">
        <f>_xlfn.XLOOKUP(Tableau1[[#This Row],[Code PAS]],'parc SATIN 08012026v'!K:K,'parc SATIN 08012026v'!M:M,0,0)</f>
        <v>PARC</v>
      </c>
      <c r="AU103" s="250" t="str">
        <f>_xlfn.XLOOKUP(Tableau1[[#This Row],[Code PAS]],'parc SATIN 08012026v'!K:K,'parc SATIN 08012026v'!O:O,0,0)</f>
        <v>PARC</v>
      </c>
      <c r="AV103" s="251">
        <f>_xlfn.XLOOKUP(Tableau1[[#This Row],[Code PAS]],'parc SATIN 08012026v'!K:K,'parc SATIN 08012026v'!Q:Q,0,0)</f>
        <v>43861</v>
      </c>
      <c r="AW103" s="251" t="str">
        <f>_xlfn.XLOOKUP(Tableau1[[#This Row],[Code PAS]],'parc SATIN 08012026v'!K:K,'parc SATIN 08012026v'!S:S,0,0)</f>
        <v>change</v>
      </c>
      <c r="AX103" s="250" t="str">
        <f>_xlfn.XLOOKUP(Tableau1[[#This Row],[Code PAS]],'parc SATIN 08012026v'!K:K,'parc SATIN 08012026v'!AF:AF,0,0)</f>
        <v>10 Mb/s</v>
      </c>
      <c r="AY10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103" s="250" t="s">
        <v>2868</v>
      </c>
    </row>
    <row r="104" spans="1:52" s="250" customFormat="1" ht="15" customHeight="1" x14ac:dyDescent="0.3">
      <c r="A104" s="250" t="s">
        <v>2743</v>
      </c>
      <c r="C104" s="249"/>
      <c r="D104" s="249"/>
      <c r="E104" s="250" t="s">
        <v>3024</v>
      </c>
      <c r="F104" s="984" t="s">
        <v>1126</v>
      </c>
      <c r="G104" s="250" t="s">
        <v>2748</v>
      </c>
      <c r="H104" s="250" t="s">
        <v>2748</v>
      </c>
      <c r="I104" s="250" t="s">
        <v>78</v>
      </c>
      <c r="J104" s="248" t="str">
        <f>_xlfn.XLOOKUP(Tableau1[[#This Row],[Code PAS]],'[13]Parc Satin'!$L:$L,'[13]Parc Satin'!$CK:$CK,0,0)</f>
        <v>Nominal C2E Fibre Secours C2E Fibre</v>
      </c>
      <c r="K104" s="250" t="s">
        <v>2832</v>
      </c>
      <c r="L104" s="250">
        <v>300</v>
      </c>
      <c r="M104" s="250">
        <v>50</v>
      </c>
      <c r="N104" s="250">
        <v>1</v>
      </c>
      <c r="O104" s="250" t="s">
        <v>76</v>
      </c>
      <c r="P104" s="820">
        <v>0</v>
      </c>
      <c r="Q104" s="820">
        <v>0</v>
      </c>
      <c r="R104" s="820">
        <v>0</v>
      </c>
      <c r="S104" s="820">
        <v>0</v>
      </c>
      <c r="T104" s="824">
        <v>1149</v>
      </c>
      <c r="U104" s="824">
        <v>71</v>
      </c>
      <c r="V104" s="824">
        <v>32</v>
      </c>
      <c r="W104" s="824">
        <v>5</v>
      </c>
      <c r="X104" s="823">
        <f>Tableau1[[#This Row],[Coût Abonnement offre]]+Tableau1[[#This Row],[Coût Abonnement Chassis]]+Tableau1[[#This Row],[Cout Cartes interface ]]+Tableau1[[#This Row],[Cout canaux voix supplémentaire]]</f>
        <v>1257</v>
      </c>
      <c r="Y104" s="824">
        <v>66</v>
      </c>
      <c r="Z104" s="966">
        <v>0</v>
      </c>
      <c r="AA104" s="966">
        <v>0</v>
      </c>
      <c r="AB104" s="969">
        <v>0</v>
      </c>
      <c r="AC104" s="969">
        <v>0</v>
      </c>
      <c r="AD104" s="969">
        <v>0</v>
      </c>
      <c r="AE104" s="264">
        <v>20</v>
      </c>
      <c r="AF104" s="264">
        <v>300</v>
      </c>
      <c r="AG104" s="264">
        <v>50</v>
      </c>
      <c r="AH104" s="264">
        <v>350</v>
      </c>
      <c r="AI104" s="973">
        <v>5</v>
      </c>
      <c r="AJ104" s="263">
        <v>20</v>
      </c>
      <c r="AK104" s="987">
        <v>350</v>
      </c>
      <c r="AL104" s="263">
        <f>VLOOKUP(Tableau1[[#This Row],[Code PAS]],'Facturation PAS RIN5 RUN'!C:F,4,0)</f>
        <v>32</v>
      </c>
      <c r="AM104" s="263"/>
      <c r="AN104" s="263" t="b">
        <f>ROUND(Tableau1[[#This Row],[Montant Options coûts récurrents]],0)=ROUND(Tableau1[[#This Row],[GTRS1 (Coût Plage de support 24h/24 7j/7)]],0)</f>
        <v>0</v>
      </c>
      <c r="AO104" s="265" t="e">
        <f>_xlfn.XLOOKUP(Tableau1[[#This Row],[Code PAS]],'parc SATIN 08012026v'!K:K,'parc SATIN 08012026v'!#REF!,0,0)</f>
        <v>#REF!</v>
      </c>
      <c r="AP104" s="263" t="e">
        <f>VLOOKUP(Tableau1[[#This Row],[Code PAS]],#REF!,3,0)</f>
        <v>#REF!</v>
      </c>
      <c r="AQ104" s="263" t="e">
        <f>VLOOKUP(Tableau1[[#This Row],[Code PAS]],[14]Feuil1!$B:$G,6,0)</f>
        <v>#N/A</v>
      </c>
      <c r="AR104" s="263" t="str">
        <f>_xlfn.XLOOKUP(Tableau1[[#This Row],[Code PAS]],'Facturation PAS RIN5 RUN'!C:C,'Facturation PAS RIN5 RUN'!B:B,0,0)</f>
        <v>Gold_20_20</v>
      </c>
      <c r="AS104" s="263" t="b">
        <f>Tableau1[[#This Row],[Etat facturation]]=Tableau1[[#This Row],[Index offre du fournisseur]]</f>
        <v>1</v>
      </c>
      <c r="AT104" s="250" t="str">
        <f>_xlfn.XLOOKUP(Tableau1[[#This Row],[Code PAS]],'parc SATIN 08012026v'!K:K,'parc SATIN 08012026v'!M:M,0,0)</f>
        <v>PARC</v>
      </c>
      <c r="AU104" s="250" t="str">
        <f>_xlfn.XLOOKUP(Tableau1[[#This Row],[Code PAS]],'parc SATIN 08012026v'!K:K,'parc SATIN 08012026v'!O:O,0,0)</f>
        <v>PARC</v>
      </c>
      <c r="AV104" s="251">
        <f>_xlfn.XLOOKUP(Tableau1[[#This Row],[Code PAS]],'parc SATIN 08012026v'!K:K,'parc SATIN 08012026v'!Q:Q,0,0)</f>
        <v>45439</v>
      </c>
      <c r="AW104" s="251" t="str">
        <f>_xlfn.XLOOKUP(Tableau1[[#This Row],[Code PAS]],'parc SATIN 08012026v'!K:K,'parc SATIN 08012026v'!S:S,0,0)</f>
        <v>change</v>
      </c>
      <c r="AX104" s="250" t="str">
        <f>_xlfn.XLOOKUP(Tableau1[[#This Row],[Code PAS]],'parc SATIN 08012026v'!K:K,'parc SATIN 08012026v'!AF:AF,0,0)</f>
        <v>20 Mb/s</v>
      </c>
      <c r="AY10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05" spans="1:52" s="250" customFormat="1" ht="15" customHeight="1" x14ac:dyDescent="0.3">
      <c r="A105" s="250" t="s">
        <v>2743</v>
      </c>
      <c r="C105" s="249"/>
      <c r="D105" s="249">
        <v>45735</v>
      </c>
      <c r="E105" s="250" t="s">
        <v>3025</v>
      </c>
      <c r="F105" s="984" t="s">
        <v>1117</v>
      </c>
      <c r="G105" s="250" t="s">
        <v>2813</v>
      </c>
      <c r="H105" s="250" t="s">
        <v>2813</v>
      </c>
      <c r="I105" s="250" t="s">
        <v>78</v>
      </c>
      <c r="J105" s="248"/>
      <c r="L105" s="250">
        <v>300</v>
      </c>
      <c r="M105" s="250">
        <v>50</v>
      </c>
      <c r="P105" s="820">
        <v>0</v>
      </c>
      <c r="Q105" s="820">
        <v>0</v>
      </c>
      <c r="R105" s="820">
        <v>0</v>
      </c>
      <c r="S105" s="820">
        <v>0</v>
      </c>
      <c r="T105" s="824">
        <v>1149</v>
      </c>
      <c r="U105" s="824">
        <v>71</v>
      </c>
      <c r="V105" s="824">
        <v>48</v>
      </c>
      <c r="W105" s="824">
        <v>5</v>
      </c>
      <c r="X105" s="823">
        <v>1271.9564263010345</v>
      </c>
      <c r="Y105" s="824">
        <v>0</v>
      </c>
      <c r="Z105" s="966">
        <v>0</v>
      </c>
      <c r="AA105" s="966">
        <v>0</v>
      </c>
      <c r="AB105" s="969">
        <v>0</v>
      </c>
      <c r="AC105" s="969">
        <v>0</v>
      </c>
      <c r="AD105" s="969">
        <v>0</v>
      </c>
      <c r="AE105" s="264">
        <v>20</v>
      </c>
      <c r="AF105" s="264">
        <v>300</v>
      </c>
      <c r="AG105" s="264">
        <v>50</v>
      </c>
      <c r="AH105" s="264">
        <v>350</v>
      </c>
      <c r="AI105" s="973">
        <v>5</v>
      </c>
      <c r="AJ105" s="263">
        <v>20</v>
      </c>
      <c r="AK105" s="987">
        <v>350</v>
      </c>
      <c r="AL105" s="263">
        <f>VLOOKUP(Tableau1[[#This Row],[Code PAS]],'Facturation PAS RIN5 RUN'!C:F,4,0)</f>
        <v>48</v>
      </c>
      <c r="AM105" s="263"/>
      <c r="AN105" s="263" t="b">
        <f>ROUND(Tableau1[[#This Row],[Montant Options coûts récurrents]],0)=ROUND(Tableau1[[#This Row],[GTRS1 (Coût Plage de support 24h/24 7j/7)]],0)</f>
        <v>0</v>
      </c>
      <c r="AO105" s="265" t="e">
        <f>_xlfn.XLOOKUP(Tableau1[[#This Row],[Code PAS]],'parc SATIN 08012026v'!K:K,'parc SATIN 08012026v'!#REF!,0,0)</f>
        <v>#REF!</v>
      </c>
      <c r="AP105" s="263" t="e">
        <f>VLOOKUP(Tableau1[[#This Row],[Code PAS]],#REF!,3,0)</f>
        <v>#REF!</v>
      </c>
      <c r="AQ105" s="263" t="e">
        <f>VLOOKUP(Tableau1[[#This Row],[Code PAS]],[14]Feuil1!$B:$G,6,0)</f>
        <v>#N/A</v>
      </c>
      <c r="AR105" s="263" t="str">
        <f>_xlfn.XLOOKUP(Tableau1[[#This Row],[Code PAS]],'Facturation PAS RIN5 RUN'!C:C,'Facturation PAS RIN5 RUN'!B:B,0,0)</f>
        <v>Silver_20_20</v>
      </c>
      <c r="AS105" s="263" t="b">
        <f>Tableau1[[#This Row],[Etat facturation]]=Tableau1[[#This Row],[Index offre du fournisseur]]</f>
        <v>1</v>
      </c>
      <c r="AT105" s="250" t="str">
        <f>_xlfn.XLOOKUP(Tableau1[[#This Row],[Code PAS]],'parc SATIN 08012026v'!K:K,'parc SATIN 08012026v'!M:M,0,0)</f>
        <v>PARC</v>
      </c>
      <c r="AU105" s="250" t="str">
        <f>_xlfn.XLOOKUP(Tableau1[[#This Row],[Code PAS]],'parc SATIN 08012026v'!K:K,'parc SATIN 08012026v'!O:O,0,0)</f>
        <v>PARC</v>
      </c>
      <c r="AV105" s="251">
        <f>_xlfn.XLOOKUP(Tableau1[[#This Row],[Code PAS]],'parc SATIN 08012026v'!K:K,'parc SATIN 08012026v'!Q:Q,0,0)</f>
        <v>45735</v>
      </c>
      <c r="AW105" s="251" t="str">
        <f>_xlfn.XLOOKUP(Tableau1[[#This Row],[Code PAS]],'parc SATIN 08012026v'!K:K,'parc SATIN 08012026v'!S:S,0,0)</f>
        <v>change</v>
      </c>
      <c r="AX105" s="250" t="str">
        <f>_xlfn.XLOOKUP(Tableau1[[#This Row],[Code PAS]],'parc SATIN 08012026v'!K:K,'parc SATIN 08012026v'!AF:AF,0,0)</f>
        <v>20 Mb/s</v>
      </c>
      <c r="AY10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105" s="250" t="s">
        <v>2842</v>
      </c>
    </row>
    <row r="106" spans="1:52" s="250" customFormat="1" ht="15" customHeight="1" x14ac:dyDescent="0.3">
      <c r="A106" s="250" t="s">
        <v>2743</v>
      </c>
      <c r="C106" s="249"/>
      <c r="D106" s="249"/>
      <c r="E106" s="250" t="s">
        <v>3026</v>
      </c>
      <c r="F106" s="984" t="s">
        <v>1968</v>
      </c>
      <c r="H106" s="250" t="s">
        <v>2953</v>
      </c>
      <c r="J106" s="248" t="str">
        <f>_xlfn.XLOOKUP(Tableau1[[#This Row],[Code PAS]],'[13]Parc Satin'!$L:$L,'[13]Parc Satin'!$CK:$CK,0,0)</f>
        <v>Nominal InterLan 1.0 Secours InterLan 1.0</v>
      </c>
      <c r="P106" s="820">
        <v>2700</v>
      </c>
      <c r="Q106" s="820">
        <v>0</v>
      </c>
      <c r="R106" s="820">
        <v>0</v>
      </c>
      <c r="S106" s="820">
        <v>0</v>
      </c>
      <c r="T106" s="824">
        <v>2266</v>
      </c>
      <c r="U106" s="824">
        <v>299</v>
      </c>
      <c r="V106" s="824">
        <v>64</v>
      </c>
      <c r="W106" s="824">
        <v>414</v>
      </c>
      <c r="X106" s="823">
        <f>Tableau1[[#This Row],[Coût Abonnement offre]]+Tableau1[[#This Row],[Coût Abonnement Chassis]]+Tableau1[[#This Row],[Cout Cartes interface ]]+Tableau1[[#This Row],[Cout canaux voix supplémentaire]]</f>
        <v>3043</v>
      </c>
      <c r="Y106" s="824">
        <v>66</v>
      </c>
      <c r="Z106" s="966">
        <v>0</v>
      </c>
      <c r="AA106" s="966">
        <v>0</v>
      </c>
      <c r="AB106" s="969">
        <v>0</v>
      </c>
      <c r="AC106" s="969">
        <v>0</v>
      </c>
      <c r="AD106" s="969">
        <v>0</v>
      </c>
      <c r="AE106" s="264">
        <v>300</v>
      </c>
      <c r="AF106" s="264">
        <v>900</v>
      </c>
      <c r="AG106" s="264">
        <v>4600</v>
      </c>
      <c r="AH106" s="264">
        <v>5500</v>
      </c>
      <c r="AI106" s="973">
        <v>414</v>
      </c>
      <c r="AJ106" s="263">
        <v>300</v>
      </c>
      <c r="AK106" s="987">
        <v>5500</v>
      </c>
      <c r="AL106" s="263">
        <f>VLOOKUP(Tableau1[[#This Row],[Code PAS]],'Facturation PAS RIN5 RUN'!C:F,4,0)</f>
        <v>64</v>
      </c>
      <c r="AM106" s="263"/>
      <c r="AN106" s="263" t="b">
        <f>ROUND(Tableau1[[#This Row],[Montant Options coûts récurrents]],0)=ROUND(Tableau1[[#This Row],[GTRS1 (Coût Plage de support 24h/24 7j/7)]],0)</f>
        <v>0</v>
      </c>
      <c r="AO106" s="265" t="e">
        <f>_xlfn.XLOOKUP(Tableau1[[#This Row],[Code PAS]],'parc SATIN 08012026v'!K:K,'parc SATIN 08012026v'!#REF!,0,0)</f>
        <v>#REF!</v>
      </c>
      <c r="AP106" s="263" t="e">
        <f>VLOOKUP(Tableau1[[#This Row],[Code PAS]],#REF!,3,0)</f>
        <v>#REF!</v>
      </c>
      <c r="AQ106" s="263" t="e">
        <f>VLOOKUP(Tableau1[[#This Row],[Code PAS]],[14]Feuil1!$B:$G,6,0)</f>
        <v>#N/A</v>
      </c>
      <c r="AR106" s="263" t="str">
        <f>_xlfn.XLOOKUP(Tableau1[[#This Row],[Code PAS]],'Facturation PAS RIN5 RUN'!C:C,'Facturation PAS RIN5 RUN'!B:B,0,0)</f>
        <v>Platinum_300_300</v>
      </c>
      <c r="AS106" s="263" t="b">
        <f>Tableau1[[#This Row],[Etat facturation]]=Tableau1[[#This Row],[Index offre du fournisseur]]</f>
        <v>1</v>
      </c>
      <c r="AT106" s="250" t="str">
        <f>_xlfn.XLOOKUP(Tableau1[[#This Row],[Code PAS]],'parc SATIN 08012026v'!K:K,'parc SATIN 08012026v'!M:M,0,0)</f>
        <v>PARC</v>
      </c>
      <c r="AU106" s="250" t="str">
        <f>_xlfn.XLOOKUP(Tableau1[[#This Row],[Code PAS]],'parc SATIN 08012026v'!K:K,'parc SATIN 08012026v'!O:O,0,0)</f>
        <v>PARC</v>
      </c>
      <c r="AV106" s="251">
        <f>_xlfn.XLOOKUP(Tableau1[[#This Row],[Code PAS]],'parc SATIN 08012026v'!K:K,'parc SATIN 08012026v'!Q:Q,0,0)</f>
        <v>43861</v>
      </c>
      <c r="AW106" s="251" t="str">
        <f>_xlfn.XLOOKUP(Tableau1[[#This Row],[Code PAS]],'parc SATIN 08012026v'!K:K,'parc SATIN 08012026v'!S:S,0,0)</f>
        <v>création</v>
      </c>
      <c r="AX106" s="250" t="str">
        <f>_xlfn.XLOOKUP(Tableau1[[#This Row],[Code PAS]],'parc SATIN 08012026v'!K:K,'parc SATIN 08012026v'!AF:AF,0,0)</f>
        <v>300 Mbits/s</v>
      </c>
      <c r="AY10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300</v>
      </c>
    </row>
    <row r="107" spans="1:52" s="250" customFormat="1" ht="15" customHeight="1" x14ac:dyDescent="0.3">
      <c r="A107" s="250" t="s">
        <v>2758</v>
      </c>
      <c r="C107" s="249"/>
      <c r="D107" s="249"/>
      <c r="E107" s="250" t="s">
        <v>3027</v>
      </c>
      <c r="F107" s="984" t="s">
        <v>1458</v>
      </c>
      <c r="G107" s="250" t="s">
        <v>2748</v>
      </c>
      <c r="H107" s="250" t="s">
        <v>2748</v>
      </c>
      <c r="I107" s="250" t="s">
        <v>78</v>
      </c>
      <c r="J107" s="248" t="str">
        <f>_xlfn.XLOOKUP(Tableau1[[#This Row],[Code PAS]],'[13]Parc Satin'!$L:$L,'[13]Parc Satin'!$CK:$CK,0,0)</f>
        <v>Nominal InterLan 1.0 Secours InterLan 1.0</v>
      </c>
      <c r="K107" s="248" t="s">
        <v>2829</v>
      </c>
      <c r="L107" s="250">
        <v>300</v>
      </c>
      <c r="M107" s="250">
        <v>50</v>
      </c>
      <c r="N107" s="250">
        <v>1</v>
      </c>
      <c r="O107" s="250" t="s">
        <v>74</v>
      </c>
      <c r="P107" s="824">
        <v>0</v>
      </c>
      <c r="Q107" s="824">
        <v>0</v>
      </c>
      <c r="R107" s="824">
        <v>0</v>
      </c>
      <c r="S107" s="824">
        <v>0</v>
      </c>
      <c r="T107" s="824">
        <v>1149</v>
      </c>
      <c r="U107" s="824">
        <v>71</v>
      </c>
      <c r="V107" s="824">
        <v>46</v>
      </c>
      <c r="W107" s="824">
        <v>5</v>
      </c>
      <c r="X107" s="824">
        <f>Tableau1[[#This Row],[Coût Abonnement offre]]+Tableau1[[#This Row],[Coût Abonnement Chassis]]+Tableau1[[#This Row],[Cout Cartes interface ]]+Tableau1[[#This Row],[Cout canaux voix supplémentaire]]</f>
        <v>1271</v>
      </c>
      <c r="Y107" s="824">
        <v>0</v>
      </c>
      <c r="Z107" s="966">
        <v>0</v>
      </c>
      <c r="AA107" s="966">
        <v>0</v>
      </c>
      <c r="AB107" s="969">
        <v>0</v>
      </c>
      <c r="AC107" s="969">
        <v>0</v>
      </c>
      <c r="AD107" s="969">
        <v>0</v>
      </c>
      <c r="AE107" s="264">
        <v>20</v>
      </c>
      <c r="AF107" s="264">
        <v>300</v>
      </c>
      <c r="AG107" s="264">
        <v>50</v>
      </c>
      <c r="AH107" s="264">
        <v>350</v>
      </c>
      <c r="AI107" s="973">
        <v>5</v>
      </c>
      <c r="AJ107" s="263">
        <v>20</v>
      </c>
      <c r="AK107" s="987">
        <v>350</v>
      </c>
      <c r="AL107" s="263">
        <f>VLOOKUP(Tableau1[[#This Row],[Code PAS]],'Facturation PAS RIN5 RUN'!C:F,4,0)</f>
        <v>46</v>
      </c>
      <c r="AM107" s="263"/>
      <c r="AN107" s="263" t="b">
        <f>ROUND(Tableau1[[#This Row],[Montant Options coûts récurrents]],0)=ROUND(Tableau1[[#This Row],[GTRS1 (Coût Plage de support 24h/24 7j/7)]],0)</f>
        <v>0</v>
      </c>
      <c r="AO107" s="265" t="e">
        <f>_xlfn.XLOOKUP(Tableau1[[#This Row],[Code PAS]],'parc SATIN 08012026v'!K:K,'parc SATIN 08012026v'!#REF!,0,0)</f>
        <v>#REF!</v>
      </c>
      <c r="AP107" s="263" t="e">
        <f>VLOOKUP(Tableau1[[#This Row],[Code PAS]],#REF!,3,0)</f>
        <v>#REF!</v>
      </c>
      <c r="AQ107" s="263" t="e">
        <f>VLOOKUP(Tableau1[[#This Row],[Code PAS]],[14]Feuil1!$B:$G,6,0)</f>
        <v>#N/A</v>
      </c>
      <c r="AR107" s="263" t="str">
        <f>_xlfn.XLOOKUP(Tableau1[[#This Row],[Code PAS]],'Facturation PAS RIN5 RUN'!C:C,'Facturation PAS RIN5 RUN'!B:B,0,0)</f>
        <v>Gold_20_20</v>
      </c>
      <c r="AS107" s="263" t="b">
        <f>Tableau1[[#This Row],[Etat facturation]]=Tableau1[[#This Row],[Index offre du fournisseur]]</f>
        <v>1</v>
      </c>
      <c r="AT107" s="250" t="str">
        <f>_xlfn.XLOOKUP(Tableau1[[#This Row],[Code PAS]],'parc SATIN 08012026v'!K:K,'parc SATIN 08012026v'!M:M,0,0)</f>
        <v>PARC</v>
      </c>
      <c r="AU107" s="250" t="str">
        <f>_xlfn.XLOOKUP(Tableau1[[#This Row],[Code PAS]],'parc SATIN 08012026v'!K:K,'parc SATIN 08012026v'!O:O,0,0)</f>
        <v>PARC</v>
      </c>
      <c r="AV107" s="251">
        <f>_xlfn.XLOOKUP(Tableau1[[#This Row],[Code PAS]],'parc SATIN 08012026v'!K:K,'parc SATIN 08012026v'!Q:Q,0,0)</f>
        <v>45625</v>
      </c>
      <c r="AW107" s="251" t="str">
        <f>_xlfn.XLOOKUP(Tableau1[[#This Row],[Code PAS]],'parc SATIN 08012026v'!K:K,'parc SATIN 08012026v'!S:S,0,0)</f>
        <v>change</v>
      </c>
      <c r="AX107" s="250" t="str">
        <f>_xlfn.XLOOKUP(Tableau1[[#This Row],[Code PAS]],'parc SATIN 08012026v'!K:K,'parc SATIN 08012026v'!AF:AF,0,0)</f>
        <v>20 Mb/s</v>
      </c>
      <c r="AY10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08" spans="1:52" s="250" customFormat="1" ht="15" customHeight="1" x14ac:dyDescent="0.3">
      <c r="A108" s="250" t="s">
        <v>2743</v>
      </c>
      <c r="C108" s="249"/>
      <c r="D108" s="249"/>
      <c r="E108" s="250" t="s">
        <v>3028</v>
      </c>
      <c r="F108" s="984" t="s">
        <v>2013</v>
      </c>
      <c r="H108" s="250" t="s">
        <v>2748</v>
      </c>
      <c r="J108" s="248" t="str">
        <f>_xlfn.XLOOKUP(Tableau1[[#This Row],[Code PAS]],'[13]Parc Satin'!$L:$L,'[13]Parc Satin'!$CK:$CK,0,0)</f>
        <v>Nominal C2E Fibre Secours C2E Fibre</v>
      </c>
      <c r="P108" s="820">
        <v>0</v>
      </c>
      <c r="Q108" s="820">
        <v>0</v>
      </c>
      <c r="R108" s="820">
        <v>0</v>
      </c>
      <c r="S108" s="820">
        <v>0</v>
      </c>
      <c r="T108" s="824">
        <v>1149</v>
      </c>
      <c r="U108" s="824">
        <v>44</v>
      </c>
      <c r="V108" s="824">
        <v>32</v>
      </c>
      <c r="W108" s="824">
        <v>0</v>
      </c>
      <c r="X108" s="823">
        <f>Tableau1[[#This Row],[Coût Abonnement offre]]+Tableau1[[#This Row],[Coût Abonnement Chassis]]+Tableau1[[#This Row],[Cout Cartes interface ]]+Tableau1[[#This Row],[Cout canaux voix supplémentaire]]</f>
        <v>1225</v>
      </c>
      <c r="Y108" s="824">
        <v>0</v>
      </c>
      <c r="Z108" s="966">
        <v>0</v>
      </c>
      <c r="AA108" s="966">
        <v>0</v>
      </c>
      <c r="AB108" s="969">
        <v>0</v>
      </c>
      <c r="AC108" s="969">
        <v>0</v>
      </c>
      <c r="AD108" s="969">
        <v>0</v>
      </c>
      <c r="AE108" s="264">
        <v>20</v>
      </c>
      <c r="AF108" s="264">
        <v>300</v>
      </c>
      <c r="AG108" s="264">
        <v>50</v>
      </c>
      <c r="AH108" s="264">
        <v>350</v>
      </c>
      <c r="AI108" s="973">
        <v>5</v>
      </c>
      <c r="AJ108" s="263">
        <v>20</v>
      </c>
      <c r="AK108" s="987">
        <v>300</v>
      </c>
      <c r="AL108" s="263">
        <f>VLOOKUP(Tableau1[[#This Row],[Code PAS]],'Facturation PAS RIN5 RUN'!C:F,4,0)</f>
        <v>32</v>
      </c>
      <c r="AM108" s="263"/>
      <c r="AN108" s="263" t="b">
        <f>ROUND(Tableau1[[#This Row],[Montant Options coûts récurrents]],0)=ROUND(Tableau1[[#This Row],[GTRS1 (Coût Plage de support 24h/24 7j/7)]],0)</f>
        <v>0</v>
      </c>
      <c r="AO108" s="265" t="e">
        <f>_xlfn.XLOOKUP(Tableau1[[#This Row],[Code PAS]],'parc SATIN 08012026v'!K:K,'parc SATIN 08012026v'!#REF!,0,0)</f>
        <v>#REF!</v>
      </c>
      <c r="AP108" s="263" t="e">
        <f>VLOOKUP(Tableau1[[#This Row],[Code PAS]],#REF!,3,0)</f>
        <v>#REF!</v>
      </c>
      <c r="AQ108" s="263" t="e">
        <f>VLOOKUP(Tableau1[[#This Row],[Code PAS]],[14]Feuil1!$B:$G,6,0)</f>
        <v>#N/A</v>
      </c>
      <c r="AR108" s="263" t="str">
        <f>_xlfn.XLOOKUP(Tableau1[[#This Row],[Code PAS]],'Facturation PAS RIN5 RUN'!C:C,'Facturation PAS RIN5 RUN'!B:B,0,0)</f>
        <v>Gold_20_20</v>
      </c>
      <c r="AS108" s="263" t="b">
        <f>Tableau1[[#This Row],[Etat facturation]]=Tableau1[[#This Row],[Index offre du fournisseur]]</f>
        <v>1</v>
      </c>
      <c r="AT108" s="250" t="str">
        <f>_xlfn.XLOOKUP(Tableau1[[#This Row],[Code PAS]],'parc SATIN 08012026v'!K:K,'parc SATIN 08012026v'!M:M,0,0)</f>
        <v>PARC</v>
      </c>
      <c r="AU108" s="250" t="str">
        <f>_xlfn.XLOOKUP(Tableau1[[#This Row],[Code PAS]],'parc SATIN 08012026v'!K:K,'parc SATIN 08012026v'!O:O,0,0)</f>
        <v>PARC</v>
      </c>
      <c r="AV108" s="251">
        <f>_xlfn.XLOOKUP(Tableau1[[#This Row],[Code PAS]],'parc SATIN 08012026v'!K:K,'parc SATIN 08012026v'!Q:Q,0,0)</f>
        <v>43915</v>
      </c>
      <c r="AW108" s="251" t="str">
        <f>_xlfn.XLOOKUP(Tableau1[[#This Row],[Code PAS]],'parc SATIN 08012026v'!K:K,'parc SATIN 08012026v'!S:S,0,0)</f>
        <v>change</v>
      </c>
      <c r="AX108" s="250" t="str">
        <f>_xlfn.XLOOKUP(Tableau1[[#This Row],[Code PAS]],'parc SATIN 08012026v'!K:K,'parc SATIN 08012026v'!AF:AF,0,0)</f>
        <v>20 Mb/s</v>
      </c>
      <c r="AY10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108" s="250" t="s">
        <v>2868</v>
      </c>
    </row>
    <row r="109" spans="1:52" s="250" customFormat="1" ht="15" customHeight="1" x14ac:dyDescent="0.3">
      <c r="A109" s="248" t="s">
        <v>2735</v>
      </c>
      <c r="B109" s="248"/>
      <c r="C109" s="249"/>
      <c r="D109" s="249"/>
      <c r="E109" s="248" t="s">
        <v>3029</v>
      </c>
      <c r="F109" s="981" t="s">
        <v>414</v>
      </c>
      <c r="H109" s="248" t="s">
        <v>2784</v>
      </c>
      <c r="I109" s="248"/>
      <c r="J109" s="248" t="str">
        <f>_xlfn.XLOOKUP(Tableau1[[#This Row],[Code PAS]],'[13]Parc Satin'!$L:$L,'[13]Parc Satin'!$CK:$CK,0,0)</f>
        <v>Nominal InterLan 1.0 Secours InterLan 1.0</v>
      </c>
      <c r="K109" s="248"/>
      <c r="L109" s="248"/>
      <c r="M109" s="248"/>
      <c r="N109" s="248"/>
      <c r="O109" s="248"/>
      <c r="P109" s="822">
        <v>0</v>
      </c>
      <c r="Q109" s="822">
        <v>0</v>
      </c>
      <c r="R109" s="822">
        <v>0</v>
      </c>
      <c r="S109" s="822">
        <v>0</v>
      </c>
      <c r="T109" s="823">
        <v>1454</v>
      </c>
      <c r="U109" s="823">
        <v>165</v>
      </c>
      <c r="V109" s="823">
        <v>16</v>
      </c>
      <c r="W109" s="823">
        <v>36</v>
      </c>
      <c r="X109" s="823">
        <f>Tableau1[[#This Row],[Coût Abonnement offre]]+Tableau1[[#This Row],[Coût Abonnement Chassis]]+Tableau1[[#This Row],[Cout Cartes interface ]]+Tableau1[[#This Row],[Cout canaux voix supplémentaire]]</f>
        <v>1671</v>
      </c>
      <c r="Y109" s="823">
        <v>0</v>
      </c>
      <c r="Z109" s="966">
        <v>0</v>
      </c>
      <c r="AA109" s="966">
        <v>0</v>
      </c>
      <c r="AB109" s="969">
        <v>0</v>
      </c>
      <c r="AC109" s="969">
        <v>0</v>
      </c>
      <c r="AD109" s="969">
        <v>0</v>
      </c>
      <c r="AE109" s="264">
        <v>50</v>
      </c>
      <c r="AF109" s="264">
        <v>500</v>
      </c>
      <c r="AG109" s="264">
        <v>400</v>
      </c>
      <c r="AH109" s="264">
        <v>900</v>
      </c>
      <c r="AI109" s="973">
        <v>36</v>
      </c>
      <c r="AJ109" s="263">
        <v>50</v>
      </c>
      <c r="AK109" s="987">
        <v>900</v>
      </c>
      <c r="AL109" s="263">
        <f>VLOOKUP(Tableau1[[#This Row],[Code PAS]],'Facturation PAS RIN5 RUN'!C:F,4,0)</f>
        <v>16</v>
      </c>
      <c r="AM109" s="263"/>
      <c r="AN109" s="263" t="b">
        <f>ROUND(Tableau1[[#This Row],[Montant Options coûts récurrents]],0)=ROUND(Tableau1[[#This Row],[GTRS1 (Coût Plage de support 24h/24 7j/7)]],0)</f>
        <v>0</v>
      </c>
      <c r="AO109" s="265" t="e">
        <f>_xlfn.XLOOKUP(Tableau1[[#This Row],[Code PAS]],'parc SATIN 08012026v'!K:K,'parc SATIN 08012026v'!#REF!,0,0)</f>
        <v>#REF!</v>
      </c>
      <c r="AP109" s="263" t="e">
        <f>VLOOKUP(Tableau1[[#This Row],[Code PAS]],#REF!,3,0)</f>
        <v>#REF!</v>
      </c>
      <c r="AQ109" s="263" t="e">
        <f>VLOOKUP(Tableau1[[#This Row],[Code PAS]],[14]Feuil1!$B:$G,6,0)</f>
        <v>#N/A</v>
      </c>
      <c r="AR109" s="263" t="str">
        <f>_xlfn.XLOOKUP(Tableau1[[#This Row],[Code PAS]],'Facturation PAS RIN5 RUN'!C:C,'Facturation PAS RIN5 RUN'!B:B,0,0)</f>
        <v>Gold_50_50</v>
      </c>
      <c r="AS109" s="263" t="b">
        <f>Tableau1[[#This Row],[Etat facturation]]=Tableau1[[#This Row],[Index offre du fournisseur]]</f>
        <v>1</v>
      </c>
      <c r="AT109" s="250" t="str">
        <f>_xlfn.XLOOKUP(Tableau1[[#This Row],[Code PAS]],'parc SATIN 08012026v'!K:K,'parc SATIN 08012026v'!M:M,0,0)</f>
        <v>PARC</v>
      </c>
      <c r="AU109" s="250" t="str">
        <f>_xlfn.XLOOKUP(Tableau1[[#This Row],[Code PAS]],'parc SATIN 08012026v'!K:K,'parc SATIN 08012026v'!O:O,0,0)</f>
        <v>PARC</v>
      </c>
      <c r="AV109" s="251">
        <f>_xlfn.XLOOKUP(Tableau1[[#This Row],[Code PAS]],'parc SATIN 08012026v'!K:K,'parc SATIN 08012026v'!Q:Q,0,0)</f>
        <v>43817</v>
      </c>
      <c r="AW109" s="251" t="str">
        <f>_xlfn.XLOOKUP(Tableau1[[#This Row],[Code PAS]],'parc SATIN 08012026v'!K:K,'parc SATIN 08012026v'!S:S,0,0)</f>
        <v>change</v>
      </c>
      <c r="AX109" s="250" t="str">
        <f>_xlfn.XLOOKUP(Tableau1[[#This Row],[Code PAS]],'parc SATIN 08012026v'!K:K,'parc SATIN 08012026v'!AF:AF,0,0)</f>
        <v>50 Mb/s</v>
      </c>
      <c r="AY10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10" spans="1:52" s="250" customFormat="1" ht="15" customHeight="1" x14ac:dyDescent="0.3">
      <c r="A110" s="250" t="s">
        <v>2758</v>
      </c>
      <c r="C110" s="249"/>
      <c r="D110" s="249"/>
      <c r="E110" s="250" t="s">
        <v>3030</v>
      </c>
      <c r="F110" s="984" t="s">
        <v>2140</v>
      </c>
      <c r="G110" s="250" t="s">
        <v>2884</v>
      </c>
      <c r="H110" s="250" t="s">
        <v>2884</v>
      </c>
      <c r="I110" s="250" t="s">
        <v>165</v>
      </c>
      <c r="J110" s="248" t="str">
        <f>_xlfn.XLOOKUP(Tableau1[[#This Row],[Code PAS]],'[13]Parc Satin'!$L:$L,'[13]Parc Satin'!$CK:$CK,0,0)</f>
        <v>Nominal C2E Fibre Secours C2E Fibre</v>
      </c>
      <c r="K110" s="250" t="s">
        <v>2850</v>
      </c>
      <c r="L110" s="250">
        <v>200</v>
      </c>
      <c r="M110" s="250">
        <v>60</v>
      </c>
      <c r="N110" s="250">
        <v>1</v>
      </c>
      <c r="O110" s="250" t="s">
        <v>74</v>
      </c>
      <c r="P110" s="820">
        <v>0</v>
      </c>
      <c r="Q110" s="820">
        <v>0</v>
      </c>
      <c r="R110" s="820">
        <v>0</v>
      </c>
      <c r="S110" s="820">
        <v>0</v>
      </c>
      <c r="T110" s="824">
        <v>1027</v>
      </c>
      <c r="U110" s="824">
        <v>44</v>
      </c>
      <c r="V110" s="824">
        <v>40</v>
      </c>
      <c r="W110" s="824">
        <v>5</v>
      </c>
      <c r="X110" s="823">
        <f>Tableau1[[#This Row],[Coût Abonnement offre]]+Tableau1[[#This Row],[Coût Abonnement Chassis]]+Tableau1[[#This Row],[Cout Cartes interface ]]+Tableau1[[#This Row],[Cout canaux voix supplémentaire]]</f>
        <v>1116</v>
      </c>
      <c r="Y110" s="824">
        <v>0</v>
      </c>
      <c r="Z110" s="966">
        <v>0</v>
      </c>
      <c r="AA110" s="966">
        <v>0</v>
      </c>
      <c r="AB110" s="969">
        <v>0</v>
      </c>
      <c r="AC110" s="969">
        <v>0</v>
      </c>
      <c r="AD110" s="969">
        <v>0</v>
      </c>
      <c r="AE110" s="264">
        <v>15</v>
      </c>
      <c r="AF110" s="264">
        <v>200</v>
      </c>
      <c r="AG110" s="264">
        <v>60</v>
      </c>
      <c r="AH110" s="264">
        <v>260</v>
      </c>
      <c r="AI110" s="973">
        <v>5</v>
      </c>
      <c r="AJ110" s="263">
        <v>15</v>
      </c>
      <c r="AK110" s="987">
        <v>260</v>
      </c>
      <c r="AL110" s="263">
        <f>VLOOKUP(Tableau1[[#This Row],[Code PAS]],'Facturation PAS RIN5 RUN'!C:F,4,0)</f>
        <v>40</v>
      </c>
      <c r="AM110" s="263"/>
      <c r="AN110" s="263" t="b">
        <f>ROUND(Tableau1[[#This Row],[Montant Options coûts récurrents]],0)=ROUND(Tableau1[[#This Row],[GTRS1 (Coût Plage de support 24h/24 7j/7)]],0)</f>
        <v>0</v>
      </c>
      <c r="AO110" s="265" t="e">
        <f>_xlfn.XLOOKUP(Tableau1[[#This Row],[Code PAS]],'parc SATIN 08012026v'!K:K,'parc SATIN 08012026v'!#REF!,0,0)</f>
        <v>#REF!</v>
      </c>
      <c r="AP110" s="263" t="e">
        <f>VLOOKUP(Tableau1[[#This Row],[Code PAS]],#REF!,3,0)</f>
        <v>#REF!</v>
      </c>
      <c r="AQ110" s="263" t="str">
        <f>VLOOKUP(Tableau1[[#This Row],[Code PAS]],[14]Feuil1!$B:$G,6,0)</f>
        <v>Lundi au Samedi 8h-18h</v>
      </c>
      <c r="AR110" s="263" t="str">
        <f>_xlfn.XLOOKUP(Tableau1[[#This Row],[Code PAS]],'Facturation PAS RIN5 RUN'!C:C,'Facturation PAS RIN5 RUN'!B:B,0,0)</f>
        <v>Gold_15_15</v>
      </c>
      <c r="AS110" s="263" t="b">
        <f>Tableau1[[#This Row],[Etat facturation]]=Tableau1[[#This Row],[Index offre du fournisseur]]</f>
        <v>1</v>
      </c>
      <c r="AT110" s="250" t="str">
        <f>_xlfn.XLOOKUP(Tableau1[[#This Row],[Code PAS]],'parc SATIN 08012026v'!K:K,'parc SATIN 08012026v'!M:M,0,0)</f>
        <v>PARC</v>
      </c>
      <c r="AU110" s="250" t="str">
        <f>_xlfn.XLOOKUP(Tableau1[[#This Row],[Code PAS]],'parc SATIN 08012026v'!K:K,'parc SATIN 08012026v'!O:O,0,0)</f>
        <v>PARC</v>
      </c>
      <c r="AV110" s="251">
        <f>_xlfn.XLOOKUP(Tableau1[[#This Row],[Code PAS]],'parc SATIN 08012026v'!K:K,'parc SATIN 08012026v'!Q:Q,0,0)</f>
        <v>45405</v>
      </c>
      <c r="AW110" s="251" t="str">
        <f>_xlfn.XLOOKUP(Tableau1[[#This Row],[Code PAS]],'parc SATIN 08012026v'!K:K,'parc SATIN 08012026v'!S:S,0,0)</f>
        <v>change</v>
      </c>
      <c r="AX110" s="250" t="str">
        <f>_xlfn.XLOOKUP(Tableau1[[#This Row],[Code PAS]],'parc SATIN 08012026v'!K:K,'parc SATIN 08012026v'!AF:AF,0,0)</f>
        <v>15 Mb/s</v>
      </c>
      <c r="AY11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</v>
      </c>
    </row>
    <row r="111" spans="1:52" s="250" customFormat="1" ht="15" customHeight="1" x14ac:dyDescent="0.3">
      <c r="A111" s="250" t="s">
        <v>2758</v>
      </c>
      <c r="C111" s="249">
        <v>45609</v>
      </c>
      <c r="D111" s="249"/>
      <c r="E111" s="250" t="s">
        <v>3031</v>
      </c>
      <c r="F111" s="984" t="s">
        <v>2503</v>
      </c>
      <c r="G111" s="250" t="s">
        <v>2867</v>
      </c>
      <c r="H111" s="250" t="s">
        <v>2867</v>
      </c>
      <c r="J111" s="248" t="str">
        <f>_xlfn.XLOOKUP(Tableau1[[#This Row],[Code PAS]],'[13]Parc Satin'!$L:$L,'[13]Parc Satin'!$CK:$CK,0,0)</f>
        <v>Nominal C2E sans Secours</v>
      </c>
      <c r="K111" s="250" t="s">
        <v>2817</v>
      </c>
      <c r="M111" s="250" t="s">
        <v>2817</v>
      </c>
      <c r="N111" s="250">
        <v>500</v>
      </c>
      <c r="O111" s="250">
        <v>0</v>
      </c>
      <c r="P111" s="824">
        <v>0</v>
      </c>
      <c r="Q111" s="824">
        <v>602</v>
      </c>
      <c r="R111" s="824">
        <v>0</v>
      </c>
      <c r="S111" s="824">
        <v>602</v>
      </c>
      <c r="T111" s="824">
        <v>290</v>
      </c>
      <c r="U111" s="824">
        <v>12</v>
      </c>
      <c r="V111" s="824">
        <v>0</v>
      </c>
      <c r="W111" s="824">
        <v>0</v>
      </c>
      <c r="X111" s="824">
        <v>254.41198185659007</v>
      </c>
      <c r="Y111" s="824">
        <v>0</v>
      </c>
      <c r="Z111" s="966">
        <v>0</v>
      </c>
      <c r="AA111" s="966">
        <v>0</v>
      </c>
      <c r="AB111" s="969">
        <v>0</v>
      </c>
      <c r="AC111" s="969">
        <v>0</v>
      </c>
      <c r="AD111" s="969">
        <v>0</v>
      </c>
      <c r="AE111" s="264">
        <v>2</v>
      </c>
      <c r="AF111" s="264">
        <v>20</v>
      </c>
      <c r="AG111" s="264">
        <v>10</v>
      </c>
      <c r="AH111" s="264">
        <v>30</v>
      </c>
      <c r="AI111" s="973">
        <v>9</v>
      </c>
      <c r="AJ111" s="263">
        <v>2</v>
      </c>
      <c r="AK111" s="987">
        <v>20</v>
      </c>
      <c r="AL111" s="263">
        <f>VLOOKUP(Tableau1[[#This Row],[Code PAS]],'Facturation PAS RIN5 RUN'!C:F,4,0)</f>
        <v>0</v>
      </c>
      <c r="AM111" s="263"/>
      <c r="AN111" s="263" t="b">
        <f>ROUND(Tableau1[[#This Row],[Montant Options coûts récurrents]],0)=ROUND(Tableau1[[#This Row],[GTRS1 (Coût Plage de support 24h/24 7j/7)]],0)</f>
        <v>1</v>
      </c>
      <c r="AO111" s="265" t="e">
        <f>_xlfn.XLOOKUP(Tableau1[[#This Row],[Code PAS]],'parc SATIN 08012026v'!K:K,'parc SATIN 08012026v'!#REF!,0,0)</f>
        <v>#REF!</v>
      </c>
      <c r="AP111" s="263" t="e">
        <f>VLOOKUP(Tableau1[[#This Row],[Code PAS]],#REF!,3,0)</f>
        <v>#REF!</v>
      </c>
      <c r="AQ111" s="263" t="e">
        <f>VLOOKUP(Tableau1[[#This Row],[Code PAS]],[14]Feuil1!$B:$G,6,0)</f>
        <v>#N/A</v>
      </c>
      <c r="AR111" s="263" t="str">
        <f>_xlfn.XLOOKUP(Tableau1[[#This Row],[Code PAS]],'Facturation PAS RIN5 RUN'!C:C,'Facturation PAS RIN5 RUN'!B:B,0,0)</f>
        <v>Bronze_2_0</v>
      </c>
      <c r="AS111" s="263" t="b">
        <f>Tableau1[[#This Row],[Etat facturation]]=Tableau1[[#This Row],[Index offre du fournisseur]]</f>
        <v>1</v>
      </c>
      <c r="AT111" s="250" t="str">
        <f>_xlfn.XLOOKUP(Tableau1[[#This Row],[Code PAS]],'parc SATIN 08012026v'!K:K,'parc SATIN 08012026v'!M:M,0,0)</f>
        <v>PARC</v>
      </c>
      <c r="AU111" s="250" t="str">
        <f>_xlfn.XLOOKUP(Tableau1[[#This Row],[Code PAS]],'parc SATIN 08012026v'!K:K,'parc SATIN 08012026v'!O:O,0,0)</f>
        <v>PARC</v>
      </c>
      <c r="AV111" s="251">
        <f>_xlfn.XLOOKUP(Tableau1[[#This Row],[Code PAS]],'parc SATIN 08012026v'!K:K,'parc SATIN 08012026v'!Q:Q,0,0)</f>
        <v>45609</v>
      </c>
      <c r="AW111" s="251" t="str">
        <f>_xlfn.XLOOKUP(Tableau1[[#This Row],[Code PAS]],'parc SATIN 08012026v'!K:K,'parc SATIN 08012026v'!S:S,0,0)</f>
        <v>change</v>
      </c>
      <c r="AX111" s="250" t="str">
        <f>_xlfn.XLOOKUP(Tableau1[[#This Row],[Code PAS]],'parc SATIN 08012026v'!K:K,'parc SATIN 08012026v'!AF:AF,0,0)</f>
        <v>2 Mb/s</v>
      </c>
      <c r="AY111" s="254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111" s="250" t="s">
        <v>2868</v>
      </c>
    </row>
    <row r="112" spans="1:52" s="250" customFormat="1" ht="15" customHeight="1" x14ac:dyDescent="0.3">
      <c r="A112" s="248" t="s">
        <v>2735</v>
      </c>
      <c r="B112" s="248"/>
      <c r="C112" s="249"/>
      <c r="D112" s="249"/>
      <c r="E112" s="250" t="s">
        <v>3032</v>
      </c>
      <c r="F112" s="984" t="s">
        <v>405</v>
      </c>
      <c r="G112" s="250" t="s">
        <v>2784</v>
      </c>
      <c r="H112" s="250" t="s">
        <v>2784</v>
      </c>
      <c r="I112" s="250" t="s">
        <v>78</v>
      </c>
      <c r="J112" s="248" t="str">
        <f>_xlfn.XLOOKUP(Tableau1[[#This Row],[Code PAS]],'[13]Parc Satin'!$L:$L,'[13]Parc Satin'!$CK:$CK,0,0)</f>
        <v>Nominal InterLan 1.0 Secours InterLan 1.0</v>
      </c>
      <c r="K112" s="250" t="s">
        <v>2860</v>
      </c>
      <c r="L112" s="250">
        <v>500</v>
      </c>
      <c r="M112" s="250">
        <v>400</v>
      </c>
      <c r="O112" s="250" t="s">
        <v>74</v>
      </c>
      <c r="P112" s="824">
        <v>0</v>
      </c>
      <c r="Q112" s="824">
        <v>0</v>
      </c>
      <c r="R112" s="824">
        <v>0</v>
      </c>
      <c r="S112" s="824">
        <v>0</v>
      </c>
      <c r="T112" s="824">
        <v>1454</v>
      </c>
      <c r="U112" s="824">
        <v>95</v>
      </c>
      <c r="V112" s="824">
        <v>32</v>
      </c>
      <c r="W112" s="824">
        <v>36</v>
      </c>
      <c r="X112" s="824">
        <f>Tableau1[[#This Row],[Coût Abonnement offre]]+Tableau1[[#This Row],[Coût Abonnement Chassis]]+Tableau1[[#This Row],[Cout Cartes interface ]]+Tableau1[[#This Row],[Cout canaux voix supplémentaire]]</f>
        <v>1617</v>
      </c>
      <c r="Y112" s="824">
        <v>0</v>
      </c>
      <c r="Z112" s="966">
        <v>0</v>
      </c>
      <c r="AA112" s="966">
        <v>0</v>
      </c>
      <c r="AB112" s="969">
        <v>0</v>
      </c>
      <c r="AC112" s="969">
        <v>0</v>
      </c>
      <c r="AD112" s="969">
        <v>0</v>
      </c>
      <c r="AE112" s="264">
        <v>50</v>
      </c>
      <c r="AF112" s="264">
        <v>500</v>
      </c>
      <c r="AG112" s="264">
        <v>400</v>
      </c>
      <c r="AH112" s="264">
        <v>900</v>
      </c>
      <c r="AI112" s="973">
        <v>36</v>
      </c>
      <c r="AJ112" s="263">
        <v>50</v>
      </c>
      <c r="AK112" s="987">
        <v>900</v>
      </c>
      <c r="AL112" s="263">
        <f>VLOOKUP(Tableau1[[#This Row],[Code PAS]],'Facturation PAS RIN5 RUN'!C:F,4,0)</f>
        <v>32</v>
      </c>
      <c r="AM112" s="263"/>
      <c r="AN112" s="263" t="b">
        <f>ROUND(Tableau1[[#This Row],[Montant Options coûts récurrents]],0)=ROUND(Tableau1[[#This Row],[GTRS1 (Coût Plage de support 24h/24 7j/7)]],0)</f>
        <v>0</v>
      </c>
      <c r="AO112" s="265" t="e">
        <f>_xlfn.XLOOKUP(Tableau1[[#This Row],[Code PAS]],'parc SATIN 08012026v'!K:K,'parc SATIN 08012026v'!#REF!,0,0)</f>
        <v>#REF!</v>
      </c>
      <c r="AP112" s="263" t="e">
        <f>VLOOKUP(Tableau1[[#This Row],[Code PAS]],#REF!,3,0)</f>
        <v>#REF!</v>
      </c>
      <c r="AQ112" s="263" t="e">
        <f>VLOOKUP(Tableau1[[#This Row],[Code PAS]],[14]Feuil1!$B:$G,6,0)</f>
        <v>#N/A</v>
      </c>
      <c r="AR112" s="263" t="str">
        <f>_xlfn.XLOOKUP(Tableau1[[#This Row],[Code PAS]],'Facturation PAS RIN5 RUN'!C:C,'Facturation PAS RIN5 RUN'!B:B,0,0)</f>
        <v>Gold_50_50</v>
      </c>
      <c r="AS112" s="263" t="b">
        <f>Tableau1[[#This Row],[Etat facturation]]=Tableau1[[#This Row],[Index offre du fournisseur]]</f>
        <v>1</v>
      </c>
      <c r="AT112" s="250" t="str">
        <f>_xlfn.XLOOKUP(Tableau1[[#This Row],[Code PAS]],'parc SATIN 08012026v'!K:K,'parc SATIN 08012026v'!M:M,0,0)</f>
        <v>PARC</v>
      </c>
      <c r="AU112" s="250" t="str">
        <f>_xlfn.XLOOKUP(Tableau1[[#This Row],[Code PAS]],'parc SATIN 08012026v'!K:K,'parc SATIN 08012026v'!O:O,0,0)</f>
        <v>PARC</v>
      </c>
      <c r="AV112" s="251">
        <f>_xlfn.XLOOKUP(Tableau1[[#This Row],[Code PAS]],'parc SATIN 08012026v'!K:K,'parc SATIN 08012026v'!Q:Q,0,0)</f>
        <v>45993</v>
      </c>
      <c r="AW112" s="251" t="str">
        <f>_xlfn.XLOOKUP(Tableau1[[#This Row],[Code PAS]],'parc SATIN 08012026v'!K:K,'parc SATIN 08012026v'!S:S,0,0)</f>
        <v>change</v>
      </c>
      <c r="AX112" s="250" t="str">
        <f>_xlfn.XLOOKUP(Tableau1[[#This Row],[Code PAS]],'parc SATIN 08012026v'!K:K,'parc SATIN 08012026v'!AF:AF,0,0)</f>
        <v>50 Mb/s</v>
      </c>
      <c r="AY11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13" spans="1:52" s="250" customFormat="1" ht="15" customHeight="1" x14ac:dyDescent="0.3">
      <c r="A113" s="250" t="s">
        <v>2743</v>
      </c>
      <c r="C113" s="249"/>
      <c r="D113" s="249"/>
      <c r="E113" s="250" t="s">
        <v>3033</v>
      </c>
      <c r="F113" s="984" t="s">
        <v>1108</v>
      </c>
      <c r="G113" s="250" t="s">
        <v>2765</v>
      </c>
      <c r="H113" s="250" t="s">
        <v>2765</v>
      </c>
      <c r="I113" s="250" t="s">
        <v>78</v>
      </c>
      <c r="J113" s="248" t="str">
        <f>_xlfn.XLOOKUP(Tableau1[[#This Row],[Code PAS]],'[13]Parc Satin'!$L:$L,'[13]Parc Satin'!$CK:$CK,0,0)</f>
        <v>Nominal C2E Fibre Secours C2E Fibre</v>
      </c>
      <c r="K113" s="250" t="s">
        <v>2832</v>
      </c>
      <c r="L113" s="250">
        <v>400</v>
      </c>
      <c r="M113" s="250">
        <v>150</v>
      </c>
      <c r="N113" s="250">
        <v>1</v>
      </c>
      <c r="O113" s="250" t="s">
        <v>74</v>
      </c>
      <c r="P113" s="824">
        <v>0</v>
      </c>
      <c r="Q113" s="824">
        <v>0</v>
      </c>
      <c r="R113" s="824">
        <v>0</v>
      </c>
      <c r="S113" s="824">
        <v>0</v>
      </c>
      <c r="T113" s="824">
        <v>1249</v>
      </c>
      <c r="U113" s="824">
        <v>60</v>
      </c>
      <c r="V113" s="824">
        <v>32</v>
      </c>
      <c r="W113" s="824">
        <v>14</v>
      </c>
      <c r="X113" s="824">
        <f>Tableau1[[#This Row],[Coût Abonnement offre]]+Tableau1[[#This Row],[Coût Abonnement Chassis]]+Tableau1[[#This Row],[Cout Cartes interface ]]+Tableau1[[#This Row],[Cout canaux voix supplémentaire]]</f>
        <v>1355</v>
      </c>
      <c r="Y113" s="824">
        <v>0</v>
      </c>
      <c r="Z113" s="966">
        <v>0</v>
      </c>
      <c r="AA113" s="966">
        <v>0</v>
      </c>
      <c r="AB113" s="969">
        <v>0</v>
      </c>
      <c r="AC113" s="969">
        <v>0</v>
      </c>
      <c r="AD113" s="969">
        <v>0</v>
      </c>
      <c r="AE113" s="264">
        <v>30</v>
      </c>
      <c r="AF113" s="264">
        <v>400</v>
      </c>
      <c r="AG113" s="264">
        <v>150</v>
      </c>
      <c r="AH113" s="264">
        <v>550</v>
      </c>
      <c r="AI113" s="973">
        <v>14</v>
      </c>
      <c r="AJ113" s="263">
        <v>30</v>
      </c>
      <c r="AK113" s="987">
        <v>550</v>
      </c>
      <c r="AL113" s="263">
        <f>VLOOKUP(Tableau1[[#This Row],[Code PAS]],'Facturation PAS RIN5 RUN'!C:F,4,0)</f>
        <v>32</v>
      </c>
      <c r="AM113" s="263"/>
      <c r="AN113" s="263" t="b">
        <f>ROUND(Tableau1[[#This Row],[Montant Options coûts récurrents]],0)=ROUND(Tableau1[[#This Row],[GTRS1 (Coût Plage de support 24h/24 7j/7)]],0)</f>
        <v>0</v>
      </c>
      <c r="AO113" s="265" t="e">
        <f>_xlfn.XLOOKUP(Tableau1[[#This Row],[Code PAS]],'parc SATIN 08012026v'!K:K,'parc SATIN 08012026v'!#REF!,0,0)</f>
        <v>#REF!</v>
      </c>
      <c r="AP113" s="263" t="e">
        <f>VLOOKUP(Tableau1[[#This Row],[Code PAS]],#REF!,3,0)</f>
        <v>#REF!</v>
      </c>
      <c r="AQ113" s="263" t="e">
        <f>VLOOKUP(Tableau1[[#This Row],[Code PAS]],[14]Feuil1!$B:$G,6,0)</f>
        <v>#N/A</v>
      </c>
      <c r="AR113" s="263" t="str">
        <f>_xlfn.XLOOKUP(Tableau1[[#This Row],[Code PAS]],'Facturation PAS RIN5 RUN'!C:C,'Facturation PAS RIN5 RUN'!B:B,0,0)</f>
        <v>Gold_30_30</v>
      </c>
      <c r="AS113" s="263" t="b">
        <f>Tableau1[[#This Row],[Etat facturation]]=Tableau1[[#This Row],[Index offre du fournisseur]]</f>
        <v>1</v>
      </c>
      <c r="AT113" s="250" t="str">
        <f>_xlfn.XLOOKUP(Tableau1[[#This Row],[Code PAS]],'parc SATIN 08012026v'!K:K,'parc SATIN 08012026v'!M:M,0,0)</f>
        <v>PARC</v>
      </c>
      <c r="AU113" s="250" t="str">
        <f>_xlfn.XLOOKUP(Tableau1[[#This Row],[Code PAS]],'parc SATIN 08012026v'!K:K,'parc SATIN 08012026v'!O:O,0,0)</f>
        <v>PARC</v>
      </c>
      <c r="AV113" s="251">
        <f>_xlfn.XLOOKUP(Tableau1[[#This Row],[Code PAS]],'parc SATIN 08012026v'!K:K,'parc SATIN 08012026v'!Q:Q,0,0)</f>
        <v>44908</v>
      </c>
      <c r="AW113" s="251" t="str">
        <f>_xlfn.XLOOKUP(Tableau1[[#This Row],[Code PAS]],'parc SATIN 08012026v'!K:K,'parc SATIN 08012026v'!S:S,0,0)</f>
        <v>change</v>
      </c>
      <c r="AX113" s="250" t="str">
        <f>_xlfn.XLOOKUP(Tableau1[[#This Row],[Code PAS]],'parc SATIN 08012026v'!K:K,'parc SATIN 08012026v'!AF:AF,0,0)</f>
        <v>30 Mb/s</v>
      </c>
      <c r="AY11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114" spans="1:52" s="250" customFormat="1" ht="15" customHeight="1" x14ac:dyDescent="0.3">
      <c r="A114" s="250" t="s">
        <v>2743</v>
      </c>
      <c r="C114" s="249"/>
      <c r="D114" s="249"/>
      <c r="E114" s="250" t="s">
        <v>3034</v>
      </c>
      <c r="F114" s="984" t="s">
        <v>2003</v>
      </c>
      <c r="H114" s="250" t="s">
        <v>2745</v>
      </c>
      <c r="J114" s="248" t="str">
        <f>_xlfn.XLOOKUP(Tableau1[[#This Row],[Code PAS]],'[13]Parc Satin'!$L:$L,'[13]Parc Satin'!$CK:$CK,0,0)</f>
        <v>Nominal InterLan 1.0 Secours C2E Fibre</v>
      </c>
      <c r="P114" s="820">
        <v>0</v>
      </c>
      <c r="Q114" s="820">
        <v>0</v>
      </c>
      <c r="R114" s="820">
        <v>0</v>
      </c>
      <c r="S114" s="820">
        <v>0</v>
      </c>
      <c r="T114" s="824">
        <v>1628</v>
      </c>
      <c r="U114" s="824">
        <v>239</v>
      </c>
      <c r="V114" s="824">
        <v>16</v>
      </c>
      <c r="W114" s="824">
        <v>108</v>
      </c>
      <c r="X114" s="823">
        <f>Tableau1[[#This Row],[Coût Abonnement offre]]+Tableau1[[#This Row],[Coût Abonnement Chassis]]+Tableau1[[#This Row],[Cout Cartes interface ]]+Tableau1[[#This Row],[Cout canaux voix supplémentaire]]</f>
        <v>1991</v>
      </c>
      <c r="Y114" s="824">
        <v>66</v>
      </c>
      <c r="Z114" s="966">
        <v>0</v>
      </c>
      <c r="AA114" s="966">
        <v>0</v>
      </c>
      <c r="AB114" s="969">
        <v>0</v>
      </c>
      <c r="AC114" s="969">
        <v>0</v>
      </c>
      <c r="AD114" s="969">
        <v>0</v>
      </c>
      <c r="AE114" s="264">
        <v>100</v>
      </c>
      <c r="AF114" s="264">
        <v>600</v>
      </c>
      <c r="AG114" s="264">
        <v>1200</v>
      </c>
      <c r="AH114" s="264">
        <v>1800</v>
      </c>
      <c r="AI114" s="973">
        <v>108</v>
      </c>
      <c r="AJ114" s="263">
        <v>100</v>
      </c>
      <c r="AK114" s="987">
        <v>1800</v>
      </c>
      <c r="AL114" s="263">
        <f>VLOOKUP(Tableau1[[#This Row],[Code PAS]],'Facturation PAS RIN5 RUN'!C:F,4,0)</f>
        <v>16</v>
      </c>
      <c r="AM114" s="263"/>
      <c r="AN114" s="263" t="b">
        <f>ROUND(Tableau1[[#This Row],[Montant Options coûts récurrents]],0)=ROUND(Tableau1[[#This Row],[GTRS1 (Coût Plage de support 24h/24 7j/7)]],0)</f>
        <v>0</v>
      </c>
      <c r="AO114" s="265" t="e">
        <f>_xlfn.XLOOKUP(Tableau1[[#This Row],[Code PAS]],'parc SATIN 08012026v'!K:K,'parc SATIN 08012026v'!#REF!,0,0)</f>
        <v>#REF!</v>
      </c>
      <c r="AP114" s="263" t="e">
        <f>VLOOKUP(Tableau1[[#This Row],[Code PAS]],#REF!,3,0)</f>
        <v>#REF!</v>
      </c>
      <c r="AQ114" s="263" t="e">
        <f>VLOOKUP(Tableau1[[#This Row],[Code PAS]],[14]Feuil1!$B:$G,6,0)</f>
        <v>#N/A</v>
      </c>
      <c r="AR114" s="263" t="str">
        <f>_xlfn.XLOOKUP(Tableau1[[#This Row],[Code PAS]],'Facturation PAS RIN5 RUN'!C:C,'Facturation PAS RIN5 RUN'!B:B,0,0)</f>
        <v>Gold_100_100</v>
      </c>
      <c r="AS114" s="263" t="b">
        <f>Tableau1[[#This Row],[Etat facturation]]=Tableau1[[#This Row],[Index offre du fournisseur]]</f>
        <v>1</v>
      </c>
      <c r="AT114" s="250" t="str">
        <f>_xlfn.XLOOKUP(Tableau1[[#This Row],[Code PAS]],'parc SATIN 08012026v'!K:K,'parc SATIN 08012026v'!M:M,0,0)</f>
        <v>PARC</v>
      </c>
      <c r="AU114" s="250" t="str">
        <f>_xlfn.XLOOKUP(Tableau1[[#This Row],[Code PAS]],'parc SATIN 08012026v'!K:K,'parc SATIN 08012026v'!O:O,0,0)</f>
        <v>PARC</v>
      </c>
      <c r="AV114" s="251">
        <f>_xlfn.XLOOKUP(Tableau1[[#This Row],[Code PAS]],'parc SATIN 08012026v'!K:K,'parc SATIN 08012026v'!Q:Q,0,0)</f>
        <v>43622</v>
      </c>
      <c r="AW114" s="251" t="str">
        <f>_xlfn.XLOOKUP(Tableau1[[#This Row],[Code PAS]],'parc SATIN 08012026v'!K:K,'parc SATIN 08012026v'!S:S,0,0)</f>
        <v>création</v>
      </c>
      <c r="AX114" s="250" t="str">
        <f>_xlfn.XLOOKUP(Tableau1[[#This Row],[Code PAS]],'parc SATIN 08012026v'!K:K,'parc SATIN 08012026v'!AF:AF,0,0)</f>
        <v>100 Mb/s</v>
      </c>
      <c r="AY11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115" spans="1:52" s="250" customFormat="1" ht="15" customHeight="1" x14ac:dyDescent="0.3">
      <c r="A115" s="248" t="s">
        <v>2735</v>
      </c>
      <c r="B115" s="248"/>
      <c r="C115" s="249"/>
      <c r="D115" s="249"/>
      <c r="E115" s="248" t="s">
        <v>3035</v>
      </c>
      <c r="F115" s="981" t="s">
        <v>395</v>
      </c>
      <c r="G115" s="250" t="s">
        <v>3036</v>
      </c>
      <c r="H115" s="248" t="s">
        <v>3036</v>
      </c>
      <c r="I115" s="248" t="s">
        <v>3037</v>
      </c>
      <c r="J115" s="248" t="str">
        <f>_xlfn.XLOOKUP(Tableau1[[#This Row],[Code PAS]],'[13]Parc Satin'!$L:$L,'[13]Parc Satin'!$CK:$CK,0,0)</f>
        <v>Nominal InterLan 1.0 Secours InterLan 1.0</v>
      </c>
      <c r="K115" s="248" t="s">
        <v>2860</v>
      </c>
      <c r="L115" s="248">
        <v>700</v>
      </c>
      <c r="M115" s="248">
        <v>1900</v>
      </c>
      <c r="N115" s="248">
        <v>1</v>
      </c>
      <c r="O115" s="248" t="s">
        <v>76</v>
      </c>
      <c r="P115" s="822">
        <v>0</v>
      </c>
      <c r="Q115" s="822">
        <v>0</v>
      </c>
      <c r="R115" s="822">
        <v>0</v>
      </c>
      <c r="S115" s="822">
        <v>0</v>
      </c>
      <c r="T115" s="823">
        <v>2032</v>
      </c>
      <c r="U115" s="823">
        <v>239</v>
      </c>
      <c r="V115" s="823">
        <v>48</v>
      </c>
      <c r="W115" s="823">
        <v>171</v>
      </c>
      <c r="X115" s="823">
        <f>Tableau1[[#This Row],[Coût Abonnement offre]]+Tableau1[[#This Row],[Coût Abonnement Chassis]]+Tableau1[[#This Row],[Cout Cartes interface ]]+Tableau1[[#This Row],[Cout canaux voix supplémentaire]]</f>
        <v>2490</v>
      </c>
      <c r="Y115" s="823">
        <v>66</v>
      </c>
      <c r="Z115" s="966">
        <v>0</v>
      </c>
      <c r="AA115" s="966">
        <v>0</v>
      </c>
      <c r="AB115" s="969">
        <v>0</v>
      </c>
      <c r="AC115" s="969">
        <v>0</v>
      </c>
      <c r="AD115" s="969">
        <v>0</v>
      </c>
      <c r="AE115" s="264">
        <v>150</v>
      </c>
      <c r="AF115" s="264">
        <v>700</v>
      </c>
      <c r="AG115" s="264">
        <v>1900</v>
      </c>
      <c r="AH115" s="264">
        <v>2600</v>
      </c>
      <c r="AI115" s="973">
        <v>171</v>
      </c>
      <c r="AJ115" s="263">
        <v>150</v>
      </c>
      <c r="AK115" s="987">
        <v>1800</v>
      </c>
      <c r="AL115" s="263">
        <f>VLOOKUP(Tableau1[[#This Row],[Code PAS]],'Facturation PAS RIN5 RUN'!C:F,4,0)</f>
        <v>48</v>
      </c>
      <c r="AM115" s="263"/>
      <c r="AN115" s="263" t="b">
        <f>ROUND(Tableau1[[#This Row],[Montant Options coûts récurrents]],0)=ROUND(Tableau1[[#This Row],[GTRS1 (Coût Plage de support 24h/24 7j/7)]],0)</f>
        <v>0</v>
      </c>
      <c r="AO115" s="265" t="e">
        <f>_xlfn.XLOOKUP(Tableau1[[#This Row],[Code PAS]],'parc SATIN 08012026v'!K:K,'parc SATIN 08012026v'!#REF!,0,0)</f>
        <v>#REF!</v>
      </c>
      <c r="AP115" s="263" t="e">
        <f>VLOOKUP(Tableau1[[#This Row],[Code PAS]],#REF!,3,0)</f>
        <v>#REF!</v>
      </c>
      <c r="AQ115" s="263" t="e">
        <f>VLOOKUP(Tableau1[[#This Row],[Code PAS]],[14]Feuil1!$B:$G,6,0)</f>
        <v>#N/A</v>
      </c>
      <c r="AR115" s="263" t="str">
        <f>_xlfn.XLOOKUP(Tableau1[[#This Row],[Code PAS]],'Facturation PAS RIN5 RUN'!C:C,'Facturation PAS RIN5 RUN'!B:B,0,0)</f>
        <v>Platinum_150_150</v>
      </c>
      <c r="AS115" s="263" t="b">
        <f>Tableau1[[#This Row],[Etat facturation]]=Tableau1[[#This Row],[Index offre du fournisseur]]</f>
        <v>1</v>
      </c>
      <c r="AT115" s="250" t="str">
        <f>_xlfn.XLOOKUP(Tableau1[[#This Row],[Code PAS]],'parc SATIN 08012026v'!K:K,'parc SATIN 08012026v'!M:M,0,0)</f>
        <v>PARC</v>
      </c>
      <c r="AU115" s="250" t="str">
        <f>_xlfn.XLOOKUP(Tableau1[[#This Row],[Code PAS]],'parc SATIN 08012026v'!K:K,'parc SATIN 08012026v'!O:O,0,0)</f>
        <v>PARC</v>
      </c>
      <c r="AV115" s="251">
        <f>_xlfn.XLOOKUP(Tableau1[[#This Row],[Code PAS]],'parc SATIN 08012026v'!K:K,'parc SATIN 08012026v'!Q:Q,0,0)</f>
        <v>45471</v>
      </c>
      <c r="AW115" s="251" t="str">
        <f>_xlfn.XLOOKUP(Tableau1[[#This Row],[Code PAS]],'parc SATIN 08012026v'!K:K,'parc SATIN 08012026v'!S:S,0,0)</f>
        <v>change</v>
      </c>
      <c r="AX115" s="250" t="str">
        <f>_xlfn.XLOOKUP(Tableau1[[#This Row],[Code PAS]],'parc SATIN 08012026v'!K:K,'parc SATIN 08012026v'!AF:AF,0,0)</f>
        <v>150 Mb/s</v>
      </c>
      <c r="AY11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150</v>
      </c>
    </row>
    <row r="116" spans="1:52" s="250" customFormat="1" ht="15" customHeight="1" x14ac:dyDescent="0.3">
      <c r="A116" s="248" t="s">
        <v>2735</v>
      </c>
      <c r="B116" s="248"/>
      <c r="C116" s="249"/>
      <c r="D116" s="249"/>
      <c r="E116" s="248" t="s">
        <v>3038</v>
      </c>
      <c r="F116" s="981" t="s">
        <v>864</v>
      </c>
      <c r="G116" s="250" t="s">
        <v>2800</v>
      </c>
      <c r="H116" s="248" t="s">
        <v>2765</v>
      </c>
      <c r="I116" s="248"/>
      <c r="J116" s="248" t="str">
        <f>_xlfn.XLOOKUP(Tableau1[[#This Row],[Code PAS]],'[13]Parc Satin'!$L:$L,'[13]Parc Satin'!$CK:$CK,0,0)</f>
        <v>Nominal InterLan 1.0 Secours InterLan 1.0</v>
      </c>
      <c r="K116" s="248"/>
      <c r="L116" s="248"/>
      <c r="M116" s="248"/>
      <c r="N116" s="248"/>
      <c r="O116" s="248"/>
      <c r="P116" s="822">
        <v>0</v>
      </c>
      <c r="Q116" s="822">
        <v>0</v>
      </c>
      <c r="R116" s="822">
        <v>0</v>
      </c>
      <c r="S116" s="822">
        <v>0</v>
      </c>
      <c r="T116" s="823">
        <v>1249</v>
      </c>
      <c r="U116" s="823">
        <v>71</v>
      </c>
      <c r="V116" s="823">
        <v>16</v>
      </c>
      <c r="W116" s="823">
        <v>14</v>
      </c>
      <c r="X116" s="823">
        <f>Tableau1[[#This Row],[Coût Abonnement offre]]+Tableau1[[#This Row],[Coût Abonnement Chassis]]+Tableau1[[#This Row],[Cout Cartes interface ]]+Tableau1[[#This Row],[Cout canaux voix supplémentaire]]</f>
        <v>1350</v>
      </c>
      <c r="Y116" s="823">
        <v>0</v>
      </c>
      <c r="Z116" s="966">
        <v>0</v>
      </c>
      <c r="AA116" s="966">
        <v>0</v>
      </c>
      <c r="AB116" s="969">
        <v>0</v>
      </c>
      <c r="AC116" s="969">
        <v>0</v>
      </c>
      <c r="AD116" s="969">
        <v>0</v>
      </c>
      <c r="AE116" s="264">
        <v>30</v>
      </c>
      <c r="AF116" s="264">
        <v>400</v>
      </c>
      <c r="AG116" s="264">
        <v>150</v>
      </c>
      <c r="AH116" s="264">
        <v>550</v>
      </c>
      <c r="AI116" s="973">
        <v>14</v>
      </c>
      <c r="AJ116" s="263">
        <v>30</v>
      </c>
      <c r="AK116" s="987">
        <v>550</v>
      </c>
      <c r="AL116" s="263">
        <f>VLOOKUP(Tableau1[[#This Row],[Code PAS]],'Facturation PAS RIN5 RUN'!C:F,4,0)</f>
        <v>16</v>
      </c>
      <c r="AM116" s="263"/>
      <c r="AN116" s="263" t="b">
        <f>ROUND(Tableau1[[#This Row],[Montant Options coûts récurrents]],0)=ROUND(Tableau1[[#This Row],[GTRS1 (Coût Plage de support 24h/24 7j/7)]],0)</f>
        <v>0</v>
      </c>
      <c r="AO116" s="265" t="e">
        <f>_xlfn.XLOOKUP(Tableau1[[#This Row],[Code PAS]],'parc SATIN 08012026v'!K:K,'parc SATIN 08012026v'!#REF!,0,0)</f>
        <v>#REF!</v>
      </c>
      <c r="AP116" s="263" t="e">
        <f>VLOOKUP(Tableau1[[#This Row],[Code PAS]],#REF!,3,0)</f>
        <v>#REF!</v>
      </c>
      <c r="AQ116" s="263" t="str">
        <f>VLOOKUP(Tableau1[[#This Row],[Code PAS]],[14]Feuil1!$B:$G,6,0)</f>
        <v>Lundi au Samedi 8h-18h</v>
      </c>
      <c r="AR116" s="263" t="str">
        <f>_xlfn.XLOOKUP(Tableau1[[#This Row],[Code PAS]],'Facturation PAS RIN5 RUN'!C:C,'Facturation PAS RIN5 RUN'!B:B,0,0)</f>
        <v>Gold_30_30</v>
      </c>
      <c r="AS116" s="263" t="b">
        <f>Tableau1[[#This Row],[Etat facturation]]=Tableau1[[#This Row],[Index offre du fournisseur]]</f>
        <v>1</v>
      </c>
      <c r="AT116" s="250" t="str">
        <f>_xlfn.XLOOKUP(Tableau1[[#This Row],[Code PAS]],'parc SATIN 08012026v'!K:K,'parc SATIN 08012026v'!M:M,0,0)</f>
        <v>PARC</v>
      </c>
      <c r="AU116" s="250" t="str">
        <f>_xlfn.XLOOKUP(Tableau1[[#This Row],[Code PAS]],'parc SATIN 08012026v'!K:K,'parc SATIN 08012026v'!O:O,0,0)</f>
        <v>PARC</v>
      </c>
      <c r="AV116" s="251">
        <f>_xlfn.XLOOKUP(Tableau1[[#This Row],[Code PAS]],'parc SATIN 08012026v'!K:K,'parc SATIN 08012026v'!Q:Q,0,0)</f>
        <v>44159</v>
      </c>
      <c r="AW116" s="251" t="str">
        <f>_xlfn.XLOOKUP(Tableau1[[#This Row],[Code PAS]],'parc SATIN 08012026v'!K:K,'parc SATIN 08012026v'!S:S,0,0)</f>
        <v>création</v>
      </c>
      <c r="AX116" s="250" t="str">
        <f>_xlfn.XLOOKUP(Tableau1[[#This Row],[Code PAS]],'parc SATIN 08012026v'!K:K,'parc SATIN 08012026v'!AF:AF,0,0)</f>
        <v>30 Mb/s</v>
      </c>
      <c r="AY11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117" spans="1:52" s="250" customFormat="1" ht="15" customHeight="1" x14ac:dyDescent="0.3">
      <c r="A117" s="248" t="s">
        <v>2735</v>
      </c>
      <c r="B117" s="248"/>
      <c r="C117" s="249"/>
      <c r="D117" s="249"/>
      <c r="E117" s="248" t="s">
        <v>3039</v>
      </c>
      <c r="F117" s="981" t="s">
        <v>234</v>
      </c>
      <c r="G117" s="250" t="s">
        <v>2800</v>
      </c>
      <c r="H117" s="248" t="s">
        <v>2784</v>
      </c>
      <c r="I117" s="248"/>
      <c r="J117" s="248" t="str">
        <f>_xlfn.XLOOKUP(Tableau1[[#This Row],[Code PAS]],'[13]Parc Satin'!$L:$L,'[13]Parc Satin'!$CK:$CK,0,0)</f>
        <v>Nominal InterLan 1.0 Secours InterLan 1.0</v>
      </c>
      <c r="K117" s="248"/>
      <c r="L117" s="248"/>
      <c r="M117" s="248"/>
      <c r="N117" s="248"/>
      <c r="O117" s="248"/>
      <c r="P117" s="822">
        <v>0</v>
      </c>
      <c r="Q117" s="822">
        <v>0</v>
      </c>
      <c r="R117" s="822">
        <v>0</v>
      </c>
      <c r="S117" s="822">
        <v>0</v>
      </c>
      <c r="T117" s="823">
        <v>1454</v>
      </c>
      <c r="U117" s="823">
        <v>165</v>
      </c>
      <c r="V117" s="823">
        <v>16</v>
      </c>
      <c r="W117" s="823">
        <v>36</v>
      </c>
      <c r="X117" s="823">
        <f>Tableau1[[#This Row],[Coût Abonnement offre]]+Tableau1[[#This Row],[Coût Abonnement Chassis]]+Tableau1[[#This Row],[Cout Cartes interface ]]+Tableau1[[#This Row],[Cout canaux voix supplémentaire]]</f>
        <v>1671</v>
      </c>
      <c r="Y117" s="823"/>
      <c r="Z117" s="966">
        <v>0</v>
      </c>
      <c r="AA117" s="966">
        <v>0</v>
      </c>
      <c r="AB117" s="969">
        <v>0</v>
      </c>
      <c r="AC117" s="969">
        <v>0</v>
      </c>
      <c r="AD117" s="969">
        <v>0</v>
      </c>
      <c r="AE117" s="264">
        <v>50</v>
      </c>
      <c r="AF117" s="264">
        <v>500</v>
      </c>
      <c r="AG117" s="264">
        <v>400</v>
      </c>
      <c r="AH117" s="264">
        <v>900</v>
      </c>
      <c r="AI117" s="973">
        <v>36</v>
      </c>
      <c r="AJ117" s="263">
        <v>50</v>
      </c>
      <c r="AK117" s="987">
        <v>900</v>
      </c>
      <c r="AL117" s="263">
        <f>VLOOKUP(Tableau1[[#This Row],[Code PAS]],'Facturation PAS RIN5 RUN'!C:F,4,0)</f>
        <v>16</v>
      </c>
      <c r="AM117" s="263"/>
      <c r="AN117" s="263" t="b">
        <f>ROUND(Tableau1[[#This Row],[Montant Options coûts récurrents]],0)=ROUND(Tableau1[[#This Row],[GTRS1 (Coût Plage de support 24h/24 7j/7)]],0)</f>
        <v>0</v>
      </c>
      <c r="AO117" s="265" t="e">
        <f>_xlfn.XLOOKUP(Tableau1[[#This Row],[Code PAS]],'parc SATIN 08012026v'!K:K,'parc SATIN 08012026v'!#REF!,0,0)</f>
        <v>#REF!</v>
      </c>
      <c r="AP117" s="263" t="e">
        <f>VLOOKUP(Tableau1[[#This Row],[Code PAS]],#REF!,3,0)</f>
        <v>#REF!</v>
      </c>
      <c r="AQ117" s="263" t="str">
        <f>VLOOKUP(Tableau1[[#This Row],[Code PAS]],[14]Feuil1!$B:$G,6,0)</f>
        <v>Lundi au Samedi 8h-18h</v>
      </c>
      <c r="AR117" s="263" t="str">
        <f>_xlfn.XLOOKUP(Tableau1[[#This Row],[Code PAS]],'Facturation PAS RIN5 RUN'!C:C,'Facturation PAS RIN5 RUN'!B:B,0,0)</f>
        <v>Gold_50_50</v>
      </c>
      <c r="AS117" s="263" t="b">
        <f>Tableau1[[#This Row],[Etat facturation]]=Tableau1[[#This Row],[Index offre du fournisseur]]</f>
        <v>1</v>
      </c>
      <c r="AT117" s="250" t="str">
        <f>_xlfn.XLOOKUP(Tableau1[[#This Row],[Code PAS]],'parc SATIN 08012026v'!K:K,'parc SATIN 08012026v'!M:M,0,0)</f>
        <v>PARC</v>
      </c>
      <c r="AU117" s="250" t="str">
        <f>_xlfn.XLOOKUP(Tableau1[[#This Row],[Code PAS]],'parc SATIN 08012026v'!K:K,'parc SATIN 08012026v'!O:O,0,0)</f>
        <v>PARC</v>
      </c>
      <c r="AV117" s="251">
        <f>_xlfn.XLOOKUP(Tableau1[[#This Row],[Code PAS]],'parc SATIN 08012026v'!K:K,'parc SATIN 08012026v'!Q:Q,0,0)</f>
        <v>44088</v>
      </c>
      <c r="AW117" s="251" t="str">
        <f>_xlfn.XLOOKUP(Tableau1[[#This Row],[Code PAS]],'parc SATIN 08012026v'!K:K,'parc SATIN 08012026v'!S:S,0,0)</f>
        <v>change</v>
      </c>
      <c r="AX117" s="250" t="str">
        <f>_xlfn.XLOOKUP(Tableau1[[#This Row],[Code PAS]],'parc SATIN 08012026v'!K:K,'parc SATIN 08012026v'!AF:AF,0,0)</f>
        <v>50 Mb/s</v>
      </c>
      <c r="AY11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18" spans="1:52" s="250" customFormat="1" ht="15" customHeight="1" x14ac:dyDescent="0.3">
      <c r="A118" s="248" t="s">
        <v>2735</v>
      </c>
      <c r="B118" s="248"/>
      <c r="C118" s="249"/>
      <c r="D118" s="249"/>
      <c r="E118" s="248" t="s">
        <v>3040</v>
      </c>
      <c r="F118" s="981" t="s">
        <v>386</v>
      </c>
      <c r="H118" s="248" t="s">
        <v>2784</v>
      </c>
      <c r="I118" s="248"/>
      <c r="J118" s="248" t="str">
        <f>_xlfn.XLOOKUP(Tableau1[[#This Row],[Code PAS]],'[13]Parc Satin'!$L:$L,'[13]Parc Satin'!$CK:$CK,0,0)</f>
        <v>Nominal InterLan 1.0 Secours InterLan 1.0</v>
      </c>
      <c r="K118" s="248"/>
      <c r="L118" s="248"/>
      <c r="M118" s="248"/>
      <c r="N118" s="248"/>
      <c r="O118" s="248"/>
      <c r="P118" s="822">
        <v>0</v>
      </c>
      <c r="Q118" s="822">
        <v>0</v>
      </c>
      <c r="R118" s="822">
        <v>0</v>
      </c>
      <c r="S118" s="822">
        <v>0</v>
      </c>
      <c r="T118" s="823">
        <v>1454</v>
      </c>
      <c r="U118" s="823">
        <v>165</v>
      </c>
      <c r="V118" s="823">
        <v>32</v>
      </c>
      <c r="W118" s="823">
        <v>36</v>
      </c>
      <c r="X118" s="823">
        <f>Tableau1[[#This Row],[Coût Abonnement offre]]+Tableau1[[#This Row],[Coût Abonnement Chassis]]+Tableau1[[#This Row],[Cout Cartes interface ]]+Tableau1[[#This Row],[Cout canaux voix supplémentaire]]</f>
        <v>1687</v>
      </c>
      <c r="Y118" s="823"/>
      <c r="Z118" s="966">
        <v>0</v>
      </c>
      <c r="AA118" s="966">
        <v>0</v>
      </c>
      <c r="AB118" s="969">
        <v>0</v>
      </c>
      <c r="AC118" s="969">
        <v>0</v>
      </c>
      <c r="AD118" s="969">
        <v>0</v>
      </c>
      <c r="AE118" s="264">
        <v>50</v>
      </c>
      <c r="AF118" s="264">
        <v>500</v>
      </c>
      <c r="AG118" s="264">
        <v>400</v>
      </c>
      <c r="AH118" s="264">
        <v>900</v>
      </c>
      <c r="AI118" s="973">
        <v>36</v>
      </c>
      <c r="AJ118" s="263">
        <v>50</v>
      </c>
      <c r="AK118" s="987">
        <v>900</v>
      </c>
      <c r="AL118" s="263">
        <f>VLOOKUP(Tableau1[[#This Row],[Code PAS]],'Facturation PAS RIN5 RUN'!C:F,4,0)</f>
        <v>32</v>
      </c>
      <c r="AM118" s="263"/>
      <c r="AN118" s="263" t="b">
        <f>ROUND(Tableau1[[#This Row],[Montant Options coûts récurrents]],0)=ROUND(Tableau1[[#This Row],[GTRS1 (Coût Plage de support 24h/24 7j/7)]],0)</f>
        <v>0</v>
      </c>
      <c r="AO118" s="265" t="e">
        <f>_xlfn.XLOOKUP(Tableau1[[#This Row],[Code PAS]],'parc SATIN 08012026v'!K:K,'parc SATIN 08012026v'!#REF!,0,0)</f>
        <v>#REF!</v>
      </c>
      <c r="AP118" s="263" t="e">
        <f>VLOOKUP(Tableau1[[#This Row],[Code PAS]],#REF!,3,0)</f>
        <v>#REF!</v>
      </c>
      <c r="AQ118" s="263" t="str">
        <f>VLOOKUP(Tableau1[[#This Row],[Code PAS]],[14]Feuil1!$B:$G,6,0)</f>
        <v>Lundi au Samedi 8h-18h</v>
      </c>
      <c r="AR118" s="263" t="str">
        <f>_xlfn.XLOOKUP(Tableau1[[#This Row],[Code PAS]],'Facturation PAS RIN5 RUN'!C:C,'Facturation PAS RIN5 RUN'!B:B,0,0)</f>
        <v>Gold_50_50</v>
      </c>
      <c r="AS118" s="263" t="b">
        <f>Tableau1[[#This Row],[Etat facturation]]=Tableau1[[#This Row],[Index offre du fournisseur]]</f>
        <v>1</v>
      </c>
      <c r="AT118" s="250" t="str">
        <f>_xlfn.XLOOKUP(Tableau1[[#This Row],[Code PAS]],'parc SATIN 08012026v'!K:K,'parc SATIN 08012026v'!M:M,0,0)</f>
        <v>PARC</v>
      </c>
      <c r="AU118" s="250" t="str">
        <f>_xlfn.XLOOKUP(Tableau1[[#This Row],[Code PAS]],'parc SATIN 08012026v'!K:K,'parc SATIN 08012026v'!O:O,0,0)</f>
        <v>PARC</v>
      </c>
      <c r="AV118" s="251">
        <f>_xlfn.XLOOKUP(Tableau1[[#This Row],[Code PAS]],'parc SATIN 08012026v'!K:K,'parc SATIN 08012026v'!Q:Q,0,0)</f>
        <v>44076</v>
      </c>
      <c r="AW118" s="251" t="str">
        <f>_xlfn.XLOOKUP(Tableau1[[#This Row],[Code PAS]],'parc SATIN 08012026v'!K:K,'parc SATIN 08012026v'!S:S,0,0)</f>
        <v>change</v>
      </c>
      <c r="AX118" s="250" t="str">
        <f>_xlfn.XLOOKUP(Tableau1[[#This Row],[Code PAS]],'parc SATIN 08012026v'!K:K,'parc SATIN 08012026v'!AF:AF,0,0)</f>
        <v>50 Mb/s</v>
      </c>
      <c r="AY11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19" spans="1:52" s="250" customFormat="1" ht="15" customHeight="1" x14ac:dyDescent="0.3">
      <c r="A119" s="250" t="s">
        <v>2743</v>
      </c>
      <c r="C119" s="249"/>
      <c r="D119" s="249"/>
      <c r="E119" s="250" t="s">
        <v>3041</v>
      </c>
      <c r="F119" s="984" t="s">
        <v>1297</v>
      </c>
      <c r="H119" s="250" t="s">
        <v>2765</v>
      </c>
      <c r="J119" s="248" t="str">
        <f>_xlfn.XLOOKUP(Tableau1[[#This Row],[Code PAS]],'[13]Parc Satin'!$L:$L,'[13]Parc Satin'!$CK:$CK,0,0)</f>
        <v>Nominal InterLan 1.0 Secours InterLan 1.0</v>
      </c>
      <c r="P119" s="820">
        <v>0</v>
      </c>
      <c r="Q119" s="820">
        <v>0</v>
      </c>
      <c r="R119" s="820">
        <v>0</v>
      </c>
      <c r="S119" s="820">
        <v>0</v>
      </c>
      <c r="T119" s="824">
        <v>1249</v>
      </c>
      <c r="U119" s="824">
        <v>71</v>
      </c>
      <c r="V119" s="824">
        <v>16</v>
      </c>
      <c r="W119" s="824">
        <v>0</v>
      </c>
      <c r="X119" s="823">
        <f>Tableau1[[#This Row],[Coût Abonnement offre]]+Tableau1[[#This Row],[Coût Abonnement Chassis]]+Tableau1[[#This Row],[Cout Cartes interface ]]+Tableau1[[#This Row],[Cout canaux voix supplémentaire]]</f>
        <v>1336</v>
      </c>
      <c r="Y119" s="824"/>
      <c r="Z119" s="966">
        <v>0</v>
      </c>
      <c r="AA119" s="966">
        <v>0</v>
      </c>
      <c r="AB119" s="969">
        <v>0</v>
      </c>
      <c r="AC119" s="969">
        <v>0</v>
      </c>
      <c r="AD119" s="969">
        <v>0</v>
      </c>
      <c r="AE119" s="264">
        <v>30</v>
      </c>
      <c r="AF119" s="264">
        <v>400</v>
      </c>
      <c r="AG119" s="264">
        <v>150</v>
      </c>
      <c r="AH119" s="264">
        <v>550</v>
      </c>
      <c r="AI119" s="973">
        <v>14</v>
      </c>
      <c r="AJ119" s="263">
        <v>30</v>
      </c>
      <c r="AK119" s="987">
        <v>400</v>
      </c>
      <c r="AL119" s="263">
        <f>VLOOKUP(Tableau1[[#This Row],[Code PAS]],'Facturation PAS RIN5 RUN'!C:F,4,0)</f>
        <v>16</v>
      </c>
      <c r="AM119" s="263"/>
      <c r="AN119" s="263" t="b">
        <f>ROUND(Tableau1[[#This Row],[Montant Options coûts récurrents]],0)=ROUND(Tableau1[[#This Row],[GTRS1 (Coût Plage de support 24h/24 7j/7)]],0)</f>
        <v>0</v>
      </c>
      <c r="AO119" s="265" t="e">
        <f>_xlfn.XLOOKUP(Tableau1[[#This Row],[Code PAS]],'parc SATIN 08012026v'!K:K,'parc SATIN 08012026v'!#REF!,0,0)</f>
        <v>#REF!</v>
      </c>
      <c r="AP119" s="263" t="e">
        <f>VLOOKUP(Tableau1[[#This Row],[Code PAS]],#REF!,3,0)</f>
        <v>#REF!</v>
      </c>
      <c r="AQ119" s="263" t="str">
        <f>VLOOKUP(Tableau1[[#This Row],[Code PAS]],[14]Feuil1!$B:$G,6,0)</f>
        <v>Lundi au Samedi 8h-18h</v>
      </c>
      <c r="AR119" s="263" t="str">
        <f>_xlfn.XLOOKUP(Tableau1[[#This Row],[Code PAS]],'Facturation PAS RIN5 RUN'!C:C,'Facturation PAS RIN5 RUN'!B:B,0,0)</f>
        <v>Gold_30_30</v>
      </c>
      <c r="AS119" s="263" t="b">
        <f>Tableau1[[#This Row],[Etat facturation]]=Tableau1[[#This Row],[Index offre du fournisseur]]</f>
        <v>1</v>
      </c>
      <c r="AT119" s="250" t="str">
        <f>_xlfn.XLOOKUP(Tableau1[[#This Row],[Code PAS]],'parc SATIN 08012026v'!K:K,'parc SATIN 08012026v'!M:M,0,0)</f>
        <v>PARC</v>
      </c>
      <c r="AU119" s="250" t="str">
        <f>_xlfn.XLOOKUP(Tableau1[[#This Row],[Code PAS]],'parc SATIN 08012026v'!K:K,'parc SATIN 08012026v'!O:O,0,0)</f>
        <v>PARC</v>
      </c>
      <c r="AV119" s="251">
        <f>_xlfn.XLOOKUP(Tableau1[[#This Row],[Code PAS]],'parc SATIN 08012026v'!K:K,'parc SATIN 08012026v'!Q:Q,0,0)</f>
        <v>44077</v>
      </c>
      <c r="AW119" s="251" t="str">
        <f>_xlfn.XLOOKUP(Tableau1[[#This Row],[Code PAS]],'parc SATIN 08012026v'!K:K,'parc SATIN 08012026v'!S:S,0,0)</f>
        <v>change</v>
      </c>
      <c r="AX119" s="250" t="str">
        <f>_xlfn.XLOOKUP(Tableau1[[#This Row],[Code PAS]],'parc SATIN 08012026v'!K:K,'parc SATIN 08012026v'!AF:AF,0,0)</f>
        <v>30 Mb/s</v>
      </c>
      <c r="AY11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119" s="250" t="s">
        <v>2868</v>
      </c>
    </row>
    <row r="120" spans="1:52" s="250" customFormat="1" ht="15" customHeight="1" x14ac:dyDescent="0.3">
      <c r="A120" s="250" t="s">
        <v>2743</v>
      </c>
      <c r="C120" s="249"/>
      <c r="D120" s="249"/>
      <c r="E120" s="250" t="s">
        <v>3042</v>
      </c>
      <c r="F120" s="984" t="s">
        <v>1251</v>
      </c>
      <c r="G120" s="250" t="s">
        <v>2800</v>
      </c>
      <c r="H120" s="250" t="s">
        <v>2745</v>
      </c>
      <c r="J120" s="248" t="str">
        <f>_xlfn.XLOOKUP(Tableau1[[#This Row],[Code PAS]],'[13]Parc Satin'!$L:$L,'[13]Parc Satin'!$CK:$CK,0,0)</f>
        <v>Nominal InterLan 1.0 Secours InterLan 1.0</v>
      </c>
      <c r="P120" s="820">
        <v>0</v>
      </c>
      <c r="Q120" s="820">
        <v>0</v>
      </c>
      <c r="R120" s="820">
        <v>0</v>
      </c>
      <c r="S120" s="820">
        <v>0</v>
      </c>
      <c r="T120" s="824">
        <v>1628</v>
      </c>
      <c r="U120" s="824">
        <v>239</v>
      </c>
      <c r="V120" s="824">
        <v>0</v>
      </c>
      <c r="W120" s="824">
        <v>108</v>
      </c>
      <c r="X120" s="823">
        <f>Tableau1[[#This Row],[Coût Abonnement offre]]+Tableau1[[#This Row],[Coût Abonnement Chassis]]+Tableau1[[#This Row],[Cout Cartes interface ]]+Tableau1[[#This Row],[Cout canaux voix supplémentaire]]</f>
        <v>1975</v>
      </c>
      <c r="Y120" s="824"/>
      <c r="Z120" s="966">
        <v>0</v>
      </c>
      <c r="AA120" s="966">
        <v>0</v>
      </c>
      <c r="AB120" s="969">
        <v>0</v>
      </c>
      <c r="AC120" s="969">
        <v>0</v>
      </c>
      <c r="AD120" s="969">
        <v>0</v>
      </c>
      <c r="AE120" s="264">
        <v>100</v>
      </c>
      <c r="AF120" s="264">
        <v>600</v>
      </c>
      <c r="AG120" s="264">
        <v>1200</v>
      </c>
      <c r="AH120" s="264">
        <v>1800</v>
      </c>
      <c r="AI120" s="973">
        <v>108</v>
      </c>
      <c r="AJ120" s="263">
        <v>100</v>
      </c>
      <c r="AK120" s="987">
        <v>1800</v>
      </c>
      <c r="AL120" s="263">
        <f>VLOOKUP(Tableau1[[#This Row],[Code PAS]],'Facturation PAS RIN5 RUN'!C:F,4,0)</f>
        <v>0</v>
      </c>
      <c r="AM120" s="263"/>
      <c r="AN120" s="263" t="b">
        <f>ROUND(Tableau1[[#This Row],[Montant Options coûts récurrents]],0)=ROUND(Tableau1[[#This Row],[GTRS1 (Coût Plage de support 24h/24 7j/7)]],0)</f>
        <v>1</v>
      </c>
      <c r="AO120" s="265" t="e">
        <f>_xlfn.XLOOKUP(Tableau1[[#This Row],[Code PAS]],'parc SATIN 08012026v'!K:K,'parc SATIN 08012026v'!#REF!,0,0)</f>
        <v>#REF!</v>
      </c>
      <c r="AP120" s="263" t="e">
        <f>VLOOKUP(Tableau1[[#This Row],[Code PAS]],#REF!,3,0)</f>
        <v>#REF!</v>
      </c>
      <c r="AQ120" s="263" t="str">
        <f>VLOOKUP(Tableau1[[#This Row],[Code PAS]],[14]Feuil1!$B:$G,6,0)</f>
        <v>Lundi au Samedi 8h-18h</v>
      </c>
      <c r="AR120" s="263" t="str">
        <f>_xlfn.XLOOKUP(Tableau1[[#This Row],[Code PAS]],'Facturation PAS RIN5 RUN'!C:C,'Facturation PAS RIN5 RUN'!B:B,0,0)</f>
        <v>Gold_100_100</v>
      </c>
      <c r="AS120" s="263" t="b">
        <f>Tableau1[[#This Row],[Etat facturation]]=Tableau1[[#This Row],[Index offre du fournisseur]]</f>
        <v>1</v>
      </c>
      <c r="AT120" s="250" t="str">
        <f>_xlfn.XLOOKUP(Tableau1[[#This Row],[Code PAS]],'parc SATIN 08012026v'!K:K,'parc SATIN 08012026v'!M:M,0,0)</f>
        <v>PARC</v>
      </c>
      <c r="AU120" s="250" t="str">
        <f>_xlfn.XLOOKUP(Tableau1[[#This Row],[Code PAS]],'parc SATIN 08012026v'!K:K,'parc SATIN 08012026v'!O:O,0,0)</f>
        <v>PARC</v>
      </c>
      <c r="AV120" s="251">
        <f>_xlfn.XLOOKUP(Tableau1[[#This Row],[Code PAS]],'parc SATIN 08012026v'!K:K,'parc SATIN 08012026v'!Q:Q,0,0)</f>
        <v>44088</v>
      </c>
      <c r="AW120" s="251" t="str">
        <f>_xlfn.XLOOKUP(Tableau1[[#This Row],[Code PAS]],'parc SATIN 08012026v'!K:K,'parc SATIN 08012026v'!S:S,0,0)</f>
        <v>change</v>
      </c>
      <c r="AX120" s="250" t="str">
        <f>_xlfn.XLOOKUP(Tableau1[[#This Row],[Code PAS]],'parc SATIN 08012026v'!K:K,'parc SATIN 08012026v'!AF:AF,0,0)</f>
        <v>100 Mb/s</v>
      </c>
      <c r="AY12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121" spans="1:52" s="250" customFormat="1" ht="15" customHeight="1" x14ac:dyDescent="0.3">
      <c r="A121" s="248" t="s">
        <v>2735</v>
      </c>
      <c r="B121" s="248"/>
      <c r="C121" s="249"/>
      <c r="D121" s="249"/>
      <c r="E121" s="248" t="s">
        <v>3043</v>
      </c>
      <c r="F121" s="981" t="s">
        <v>722</v>
      </c>
      <c r="G121" s="250" t="s">
        <v>2784</v>
      </c>
      <c r="H121" s="248" t="s">
        <v>2784</v>
      </c>
      <c r="I121" s="248" t="s">
        <v>78</v>
      </c>
      <c r="J121" s="248" t="str">
        <f>_xlfn.XLOOKUP(Tableau1[[#This Row],[Code PAS]],'[13]Parc Satin'!$L:$L,'[13]Parc Satin'!$CK:$CK,0,0)</f>
        <v>Nominal InterLan 1.0 Secours InterLan 1.0</v>
      </c>
      <c r="K121" s="248" t="s">
        <v>2860</v>
      </c>
      <c r="L121" s="248">
        <v>500</v>
      </c>
      <c r="M121" s="248">
        <v>400</v>
      </c>
      <c r="N121" s="248"/>
      <c r="O121" s="248" t="s">
        <v>76</v>
      </c>
      <c r="P121" s="822">
        <v>0</v>
      </c>
      <c r="Q121" s="822">
        <v>0</v>
      </c>
      <c r="R121" s="822">
        <v>0</v>
      </c>
      <c r="S121" s="822">
        <v>0</v>
      </c>
      <c r="T121" s="823">
        <v>1454</v>
      </c>
      <c r="U121" s="823">
        <v>95</v>
      </c>
      <c r="V121" s="823">
        <v>32</v>
      </c>
      <c r="W121" s="823">
        <v>36</v>
      </c>
      <c r="X121" s="823">
        <f>Tableau1[[#This Row],[Coût Abonnement offre]]+Tableau1[[#This Row],[Coût Abonnement Chassis]]+Tableau1[[#This Row],[Cout Cartes interface ]]+Tableau1[[#This Row],[Cout canaux voix supplémentaire]]</f>
        <v>1617</v>
      </c>
      <c r="Y121" s="823">
        <v>66</v>
      </c>
      <c r="Z121" s="966">
        <v>0</v>
      </c>
      <c r="AA121" s="966">
        <v>0</v>
      </c>
      <c r="AB121" s="969">
        <v>0</v>
      </c>
      <c r="AC121" s="969">
        <v>0</v>
      </c>
      <c r="AD121" s="969">
        <v>0</v>
      </c>
      <c r="AE121" s="264">
        <v>50</v>
      </c>
      <c r="AF121" s="264">
        <v>500</v>
      </c>
      <c r="AG121" s="264">
        <v>400</v>
      </c>
      <c r="AH121" s="264">
        <v>900</v>
      </c>
      <c r="AI121" s="973">
        <v>36</v>
      </c>
      <c r="AJ121" s="263">
        <v>50</v>
      </c>
      <c r="AK121" s="987">
        <v>900</v>
      </c>
      <c r="AL121" s="263">
        <f>VLOOKUP(Tableau1[[#This Row],[Code PAS]],'Facturation PAS RIN5 RUN'!C:F,4,0)</f>
        <v>32</v>
      </c>
      <c r="AM121" s="263"/>
      <c r="AN121" s="263" t="b">
        <f>ROUND(Tableau1[[#This Row],[Montant Options coûts récurrents]],0)=ROUND(Tableau1[[#This Row],[GTRS1 (Coût Plage de support 24h/24 7j/7)]],0)</f>
        <v>0</v>
      </c>
      <c r="AO121" s="265" t="e">
        <f>_xlfn.XLOOKUP(Tableau1[[#This Row],[Code PAS]],'parc SATIN 08012026v'!K:K,'parc SATIN 08012026v'!#REF!,0,0)</f>
        <v>#REF!</v>
      </c>
      <c r="AP121" s="263" t="e">
        <f>VLOOKUP(Tableau1[[#This Row],[Code PAS]],#REF!,3,0)</f>
        <v>#REF!</v>
      </c>
      <c r="AQ121" s="263" t="e">
        <f>VLOOKUP(Tableau1[[#This Row],[Code PAS]],[14]Feuil1!$B:$G,6,0)</f>
        <v>#N/A</v>
      </c>
      <c r="AR121" s="263" t="str">
        <f>_xlfn.XLOOKUP(Tableau1[[#This Row],[Code PAS]],'Facturation PAS RIN5 RUN'!C:C,'Facturation PAS RIN5 RUN'!B:B,0,0)</f>
        <v>Gold_50_50</v>
      </c>
      <c r="AS121" s="263" t="b">
        <f>Tableau1[[#This Row],[Etat facturation]]=Tableau1[[#This Row],[Index offre du fournisseur]]</f>
        <v>1</v>
      </c>
      <c r="AT121" s="250" t="str">
        <f>_xlfn.XLOOKUP(Tableau1[[#This Row],[Code PAS]],'parc SATIN 08012026v'!K:K,'parc SATIN 08012026v'!M:M,0,0)</f>
        <v>PARC</v>
      </c>
      <c r="AU121" s="250" t="str">
        <f>_xlfn.XLOOKUP(Tableau1[[#This Row],[Code PAS]],'parc SATIN 08012026v'!K:K,'parc SATIN 08012026v'!O:O,0,0)</f>
        <v>PARC</v>
      </c>
      <c r="AV121" s="251">
        <f>_xlfn.XLOOKUP(Tableau1[[#This Row],[Code PAS]],'parc SATIN 08012026v'!K:K,'parc SATIN 08012026v'!Q:Q,0,0)</f>
        <v>44998</v>
      </c>
      <c r="AW121" s="251" t="str">
        <f>_xlfn.XLOOKUP(Tableau1[[#This Row],[Code PAS]],'parc SATIN 08012026v'!K:K,'parc SATIN 08012026v'!S:S,0,0)</f>
        <v>change</v>
      </c>
      <c r="AX121" s="250" t="str">
        <f>_xlfn.XLOOKUP(Tableau1[[#This Row],[Code PAS]],'parc SATIN 08012026v'!K:K,'parc SATIN 08012026v'!AF:AF,0,0)</f>
        <v>50 Mb/s</v>
      </c>
      <c r="AY12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22" spans="1:52" s="250" customFormat="1" ht="15" customHeight="1" x14ac:dyDescent="0.3">
      <c r="A122" s="248"/>
      <c r="B122" s="249">
        <v>45896</v>
      </c>
      <c r="C122" s="248"/>
      <c r="D122" s="248"/>
      <c r="E122" s="250" t="s">
        <v>3044</v>
      </c>
      <c r="F122" s="984" t="s">
        <v>1893</v>
      </c>
      <c r="G122" s="250" t="s">
        <v>2751</v>
      </c>
      <c r="H122" s="991" t="s">
        <v>2751</v>
      </c>
      <c r="I122" s="250" t="s">
        <v>2946</v>
      </c>
      <c r="J122" s="248" t="str">
        <f>_xlfn.XLOOKUP(Tableau1[[#This Row],[Code PAS]],'[13]Parc Satin'!$L:$L,'[13]Parc Satin'!$CK:$CK,0,0)</f>
        <v>Nominal InterLan 1.0 sans Secours</v>
      </c>
      <c r="L122" s="250">
        <v>120</v>
      </c>
      <c r="M122" s="250">
        <v>60</v>
      </c>
      <c r="N122" s="250">
        <v>1</v>
      </c>
      <c r="O122" s="250" t="s">
        <v>74</v>
      </c>
      <c r="P122" s="824">
        <v>602</v>
      </c>
      <c r="Q122" s="824">
        <v>0</v>
      </c>
      <c r="R122" s="824">
        <v>0</v>
      </c>
      <c r="S122" s="824">
        <v>602</v>
      </c>
      <c r="T122" s="824">
        <v>568</v>
      </c>
      <c r="U122" s="824">
        <v>42</v>
      </c>
      <c r="V122" s="824">
        <v>0</v>
      </c>
      <c r="W122" s="824">
        <v>5</v>
      </c>
      <c r="X122" s="824">
        <f>Tableau1[[#This Row],[Coût Abonnement offre]]+Tableau1[[#This Row],[Coût Abonnement Chassis]]+Tableau1[[#This Row],[Cout Cartes interface ]]+Tableau1[[#This Row],[Cout canaux voix supplémentaire]]</f>
        <v>615</v>
      </c>
      <c r="Y122" s="824">
        <v>0</v>
      </c>
      <c r="Z122" s="966">
        <v>0</v>
      </c>
      <c r="AA122" s="966">
        <v>0</v>
      </c>
      <c r="AB122" s="969">
        <v>0</v>
      </c>
      <c r="AC122" s="969">
        <v>0</v>
      </c>
      <c r="AD122" s="969">
        <v>0</v>
      </c>
      <c r="AE122" s="264">
        <v>10</v>
      </c>
      <c r="AF122" s="264">
        <v>120</v>
      </c>
      <c r="AG122" s="264">
        <v>60</v>
      </c>
      <c r="AH122" s="264">
        <v>180</v>
      </c>
      <c r="AI122" s="973">
        <v>5</v>
      </c>
      <c r="AJ122" s="263">
        <v>10</v>
      </c>
      <c r="AK122" s="987">
        <v>180</v>
      </c>
      <c r="AL122" s="263">
        <f>VLOOKUP(Tableau1[[#This Row],[Code PAS]],'Facturation PAS RIN5 RUN'!C:F,4,0)</f>
        <v>0</v>
      </c>
      <c r="AM122" s="263"/>
      <c r="AN122" s="263" t="b">
        <f>ROUND(Tableau1[[#This Row],[Montant Options coûts récurrents]],0)=ROUND(Tableau1[[#This Row],[GTRS1 (Coût Plage de support 24h/24 7j/7)]],0)</f>
        <v>1</v>
      </c>
      <c r="AO122" s="265" t="e">
        <f>_xlfn.XLOOKUP(Tableau1[[#This Row],[Code PAS]],'parc SATIN 08012026v'!K:K,'parc SATIN 08012026v'!#REF!,0,0)</f>
        <v>#REF!</v>
      </c>
      <c r="AP122" s="263" t="e">
        <f>VLOOKUP(Tableau1[[#This Row],[Code PAS]],#REF!,3,0)</f>
        <v>#REF!</v>
      </c>
      <c r="AQ122" s="263" t="e">
        <f>VLOOKUP(Tableau1[[#This Row],[Code PAS]],[14]Feuil1!$B:$G,6,0)</f>
        <v>#N/A</v>
      </c>
      <c r="AR122" s="263" t="str">
        <f>_xlfn.XLOOKUP(Tableau1[[#This Row],[Code PAS]],'Facturation PAS RIN5 RUN'!C:C,'Facturation PAS RIN5 RUN'!B:B,0,0)</f>
        <v>Bronze_10_0</v>
      </c>
      <c r="AS122" s="263" t="b">
        <f>Tableau1[[#This Row],[Etat facturation]]=Tableau1[[#This Row],[Index offre du fournisseur]]</f>
        <v>1</v>
      </c>
      <c r="AT122" s="250" t="str">
        <f>_xlfn.XLOOKUP(Tableau1[[#This Row],[Code PAS]],'parc SATIN 08012026v'!K:K,'parc SATIN 08012026v'!M:M,0,0)</f>
        <v>PARC</v>
      </c>
      <c r="AU122" s="250" t="str">
        <f>_xlfn.XLOOKUP(Tableau1[[#This Row],[Code PAS]],'parc SATIN 08012026v'!K:K,'parc SATIN 08012026v'!O:O,0,0)</f>
        <v>PARC</v>
      </c>
      <c r="AV122" s="251">
        <f>_xlfn.XLOOKUP(Tableau1[[#This Row],[Code PAS]],'parc SATIN 08012026v'!K:K,'parc SATIN 08012026v'!Q:Q,0,0)</f>
        <v>45896</v>
      </c>
      <c r="AW122" s="251" t="str">
        <f>_xlfn.XLOOKUP(Tableau1[[#This Row],[Code PAS]],'parc SATIN 08012026v'!K:K,'parc SATIN 08012026v'!S:S,0,0)</f>
        <v>création</v>
      </c>
      <c r="AX122" s="250" t="str">
        <f>_xlfn.XLOOKUP(Tableau1[[#This Row],[Code PAS]],'parc SATIN 08012026v'!K:K,'parc SATIN 08012026v'!AF:AF,0,0)</f>
        <v>10 Mb/s</v>
      </c>
      <c r="AY12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123" spans="1:52" s="250" customFormat="1" ht="15" customHeight="1" x14ac:dyDescent="0.3">
      <c r="A123" s="250" t="s">
        <v>2743</v>
      </c>
      <c r="C123" s="249"/>
      <c r="D123" s="249"/>
      <c r="E123" s="250" t="s">
        <v>3046</v>
      </c>
      <c r="F123" s="984" t="s">
        <v>1959</v>
      </c>
      <c r="H123" s="250" t="s">
        <v>2926</v>
      </c>
      <c r="J123" s="248" t="str">
        <f>_xlfn.XLOOKUP(Tableau1[[#This Row],[Code PAS]],'[13]Parc Satin'!$L:$L,'[13]Parc Satin'!$CK:$CK,0,0)</f>
        <v>Nominal InterLan 1.0 Secours InterLan 1.0</v>
      </c>
      <c r="P123" s="820">
        <v>0</v>
      </c>
      <c r="Q123" s="820">
        <v>0</v>
      </c>
      <c r="R123" s="820">
        <v>0</v>
      </c>
      <c r="S123" s="820">
        <v>0</v>
      </c>
      <c r="T123" s="824">
        <v>1665</v>
      </c>
      <c r="U123" s="824">
        <v>239</v>
      </c>
      <c r="V123" s="824">
        <v>32</v>
      </c>
      <c r="W123" s="824">
        <v>171</v>
      </c>
      <c r="X123" s="823">
        <f>Tableau1[[#This Row],[Coût Abonnement offre]]+Tableau1[[#This Row],[Coût Abonnement Chassis]]+Tableau1[[#This Row],[Cout Cartes interface ]]+Tableau1[[#This Row],[Cout canaux voix supplémentaire]]</f>
        <v>2107</v>
      </c>
      <c r="Y123" s="824">
        <v>66</v>
      </c>
      <c r="Z123" s="966">
        <v>0</v>
      </c>
      <c r="AA123" s="966">
        <v>0</v>
      </c>
      <c r="AB123" s="969">
        <v>0</v>
      </c>
      <c r="AC123" s="969">
        <v>0</v>
      </c>
      <c r="AD123" s="969">
        <v>0</v>
      </c>
      <c r="AE123" s="264">
        <v>150</v>
      </c>
      <c r="AF123" s="264">
        <v>700</v>
      </c>
      <c r="AG123" s="264">
        <v>1900</v>
      </c>
      <c r="AH123" s="264">
        <v>2600</v>
      </c>
      <c r="AI123" s="973">
        <v>171</v>
      </c>
      <c r="AJ123" s="263">
        <v>150</v>
      </c>
      <c r="AK123" s="987">
        <v>2600</v>
      </c>
      <c r="AL123" s="263">
        <f>VLOOKUP(Tableau1[[#This Row],[Code PAS]],'Facturation PAS RIN5 RUN'!C:F,4,0)</f>
        <v>32</v>
      </c>
      <c r="AM123" s="263"/>
      <c r="AN123" s="263" t="b">
        <f>ROUND(Tableau1[[#This Row],[Montant Options coûts récurrents]],0)=ROUND(Tableau1[[#This Row],[GTRS1 (Coût Plage de support 24h/24 7j/7)]],0)</f>
        <v>0</v>
      </c>
      <c r="AO123" s="265" t="e">
        <f>_xlfn.XLOOKUP(Tableau1[[#This Row],[Code PAS]],'parc SATIN 08012026v'!K:K,'parc SATIN 08012026v'!#REF!,0,0)</f>
        <v>#REF!</v>
      </c>
      <c r="AP123" s="263" t="e">
        <f>VLOOKUP(Tableau1[[#This Row],[Code PAS]],#REF!,3,0)</f>
        <v>#REF!</v>
      </c>
      <c r="AQ123" s="263" t="e">
        <f>VLOOKUP(Tableau1[[#This Row],[Code PAS]],[14]Feuil1!$B:$G,6,0)</f>
        <v>#N/A</v>
      </c>
      <c r="AR123" s="263" t="str">
        <f>_xlfn.XLOOKUP(Tableau1[[#This Row],[Code PAS]],'Facturation PAS RIN5 RUN'!C:C,'Facturation PAS RIN5 RUN'!B:B,0,0)</f>
        <v>Gold_150_150</v>
      </c>
      <c r="AS123" s="263" t="b">
        <f>Tableau1[[#This Row],[Etat facturation]]=Tableau1[[#This Row],[Index offre du fournisseur]]</f>
        <v>1</v>
      </c>
      <c r="AT123" s="250" t="str">
        <f>_xlfn.XLOOKUP(Tableau1[[#This Row],[Code PAS]],'parc SATIN 08012026v'!K:K,'parc SATIN 08012026v'!M:M,0,0)</f>
        <v>PARC</v>
      </c>
      <c r="AU123" s="250" t="str">
        <f>_xlfn.XLOOKUP(Tableau1[[#This Row],[Code PAS]],'parc SATIN 08012026v'!K:K,'parc SATIN 08012026v'!O:O,0,0)</f>
        <v>PARC</v>
      </c>
      <c r="AV123" s="251">
        <f>_xlfn.XLOOKUP(Tableau1[[#This Row],[Code PAS]],'parc SATIN 08012026v'!K:K,'parc SATIN 08012026v'!Q:Q,0,0)</f>
        <v>43784</v>
      </c>
      <c r="AW123" s="251" t="str">
        <f>_xlfn.XLOOKUP(Tableau1[[#This Row],[Code PAS]],'parc SATIN 08012026v'!K:K,'parc SATIN 08012026v'!S:S,0,0)</f>
        <v>change</v>
      </c>
      <c r="AX123" s="250" t="str">
        <f>_xlfn.XLOOKUP(Tableau1[[#This Row],[Code PAS]],'parc SATIN 08012026v'!K:K,'parc SATIN 08012026v'!AF:AF,0,0)</f>
        <v>150 Mb/s</v>
      </c>
      <c r="AY12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150</v>
      </c>
    </row>
    <row r="124" spans="1:52" s="250" customFormat="1" ht="15" customHeight="1" x14ac:dyDescent="0.3">
      <c r="A124" s="250" t="s">
        <v>2743</v>
      </c>
      <c r="E124" s="250" t="s">
        <v>3047</v>
      </c>
      <c r="F124" s="984" t="s">
        <v>1953</v>
      </c>
      <c r="H124" s="250" t="s">
        <v>2751</v>
      </c>
      <c r="J124" s="248" t="str">
        <f>_xlfn.XLOOKUP(Tableau1[[#This Row],[Code PAS]],'[13]Parc Satin'!$L:$L,'[13]Parc Satin'!$CK:$CK,0,0)</f>
        <v>Nominal InterLan 1.0 sans Secours</v>
      </c>
      <c r="P124" s="820">
        <v>0</v>
      </c>
      <c r="Q124" s="820">
        <v>0</v>
      </c>
      <c r="R124" s="820">
        <v>0</v>
      </c>
      <c r="S124" s="820">
        <v>0</v>
      </c>
      <c r="T124" s="824">
        <v>568</v>
      </c>
      <c r="U124" s="824">
        <v>22</v>
      </c>
      <c r="V124" s="824">
        <v>16</v>
      </c>
      <c r="W124" s="824">
        <v>0</v>
      </c>
      <c r="X124" s="823">
        <f>Tableau1[[#This Row],[Coût Abonnement offre]]+Tableau1[[#This Row],[Coût Abonnement Chassis]]+Tableau1[[#This Row],[Cout Cartes interface ]]+Tableau1[[#This Row],[Cout canaux voix supplémentaire]]</f>
        <v>606</v>
      </c>
      <c r="Y124" s="824">
        <v>0</v>
      </c>
      <c r="Z124" s="966">
        <v>0</v>
      </c>
      <c r="AA124" s="966">
        <v>0</v>
      </c>
      <c r="AB124" s="969">
        <v>0</v>
      </c>
      <c r="AC124" s="969">
        <v>0</v>
      </c>
      <c r="AD124" s="969">
        <v>0</v>
      </c>
      <c r="AE124" s="264">
        <v>10</v>
      </c>
      <c r="AF124" s="264">
        <v>120</v>
      </c>
      <c r="AG124" s="264">
        <v>60</v>
      </c>
      <c r="AH124" s="264">
        <v>180</v>
      </c>
      <c r="AI124" s="973">
        <v>5</v>
      </c>
      <c r="AJ124" s="263">
        <v>10</v>
      </c>
      <c r="AK124" s="987">
        <v>120</v>
      </c>
      <c r="AL124" s="263">
        <f>VLOOKUP(Tableau1[[#This Row],[Code PAS]],'Facturation PAS RIN5 RUN'!C:F,4,0)</f>
        <v>16</v>
      </c>
      <c r="AM124" s="263"/>
      <c r="AN124" s="263" t="b">
        <f>ROUND(Tableau1[[#This Row],[Montant Options coûts récurrents]],0)=ROUND(Tableau1[[#This Row],[GTRS1 (Coût Plage de support 24h/24 7j/7)]],0)</f>
        <v>0</v>
      </c>
      <c r="AO124" s="265" t="e">
        <f>_xlfn.XLOOKUP(Tableau1[[#This Row],[Code PAS]],'parc SATIN 08012026v'!K:K,'parc SATIN 08012026v'!#REF!,0,0)</f>
        <v>#REF!</v>
      </c>
      <c r="AP124" s="263" t="e">
        <f>VLOOKUP(Tableau1[[#This Row],[Code PAS]],#REF!,3,0)</f>
        <v>#REF!</v>
      </c>
      <c r="AQ124" s="263" t="e">
        <f>VLOOKUP(Tableau1[[#This Row],[Code PAS]],[14]Feuil1!$B:$G,6,0)</f>
        <v>#N/A</v>
      </c>
      <c r="AR124" s="263" t="str">
        <f>_xlfn.XLOOKUP(Tableau1[[#This Row],[Code PAS]],'Facturation PAS RIN5 RUN'!C:C,'Facturation PAS RIN5 RUN'!B:B,0,0)</f>
        <v>Bronze_10_0</v>
      </c>
      <c r="AS124" s="263" t="b">
        <f>Tableau1[[#This Row],[Etat facturation]]=Tableau1[[#This Row],[Index offre du fournisseur]]</f>
        <v>1</v>
      </c>
      <c r="AT124" s="250" t="str">
        <f>_xlfn.XLOOKUP(Tableau1[[#This Row],[Code PAS]],'parc SATIN 08012026v'!K:K,'parc SATIN 08012026v'!M:M,0,0)</f>
        <v>PARC</v>
      </c>
      <c r="AU124" s="250" t="str">
        <f>_xlfn.XLOOKUP(Tableau1[[#This Row],[Code PAS]],'parc SATIN 08012026v'!K:K,'parc SATIN 08012026v'!O:O,0,0)</f>
        <v>PARC</v>
      </c>
      <c r="AV124" s="251">
        <f>_xlfn.XLOOKUP(Tableau1[[#This Row],[Code PAS]],'parc SATIN 08012026v'!K:K,'parc SATIN 08012026v'!Q:Q,0,0)</f>
        <v>43965</v>
      </c>
      <c r="AW124" s="251" t="str">
        <f>_xlfn.XLOOKUP(Tableau1[[#This Row],[Code PAS]],'parc SATIN 08012026v'!K:K,'parc SATIN 08012026v'!S:S,0,0)</f>
        <v>change</v>
      </c>
      <c r="AX124" s="250" t="str">
        <f>_xlfn.XLOOKUP(Tableau1[[#This Row],[Code PAS]],'parc SATIN 08012026v'!K:K,'parc SATIN 08012026v'!AF:AF,0,0)</f>
        <v>10 Mb/s</v>
      </c>
      <c r="AY12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124" s="250" t="s">
        <v>2868</v>
      </c>
    </row>
    <row r="125" spans="1:52" s="250" customFormat="1" ht="15" customHeight="1" x14ac:dyDescent="0.3">
      <c r="A125" s="248" t="s">
        <v>2735</v>
      </c>
      <c r="B125" s="248"/>
      <c r="C125" s="249"/>
      <c r="D125" s="249"/>
      <c r="E125" s="250" t="s">
        <v>3048</v>
      </c>
      <c r="F125" s="984" t="s">
        <v>367</v>
      </c>
      <c r="G125" s="250" t="s">
        <v>2784</v>
      </c>
      <c r="H125" s="250" t="s">
        <v>2784</v>
      </c>
      <c r="I125" s="250" t="s">
        <v>78</v>
      </c>
      <c r="J125" s="248" t="str">
        <f>_xlfn.XLOOKUP(Tableau1[[#This Row],[Code PAS]],'[13]Parc Satin'!$L:$L,'[13]Parc Satin'!$CK:$CK,0,0)</f>
        <v>Nominal InterLan 1.0 Secours InterLan 1.0</v>
      </c>
      <c r="K125" s="250" t="s">
        <v>2860</v>
      </c>
      <c r="L125" s="250">
        <v>500</v>
      </c>
      <c r="M125" s="250">
        <v>400</v>
      </c>
      <c r="O125" s="250" t="s">
        <v>74</v>
      </c>
      <c r="P125" s="824">
        <v>0</v>
      </c>
      <c r="Q125" s="824">
        <v>228</v>
      </c>
      <c r="R125" s="824">
        <v>0</v>
      </c>
      <c r="S125" s="824">
        <v>228</v>
      </c>
      <c r="T125" s="824">
        <v>1454</v>
      </c>
      <c r="U125" s="824">
        <v>95</v>
      </c>
      <c r="V125" s="824">
        <v>32</v>
      </c>
      <c r="W125" s="824">
        <v>36</v>
      </c>
      <c r="X125" s="824">
        <f>Tableau1[[#This Row],[Coût Abonnement offre]]+Tableau1[[#This Row],[Coût Abonnement Chassis]]+Tableau1[[#This Row],[Cout Cartes interface ]]+Tableau1[[#This Row],[Cout canaux voix supplémentaire]]</f>
        <v>1617</v>
      </c>
      <c r="Y125" s="824">
        <v>0</v>
      </c>
      <c r="Z125" s="966">
        <v>0</v>
      </c>
      <c r="AA125" s="966">
        <v>0</v>
      </c>
      <c r="AB125" s="969">
        <v>0</v>
      </c>
      <c r="AC125" s="969">
        <v>0</v>
      </c>
      <c r="AD125" s="969">
        <v>0</v>
      </c>
      <c r="AE125" s="264">
        <v>50</v>
      </c>
      <c r="AF125" s="264">
        <v>500</v>
      </c>
      <c r="AG125" s="264">
        <v>400</v>
      </c>
      <c r="AH125" s="264">
        <v>900</v>
      </c>
      <c r="AI125" s="973">
        <v>36</v>
      </c>
      <c r="AJ125" s="263">
        <v>50</v>
      </c>
      <c r="AK125" s="987">
        <v>900</v>
      </c>
      <c r="AL125" s="263">
        <f>VLOOKUP(Tableau1[[#This Row],[Code PAS]],'Facturation PAS RIN5 RUN'!C:F,4,0)</f>
        <v>32</v>
      </c>
      <c r="AM125" s="263"/>
      <c r="AN125" s="263" t="b">
        <f>ROUND(Tableau1[[#This Row],[Montant Options coûts récurrents]],0)=ROUND(Tableau1[[#This Row],[GTRS1 (Coût Plage de support 24h/24 7j/7)]],0)</f>
        <v>0</v>
      </c>
      <c r="AO125" s="265" t="e">
        <f>_xlfn.XLOOKUP(Tableau1[[#This Row],[Code PAS]],'parc SATIN 08012026v'!K:K,'parc SATIN 08012026v'!#REF!,0,0)</f>
        <v>#REF!</v>
      </c>
      <c r="AP125" s="263" t="e">
        <f>VLOOKUP(Tableau1[[#This Row],[Code PAS]],#REF!,3,0)</f>
        <v>#REF!</v>
      </c>
      <c r="AQ125" s="263" t="e">
        <f>VLOOKUP(Tableau1[[#This Row],[Code PAS]],[14]Feuil1!$B:$G,6,0)</f>
        <v>#N/A</v>
      </c>
      <c r="AR125" s="263" t="str">
        <f>_xlfn.XLOOKUP(Tableau1[[#This Row],[Code PAS]],'Facturation PAS RIN5 RUN'!C:C,'Facturation PAS RIN5 RUN'!B:B,0,0)</f>
        <v>Gold_50_50</v>
      </c>
      <c r="AS125" s="263" t="b">
        <f>Tableau1[[#This Row],[Etat facturation]]=Tableau1[[#This Row],[Index offre du fournisseur]]</f>
        <v>1</v>
      </c>
      <c r="AT125" s="250" t="str">
        <f>_xlfn.XLOOKUP(Tableau1[[#This Row],[Code PAS]],'parc SATIN 08012026v'!K:K,'parc SATIN 08012026v'!M:M,0,0)</f>
        <v>PARC</v>
      </c>
      <c r="AU125" s="250" t="str">
        <f>_xlfn.XLOOKUP(Tableau1[[#This Row],[Code PAS]],'parc SATIN 08012026v'!K:K,'parc SATIN 08012026v'!O:O,0,0)</f>
        <v>PARC</v>
      </c>
      <c r="AV125" s="251">
        <f>_xlfn.XLOOKUP(Tableau1[[#This Row],[Code PAS]],'parc SATIN 08012026v'!K:K,'parc SATIN 08012026v'!Q:Q,0,0)</f>
        <v>45082</v>
      </c>
      <c r="AW125" s="251" t="str">
        <f>_xlfn.XLOOKUP(Tableau1[[#This Row],[Code PAS]],'parc SATIN 08012026v'!K:K,'parc SATIN 08012026v'!S:S,0,0)</f>
        <v>change</v>
      </c>
      <c r="AX125" s="250" t="str">
        <f>_xlfn.XLOOKUP(Tableau1[[#This Row],[Code PAS]],'parc SATIN 08012026v'!K:K,'parc SATIN 08012026v'!AF:AF,0,0)</f>
        <v>50 Mb/s</v>
      </c>
      <c r="AY12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26" spans="1:52" s="250" customFormat="1" ht="15" customHeight="1" x14ac:dyDescent="0.3">
      <c r="A126" s="250" t="s">
        <v>2739</v>
      </c>
      <c r="C126" s="249"/>
      <c r="D126" s="249"/>
      <c r="E126" s="250" t="s">
        <v>3049</v>
      </c>
      <c r="F126" s="984" t="s">
        <v>1448</v>
      </c>
      <c r="G126" s="250" t="s">
        <v>2784</v>
      </c>
      <c r="H126" s="250" t="s">
        <v>2784</v>
      </c>
      <c r="I126" s="250" t="s">
        <v>78</v>
      </c>
      <c r="J126" s="248" t="str">
        <f>_xlfn.XLOOKUP(Tableau1[[#This Row],[Code PAS]],'[13]Parc Satin'!$L:$L,'[13]Parc Satin'!$CK:$CK,0,0)</f>
        <v>Nominal InterLan 1.0 Secours InterLan 1.0</v>
      </c>
      <c r="K126" s="250" t="s">
        <v>2860</v>
      </c>
      <c r="L126" s="250">
        <v>500</v>
      </c>
      <c r="M126" s="250">
        <v>400</v>
      </c>
      <c r="N126" s="250">
        <v>0</v>
      </c>
      <c r="O126" s="250" t="s">
        <v>74</v>
      </c>
      <c r="P126" s="824">
        <v>0</v>
      </c>
      <c r="Q126" s="824">
        <v>228</v>
      </c>
      <c r="R126" s="824">
        <v>57</v>
      </c>
      <c r="S126" s="824">
        <v>285</v>
      </c>
      <c r="T126" s="824">
        <v>1454</v>
      </c>
      <c r="U126" s="824">
        <v>95</v>
      </c>
      <c r="V126" s="824">
        <v>56</v>
      </c>
      <c r="W126" s="824">
        <v>36</v>
      </c>
      <c r="X126" s="824">
        <f>Tableau1[[#This Row],[Coût Abonnement offre]]+Tableau1[[#This Row],[Coût Abonnement Chassis]]+Tableau1[[#This Row],[Cout Cartes interface ]]+Tableau1[[#This Row],[Cout canaux voix supplémentaire]]</f>
        <v>1641</v>
      </c>
      <c r="Y126" s="824">
        <v>0</v>
      </c>
      <c r="Z126" s="966">
        <v>0</v>
      </c>
      <c r="AA126" s="966">
        <v>0</v>
      </c>
      <c r="AB126" s="969">
        <v>0</v>
      </c>
      <c r="AC126" s="969">
        <v>0</v>
      </c>
      <c r="AD126" s="969">
        <v>0</v>
      </c>
      <c r="AE126" s="264">
        <v>50</v>
      </c>
      <c r="AF126" s="264">
        <v>500</v>
      </c>
      <c r="AG126" s="264">
        <v>400</v>
      </c>
      <c r="AH126" s="264">
        <v>900</v>
      </c>
      <c r="AI126" s="973">
        <v>36</v>
      </c>
      <c r="AJ126" s="263">
        <v>50</v>
      </c>
      <c r="AK126" s="987">
        <v>900</v>
      </c>
      <c r="AL126" s="263">
        <f>VLOOKUP(Tableau1[[#This Row],[Code PAS]],'Facturation PAS RIN5 RUN'!C:F,4,0)</f>
        <v>56</v>
      </c>
      <c r="AM126" s="263"/>
      <c r="AN126" s="263" t="b">
        <f>ROUND(Tableau1[[#This Row],[Montant Options coûts récurrents]],0)=ROUND(Tableau1[[#This Row],[GTRS1 (Coût Plage de support 24h/24 7j/7)]],0)</f>
        <v>0</v>
      </c>
      <c r="AO126" s="265" t="e">
        <f>_xlfn.XLOOKUP(Tableau1[[#This Row],[Code PAS]],'parc SATIN 08012026v'!K:K,'parc SATIN 08012026v'!#REF!,0,0)</f>
        <v>#REF!</v>
      </c>
      <c r="AP126" s="263" t="e">
        <f>VLOOKUP(Tableau1[[#This Row],[Code PAS]],#REF!,3,0)</f>
        <v>#REF!</v>
      </c>
      <c r="AQ126" s="263" t="str">
        <f>VLOOKUP(Tableau1[[#This Row],[Code PAS]],[14]Feuil1!$B:$G,6,0)</f>
        <v>Lundi au Samedi 8h-18h</v>
      </c>
      <c r="AR126" s="263" t="str">
        <f>_xlfn.XLOOKUP(Tableau1[[#This Row],[Code PAS]],'Facturation PAS RIN5 RUN'!C:C,'Facturation PAS RIN5 RUN'!B:B,0,0)</f>
        <v>Gold_50_50</v>
      </c>
      <c r="AS126" s="263" t="b">
        <f>Tableau1[[#This Row],[Etat facturation]]=Tableau1[[#This Row],[Index offre du fournisseur]]</f>
        <v>1</v>
      </c>
      <c r="AT126" s="250" t="str">
        <f>_xlfn.XLOOKUP(Tableau1[[#This Row],[Code PAS]],'parc SATIN 08012026v'!K:K,'parc SATIN 08012026v'!M:M,0,0)</f>
        <v>PARC</v>
      </c>
      <c r="AU126" s="250" t="str">
        <f>_xlfn.XLOOKUP(Tableau1[[#This Row],[Code PAS]],'parc SATIN 08012026v'!K:K,'parc SATIN 08012026v'!O:O,0,0)</f>
        <v>PARC</v>
      </c>
      <c r="AV126" s="251">
        <f>_xlfn.XLOOKUP(Tableau1[[#This Row],[Code PAS]],'parc SATIN 08012026v'!K:K,'parc SATIN 08012026v'!Q:Q,0,0)</f>
        <v>45646</v>
      </c>
      <c r="AW126" s="251" t="str">
        <f>_xlfn.XLOOKUP(Tableau1[[#This Row],[Code PAS]],'parc SATIN 08012026v'!K:K,'parc SATIN 08012026v'!S:S,0,0)</f>
        <v>change</v>
      </c>
      <c r="AX126" s="250" t="str">
        <f>_xlfn.XLOOKUP(Tableau1[[#This Row],[Code PAS]],'parc SATIN 08012026v'!K:K,'parc SATIN 08012026v'!AF:AF,0,0)</f>
        <v>50 Mb/s</v>
      </c>
      <c r="AY12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27" spans="1:52" s="250" customFormat="1" ht="15" customHeight="1" x14ac:dyDescent="0.3">
      <c r="A127" s="250" t="s">
        <v>2739</v>
      </c>
      <c r="C127" s="249"/>
      <c r="D127" s="249"/>
      <c r="E127" s="250" t="s">
        <v>3050</v>
      </c>
      <c r="F127" s="984" t="s">
        <v>1534</v>
      </c>
      <c r="G127" s="250" t="s">
        <v>2800</v>
      </c>
      <c r="H127" s="250" t="s">
        <v>2867</v>
      </c>
      <c r="J127" s="248" t="str">
        <f>_xlfn.XLOOKUP(Tableau1[[#This Row],[Code PAS]],'[13]Parc Satin'!$L:$L,'[13]Parc Satin'!$CK:$CK,0,0)</f>
        <v>Nominal C2E sans Secours</v>
      </c>
      <c r="P127" s="820">
        <v>0</v>
      </c>
      <c r="Q127" s="820">
        <v>0</v>
      </c>
      <c r="R127" s="820">
        <v>0</v>
      </c>
      <c r="S127" s="820">
        <v>0</v>
      </c>
      <c r="T127" s="824">
        <v>290</v>
      </c>
      <c r="U127" s="824">
        <v>12</v>
      </c>
      <c r="V127" s="824">
        <v>0</v>
      </c>
      <c r="W127" s="824">
        <v>0</v>
      </c>
      <c r="X127" s="823">
        <f>Tableau1[[#This Row],[Coût Abonnement offre]]+Tableau1[[#This Row],[Coût Abonnement Chassis]]+Tableau1[[#This Row],[Cout Cartes interface ]]+Tableau1[[#This Row],[Cout canaux voix supplémentaire]]</f>
        <v>302</v>
      </c>
      <c r="Y127" s="824">
        <v>0</v>
      </c>
      <c r="Z127" s="966">
        <v>0</v>
      </c>
      <c r="AA127" s="966">
        <v>0</v>
      </c>
      <c r="AB127" s="969">
        <v>0</v>
      </c>
      <c r="AC127" s="969">
        <v>0</v>
      </c>
      <c r="AD127" s="969">
        <v>0</v>
      </c>
      <c r="AE127" s="264">
        <v>2</v>
      </c>
      <c r="AF127" s="264">
        <v>20</v>
      </c>
      <c r="AG127" s="264">
        <v>10</v>
      </c>
      <c r="AH127" s="264">
        <v>30</v>
      </c>
      <c r="AI127" s="973">
        <v>9</v>
      </c>
      <c r="AJ127" s="263">
        <v>2</v>
      </c>
      <c r="AK127" s="987">
        <v>20</v>
      </c>
      <c r="AL127" s="263">
        <f>VLOOKUP(Tableau1[[#This Row],[Code PAS]],'Facturation PAS RIN5 RUN'!C:F,4,0)</f>
        <v>0</v>
      </c>
      <c r="AM127" s="263"/>
      <c r="AN127" s="263" t="b">
        <f>ROUND(Tableau1[[#This Row],[Montant Options coûts récurrents]],0)=ROUND(Tableau1[[#This Row],[GTRS1 (Coût Plage de support 24h/24 7j/7)]],0)</f>
        <v>1</v>
      </c>
      <c r="AO127" s="265" t="e">
        <f>_xlfn.XLOOKUP(Tableau1[[#This Row],[Code PAS]],'parc SATIN 08012026v'!K:K,'parc SATIN 08012026v'!#REF!,0,0)</f>
        <v>#REF!</v>
      </c>
      <c r="AP127" s="263" t="e">
        <f>VLOOKUP(Tableau1[[#This Row],[Code PAS]],#REF!,3,0)</f>
        <v>#REF!</v>
      </c>
      <c r="AQ127" s="263" t="e">
        <f>VLOOKUP(Tableau1[[#This Row],[Code PAS]],[14]Feuil1!$B:$G,6,0)</f>
        <v>#N/A</v>
      </c>
      <c r="AR127" s="263" t="str">
        <f>_xlfn.XLOOKUP(Tableau1[[#This Row],[Code PAS]],'Facturation PAS RIN5 RUN'!C:C,'Facturation PAS RIN5 RUN'!B:B,0,0)</f>
        <v>Bronze_2_0</v>
      </c>
      <c r="AS127" s="263" t="b">
        <f>Tableau1[[#This Row],[Etat facturation]]=Tableau1[[#This Row],[Index offre du fournisseur]]</f>
        <v>1</v>
      </c>
      <c r="AT127" s="250" t="str">
        <f>_xlfn.XLOOKUP(Tableau1[[#This Row],[Code PAS]],'parc SATIN 08012026v'!K:K,'parc SATIN 08012026v'!M:M,0,0)</f>
        <v>PARC</v>
      </c>
      <c r="AU127" s="250" t="str">
        <f>_xlfn.XLOOKUP(Tableau1[[#This Row],[Code PAS]],'parc SATIN 08012026v'!K:K,'parc SATIN 08012026v'!O:O,0,0)</f>
        <v>PARC</v>
      </c>
      <c r="AV127" s="251">
        <f>_xlfn.XLOOKUP(Tableau1[[#This Row],[Code PAS]],'parc SATIN 08012026v'!K:K,'parc SATIN 08012026v'!Q:Q,0,0)</f>
        <v>44014</v>
      </c>
      <c r="AW127" s="251" t="str">
        <f>_xlfn.XLOOKUP(Tableau1[[#This Row],[Code PAS]],'parc SATIN 08012026v'!K:K,'parc SATIN 08012026v'!S:S,0,0)</f>
        <v>création</v>
      </c>
      <c r="AX127" s="250" t="str">
        <f>_xlfn.XLOOKUP(Tableau1[[#This Row],[Code PAS]],'parc SATIN 08012026v'!K:K,'parc SATIN 08012026v'!AF:AF,0,0)</f>
        <v>2 Mb/s</v>
      </c>
      <c r="AY12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127" s="250" t="s">
        <v>2868</v>
      </c>
    </row>
    <row r="128" spans="1:52" s="250" customFormat="1" ht="15" customHeight="1" x14ac:dyDescent="0.3">
      <c r="A128" s="250" t="s">
        <v>2743</v>
      </c>
      <c r="C128" s="249"/>
      <c r="D128" s="249"/>
      <c r="E128" s="250" t="s">
        <v>3051</v>
      </c>
      <c r="F128" s="984" t="s">
        <v>1098</v>
      </c>
      <c r="G128" s="250" t="s">
        <v>2771</v>
      </c>
      <c r="H128" s="250" t="s">
        <v>2771</v>
      </c>
      <c r="I128" s="250" t="s">
        <v>78</v>
      </c>
      <c r="J128" s="248" t="str">
        <f>_xlfn.XLOOKUP(Tableau1[[#This Row],[Code PAS]],'[13]Parc Satin'!$L:$L,'[13]Parc Satin'!$CK:$CK,0,0)</f>
        <v>Nominal InterLan 1.0 Secours InterLan 1.0</v>
      </c>
      <c r="K128" s="250" t="s">
        <v>2860</v>
      </c>
      <c r="L128" s="250">
        <v>600</v>
      </c>
      <c r="M128" s="250">
        <v>1200</v>
      </c>
      <c r="N128" s="250">
        <v>2</v>
      </c>
      <c r="O128" s="250" t="s">
        <v>74</v>
      </c>
      <c r="P128" s="824">
        <v>0</v>
      </c>
      <c r="Q128" s="824">
        <v>0</v>
      </c>
      <c r="R128" s="824">
        <v>0</v>
      </c>
      <c r="S128" s="824">
        <v>0</v>
      </c>
      <c r="T128" s="824">
        <v>1995</v>
      </c>
      <c r="U128" s="824">
        <v>95</v>
      </c>
      <c r="V128" s="824">
        <v>72</v>
      </c>
      <c r="W128" s="824">
        <v>108</v>
      </c>
      <c r="X128" s="824">
        <f>Tableau1[[#This Row],[Coût Abonnement offre]]+Tableau1[[#This Row],[Coût Abonnement Chassis]]+Tableau1[[#This Row],[Cout Cartes interface ]]+Tableau1[[#This Row],[Cout canaux voix supplémentaire]]</f>
        <v>2270</v>
      </c>
      <c r="Y128" s="824">
        <v>0</v>
      </c>
      <c r="Z128" s="966">
        <v>0</v>
      </c>
      <c r="AA128" s="966">
        <v>0</v>
      </c>
      <c r="AB128" s="969">
        <v>0</v>
      </c>
      <c r="AC128" s="969">
        <v>0</v>
      </c>
      <c r="AD128" s="969">
        <v>0</v>
      </c>
      <c r="AE128" s="264">
        <v>100</v>
      </c>
      <c r="AF128" s="264">
        <v>600</v>
      </c>
      <c r="AG128" s="264">
        <v>1200</v>
      </c>
      <c r="AH128" s="264">
        <v>1800</v>
      </c>
      <c r="AI128" s="973">
        <v>108</v>
      </c>
      <c r="AJ128" s="263">
        <v>100</v>
      </c>
      <c r="AK128" s="987">
        <v>1800</v>
      </c>
      <c r="AL128" s="263">
        <f>VLOOKUP(Tableau1[[#This Row],[Code PAS]],'Facturation PAS RIN5 RUN'!C:F,4,0)</f>
        <v>72</v>
      </c>
      <c r="AM128" s="263"/>
      <c r="AN128" s="263" t="b">
        <f>ROUND(Tableau1[[#This Row],[Montant Options coûts récurrents]],0)=ROUND(Tableau1[[#This Row],[GTRS1 (Coût Plage de support 24h/24 7j/7)]],0)</f>
        <v>0</v>
      </c>
      <c r="AO128" s="265" t="e">
        <f>_xlfn.XLOOKUP(Tableau1[[#This Row],[Code PAS]],'parc SATIN 08012026v'!K:K,'parc SATIN 08012026v'!#REF!,0,0)</f>
        <v>#REF!</v>
      </c>
      <c r="AP128" s="263" t="e">
        <f>VLOOKUP(Tableau1[[#This Row],[Code PAS]],#REF!,3,0)</f>
        <v>#REF!</v>
      </c>
      <c r="AQ128" s="263" t="e">
        <f>VLOOKUP(Tableau1[[#This Row],[Code PAS]],[14]Feuil1!$B:$G,6,0)</f>
        <v>#N/A</v>
      </c>
      <c r="AR128" s="263" t="str">
        <f>_xlfn.XLOOKUP(Tableau1[[#This Row],[Code PAS]],'Facturation PAS RIN5 RUN'!C:C,'Facturation PAS RIN5 RUN'!B:B,0,0)</f>
        <v>Platinum_100_100</v>
      </c>
      <c r="AS128" s="263" t="b">
        <f>Tableau1[[#This Row],[Etat facturation]]=Tableau1[[#This Row],[Index offre du fournisseur]]</f>
        <v>1</v>
      </c>
      <c r="AT128" s="250" t="str">
        <f>_xlfn.XLOOKUP(Tableau1[[#This Row],[Code PAS]],'parc SATIN 08012026v'!K:K,'parc SATIN 08012026v'!M:M,0,0)</f>
        <v>PARC</v>
      </c>
      <c r="AU128" s="250" t="str">
        <f>_xlfn.XLOOKUP(Tableau1[[#This Row],[Code PAS]],'parc SATIN 08012026v'!K:K,'parc SATIN 08012026v'!O:O,0,0)</f>
        <v>PARC</v>
      </c>
      <c r="AV128" s="251">
        <f>_xlfn.XLOOKUP(Tableau1[[#This Row],[Code PAS]],'parc SATIN 08012026v'!K:K,'parc SATIN 08012026v'!Q:Q,0,0)</f>
        <v>45618</v>
      </c>
      <c r="AW128" s="251" t="str">
        <f>_xlfn.XLOOKUP(Tableau1[[#This Row],[Code PAS]],'parc SATIN 08012026v'!K:K,'parc SATIN 08012026v'!S:S,0,0)</f>
        <v>change</v>
      </c>
      <c r="AX128" s="250" t="str">
        <f>_xlfn.XLOOKUP(Tableau1[[#This Row],[Code PAS]],'parc SATIN 08012026v'!K:K,'parc SATIN 08012026v'!AF:AF,0,0)</f>
        <v>100 Mb/s</v>
      </c>
      <c r="AY12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129" spans="1:52" s="250" customFormat="1" ht="15" customHeight="1" x14ac:dyDescent="0.3">
      <c r="A129" s="250" t="s">
        <v>2752</v>
      </c>
      <c r="C129" s="249">
        <v>45296</v>
      </c>
      <c r="D129" s="249"/>
      <c r="E129" s="250" t="s">
        <v>3052</v>
      </c>
      <c r="F129" s="984" t="s">
        <v>112</v>
      </c>
      <c r="G129" s="250" t="s">
        <v>2926</v>
      </c>
      <c r="H129" s="250" t="s">
        <v>2763</v>
      </c>
      <c r="I129" s="250" t="s">
        <v>78</v>
      </c>
      <c r="J129" s="248" t="str">
        <f>_xlfn.XLOOKUP(Tableau1[[#This Row],[Code PAS]],'[13]Parc Satin'!$L:$L,'[13]Parc Satin'!$CK:$CK,0,0)</f>
        <v>Nominal InterLan 1.0 Secours InterLan 1.0</v>
      </c>
      <c r="K129" s="250" t="s">
        <v>2829</v>
      </c>
      <c r="L129" s="250">
        <v>700</v>
      </c>
      <c r="M129" s="250">
        <v>1900</v>
      </c>
      <c r="N129" s="250">
        <v>2</v>
      </c>
      <c r="O129" s="250" t="s">
        <v>76</v>
      </c>
      <c r="P129" s="820">
        <v>0</v>
      </c>
      <c r="Q129" s="820">
        <v>500</v>
      </c>
      <c r="R129" s="820">
        <v>0</v>
      </c>
      <c r="S129" s="820">
        <v>500</v>
      </c>
      <c r="T129" s="824">
        <v>1665</v>
      </c>
      <c r="U129" s="824">
        <v>165</v>
      </c>
      <c r="V129" s="824">
        <v>136</v>
      </c>
      <c r="W129" s="824">
        <v>171</v>
      </c>
      <c r="X129" s="823">
        <v>2136.8564263010348</v>
      </c>
      <c r="Y129" s="824">
        <v>66</v>
      </c>
      <c r="Z129" s="966">
        <v>0</v>
      </c>
      <c r="AA129" s="966">
        <v>0</v>
      </c>
      <c r="AB129" s="969">
        <v>0</v>
      </c>
      <c r="AC129" s="969">
        <v>0</v>
      </c>
      <c r="AD129" s="969">
        <v>0</v>
      </c>
      <c r="AE129" s="264">
        <v>160</v>
      </c>
      <c r="AF129" s="264">
        <v>0</v>
      </c>
      <c r="AG129" s="264">
        <v>0</v>
      </c>
      <c r="AH129" s="264">
        <v>0</v>
      </c>
      <c r="AI129" s="973">
        <v>0</v>
      </c>
      <c r="AJ129" s="263">
        <v>160</v>
      </c>
      <c r="AK129" s="987">
        <v>2600</v>
      </c>
      <c r="AL129" s="263">
        <f>VLOOKUP(Tableau1[[#This Row],[Code PAS]],'Facturation PAS RIN5 RUN'!C:F,4,0)</f>
        <v>136</v>
      </c>
      <c r="AM129" s="263"/>
      <c r="AN129" s="263" t="b">
        <f>ROUND(Tableau1[[#This Row],[Montant Options coûts récurrents]],0)=ROUND(Tableau1[[#This Row],[GTRS1 (Coût Plage de support 24h/24 7j/7)]],0)</f>
        <v>0</v>
      </c>
      <c r="AO129" s="265" t="e">
        <f>_xlfn.XLOOKUP(Tableau1[[#This Row],[Code PAS]],'parc SATIN 08012026v'!K:K,'parc SATIN 08012026v'!#REF!,0,0)</f>
        <v>#REF!</v>
      </c>
      <c r="AP129" s="263" t="e">
        <f>VLOOKUP(Tableau1[[#This Row],[Code PAS]],#REF!,3,0)</f>
        <v>#REF!</v>
      </c>
      <c r="AQ129" s="263" t="e">
        <f>VLOOKUP(Tableau1[[#This Row],[Code PAS]],[14]Feuil1!$B:$G,6,0)</f>
        <v>#N/A</v>
      </c>
      <c r="AR129" s="263" t="str">
        <f>_xlfn.XLOOKUP(Tableau1[[#This Row],[Code PAS]],'Facturation PAS RIN5 RUN'!C:C,'Facturation PAS RIN5 RUN'!B:B,0,0)</f>
        <v>Gold_160_160</v>
      </c>
      <c r="AS129" s="263" t="b">
        <f>Tableau1[[#This Row],[Etat facturation]]=Tableau1[[#This Row],[Index offre du fournisseur]]</f>
        <v>1</v>
      </c>
      <c r="AT129" s="250" t="str">
        <f>_xlfn.XLOOKUP(Tableau1[[#This Row],[Code PAS]],'parc SATIN 08012026v'!K:K,'parc SATIN 08012026v'!M:M,0,0)</f>
        <v>PARC</v>
      </c>
      <c r="AU129" s="250" t="str">
        <f>_xlfn.XLOOKUP(Tableau1[[#This Row],[Code PAS]],'parc SATIN 08012026v'!K:K,'parc SATIN 08012026v'!O:O,0,0)</f>
        <v>PARC</v>
      </c>
      <c r="AV129" s="251">
        <f>_xlfn.XLOOKUP(Tableau1[[#This Row],[Code PAS]],'parc SATIN 08012026v'!K:K,'parc SATIN 08012026v'!Q:Q,0,0)</f>
        <v>44953</v>
      </c>
      <c r="AW129" s="251" t="str">
        <f>_xlfn.XLOOKUP(Tableau1[[#This Row],[Code PAS]],'parc SATIN 08012026v'!K:K,'parc SATIN 08012026v'!S:S,0,0)</f>
        <v>change</v>
      </c>
      <c r="AX129" s="250" t="str">
        <f>_xlfn.XLOOKUP(Tableau1[[#This Row],[Code PAS]],'parc SATIN 08012026v'!K:K,'parc SATIN 08012026v'!AF:AF,0,0)</f>
        <v>160 Mb/s</v>
      </c>
      <c r="AY12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160</v>
      </c>
      <c r="AZ129" s="250" t="s">
        <v>2834</v>
      </c>
    </row>
    <row r="130" spans="1:52" s="250" customFormat="1" ht="15" customHeight="1" x14ac:dyDescent="0.3">
      <c r="A130" s="248" t="s">
        <v>2735</v>
      </c>
      <c r="B130" s="248"/>
      <c r="C130" s="249"/>
      <c r="D130" s="249"/>
      <c r="E130" s="248" t="s">
        <v>3053</v>
      </c>
      <c r="F130" s="981" t="s">
        <v>358</v>
      </c>
      <c r="H130" s="248" t="s">
        <v>2768</v>
      </c>
      <c r="I130" s="248"/>
      <c r="J130" s="248" t="str">
        <f>_xlfn.XLOOKUP(Tableau1[[#This Row],[Code PAS]],'[13]Parc Satin'!$L:$L,'[13]Parc Satin'!$CK:$CK,0,0)</f>
        <v>Nominal C2E Fibre Secours C2E Fibre</v>
      </c>
      <c r="K130" s="248"/>
      <c r="L130" s="248"/>
      <c r="M130" s="248"/>
      <c r="N130" s="248"/>
      <c r="O130" s="248"/>
      <c r="P130" s="822">
        <v>0</v>
      </c>
      <c r="Q130" s="822">
        <v>0</v>
      </c>
      <c r="R130" s="822">
        <v>0</v>
      </c>
      <c r="S130" s="822">
        <v>0</v>
      </c>
      <c r="T130" s="823">
        <v>979</v>
      </c>
      <c r="U130" s="823">
        <v>44</v>
      </c>
      <c r="V130" s="823">
        <v>32</v>
      </c>
      <c r="W130" s="823">
        <v>5</v>
      </c>
      <c r="X130" s="823">
        <f>Tableau1[[#This Row],[Coût Abonnement offre]]+Tableau1[[#This Row],[Coût Abonnement Chassis]]+Tableau1[[#This Row],[Cout Cartes interface ]]+Tableau1[[#This Row],[Cout canaux voix supplémentaire]]</f>
        <v>1060</v>
      </c>
      <c r="Y130" s="823">
        <v>0</v>
      </c>
      <c r="Z130" s="966">
        <v>0</v>
      </c>
      <c r="AA130" s="966">
        <v>0</v>
      </c>
      <c r="AB130" s="969">
        <v>0</v>
      </c>
      <c r="AC130" s="969">
        <v>0</v>
      </c>
      <c r="AD130" s="969">
        <v>0</v>
      </c>
      <c r="AE130" s="264">
        <v>10</v>
      </c>
      <c r="AF130" s="264">
        <v>120</v>
      </c>
      <c r="AG130" s="264">
        <v>60</v>
      </c>
      <c r="AH130" s="264">
        <v>180</v>
      </c>
      <c r="AI130" s="973">
        <v>5</v>
      </c>
      <c r="AJ130" s="263">
        <v>10</v>
      </c>
      <c r="AK130" s="987">
        <v>180</v>
      </c>
      <c r="AL130" s="263">
        <f>VLOOKUP(Tableau1[[#This Row],[Code PAS]],'Facturation PAS RIN5 RUN'!C:F,4,0)</f>
        <v>32</v>
      </c>
      <c r="AM130" s="263"/>
      <c r="AN130" s="263" t="b">
        <f>ROUND(Tableau1[[#This Row],[Montant Options coûts récurrents]],0)=ROUND(Tableau1[[#This Row],[GTRS1 (Coût Plage de support 24h/24 7j/7)]],0)</f>
        <v>0</v>
      </c>
      <c r="AO130" s="265" t="e">
        <f>_xlfn.XLOOKUP(Tableau1[[#This Row],[Code PAS]],'parc SATIN 08012026v'!K:K,'parc SATIN 08012026v'!#REF!,0,0)</f>
        <v>#REF!</v>
      </c>
      <c r="AP130" s="263" t="e">
        <f>VLOOKUP(Tableau1[[#This Row],[Code PAS]],#REF!,3,0)</f>
        <v>#REF!</v>
      </c>
      <c r="AQ130" s="263" t="e">
        <f>VLOOKUP(Tableau1[[#This Row],[Code PAS]],[14]Feuil1!$B:$G,6,0)</f>
        <v>#N/A</v>
      </c>
      <c r="AR130" s="263" t="str">
        <f>_xlfn.XLOOKUP(Tableau1[[#This Row],[Code PAS]],'Facturation PAS RIN5 RUN'!C:C,'Facturation PAS RIN5 RUN'!B:B,0,0)</f>
        <v>Gold_10_10</v>
      </c>
      <c r="AS130" s="263" t="b">
        <f>Tableau1[[#This Row],[Etat facturation]]=Tableau1[[#This Row],[Index offre du fournisseur]]</f>
        <v>1</v>
      </c>
      <c r="AT130" s="250" t="str">
        <f>_xlfn.XLOOKUP(Tableau1[[#This Row],[Code PAS]],'parc SATIN 08012026v'!K:K,'parc SATIN 08012026v'!M:M,0,0)</f>
        <v>PARC</v>
      </c>
      <c r="AU130" s="250" t="str">
        <f>_xlfn.XLOOKUP(Tableau1[[#This Row],[Code PAS]],'parc SATIN 08012026v'!K:K,'parc SATIN 08012026v'!O:O,0,0)</f>
        <v>PARC</v>
      </c>
      <c r="AV130" s="251">
        <f>_xlfn.XLOOKUP(Tableau1[[#This Row],[Code PAS]],'parc SATIN 08012026v'!K:K,'parc SATIN 08012026v'!Q:Q,0,0)</f>
        <v>43823</v>
      </c>
      <c r="AW130" s="251" t="str">
        <f>_xlfn.XLOOKUP(Tableau1[[#This Row],[Code PAS]],'parc SATIN 08012026v'!K:K,'parc SATIN 08012026v'!S:S,0,0)</f>
        <v>change</v>
      </c>
      <c r="AX130" s="250" t="str">
        <f>_xlfn.XLOOKUP(Tableau1[[#This Row],[Code PAS]],'parc SATIN 08012026v'!K:K,'parc SATIN 08012026v'!AF:AF,0,0)</f>
        <v>10 Mb/s</v>
      </c>
      <c r="AY13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131" spans="1:52" s="250" customFormat="1" ht="15" customHeight="1" x14ac:dyDescent="0.3">
      <c r="A131" s="250" t="s">
        <v>2743</v>
      </c>
      <c r="C131" s="249"/>
      <c r="D131" s="249">
        <v>45259</v>
      </c>
      <c r="E131" s="250" t="s">
        <v>3054</v>
      </c>
      <c r="F131" s="984" t="s">
        <v>1089</v>
      </c>
      <c r="G131" s="250" t="s">
        <v>2784</v>
      </c>
      <c r="H131" s="250" t="s">
        <v>2784</v>
      </c>
      <c r="I131" s="250" t="s">
        <v>3003</v>
      </c>
      <c r="J131" s="248" t="str">
        <f>_xlfn.XLOOKUP(Tableau1[[#This Row],[Code PAS]],'[13]Parc Satin'!$L:$L,'[13]Parc Satin'!$CK:$CK,0,0)</f>
        <v>Nominal InterLan 1.0 Secours InterLan 1.0</v>
      </c>
      <c r="K131" s="250" t="s">
        <v>2860</v>
      </c>
      <c r="L131" s="250">
        <v>400</v>
      </c>
      <c r="M131" s="250">
        <v>150</v>
      </c>
      <c r="N131" s="250">
        <v>1</v>
      </c>
      <c r="O131" s="250" t="s">
        <v>74</v>
      </c>
      <c r="P131" s="820">
        <v>0</v>
      </c>
      <c r="Q131" s="820">
        <v>0</v>
      </c>
      <c r="R131" s="820">
        <v>0</v>
      </c>
      <c r="S131" s="820">
        <v>0</v>
      </c>
      <c r="T131" s="824">
        <v>1454</v>
      </c>
      <c r="U131" s="824">
        <v>95</v>
      </c>
      <c r="V131" s="824">
        <v>32</v>
      </c>
      <c r="W131" s="824">
        <v>36</v>
      </c>
      <c r="X131" s="823">
        <f>Tableau1[[#This Row],[Coût Abonnement offre]]+Tableau1[[#This Row],[Coût Abonnement Chassis]]+Tableau1[[#This Row],[Cout Cartes interface ]]+Tableau1[[#This Row],[Cout canaux voix supplémentaire]]</f>
        <v>1617</v>
      </c>
      <c r="Y131" s="824">
        <v>0</v>
      </c>
      <c r="Z131" s="966">
        <v>0</v>
      </c>
      <c r="AA131" s="966">
        <v>0</v>
      </c>
      <c r="AB131" s="969">
        <v>0</v>
      </c>
      <c r="AC131" s="969">
        <v>0</v>
      </c>
      <c r="AD131" s="969">
        <v>0</v>
      </c>
      <c r="AE131" s="264">
        <v>50</v>
      </c>
      <c r="AF131" s="264">
        <v>500</v>
      </c>
      <c r="AG131" s="264">
        <v>400</v>
      </c>
      <c r="AH131" s="264">
        <v>900</v>
      </c>
      <c r="AI131" s="973">
        <v>36</v>
      </c>
      <c r="AJ131" s="263">
        <v>50</v>
      </c>
      <c r="AK131" s="987">
        <v>900</v>
      </c>
      <c r="AL131" s="263">
        <f>VLOOKUP(Tableau1[[#This Row],[Code PAS]],'Facturation PAS RIN5 RUN'!C:F,4,0)</f>
        <v>32</v>
      </c>
      <c r="AM131" s="263"/>
      <c r="AN131" s="263" t="b">
        <f>ROUND(Tableau1[[#This Row],[Montant Options coûts récurrents]],0)=ROUND(Tableau1[[#This Row],[GTRS1 (Coût Plage de support 24h/24 7j/7)]],0)</f>
        <v>0</v>
      </c>
      <c r="AO131" s="265" t="e">
        <f>_xlfn.XLOOKUP(Tableau1[[#This Row],[Code PAS]],'parc SATIN 08012026v'!K:K,'parc SATIN 08012026v'!#REF!,0,0)</f>
        <v>#REF!</v>
      </c>
      <c r="AP131" s="263" t="e">
        <f>VLOOKUP(Tableau1[[#This Row],[Code PAS]],#REF!,3,0)</f>
        <v>#REF!</v>
      </c>
      <c r="AQ131" s="263" t="e">
        <f>VLOOKUP(Tableau1[[#This Row],[Code PAS]],[14]Feuil1!$B:$G,6,0)</f>
        <v>#N/A</v>
      </c>
      <c r="AR131" s="263" t="str">
        <f>_xlfn.XLOOKUP(Tableau1[[#This Row],[Code PAS]],'Facturation PAS RIN5 RUN'!C:C,'Facturation PAS RIN5 RUN'!B:B,0,0)</f>
        <v>Gold_50_50</v>
      </c>
      <c r="AS131" s="263" t="b">
        <f>Tableau1[[#This Row],[Etat facturation]]=Tableau1[[#This Row],[Index offre du fournisseur]]</f>
        <v>1</v>
      </c>
      <c r="AT131" s="250" t="str">
        <f>_xlfn.XLOOKUP(Tableau1[[#This Row],[Code PAS]],'parc SATIN 08012026v'!K:K,'parc SATIN 08012026v'!M:M,0,0)</f>
        <v>PARC</v>
      </c>
      <c r="AU131" s="250" t="str">
        <f>_xlfn.XLOOKUP(Tableau1[[#This Row],[Code PAS]],'parc SATIN 08012026v'!K:K,'parc SATIN 08012026v'!O:O,0,0)</f>
        <v>PARC</v>
      </c>
      <c r="AV131" s="251">
        <f>_xlfn.XLOOKUP(Tableau1[[#This Row],[Code PAS]],'parc SATIN 08012026v'!K:K,'parc SATIN 08012026v'!Q:Q,0,0)</f>
        <v>45233</v>
      </c>
      <c r="AW131" s="251" t="str">
        <f>_xlfn.XLOOKUP(Tableau1[[#This Row],[Code PAS]],'parc SATIN 08012026v'!K:K,'parc SATIN 08012026v'!S:S,0,0)</f>
        <v>change</v>
      </c>
      <c r="AX131" s="250" t="str">
        <f>_xlfn.XLOOKUP(Tableau1[[#This Row],[Code PAS]],'parc SATIN 08012026v'!K:K,'parc SATIN 08012026v'!AF:AF,0,0)</f>
        <v>50 Mb/s</v>
      </c>
      <c r="AY13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131" s="250" t="s">
        <v>3753</v>
      </c>
    </row>
    <row r="132" spans="1:52" s="250" customFormat="1" ht="15" customHeight="1" x14ac:dyDescent="0.3">
      <c r="A132" s="248" t="s">
        <v>2735</v>
      </c>
      <c r="B132" s="248"/>
      <c r="C132" s="249"/>
      <c r="D132" s="249"/>
      <c r="E132" s="248" t="s">
        <v>3055</v>
      </c>
      <c r="F132" s="981" t="s">
        <v>348</v>
      </c>
      <c r="G132" s="250" t="s">
        <v>2777</v>
      </c>
      <c r="H132" s="248" t="s">
        <v>2777</v>
      </c>
      <c r="I132" s="248" t="s">
        <v>165</v>
      </c>
      <c r="J132" s="248" t="str">
        <f>_xlfn.XLOOKUP(Tableau1[[#This Row],[Code PAS]],'[13]Parc Satin'!$L:$L,'[13]Parc Satin'!$CK:$CK,0,0)</f>
        <v>Nominal C2E Fibre sans Secours</v>
      </c>
      <c r="K132" s="248"/>
      <c r="L132" s="248">
        <v>300</v>
      </c>
      <c r="M132" s="248">
        <v>50</v>
      </c>
      <c r="N132" s="248">
        <v>1</v>
      </c>
      <c r="O132" s="248" t="s">
        <v>74</v>
      </c>
      <c r="P132" s="822">
        <v>0</v>
      </c>
      <c r="Q132" s="822">
        <v>1000</v>
      </c>
      <c r="R132" s="822">
        <v>0</v>
      </c>
      <c r="S132" s="822">
        <v>1000</v>
      </c>
      <c r="T132" s="823">
        <v>675</v>
      </c>
      <c r="U132" s="823">
        <v>12</v>
      </c>
      <c r="V132" s="823">
        <v>0</v>
      </c>
      <c r="W132" s="823">
        <v>5</v>
      </c>
      <c r="X132" s="823">
        <f>Tableau1[[#This Row],[Coût Abonnement offre]]+Tableau1[[#This Row],[Coût Abonnement Chassis]]+Tableau1[[#This Row],[Cout Cartes interface ]]+Tableau1[[#This Row],[Cout canaux voix supplémentaire]]</f>
        <v>692</v>
      </c>
      <c r="Y132" s="823">
        <v>0</v>
      </c>
      <c r="Z132" s="966">
        <v>0</v>
      </c>
      <c r="AA132" s="966">
        <v>0</v>
      </c>
      <c r="AB132" s="969">
        <v>0</v>
      </c>
      <c r="AC132" s="969">
        <v>0</v>
      </c>
      <c r="AD132" s="969">
        <v>0</v>
      </c>
      <c r="AE132" s="264">
        <v>20</v>
      </c>
      <c r="AF132" s="264">
        <v>300</v>
      </c>
      <c r="AG132" s="264">
        <v>50</v>
      </c>
      <c r="AH132" s="264">
        <v>350</v>
      </c>
      <c r="AI132" s="973">
        <v>5</v>
      </c>
      <c r="AJ132" s="263">
        <v>20</v>
      </c>
      <c r="AK132" s="987">
        <v>350</v>
      </c>
      <c r="AL132" s="263">
        <f>VLOOKUP(Tableau1[[#This Row],[Code PAS]],'Facturation PAS RIN5 RUN'!C:F,4,0)</f>
        <v>0</v>
      </c>
      <c r="AM132" s="263"/>
      <c r="AN132" s="263" t="b">
        <f>ROUND(Tableau1[[#This Row],[Montant Options coûts récurrents]],0)=ROUND(Tableau1[[#This Row],[GTRS1 (Coût Plage de support 24h/24 7j/7)]],0)</f>
        <v>1</v>
      </c>
      <c r="AO132" s="265" t="e">
        <f>_xlfn.XLOOKUP(Tableau1[[#This Row],[Code PAS]],'parc SATIN 08012026v'!K:K,'parc SATIN 08012026v'!#REF!,0,0)</f>
        <v>#REF!</v>
      </c>
      <c r="AP132" s="263" t="e">
        <f>VLOOKUP(Tableau1[[#This Row],[Code PAS]],#REF!,3,0)</f>
        <v>#REF!</v>
      </c>
      <c r="AQ132" s="263" t="e">
        <f>VLOOKUP(Tableau1[[#This Row],[Code PAS]],[14]Feuil1!$B:$G,6,0)</f>
        <v>#N/A</v>
      </c>
      <c r="AR132" s="263" t="str">
        <f>_xlfn.XLOOKUP(Tableau1[[#This Row],[Code PAS]],'Facturation PAS RIN5 RUN'!C:C,'Facturation PAS RIN5 RUN'!B:B,0,0)</f>
        <v>Bronze_20_0</v>
      </c>
      <c r="AS132" s="263" t="b">
        <f>Tableau1[[#This Row],[Etat facturation]]=Tableau1[[#This Row],[Index offre du fournisseur]]</f>
        <v>1</v>
      </c>
      <c r="AT132" s="250" t="str">
        <f>_xlfn.XLOOKUP(Tableau1[[#This Row],[Code PAS]],'parc SATIN 08012026v'!K:K,'parc SATIN 08012026v'!M:M,0,0)</f>
        <v>PARC</v>
      </c>
      <c r="AU132" s="250" t="str">
        <f>_xlfn.XLOOKUP(Tableau1[[#This Row],[Code PAS]],'parc SATIN 08012026v'!K:K,'parc SATIN 08012026v'!O:O,0,0)</f>
        <v>PARC</v>
      </c>
      <c r="AV132" s="251">
        <f>_xlfn.XLOOKUP(Tableau1[[#This Row],[Code PAS]],'parc SATIN 08012026v'!K:K,'parc SATIN 08012026v'!Q:Q,0,0)</f>
        <v>44900</v>
      </c>
      <c r="AW132" s="251" t="str">
        <f>_xlfn.XLOOKUP(Tableau1[[#This Row],[Code PAS]],'parc SATIN 08012026v'!K:K,'parc SATIN 08012026v'!S:S,0,0)</f>
        <v>change</v>
      </c>
      <c r="AX132" s="250" t="str">
        <f>_xlfn.XLOOKUP(Tableau1[[#This Row],[Code PAS]],'parc SATIN 08012026v'!K:K,'parc SATIN 08012026v'!AF:AF,0,0)</f>
        <v>20 Mb/s</v>
      </c>
      <c r="AY13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33" spans="1:52" s="250" customFormat="1" ht="15" customHeight="1" x14ac:dyDescent="0.3">
      <c r="A133" s="250" t="s">
        <v>2743</v>
      </c>
      <c r="C133" s="249"/>
      <c r="D133" s="249"/>
      <c r="E133" s="250" t="s">
        <v>3056</v>
      </c>
      <c r="F133" s="984" t="s">
        <v>2081</v>
      </c>
      <c r="G133" s="250" t="s">
        <v>2748</v>
      </c>
      <c r="H133" s="250" t="s">
        <v>2748</v>
      </c>
      <c r="I133" s="250" t="s">
        <v>78</v>
      </c>
      <c r="J133" s="248" t="str">
        <f>_xlfn.XLOOKUP(Tableau1[[#This Row],[Code PAS]],'[13]Parc Satin'!$L:$L,'[13]Parc Satin'!$CK:$CK,0,0)</f>
        <v>Nominal C2E Fibre Secours C2E Fibre</v>
      </c>
      <c r="K133" s="250" t="s">
        <v>2814</v>
      </c>
      <c r="L133" s="250">
        <v>300</v>
      </c>
      <c r="M133" s="250">
        <v>50</v>
      </c>
      <c r="N133" s="250">
        <v>1</v>
      </c>
      <c r="O133" s="250" t="s">
        <v>74</v>
      </c>
      <c r="P133" s="824">
        <v>0</v>
      </c>
      <c r="Q133" s="824">
        <v>0</v>
      </c>
      <c r="R133" s="824">
        <v>0</v>
      </c>
      <c r="S133" s="824">
        <v>0</v>
      </c>
      <c r="T133" s="824">
        <v>1149</v>
      </c>
      <c r="U133" s="824">
        <v>71</v>
      </c>
      <c r="V133" s="824">
        <v>16</v>
      </c>
      <c r="W133" s="824">
        <v>5</v>
      </c>
      <c r="X133" s="824">
        <f>Tableau1[[#This Row],[Coût Abonnement offre]]+Tableau1[[#This Row],[Coût Abonnement Chassis]]+Tableau1[[#This Row],[Cout Cartes interface ]]+Tableau1[[#This Row],[Cout canaux voix supplémentaire]]</f>
        <v>1241</v>
      </c>
      <c r="Y133" s="824">
        <v>0</v>
      </c>
      <c r="Z133" s="966">
        <v>0</v>
      </c>
      <c r="AA133" s="966">
        <v>0</v>
      </c>
      <c r="AB133" s="969">
        <v>0</v>
      </c>
      <c r="AC133" s="969">
        <v>0</v>
      </c>
      <c r="AD133" s="969">
        <v>0</v>
      </c>
      <c r="AE133" s="264">
        <v>20</v>
      </c>
      <c r="AF133" s="264">
        <v>300</v>
      </c>
      <c r="AG133" s="264">
        <v>50</v>
      </c>
      <c r="AH133" s="264">
        <v>350</v>
      </c>
      <c r="AI133" s="973">
        <v>5</v>
      </c>
      <c r="AJ133" s="263">
        <v>20</v>
      </c>
      <c r="AK133" s="987">
        <v>350</v>
      </c>
      <c r="AL133" s="263">
        <f>VLOOKUP(Tableau1[[#This Row],[Code PAS]],'Facturation PAS RIN5 RUN'!C:F,4,0)</f>
        <v>16</v>
      </c>
      <c r="AM133" s="263"/>
      <c r="AN133" s="263" t="b">
        <f>ROUND(Tableau1[[#This Row],[Montant Options coûts récurrents]],0)=ROUND(Tableau1[[#This Row],[GTRS1 (Coût Plage de support 24h/24 7j/7)]],0)</f>
        <v>0</v>
      </c>
      <c r="AO133" s="265" t="e">
        <f>_xlfn.XLOOKUP(Tableau1[[#This Row],[Code PAS]],'parc SATIN 08012026v'!K:K,'parc SATIN 08012026v'!#REF!,0,0)</f>
        <v>#REF!</v>
      </c>
      <c r="AP133" s="263" t="e">
        <f>VLOOKUP(Tableau1[[#This Row],[Code PAS]],#REF!,3,0)</f>
        <v>#REF!</v>
      </c>
      <c r="AQ133" s="263" t="e">
        <f>VLOOKUP(Tableau1[[#This Row],[Code PAS]],[14]Feuil1!$B:$G,6,0)</f>
        <v>#N/A</v>
      </c>
      <c r="AR133" s="263" t="str">
        <f>_xlfn.XLOOKUP(Tableau1[[#This Row],[Code PAS]],'Facturation PAS RIN5 RUN'!C:C,'Facturation PAS RIN5 RUN'!B:B,0,0)</f>
        <v>Gold_20_20</v>
      </c>
      <c r="AS133" s="263" t="b">
        <f>Tableau1[[#This Row],[Etat facturation]]=Tableau1[[#This Row],[Index offre du fournisseur]]</f>
        <v>1</v>
      </c>
      <c r="AT133" s="250" t="str">
        <f>_xlfn.XLOOKUP(Tableau1[[#This Row],[Code PAS]],'parc SATIN 08012026v'!K:K,'parc SATIN 08012026v'!M:M,0,0)</f>
        <v>PARC</v>
      </c>
      <c r="AU133" s="250" t="str">
        <f>_xlfn.XLOOKUP(Tableau1[[#This Row],[Code PAS]],'parc SATIN 08012026v'!K:K,'parc SATIN 08012026v'!O:O,0,0)</f>
        <v>PARC</v>
      </c>
      <c r="AV133" s="251">
        <f>_xlfn.XLOOKUP(Tableau1[[#This Row],[Code PAS]],'parc SATIN 08012026v'!K:K,'parc SATIN 08012026v'!Q:Q,0,0)</f>
        <v>44774</v>
      </c>
      <c r="AW133" s="251" t="str">
        <f>_xlfn.XLOOKUP(Tableau1[[#This Row],[Code PAS]],'parc SATIN 08012026v'!K:K,'parc SATIN 08012026v'!S:S,0,0)</f>
        <v>change</v>
      </c>
      <c r="AX133" s="250" t="str">
        <f>_xlfn.XLOOKUP(Tableau1[[#This Row],[Code PAS]],'parc SATIN 08012026v'!K:K,'parc SATIN 08012026v'!AF:AF,0,0)</f>
        <v>20 Mb/s</v>
      </c>
      <c r="AY13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34" spans="1:52" s="250" customFormat="1" ht="15" customHeight="1" x14ac:dyDescent="0.3">
      <c r="A134" s="250" t="s">
        <v>2743</v>
      </c>
      <c r="C134" s="249"/>
      <c r="D134" s="249"/>
      <c r="E134" s="250" t="s">
        <v>3057</v>
      </c>
      <c r="F134" s="984" t="s">
        <v>1080</v>
      </c>
      <c r="G134" s="250" t="s">
        <v>2748</v>
      </c>
      <c r="H134" s="250" t="s">
        <v>2748</v>
      </c>
      <c r="I134" s="250" t="s">
        <v>78</v>
      </c>
      <c r="J134" s="248" t="str">
        <f>_xlfn.XLOOKUP(Tableau1[[#This Row],[Code PAS]],'[13]Parc Satin'!$L:$L,'[13]Parc Satin'!$CK:$CK,0,0)</f>
        <v>Nominal InterLan 1.0 Secours InterLan 1.0</v>
      </c>
      <c r="K134" s="250" t="s">
        <v>2814</v>
      </c>
      <c r="L134" s="250">
        <v>300</v>
      </c>
      <c r="M134" s="250">
        <v>50</v>
      </c>
      <c r="N134" s="250">
        <v>1</v>
      </c>
      <c r="O134" s="250" t="s">
        <v>74</v>
      </c>
      <c r="P134" s="824">
        <v>0</v>
      </c>
      <c r="Q134" s="824">
        <v>0</v>
      </c>
      <c r="R134" s="824">
        <v>0</v>
      </c>
      <c r="S134" s="824">
        <v>0</v>
      </c>
      <c r="T134" s="824">
        <v>1149</v>
      </c>
      <c r="U134" s="824">
        <v>71</v>
      </c>
      <c r="V134" s="824">
        <v>16</v>
      </c>
      <c r="W134" s="824">
        <v>5</v>
      </c>
      <c r="X134" s="824">
        <f>Tableau1[[#This Row],[Coût Abonnement offre]]+Tableau1[[#This Row],[Coût Abonnement Chassis]]+Tableau1[[#This Row],[Cout Cartes interface ]]+Tableau1[[#This Row],[Cout canaux voix supplémentaire]]</f>
        <v>1241</v>
      </c>
      <c r="Y134" s="824">
        <v>0</v>
      </c>
      <c r="Z134" s="966">
        <v>0</v>
      </c>
      <c r="AA134" s="966">
        <v>0</v>
      </c>
      <c r="AB134" s="969">
        <v>0</v>
      </c>
      <c r="AC134" s="969">
        <v>0</v>
      </c>
      <c r="AD134" s="969">
        <v>0</v>
      </c>
      <c r="AE134" s="264">
        <v>20</v>
      </c>
      <c r="AF134" s="264">
        <v>300</v>
      </c>
      <c r="AG134" s="264">
        <v>50</v>
      </c>
      <c r="AH134" s="264">
        <v>350</v>
      </c>
      <c r="AI134" s="973">
        <v>5</v>
      </c>
      <c r="AJ134" s="263">
        <v>20</v>
      </c>
      <c r="AK134" s="987">
        <v>350</v>
      </c>
      <c r="AL134" s="263">
        <f>VLOOKUP(Tableau1[[#This Row],[Code PAS]],'Facturation PAS RIN5 RUN'!C:F,4,0)</f>
        <v>16</v>
      </c>
      <c r="AM134" s="263"/>
      <c r="AN134" s="263" t="b">
        <f>ROUND(Tableau1[[#This Row],[Montant Options coûts récurrents]],0)=ROUND(Tableau1[[#This Row],[GTRS1 (Coût Plage de support 24h/24 7j/7)]],0)</f>
        <v>0</v>
      </c>
      <c r="AO134" s="265" t="e">
        <f>_xlfn.XLOOKUP(Tableau1[[#This Row],[Code PAS]],'parc SATIN 08012026v'!K:K,'parc SATIN 08012026v'!#REF!,0,0)</f>
        <v>#REF!</v>
      </c>
      <c r="AP134" s="263" t="e">
        <f>VLOOKUP(Tableau1[[#This Row],[Code PAS]],#REF!,3,0)</f>
        <v>#REF!</v>
      </c>
      <c r="AQ134" s="263" t="e">
        <f>VLOOKUP(Tableau1[[#This Row],[Code PAS]],[14]Feuil1!$B:$G,6,0)</f>
        <v>#N/A</v>
      </c>
      <c r="AR134" s="263" t="str">
        <f>_xlfn.XLOOKUP(Tableau1[[#This Row],[Code PAS]],'Facturation PAS RIN5 RUN'!C:C,'Facturation PAS RIN5 RUN'!B:B,0,0)</f>
        <v>Gold_20_20</v>
      </c>
      <c r="AS134" s="263" t="b">
        <f>Tableau1[[#This Row],[Etat facturation]]=Tableau1[[#This Row],[Index offre du fournisseur]]</f>
        <v>1</v>
      </c>
      <c r="AT134" s="250" t="str">
        <f>_xlfn.XLOOKUP(Tableau1[[#This Row],[Code PAS]],'parc SATIN 08012026v'!K:K,'parc SATIN 08012026v'!M:M,0,0)</f>
        <v>PARC</v>
      </c>
      <c r="AU134" s="250" t="str">
        <f>_xlfn.XLOOKUP(Tableau1[[#This Row],[Code PAS]],'parc SATIN 08012026v'!K:K,'parc SATIN 08012026v'!O:O,0,0)</f>
        <v>PARC</v>
      </c>
      <c r="AV134" s="251">
        <f>_xlfn.XLOOKUP(Tableau1[[#This Row],[Code PAS]],'parc SATIN 08012026v'!K:K,'parc SATIN 08012026v'!Q:Q,0,0)</f>
        <v>44774</v>
      </c>
      <c r="AW134" s="251" t="str">
        <f>_xlfn.XLOOKUP(Tableau1[[#This Row],[Code PAS]],'parc SATIN 08012026v'!K:K,'parc SATIN 08012026v'!S:S,0,0)</f>
        <v>change</v>
      </c>
      <c r="AX134" s="250" t="str">
        <f>_xlfn.XLOOKUP(Tableau1[[#This Row],[Code PAS]],'parc SATIN 08012026v'!K:K,'parc SATIN 08012026v'!AF:AF,0,0)</f>
        <v>20 Mb/s</v>
      </c>
      <c r="AY13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35" spans="1:52" s="250" customFormat="1" ht="15" customHeight="1" x14ac:dyDescent="0.3">
      <c r="A135" s="250" t="s">
        <v>2758</v>
      </c>
      <c r="C135" s="249"/>
      <c r="D135" s="249"/>
      <c r="E135" s="250" t="s">
        <v>3059</v>
      </c>
      <c r="F135" s="984" t="s">
        <v>2671</v>
      </c>
      <c r="H135" s="250" t="s">
        <v>2909</v>
      </c>
      <c r="J135" s="248" t="str">
        <f>_xlfn.XLOOKUP(Tableau1[[#This Row],[Code PAS]],'[13]Parc Satin'!$L:$L,'[13]Parc Satin'!$CK:$CK,0,0)</f>
        <v>Nominal C2E Fibre Secours C2E Fibre</v>
      </c>
      <c r="P135" s="820">
        <v>0</v>
      </c>
      <c r="Q135" s="820">
        <v>0</v>
      </c>
      <c r="R135" s="820">
        <v>0</v>
      </c>
      <c r="S135" s="820">
        <v>0</v>
      </c>
      <c r="T135" s="824">
        <v>979</v>
      </c>
      <c r="U135" s="824">
        <v>36</v>
      </c>
      <c r="V135" s="824">
        <v>44</v>
      </c>
      <c r="W135" s="824">
        <v>0</v>
      </c>
      <c r="X135" s="823">
        <f>Tableau1[[#This Row],[Coût Abonnement offre]]+Tableau1[[#This Row],[Coût Abonnement Chassis]]+Tableau1[[#This Row],[Cout Cartes interface ]]+Tableau1[[#This Row],[Cout canaux voix supplémentaire]]</f>
        <v>1059</v>
      </c>
      <c r="Y135" s="824">
        <v>0</v>
      </c>
      <c r="Z135" s="966">
        <v>0</v>
      </c>
      <c r="AA135" s="966">
        <v>0</v>
      </c>
      <c r="AB135" s="969">
        <v>0</v>
      </c>
      <c r="AC135" s="969">
        <v>0</v>
      </c>
      <c r="AD135" s="969">
        <v>0</v>
      </c>
      <c r="AE135" s="264">
        <v>10</v>
      </c>
      <c r="AF135" s="264">
        <v>120</v>
      </c>
      <c r="AG135" s="264">
        <v>60</v>
      </c>
      <c r="AH135" s="264">
        <v>180</v>
      </c>
      <c r="AI135" s="973">
        <v>5</v>
      </c>
      <c r="AJ135" s="263">
        <v>10</v>
      </c>
      <c r="AK135" s="987">
        <v>120</v>
      </c>
      <c r="AL135" s="263">
        <f>VLOOKUP(Tableau1[[#This Row],[Code PAS]],'Facturation PAS RIN5 RUN'!C:F,4,0)</f>
        <v>44</v>
      </c>
      <c r="AM135" s="263"/>
      <c r="AN135" s="263" t="b">
        <f>ROUND(Tableau1[[#This Row],[Montant Options coûts récurrents]],0)=ROUND(Tableau1[[#This Row],[GTRS1 (Coût Plage de support 24h/24 7j/7)]],0)</f>
        <v>0</v>
      </c>
      <c r="AO135" s="265" t="e">
        <f>_xlfn.XLOOKUP(Tableau1[[#This Row],[Code PAS]],'parc SATIN 08012026v'!K:K,'parc SATIN 08012026v'!#REF!,0,0)</f>
        <v>#REF!</v>
      </c>
      <c r="AP135" s="263" t="e">
        <f>VLOOKUP(Tableau1[[#This Row],[Code PAS]],#REF!,3,0)</f>
        <v>#REF!</v>
      </c>
      <c r="AQ135" s="263" t="e">
        <f>VLOOKUP(Tableau1[[#This Row],[Code PAS]],[14]Feuil1!$B:$G,6,0)</f>
        <v>#N/A</v>
      </c>
      <c r="AR135" s="263" t="str">
        <f>_xlfn.XLOOKUP(Tableau1[[#This Row],[Code PAS]],'Facturation PAS RIN5 RUN'!C:C,'Facturation PAS RIN5 RUN'!B:B,0,0)</f>
        <v>Silver_10_10</v>
      </c>
      <c r="AS135" s="263" t="b">
        <f>Tableau1[[#This Row],[Etat facturation]]=Tableau1[[#This Row],[Index offre du fournisseur]]</f>
        <v>1</v>
      </c>
      <c r="AT135" s="250" t="str">
        <f>_xlfn.XLOOKUP(Tableau1[[#This Row],[Code PAS]],'parc SATIN 08012026v'!K:K,'parc SATIN 08012026v'!M:M,0,0)</f>
        <v>PARC</v>
      </c>
      <c r="AU135" s="250" t="str">
        <f>_xlfn.XLOOKUP(Tableau1[[#This Row],[Code PAS]],'parc SATIN 08012026v'!K:K,'parc SATIN 08012026v'!O:O,0,0)</f>
        <v>PARC</v>
      </c>
      <c r="AV135" s="251">
        <f>_xlfn.XLOOKUP(Tableau1[[#This Row],[Code PAS]],'parc SATIN 08012026v'!K:K,'parc SATIN 08012026v'!Q:Q,0,0)</f>
        <v>44195</v>
      </c>
      <c r="AW135" s="251" t="str">
        <f>_xlfn.XLOOKUP(Tableau1[[#This Row],[Code PAS]],'parc SATIN 08012026v'!K:K,'parc SATIN 08012026v'!S:S,0,0)</f>
        <v>change</v>
      </c>
      <c r="AX135" s="250" t="str">
        <f>_xlfn.XLOOKUP(Tableau1[[#This Row],[Code PAS]],'parc SATIN 08012026v'!K:K,'parc SATIN 08012026v'!AF:AF,0,0)</f>
        <v>10 Mb/s</v>
      </c>
      <c r="AY13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135" s="250" t="s">
        <v>2868</v>
      </c>
    </row>
    <row r="136" spans="1:52" s="250" customFormat="1" ht="15" customHeight="1" x14ac:dyDescent="0.3">
      <c r="A136" s="248" t="s">
        <v>2735</v>
      </c>
      <c r="B136" s="248"/>
      <c r="C136" s="249"/>
      <c r="D136" s="249"/>
      <c r="E136" s="250" t="s">
        <v>3060</v>
      </c>
      <c r="F136" s="984" t="s">
        <v>339</v>
      </c>
      <c r="G136" s="250" t="s">
        <v>2748</v>
      </c>
      <c r="H136" s="250" t="s">
        <v>2748</v>
      </c>
      <c r="I136" s="250" t="s">
        <v>165</v>
      </c>
      <c r="J136" s="248" t="str">
        <f>_xlfn.XLOOKUP(Tableau1[[#This Row],[Code PAS]],'[13]Parc Satin'!$L:$L,'[13]Parc Satin'!$CK:$CK,0,0)</f>
        <v>Nominal C2E Fibre Secours C2E Fibre</v>
      </c>
      <c r="K136" s="250" t="s">
        <v>2820</v>
      </c>
      <c r="L136" s="250">
        <v>300</v>
      </c>
      <c r="M136" s="250">
        <v>50</v>
      </c>
      <c r="N136" s="250">
        <v>1</v>
      </c>
      <c r="O136" s="250" t="s">
        <v>77</v>
      </c>
      <c r="P136" s="824">
        <v>0</v>
      </c>
      <c r="Q136" s="824">
        <v>0</v>
      </c>
      <c r="R136" s="824">
        <v>0</v>
      </c>
      <c r="S136" s="824">
        <v>0</v>
      </c>
      <c r="T136" s="824">
        <v>1149</v>
      </c>
      <c r="U136" s="824">
        <v>44</v>
      </c>
      <c r="V136" s="824">
        <v>48</v>
      </c>
      <c r="W136" s="824">
        <v>5</v>
      </c>
      <c r="X136" s="824">
        <f>Tableau1[[#This Row],[Coût Abonnement offre]]+Tableau1[[#This Row],[Coût Abonnement Chassis]]+Tableau1[[#This Row],[Cout Cartes interface ]]+Tableau1[[#This Row],[Cout canaux voix supplémentaire]]</f>
        <v>1246</v>
      </c>
      <c r="Y136" s="824">
        <v>0</v>
      </c>
      <c r="Z136" s="966">
        <v>0</v>
      </c>
      <c r="AA136" s="966">
        <v>0</v>
      </c>
      <c r="AB136" s="969">
        <v>0</v>
      </c>
      <c r="AC136" s="969">
        <v>0</v>
      </c>
      <c r="AD136" s="969">
        <v>0</v>
      </c>
      <c r="AE136" s="264">
        <v>20</v>
      </c>
      <c r="AF136" s="264">
        <v>300</v>
      </c>
      <c r="AG136" s="264">
        <v>50</v>
      </c>
      <c r="AH136" s="264">
        <v>350</v>
      </c>
      <c r="AI136" s="973">
        <v>5</v>
      </c>
      <c r="AJ136" s="263">
        <v>20</v>
      </c>
      <c r="AK136" s="987">
        <v>350</v>
      </c>
      <c r="AL136" s="263">
        <f>VLOOKUP(Tableau1[[#This Row],[Code PAS]],'Facturation PAS RIN5 RUN'!C:F,4,0)</f>
        <v>48</v>
      </c>
      <c r="AM136" s="263"/>
      <c r="AN136" s="263" t="b">
        <f>ROUND(Tableau1[[#This Row],[Montant Options coûts récurrents]],0)=ROUND(Tableau1[[#This Row],[GTRS1 (Coût Plage de support 24h/24 7j/7)]],0)</f>
        <v>0</v>
      </c>
      <c r="AO136" s="265" t="e">
        <f>_xlfn.XLOOKUP(Tableau1[[#This Row],[Code PAS]],'parc SATIN 08012026v'!K:K,'parc SATIN 08012026v'!#REF!,0,0)</f>
        <v>#REF!</v>
      </c>
      <c r="AP136" s="263" t="e">
        <f>VLOOKUP(Tableau1[[#This Row],[Code PAS]],#REF!,3,0)</f>
        <v>#REF!</v>
      </c>
      <c r="AQ136" s="263" t="e">
        <f>VLOOKUP(Tableau1[[#This Row],[Code PAS]],[14]Feuil1!$B:$G,6,0)</f>
        <v>#N/A</v>
      </c>
      <c r="AR136" s="263" t="str">
        <f>_xlfn.XLOOKUP(Tableau1[[#This Row],[Code PAS]],'Facturation PAS RIN5 RUN'!C:C,'Facturation PAS RIN5 RUN'!B:B,0,0)</f>
        <v>Gold_20_20</v>
      </c>
      <c r="AS136" s="263" t="b">
        <f>Tableau1[[#This Row],[Etat facturation]]=Tableau1[[#This Row],[Index offre du fournisseur]]</f>
        <v>1</v>
      </c>
      <c r="AT136" s="250" t="str">
        <f>_xlfn.XLOOKUP(Tableau1[[#This Row],[Code PAS]],'parc SATIN 08012026v'!K:K,'parc SATIN 08012026v'!M:M,0,0)</f>
        <v>PARC</v>
      </c>
      <c r="AU136" s="250" t="str">
        <f>_xlfn.XLOOKUP(Tableau1[[#This Row],[Code PAS]],'parc SATIN 08012026v'!K:K,'parc SATIN 08012026v'!O:O,0,0)</f>
        <v>PARC</v>
      </c>
      <c r="AV136" s="251">
        <f>_xlfn.XLOOKUP(Tableau1[[#This Row],[Code PAS]],'parc SATIN 08012026v'!K:K,'parc SATIN 08012026v'!Q:Q,0,0)</f>
        <v>45355</v>
      </c>
      <c r="AW136" s="251" t="str">
        <f>_xlfn.XLOOKUP(Tableau1[[#This Row],[Code PAS]],'parc SATIN 08012026v'!K:K,'parc SATIN 08012026v'!S:S,0,0)</f>
        <v>change</v>
      </c>
      <c r="AX136" s="250" t="str">
        <f>_xlfn.XLOOKUP(Tableau1[[#This Row],[Code PAS]],'parc SATIN 08012026v'!K:K,'parc SATIN 08012026v'!AF:AF,0,0)</f>
        <v>20 Mb/s</v>
      </c>
      <c r="AY13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37" spans="1:52" s="250" customFormat="1" ht="15" customHeight="1" x14ac:dyDescent="0.3">
      <c r="A137" s="250" t="s">
        <v>2743</v>
      </c>
      <c r="E137" s="250" t="s">
        <v>3061</v>
      </c>
      <c r="F137" s="984" t="s">
        <v>2452</v>
      </c>
      <c r="H137" s="250" t="s">
        <v>2751</v>
      </c>
      <c r="J137" s="248" t="str">
        <f>_xlfn.XLOOKUP(Tableau1[[#This Row],[Code PAS]],'[13]Parc Satin'!$L:$L,'[13]Parc Satin'!$CK:$CK,0,0)</f>
        <v>Nominal C2E sans Secours</v>
      </c>
      <c r="P137" s="820">
        <v>0</v>
      </c>
      <c r="Q137" s="820">
        <v>0</v>
      </c>
      <c r="R137" s="820">
        <v>0</v>
      </c>
      <c r="S137" s="820">
        <v>0</v>
      </c>
      <c r="T137" s="824">
        <v>568</v>
      </c>
      <c r="U137" s="824">
        <v>21</v>
      </c>
      <c r="V137" s="824">
        <v>14</v>
      </c>
      <c r="W137" s="824">
        <v>0</v>
      </c>
      <c r="X137" s="823">
        <f>Tableau1[[#This Row],[Coût Abonnement offre]]+Tableau1[[#This Row],[Coût Abonnement Chassis]]+Tableau1[[#This Row],[Cout Cartes interface ]]+Tableau1[[#This Row],[Cout canaux voix supplémentaire]]</f>
        <v>603</v>
      </c>
      <c r="Y137" s="824">
        <v>0</v>
      </c>
      <c r="Z137" s="966">
        <v>0</v>
      </c>
      <c r="AA137" s="966">
        <v>0</v>
      </c>
      <c r="AB137" s="969">
        <v>0</v>
      </c>
      <c r="AC137" s="969">
        <v>0</v>
      </c>
      <c r="AD137" s="969">
        <v>0</v>
      </c>
      <c r="AE137" s="264">
        <v>10</v>
      </c>
      <c r="AF137" s="264">
        <v>120</v>
      </c>
      <c r="AG137" s="264">
        <v>60</v>
      </c>
      <c r="AH137" s="264">
        <v>180</v>
      </c>
      <c r="AI137" s="973">
        <v>5</v>
      </c>
      <c r="AJ137" s="263">
        <v>10</v>
      </c>
      <c r="AK137" s="987">
        <v>120</v>
      </c>
      <c r="AL137" s="263">
        <f>VLOOKUP(Tableau1[[#This Row],[Code PAS]],'Facturation PAS RIN5 RUN'!C:F,4,0)</f>
        <v>14</v>
      </c>
      <c r="AM137" s="263"/>
      <c r="AN137" s="263" t="b">
        <f>ROUND(Tableau1[[#This Row],[Montant Options coûts récurrents]],0)=ROUND(Tableau1[[#This Row],[GTRS1 (Coût Plage de support 24h/24 7j/7)]],0)</f>
        <v>0</v>
      </c>
      <c r="AO137" s="265" t="e">
        <f>_xlfn.XLOOKUP(Tableau1[[#This Row],[Code PAS]],'parc SATIN 08012026v'!K:K,'parc SATIN 08012026v'!#REF!,0,0)</f>
        <v>#REF!</v>
      </c>
      <c r="AP137" s="263" t="e">
        <f>VLOOKUP(Tableau1[[#This Row],[Code PAS]],#REF!,3,0)</f>
        <v>#REF!</v>
      </c>
      <c r="AQ137" s="263" t="e">
        <f>VLOOKUP(Tableau1[[#This Row],[Code PAS]],[14]Feuil1!$B:$G,6,0)</f>
        <v>#N/A</v>
      </c>
      <c r="AR137" s="263" t="str">
        <f>_xlfn.XLOOKUP(Tableau1[[#This Row],[Code PAS]],'Facturation PAS RIN5 RUN'!C:C,'Facturation PAS RIN5 RUN'!B:B,0,0)</f>
        <v>Bronze_10_0</v>
      </c>
      <c r="AS137" s="263" t="b">
        <f>Tableau1[[#This Row],[Etat facturation]]=Tableau1[[#This Row],[Index offre du fournisseur]]</f>
        <v>1</v>
      </c>
      <c r="AT137" s="250" t="str">
        <f>_xlfn.XLOOKUP(Tableau1[[#This Row],[Code PAS]],'parc SATIN 08012026v'!K:K,'parc SATIN 08012026v'!M:M,0,0)</f>
        <v>PARC</v>
      </c>
      <c r="AU137" s="250" t="str">
        <f>_xlfn.XLOOKUP(Tableau1[[#This Row],[Code PAS]],'parc SATIN 08012026v'!K:K,'parc SATIN 08012026v'!O:O,0,0)</f>
        <v>PARC</v>
      </c>
      <c r="AV137" s="251">
        <f>_xlfn.XLOOKUP(Tableau1[[#This Row],[Code PAS]],'parc SATIN 08012026v'!K:K,'parc SATIN 08012026v'!Q:Q,0,0)</f>
        <v>45191</v>
      </c>
      <c r="AW137" s="251" t="str">
        <f>_xlfn.XLOOKUP(Tableau1[[#This Row],[Code PAS]],'parc SATIN 08012026v'!K:K,'parc SATIN 08012026v'!S:S,0,0)</f>
        <v>change</v>
      </c>
      <c r="AX137" s="250" t="str">
        <f>_xlfn.XLOOKUP(Tableau1[[#This Row],[Code PAS]],'parc SATIN 08012026v'!K:K,'parc SATIN 08012026v'!AF:AF,0,0)</f>
        <v>10 Mb/s</v>
      </c>
      <c r="AY13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137" s="250" t="s">
        <v>2868</v>
      </c>
    </row>
    <row r="138" spans="1:52" s="250" customFormat="1" ht="15" customHeight="1" x14ac:dyDescent="0.3">
      <c r="A138" s="250" t="s">
        <v>2758</v>
      </c>
      <c r="E138" s="250" t="s">
        <v>3062</v>
      </c>
      <c r="F138" s="984" t="s">
        <v>2537</v>
      </c>
      <c r="G138" s="250" t="s">
        <v>2751</v>
      </c>
      <c r="H138" s="250" t="s">
        <v>2751</v>
      </c>
      <c r="I138" s="250" t="s">
        <v>2817</v>
      </c>
      <c r="J138" s="248" t="str">
        <f>_xlfn.XLOOKUP(Tableau1[[#This Row],[Code PAS]],'[13]Parc Satin'!$L:$L,'[13]Parc Satin'!$CK:$CK,0,0)</f>
        <v>Nominal C2E Fibre sans Secours</v>
      </c>
      <c r="L138" s="250">
        <v>120</v>
      </c>
      <c r="M138" s="250">
        <v>60</v>
      </c>
      <c r="N138" s="250">
        <v>1</v>
      </c>
      <c r="O138" s="250" t="s">
        <v>77</v>
      </c>
      <c r="P138" s="824">
        <v>21667</v>
      </c>
      <c r="Q138" s="824">
        <v>361</v>
      </c>
      <c r="R138" s="824">
        <v>0</v>
      </c>
      <c r="S138" s="824">
        <v>22028</v>
      </c>
      <c r="T138" s="824">
        <v>1071</v>
      </c>
      <c r="U138" s="824">
        <v>42</v>
      </c>
      <c r="V138" s="824">
        <v>0</v>
      </c>
      <c r="W138" s="824">
        <v>5</v>
      </c>
      <c r="X138" s="824">
        <f>Tableau1[[#This Row],[Coût Abonnement offre]]+Tableau1[[#This Row],[Coût Abonnement Chassis]]+Tableau1[[#This Row],[Cout Cartes interface ]]+Tableau1[[#This Row],[Cout canaux voix supplémentaire]]</f>
        <v>1118</v>
      </c>
      <c r="Y138" s="824">
        <v>0</v>
      </c>
      <c r="Z138" s="966">
        <v>0</v>
      </c>
      <c r="AA138" s="966">
        <v>0</v>
      </c>
      <c r="AB138" s="969">
        <v>0</v>
      </c>
      <c r="AC138" s="969">
        <v>0</v>
      </c>
      <c r="AD138" s="969">
        <v>0</v>
      </c>
      <c r="AE138" s="264">
        <v>10</v>
      </c>
      <c r="AF138" s="264">
        <v>120</v>
      </c>
      <c r="AG138" s="264">
        <v>60</v>
      </c>
      <c r="AH138" s="264">
        <v>180</v>
      </c>
      <c r="AI138" s="973">
        <v>5</v>
      </c>
      <c r="AJ138" s="263">
        <v>10</v>
      </c>
      <c r="AK138" s="987">
        <v>180</v>
      </c>
      <c r="AL138" s="263">
        <f>VLOOKUP(Tableau1[[#This Row],[Code PAS]],'Facturation PAS RIN5 RUN'!C:F,4,0)</f>
        <v>0</v>
      </c>
      <c r="AM138" s="263"/>
      <c r="AN138" s="263" t="b">
        <f>ROUND(Tableau1[[#This Row],[Montant Options coûts récurrents]],0)=ROUND(Tableau1[[#This Row],[GTRS1 (Coût Plage de support 24h/24 7j/7)]],0)</f>
        <v>1</v>
      </c>
      <c r="AO138" s="265" t="e">
        <f>_xlfn.XLOOKUP(Tableau1[[#This Row],[Code PAS]],'parc SATIN 08012026v'!K:K,'parc SATIN 08012026v'!#REF!,0,0)</f>
        <v>#REF!</v>
      </c>
      <c r="AP138" s="263" t="e">
        <f>VLOOKUP(Tableau1[[#This Row],[Code PAS]],#REF!,3,0)</f>
        <v>#REF!</v>
      </c>
      <c r="AQ138" s="263" t="e">
        <f>VLOOKUP(Tableau1[[#This Row],[Code PAS]],[14]Feuil1!$B:$G,6,0)</f>
        <v>#N/A</v>
      </c>
      <c r="AR138" s="263" t="str">
        <f>_xlfn.XLOOKUP(Tableau1[[#This Row],[Code PAS]],'Facturation PAS RIN5 RUN'!C:C,'Facturation PAS RIN5 RUN'!B:B,0,0)</f>
        <v>Bronze_10_0</v>
      </c>
      <c r="AS138" s="263" t="b">
        <f>Tableau1[[#This Row],[Etat facturation]]=Tableau1[[#This Row],[Index offre du fournisseur]]</f>
        <v>1</v>
      </c>
      <c r="AT138" s="250" t="str">
        <f>_xlfn.XLOOKUP(Tableau1[[#This Row],[Code PAS]],'parc SATIN 08012026v'!K:K,'parc SATIN 08012026v'!M:M,0,0)</f>
        <v>PARC</v>
      </c>
      <c r="AU138" s="250" t="str">
        <f>_xlfn.XLOOKUP(Tableau1[[#This Row],[Code PAS]],'parc SATIN 08012026v'!K:K,'parc SATIN 08012026v'!O:O,0,0)</f>
        <v>PARC</v>
      </c>
      <c r="AV138" s="251">
        <f>_xlfn.XLOOKUP(Tableau1[[#This Row],[Code PAS]],'parc SATIN 08012026v'!K:K,'parc SATIN 08012026v'!Q:Q,0,0)</f>
        <v>45632</v>
      </c>
      <c r="AW138" s="251" t="str">
        <f>_xlfn.XLOOKUP(Tableau1[[#This Row],[Code PAS]],'parc SATIN 08012026v'!K:K,'parc SATIN 08012026v'!S:S,0,0)</f>
        <v>change</v>
      </c>
      <c r="AX138" s="250" t="str">
        <f>_xlfn.XLOOKUP(Tableau1[[#This Row],[Code PAS]],'parc SATIN 08012026v'!K:K,'parc SATIN 08012026v'!AF:AF,0,0)</f>
        <v>10 Mb/s</v>
      </c>
      <c r="AY13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139" spans="1:52" s="250" customFormat="1" ht="15" customHeight="1" x14ac:dyDescent="0.3">
      <c r="A139" s="250" t="s">
        <v>2739</v>
      </c>
      <c r="C139" s="249"/>
      <c r="D139" s="249"/>
      <c r="E139" s="248" t="s">
        <v>3063</v>
      </c>
      <c r="F139" s="984" t="s">
        <v>1561</v>
      </c>
      <c r="G139" s="250" t="s">
        <v>2748</v>
      </c>
      <c r="H139" s="250" t="s">
        <v>2748</v>
      </c>
      <c r="I139" s="250" t="s">
        <v>78</v>
      </c>
      <c r="J139" s="248" t="str">
        <f>_xlfn.XLOOKUP(Tableau1[[#This Row],[Code PAS]],'[13]Parc Satin'!$L:$L,'[13]Parc Satin'!$CK:$CK,0,0)</f>
        <v>Nominal InterLan 1.0 Secours InterLan 1.0</v>
      </c>
      <c r="K139" s="250" t="s">
        <v>2829</v>
      </c>
      <c r="L139" s="250">
        <v>300</v>
      </c>
      <c r="M139" s="250">
        <v>50</v>
      </c>
      <c r="N139" s="250">
        <v>2</v>
      </c>
      <c r="O139" s="250" t="s">
        <v>74</v>
      </c>
      <c r="P139" s="824">
        <v>0</v>
      </c>
      <c r="Q139" s="824">
        <v>652</v>
      </c>
      <c r="R139" s="824">
        <v>57</v>
      </c>
      <c r="S139" s="824">
        <v>709</v>
      </c>
      <c r="T139" s="824">
        <v>1149</v>
      </c>
      <c r="U139" s="824">
        <v>44</v>
      </c>
      <c r="V139" s="824">
        <v>80</v>
      </c>
      <c r="W139" s="824">
        <v>5</v>
      </c>
      <c r="X139" s="824">
        <f>Tableau1[[#This Row],[Coût Abonnement offre]]+Tableau1[[#This Row],[Coût Abonnement Chassis]]+Tableau1[[#This Row],[Cout Cartes interface ]]+Tableau1[[#This Row],[Cout canaux voix supplémentaire]]</f>
        <v>1278</v>
      </c>
      <c r="Y139" s="824">
        <v>0</v>
      </c>
      <c r="Z139" s="966">
        <v>0</v>
      </c>
      <c r="AA139" s="966">
        <v>0</v>
      </c>
      <c r="AB139" s="969">
        <v>0</v>
      </c>
      <c r="AC139" s="969">
        <v>0</v>
      </c>
      <c r="AD139" s="969">
        <v>0</v>
      </c>
      <c r="AE139" s="264">
        <v>20</v>
      </c>
      <c r="AF139" s="264">
        <v>300</v>
      </c>
      <c r="AG139" s="264">
        <v>50</v>
      </c>
      <c r="AH139" s="264">
        <v>350</v>
      </c>
      <c r="AI139" s="973">
        <v>5</v>
      </c>
      <c r="AJ139" s="263">
        <v>20</v>
      </c>
      <c r="AK139" s="987">
        <v>350</v>
      </c>
      <c r="AL139" s="263">
        <f>VLOOKUP(Tableau1[[#This Row],[Code PAS]],'Facturation PAS RIN5 RUN'!C:F,4,0)</f>
        <v>80</v>
      </c>
      <c r="AM139" s="263"/>
      <c r="AN139" s="263" t="b">
        <f>ROUND(Tableau1[[#This Row],[Montant Options coûts récurrents]],0)=ROUND(Tableau1[[#This Row],[GTRS1 (Coût Plage de support 24h/24 7j/7)]],0)</f>
        <v>0</v>
      </c>
      <c r="AO139" s="265" t="e">
        <f>_xlfn.XLOOKUP(Tableau1[[#This Row],[Code PAS]],'parc SATIN 08012026v'!K:K,'parc SATIN 08012026v'!#REF!,0,0)</f>
        <v>#REF!</v>
      </c>
      <c r="AP139" s="263" t="e">
        <f>VLOOKUP(Tableau1[[#This Row],[Code PAS]],#REF!,3,0)</f>
        <v>#REF!</v>
      </c>
      <c r="AQ139" s="263" t="e">
        <f>VLOOKUP(Tableau1[[#This Row],[Code PAS]],[14]Feuil1!$B:$G,6,0)</f>
        <v>#N/A</v>
      </c>
      <c r="AR139" s="263" t="str">
        <f>_xlfn.XLOOKUP(Tableau1[[#This Row],[Code PAS]],'Facturation PAS RIN5 RUN'!C:C,'Facturation PAS RIN5 RUN'!B:B,0,0)</f>
        <v>Gold_20_20</v>
      </c>
      <c r="AS139" s="263" t="b">
        <f>Tableau1[[#This Row],[Etat facturation]]=Tableau1[[#This Row],[Index offre du fournisseur]]</f>
        <v>1</v>
      </c>
      <c r="AT139" s="250" t="str">
        <f>_xlfn.XLOOKUP(Tableau1[[#This Row],[Code PAS]],'parc SATIN 08012026v'!K:K,'parc SATIN 08012026v'!M:M,0,0)</f>
        <v>PARC</v>
      </c>
      <c r="AU139" s="250" t="str">
        <f>_xlfn.XLOOKUP(Tableau1[[#This Row],[Code PAS]],'parc SATIN 08012026v'!K:K,'parc SATIN 08012026v'!O:O,0,0)</f>
        <v>PARC</v>
      </c>
      <c r="AV139" s="251">
        <f>_xlfn.XLOOKUP(Tableau1[[#This Row],[Code PAS]],'parc SATIN 08012026v'!K:K,'parc SATIN 08012026v'!Q:Q,0,0)</f>
        <v>44109</v>
      </c>
      <c r="AW139" s="251" t="str">
        <f>_xlfn.XLOOKUP(Tableau1[[#This Row],[Code PAS]],'parc SATIN 08012026v'!K:K,'parc SATIN 08012026v'!S:S,0,0)</f>
        <v>création</v>
      </c>
      <c r="AX139" s="250" t="str">
        <f>_xlfn.XLOOKUP(Tableau1[[#This Row],[Code PAS]],'parc SATIN 08012026v'!K:K,'parc SATIN 08012026v'!AF:AF,0,0)</f>
        <v>20 Mb/s</v>
      </c>
      <c r="AY13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40" spans="1:52" s="250" customFormat="1" ht="15" customHeight="1" x14ac:dyDescent="0.3">
      <c r="A140" s="248"/>
      <c r="B140" s="249">
        <v>45757</v>
      </c>
      <c r="C140" s="249"/>
      <c r="D140" s="249"/>
      <c r="E140" s="250" t="s">
        <v>2759</v>
      </c>
      <c r="F140" s="984" t="s">
        <v>1876</v>
      </c>
      <c r="G140" s="250" t="s">
        <v>2748</v>
      </c>
      <c r="H140" s="250" t="s">
        <v>2748</v>
      </c>
      <c r="I140" s="250" t="s">
        <v>78</v>
      </c>
      <c r="J140" s="248" t="str">
        <f>_xlfn.XLOOKUP(Tableau1[[#This Row],[Code PAS]],'[13]Parc Satin'!$L:$L,'[13]Parc Satin'!$CK:$CK,0,0)</f>
        <v>Nominal InterLan 1.0 Secours InterLan 1.0</v>
      </c>
      <c r="K140" s="250" t="s">
        <v>2829</v>
      </c>
      <c r="L140" s="250">
        <v>300</v>
      </c>
      <c r="M140" s="250">
        <v>50</v>
      </c>
      <c r="N140" s="250">
        <v>1</v>
      </c>
      <c r="O140" s="250" t="s">
        <v>74</v>
      </c>
      <c r="P140" s="824">
        <v>0</v>
      </c>
      <c r="Q140" s="824">
        <v>652</v>
      </c>
      <c r="R140" s="824">
        <v>0</v>
      </c>
      <c r="S140" s="824">
        <v>652</v>
      </c>
      <c r="T140" s="824">
        <v>1149</v>
      </c>
      <c r="U140" s="824">
        <v>84</v>
      </c>
      <c r="V140" s="824">
        <v>0</v>
      </c>
      <c r="W140" s="824">
        <v>5</v>
      </c>
      <c r="X140" s="824">
        <f>Tableau1[[#This Row],[Coût Abonnement offre]]+Tableau1[[#This Row],[Coût Abonnement Chassis]]+Tableau1[[#This Row],[Cout Cartes interface ]]+Tableau1[[#This Row],[Cout canaux voix supplémentaire]]</f>
        <v>1238</v>
      </c>
      <c r="Y140" s="824">
        <v>0</v>
      </c>
      <c r="Z140" s="966">
        <v>0</v>
      </c>
      <c r="AA140" s="966">
        <v>0</v>
      </c>
      <c r="AB140" s="969">
        <v>0</v>
      </c>
      <c r="AC140" s="969">
        <v>0</v>
      </c>
      <c r="AD140" s="969">
        <v>0</v>
      </c>
      <c r="AE140" s="264">
        <v>20</v>
      </c>
      <c r="AF140" s="264">
        <v>300</v>
      </c>
      <c r="AG140" s="264">
        <v>50</v>
      </c>
      <c r="AH140" s="264">
        <v>350</v>
      </c>
      <c r="AI140" s="975">
        <v>5</v>
      </c>
      <c r="AJ140" s="269">
        <v>20</v>
      </c>
      <c r="AK140" s="987">
        <v>350</v>
      </c>
      <c r="AL140" s="263">
        <f>VLOOKUP(Tableau1[[#This Row],[Code PAS]],'Facturation PAS RIN5 RUN'!C:F,4,0)</f>
        <v>0</v>
      </c>
      <c r="AM140" s="263"/>
      <c r="AN140" s="263" t="b">
        <f>ROUND(Tableau1[[#This Row],[Montant Options coûts récurrents]],0)=ROUND(Tableau1[[#This Row],[GTRS1 (Coût Plage de support 24h/24 7j/7)]],0)</f>
        <v>1</v>
      </c>
      <c r="AO140" s="265" t="e">
        <f>_xlfn.XLOOKUP(Tableau1[[#This Row],[Code PAS]],'parc SATIN 08012026v'!K:K,'parc SATIN 08012026v'!#REF!,0,0)</f>
        <v>#REF!</v>
      </c>
      <c r="AP140" s="263" t="e">
        <f>VLOOKUP(Tableau1[[#This Row],[Code PAS]],#REF!,3,0)</f>
        <v>#REF!</v>
      </c>
      <c r="AQ140" s="263" t="e">
        <f>VLOOKUP(Tableau1[[#This Row],[Code PAS]],[14]Feuil1!$B:$G,6,0)</f>
        <v>#N/A</v>
      </c>
      <c r="AR140" s="263" t="str">
        <f>_xlfn.XLOOKUP(Tableau1[[#This Row],[Code PAS]],'Facturation PAS RIN5 RUN'!C:C,'Facturation PAS RIN5 RUN'!B:B,0,0)</f>
        <v>Gold_20_20 </v>
      </c>
      <c r="AS140" s="263" t="b">
        <f>Tableau1[[#This Row],[Etat facturation]]=Tableau1[[#This Row],[Index offre du fournisseur]]</f>
        <v>0</v>
      </c>
      <c r="AT140" s="250" t="str">
        <f>_xlfn.XLOOKUP(Tableau1[[#This Row],[Code PAS]],'parc SATIN 08012026v'!K:K,'parc SATIN 08012026v'!M:M,0,0)</f>
        <v>PARC</v>
      </c>
      <c r="AU140" s="250" t="str">
        <f>_xlfn.XLOOKUP(Tableau1[[#This Row],[Code PAS]],'parc SATIN 08012026v'!K:K,'parc SATIN 08012026v'!O:O,0,0)</f>
        <v>PARC</v>
      </c>
      <c r="AV140" s="251">
        <f>_xlfn.XLOOKUP(Tableau1[[#This Row],[Code PAS]],'parc SATIN 08012026v'!K:K,'parc SATIN 08012026v'!Q:Q,0,0)</f>
        <v>45764</v>
      </c>
      <c r="AW140" s="251" t="str">
        <f>_xlfn.XLOOKUP(Tableau1[[#This Row],[Code PAS]],'parc SATIN 08012026v'!K:K,'parc SATIN 08012026v'!S:S,0,0)</f>
        <v>création</v>
      </c>
      <c r="AX140" s="250" t="str">
        <f>_xlfn.XLOOKUP(Tableau1[[#This Row],[Code PAS]],'parc SATIN 08012026v'!K:K,'parc SATIN 08012026v'!AF:AF,0,0)</f>
        <v>20 Mb/s</v>
      </c>
      <c r="AY14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41" spans="1:52" s="250" customFormat="1" ht="15" customHeight="1" x14ac:dyDescent="0.3">
      <c r="A141" s="248"/>
      <c r="B141" s="249">
        <v>45687</v>
      </c>
      <c r="C141" s="249">
        <v>45803</v>
      </c>
      <c r="D141" s="249">
        <v>45803</v>
      </c>
      <c r="E141" s="250" t="s">
        <v>3064</v>
      </c>
      <c r="F141" s="984" t="s">
        <v>1755</v>
      </c>
      <c r="G141" s="250" t="s">
        <v>3065</v>
      </c>
      <c r="H141" s="250" t="s">
        <v>3065</v>
      </c>
      <c r="I141" s="250" t="s">
        <v>78</v>
      </c>
      <c r="J141" s="248" t="s">
        <v>2829</v>
      </c>
      <c r="K141" s="250" t="s">
        <v>2829</v>
      </c>
      <c r="L141" s="250">
        <v>900</v>
      </c>
      <c r="M141" s="250">
        <v>4600</v>
      </c>
      <c r="N141" s="252">
        <v>1</v>
      </c>
      <c r="O141" s="252" t="s">
        <v>76</v>
      </c>
      <c r="P141" s="824">
        <v>0</v>
      </c>
      <c r="Q141" s="824">
        <v>0</v>
      </c>
      <c r="R141" s="824">
        <v>0</v>
      </c>
      <c r="S141" s="824">
        <v>0</v>
      </c>
      <c r="T141" s="824">
        <v>1899</v>
      </c>
      <c r="U141" s="824">
        <v>142</v>
      </c>
      <c r="V141" s="824">
        <v>16</v>
      </c>
      <c r="W141" s="824">
        <v>414</v>
      </c>
      <c r="X141" s="824">
        <v>2470.8564263010348</v>
      </c>
      <c r="Y141" s="824">
        <v>66</v>
      </c>
      <c r="Z141" s="966">
        <v>0</v>
      </c>
      <c r="AA141" s="966">
        <v>0</v>
      </c>
      <c r="AB141" s="969">
        <v>0</v>
      </c>
      <c r="AC141" s="969">
        <v>0</v>
      </c>
      <c r="AD141" s="969">
        <v>0</v>
      </c>
      <c r="AE141" s="264">
        <v>300</v>
      </c>
      <c r="AF141" s="264">
        <v>900</v>
      </c>
      <c r="AG141" s="264">
        <v>4600</v>
      </c>
      <c r="AH141" s="264">
        <v>5500</v>
      </c>
      <c r="AI141" s="973">
        <v>414</v>
      </c>
      <c r="AJ141" s="263">
        <v>300</v>
      </c>
      <c r="AK141" s="987">
        <v>5500</v>
      </c>
      <c r="AL141" s="263">
        <f>VLOOKUP(Tableau1[[#This Row],[Code PAS]],'Facturation PAS RIN5 RUN'!C:F,4,0)</f>
        <v>16</v>
      </c>
      <c r="AM141" s="263"/>
      <c r="AN141" s="263" t="b">
        <f>ROUND(Tableau1[[#This Row],[Montant Options coûts récurrents]],0)=ROUND(Tableau1[[#This Row],[GTRS1 (Coût Plage de support 24h/24 7j/7)]],0)</f>
        <v>0</v>
      </c>
      <c r="AO141" s="265" t="e">
        <f>_xlfn.XLOOKUP(Tableau1[[#This Row],[Code PAS]],'parc SATIN 08012026v'!K:K,'parc SATIN 08012026v'!#REF!,0,0)</f>
        <v>#REF!</v>
      </c>
      <c r="AP141" s="263" t="e">
        <f>VLOOKUP(Tableau1[[#This Row],[Code PAS]],#REF!,3,0)</f>
        <v>#REF!</v>
      </c>
      <c r="AQ141" s="263" t="e">
        <f>VLOOKUP(Tableau1[[#This Row],[Code PAS]],[14]Feuil1!$B:$G,6,0)</f>
        <v>#N/A</v>
      </c>
      <c r="AR141" s="263" t="str">
        <f>_xlfn.XLOOKUP(Tableau1[[#This Row],[Code PAS]],'Facturation PAS RIN5 RUN'!C:C,'Facturation PAS RIN5 RUN'!B:B,0,0)</f>
        <v>Gold_300_300</v>
      </c>
      <c r="AS141" s="263" t="b">
        <f>Tableau1[[#This Row],[Etat facturation]]=Tableau1[[#This Row],[Index offre du fournisseur]]</f>
        <v>1</v>
      </c>
      <c r="AT141" s="250" t="str">
        <f>_xlfn.XLOOKUP(Tableau1[[#This Row],[Code PAS]],'parc SATIN 08012026v'!K:K,'parc SATIN 08012026v'!M:M,0,0)</f>
        <v>PARC</v>
      </c>
      <c r="AU141" s="250" t="str">
        <f>_xlfn.XLOOKUP(Tableau1[[#This Row],[Code PAS]],'parc SATIN 08012026v'!K:K,'parc SATIN 08012026v'!O:O,0,0)</f>
        <v>PARC</v>
      </c>
      <c r="AV141" s="251">
        <f>_xlfn.XLOOKUP(Tableau1[[#This Row],[Code PAS]],'parc SATIN 08012026v'!K:K,'parc SATIN 08012026v'!Q:Q,0,0)</f>
        <v>45827</v>
      </c>
      <c r="AW141" s="251" t="str">
        <f>_xlfn.XLOOKUP(Tableau1[[#This Row],[Code PAS]],'parc SATIN 08012026v'!K:K,'parc SATIN 08012026v'!S:S,0,0)</f>
        <v>change</v>
      </c>
      <c r="AX141" s="250" t="str">
        <f>_xlfn.XLOOKUP(Tableau1[[#This Row],[Code PAS]],'parc SATIN 08012026v'!K:K,'parc SATIN 08012026v'!AF:AF,0,0)</f>
        <v>300 Mbits/s</v>
      </c>
      <c r="AY14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300</v>
      </c>
      <c r="AZ141" s="250" t="s">
        <v>3066</v>
      </c>
    </row>
    <row r="142" spans="1:52" s="250" customFormat="1" ht="15" customHeight="1" x14ac:dyDescent="0.3">
      <c r="A142" s="248"/>
      <c r="B142" s="248"/>
      <c r="C142" s="249">
        <v>45869</v>
      </c>
      <c r="D142" s="249"/>
      <c r="E142" s="250" t="s">
        <v>3067</v>
      </c>
      <c r="F142" s="984" t="s">
        <v>1860</v>
      </c>
      <c r="G142" s="250" t="s">
        <v>3068</v>
      </c>
      <c r="H142" s="250" t="s">
        <v>3068</v>
      </c>
      <c r="I142" s="250" t="s">
        <v>78</v>
      </c>
      <c r="J142" s="248"/>
      <c r="L142" s="250">
        <v>60</v>
      </c>
      <c r="M142" s="250">
        <v>40</v>
      </c>
      <c r="N142" s="250">
        <v>1</v>
      </c>
      <c r="O142" s="250" t="s">
        <v>74</v>
      </c>
      <c r="P142" s="824"/>
      <c r="Q142" s="824"/>
      <c r="R142" s="824"/>
      <c r="S142" s="824">
        <v>0</v>
      </c>
      <c r="T142" s="824">
        <v>469</v>
      </c>
      <c r="U142" s="824">
        <v>42</v>
      </c>
      <c r="V142" s="824"/>
      <c r="W142" s="824">
        <v>35.6</v>
      </c>
      <c r="X142" s="824">
        <v>546.6</v>
      </c>
      <c r="Y142" s="824"/>
      <c r="Z142" s="966">
        <v>0</v>
      </c>
      <c r="AA142" s="966">
        <v>0</v>
      </c>
      <c r="AB142" s="969">
        <v>0</v>
      </c>
      <c r="AC142" s="969">
        <v>0</v>
      </c>
      <c r="AD142" s="969">
        <v>0</v>
      </c>
      <c r="AE142" s="264">
        <v>6</v>
      </c>
      <c r="AF142" s="264">
        <v>60</v>
      </c>
      <c r="AG142" s="264">
        <v>40</v>
      </c>
      <c r="AH142" s="264">
        <v>100</v>
      </c>
      <c r="AI142" s="973">
        <v>36</v>
      </c>
      <c r="AJ142" s="263">
        <v>6</v>
      </c>
      <c r="AK142" s="987">
        <v>100</v>
      </c>
      <c r="AL142" s="263">
        <f>VLOOKUP(Tableau1[[#This Row],[Code PAS]],'Facturation PAS RIN5 RUN'!C:F,4,0)</f>
        <v>0</v>
      </c>
      <c r="AM142" s="263"/>
      <c r="AN142" s="263" t="b">
        <f>ROUND(Tableau1[[#This Row],[Montant Options coûts récurrents]],0)=ROUND(Tableau1[[#This Row],[GTRS1 (Coût Plage de support 24h/24 7j/7)]],0)</f>
        <v>1</v>
      </c>
      <c r="AO142" s="265" t="e">
        <f>_xlfn.XLOOKUP(Tableau1[[#This Row],[Code PAS]],'parc SATIN 08012026v'!K:K,'parc SATIN 08012026v'!#REF!,0,0)</f>
        <v>#REF!</v>
      </c>
      <c r="AP142" s="263" t="e">
        <f>VLOOKUP(Tableau1[[#This Row],[Code PAS]],#REF!,3,0)</f>
        <v>#REF!</v>
      </c>
      <c r="AQ142" s="263" t="e">
        <f>VLOOKUP(Tableau1[[#This Row],[Code PAS]],[14]Feuil1!$B:$G,6,0)</f>
        <v>#N/A</v>
      </c>
      <c r="AR142" s="263" t="str">
        <f>_xlfn.XLOOKUP(Tableau1[[#This Row],[Code PAS]],'Facturation PAS RIN5 RUN'!C:C,'Facturation PAS RIN5 RUN'!B:B,0,0)</f>
        <v>Bronze_6_0</v>
      </c>
      <c r="AS142" s="263" t="b">
        <f>Tableau1[[#This Row],[Etat facturation]]=Tableau1[[#This Row],[Index offre du fournisseur]]</f>
        <v>1</v>
      </c>
      <c r="AT142" s="250" t="str">
        <f>_xlfn.XLOOKUP(Tableau1[[#This Row],[Code PAS]],'parc SATIN 08012026v'!K:K,'parc SATIN 08012026v'!M:M,0,0)</f>
        <v>PARC</v>
      </c>
      <c r="AU142" s="250" t="str">
        <f>_xlfn.XLOOKUP(Tableau1[[#This Row],[Code PAS]],'parc SATIN 08012026v'!K:K,'parc SATIN 08012026v'!O:O,0,0)</f>
        <v>PARC</v>
      </c>
      <c r="AV142" s="251">
        <f>_xlfn.XLOOKUP(Tableau1[[#This Row],[Code PAS]],'parc SATIN 08012026v'!K:K,'parc SATIN 08012026v'!Q:Q,0,0)</f>
        <v>45869</v>
      </c>
      <c r="AW142" s="251" t="str">
        <f>_xlfn.XLOOKUP(Tableau1[[#This Row],[Code PAS]],'parc SATIN 08012026v'!K:K,'parc SATIN 08012026v'!S:S,0,0)</f>
        <v>change</v>
      </c>
      <c r="AX142" s="250" t="str">
        <f>_xlfn.XLOOKUP(Tableau1[[#This Row],[Code PAS]],'parc SATIN 08012026v'!K:K,'parc SATIN 08012026v'!AF:AF,0,0)</f>
        <v>6 Mb/s</v>
      </c>
      <c r="AY14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</v>
      </c>
    </row>
    <row r="143" spans="1:52" s="250" customFormat="1" ht="15" customHeight="1" x14ac:dyDescent="0.3">
      <c r="A143" s="250" t="s">
        <v>2758</v>
      </c>
      <c r="C143" s="249"/>
      <c r="D143" s="249"/>
      <c r="E143" s="250" t="s">
        <v>3069</v>
      </c>
      <c r="F143" s="984" t="s">
        <v>2494</v>
      </c>
      <c r="G143" s="250" t="s">
        <v>2804</v>
      </c>
      <c r="H143" s="250" t="s">
        <v>2867</v>
      </c>
      <c r="J143" s="248" t="str">
        <f>_xlfn.XLOOKUP(Tableau1[[#This Row],[Code PAS]],'[13]Parc Satin'!$L:$L,'[13]Parc Satin'!$CK:$CK,0,0)</f>
        <v>Nominal C2E sans Secours</v>
      </c>
      <c r="P143" s="820">
        <v>0</v>
      </c>
      <c r="Q143" s="820">
        <v>0</v>
      </c>
      <c r="R143" s="820">
        <v>0</v>
      </c>
      <c r="S143" s="820">
        <v>0</v>
      </c>
      <c r="T143" s="824">
        <v>290</v>
      </c>
      <c r="U143" s="824">
        <v>12</v>
      </c>
      <c r="V143" s="824">
        <v>0</v>
      </c>
      <c r="W143" s="824">
        <v>0</v>
      </c>
      <c r="X143" s="823">
        <f>Tableau1[[#This Row],[Coût Abonnement offre]]+Tableau1[[#This Row],[Coût Abonnement Chassis]]+Tableau1[[#This Row],[Cout Cartes interface ]]+Tableau1[[#This Row],[Cout canaux voix supplémentaire]]</f>
        <v>302</v>
      </c>
      <c r="Y143" s="824">
        <v>0</v>
      </c>
      <c r="Z143" s="966">
        <v>0</v>
      </c>
      <c r="AA143" s="966">
        <v>0</v>
      </c>
      <c r="AB143" s="969">
        <v>0</v>
      </c>
      <c r="AC143" s="969">
        <v>0</v>
      </c>
      <c r="AD143" s="969">
        <v>0</v>
      </c>
      <c r="AE143" s="264">
        <v>2</v>
      </c>
      <c r="AF143" s="264">
        <v>20</v>
      </c>
      <c r="AG143" s="264">
        <v>10</v>
      </c>
      <c r="AH143" s="264">
        <v>30</v>
      </c>
      <c r="AI143" s="973">
        <v>9</v>
      </c>
      <c r="AJ143" s="263">
        <v>2</v>
      </c>
      <c r="AK143" s="987">
        <v>20</v>
      </c>
      <c r="AL143" s="263">
        <f>VLOOKUP(Tableau1[[#This Row],[Code PAS]],'Facturation PAS RIN5 RUN'!C:F,4,0)</f>
        <v>0</v>
      </c>
      <c r="AM143" s="263"/>
      <c r="AN143" s="263" t="b">
        <f>ROUND(Tableau1[[#This Row],[Montant Options coûts récurrents]],0)=ROUND(Tableau1[[#This Row],[GTRS1 (Coût Plage de support 24h/24 7j/7)]],0)</f>
        <v>1</v>
      </c>
      <c r="AO143" s="265" t="e">
        <f>_xlfn.XLOOKUP(Tableau1[[#This Row],[Code PAS]],'parc SATIN 08012026v'!K:K,'parc SATIN 08012026v'!#REF!,0,0)</f>
        <v>#REF!</v>
      </c>
      <c r="AP143" s="263" t="e">
        <f>VLOOKUP(Tableau1[[#This Row],[Code PAS]],#REF!,3,0)</f>
        <v>#REF!</v>
      </c>
      <c r="AQ143" s="263" t="e">
        <f>VLOOKUP(Tableau1[[#This Row],[Code PAS]],[14]Feuil1!$B:$G,6,0)</f>
        <v>#N/A</v>
      </c>
      <c r="AR143" s="263" t="str">
        <f>_xlfn.XLOOKUP(Tableau1[[#This Row],[Code PAS]],'Facturation PAS RIN5 RUN'!C:C,'Facturation PAS RIN5 RUN'!B:B,0,0)</f>
        <v>Bronze_2_0</v>
      </c>
      <c r="AS143" s="263" t="b">
        <f>Tableau1[[#This Row],[Etat facturation]]=Tableau1[[#This Row],[Index offre du fournisseur]]</f>
        <v>1</v>
      </c>
      <c r="AT143" s="250" t="str">
        <f>_xlfn.XLOOKUP(Tableau1[[#This Row],[Code PAS]],'parc SATIN 08012026v'!K:K,'parc SATIN 08012026v'!M:M,0,0)</f>
        <v>PARC</v>
      </c>
      <c r="AU143" s="250" t="str">
        <f>_xlfn.XLOOKUP(Tableau1[[#This Row],[Code PAS]],'parc SATIN 08012026v'!K:K,'parc SATIN 08012026v'!O:O,0,0)</f>
        <v>PARC</v>
      </c>
      <c r="AV143" s="251">
        <f>_xlfn.XLOOKUP(Tableau1[[#This Row],[Code PAS]],'parc SATIN 08012026v'!K:K,'parc SATIN 08012026v'!Q:Q,0,0)</f>
        <v>44746</v>
      </c>
      <c r="AW143" s="251" t="str">
        <f>_xlfn.XLOOKUP(Tableau1[[#This Row],[Code PAS]],'parc SATIN 08012026v'!K:K,'parc SATIN 08012026v'!S:S,0,0)</f>
        <v>change</v>
      </c>
      <c r="AX143" s="250" t="str">
        <f>_xlfn.XLOOKUP(Tableau1[[#This Row],[Code PAS]],'parc SATIN 08012026v'!K:K,'parc SATIN 08012026v'!AF:AF,0,0)</f>
        <v>2 Mb/s</v>
      </c>
      <c r="AY14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143" s="250" t="s">
        <v>2868</v>
      </c>
    </row>
    <row r="144" spans="1:52" s="250" customFormat="1" ht="15" customHeight="1" x14ac:dyDescent="0.3">
      <c r="A144" s="248" t="s">
        <v>2735</v>
      </c>
      <c r="B144" s="248"/>
      <c r="C144" s="249"/>
      <c r="D144" s="249"/>
      <c r="E144" s="248" t="s">
        <v>3070</v>
      </c>
      <c r="F144" s="981" t="s">
        <v>831</v>
      </c>
      <c r="H144" s="248" t="s">
        <v>2813</v>
      </c>
      <c r="I144" s="248"/>
      <c r="J144" s="248" t="str">
        <f>_xlfn.XLOOKUP(Tableau1[[#This Row],[Code PAS]],'[13]Parc Satin'!$L:$L,'[13]Parc Satin'!$CK:$CK,0,0)</f>
        <v>Nominal C2E Fibre Secours C2E Fibre</v>
      </c>
      <c r="K144" s="248"/>
      <c r="L144" s="248"/>
      <c r="M144" s="248"/>
      <c r="N144" s="248"/>
      <c r="O144" s="248"/>
      <c r="P144" s="822">
        <v>0</v>
      </c>
      <c r="Q144" s="822">
        <v>0</v>
      </c>
      <c r="R144" s="822">
        <v>0</v>
      </c>
      <c r="S144" s="822">
        <v>0</v>
      </c>
      <c r="T144" s="823">
        <v>1149</v>
      </c>
      <c r="U144" s="823">
        <v>44</v>
      </c>
      <c r="V144" s="823">
        <v>32</v>
      </c>
      <c r="W144" s="823">
        <v>5</v>
      </c>
      <c r="X144" s="823">
        <f>Tableau1[[#This Row],[Coût Abonnement offre]]+Tableau1[[#This Row],[Coût Abonnement Chassis]]+Tableau1[[#This Row],[Cout Cartes interface ]]+Tableau1[[#This Row],[Cout canaux voix supplémentaire]]</f>
        <v>1230</v>
      </c>
      <c r="Y144" s="823">
        <v>0</v>
      </c>
      <c r="Z144" s="966">
        <v>0</v>
      </c>
      <c r="AA144" s="966">
        <v>0</v>
      </c>
      <c r="AB144" s="969">
        <v>0</v>
      </c>
      <c r="AC144" s="969">
        <v>0</v>
      </c>
      <c r="AD144" s="969">
        <v>0</v>
      </c>
      <c r="AE144" s="264">
        <v>20</v>
      </c>
      <c r="AF144" s="264">
        <v>300</v>
      </c>
      <c r="AG144" s="264">
        <v>50</v>
      </c>
      <c r="AH144" s="264">
        <v>350</v>
      </c>
      <c r="AI144" s="973">
        <v>5</v>
      </c>
      <c r="AJ144" s="263">
        <v>20</v>
      </c>
      <c r="AK144" s="987">
        <v>350</v>
      </c>
      <c r="AL144" s="263">
        <f>VLOOKUP(Tableau1[[#This Row],[Code PAS]],'Facturation PAS RIN5 RUN'!C:F,4,0)</f>
        <v>32</v>
      </c>
      <c r="AM144" s="263"/>
      <c r="AN144" s="263" t="b">
        <f>ROUND(Tableau1[[#This Row],[Montant Options coûts récurrents]],0)=ROUND(Tableau1[[#This Row],[GTRS1 (Coût Plage de support 24h/24 7j/7)]],0)</f>
        <v>0</v>
      </c>
      <c r="AO144" s="265" t="e">
        <f>_xlfn.XLOOKUP(Tableau1[[#This Row],[Code PAS]],'parc SATIN 08012026v'!K:K,'parc SATIN 08012026v'!#REF!,0,0)</f>
        <v>#REF!</v>
      </c>
      <c r="AP144" s="263" t="e">
        <f>VLOOKUP(Tableau1[[#This Row],[Code PAS]],#REF!,3,0)</f>
        <v>#REF!</v>
      </c>
      <c r="AQ144" s="263" t="e">
        <f>VLOOKUP(Tableau1[[#This Row],[Code PAS]],[14]Feuil1!$B:$G,6,0)</f>
        <v>#N/A</v>
      </c>
      <c r="AR144" s="263" t="str">
        <f>_xlfn.XLOOKUP(Tableau1[[#This Row],[Code PAS]],'Facturation PAS RIN5 RUN'!C:C,'Facturation PAS RIN5 RUN'!B:B,0,0)</f>
        <v>Silver_20_20</v>
      </c>
      <c r="AS144" s="263" t="b">
        <f>Tableau1[[#This Row],[Etat facturation]]=Tableau1[[#This Row],[Index offre du fournisseur]]</f>
        <v>1</v>
      </c>
      <c r="AT144" s="250" t="str">
        <f>_xlfn.XLOOKUP(Tableau1[[#This Row],[Code PAS]],'parc SATIN 08012026v'!K:K,'parc SATIN 08012026v'!M:M,0,0)</f>
        <v>PARC</v>
      </c>
      <c r="AU144" s="250" t="str">
        <f>_xlfn.XLOOKUP(Tableau1[[#This Row],[Code PAS]],'parc SATIN 08012026v'!K:K,'parc SATIN 08012026v'!O:O,0,0)</f>
        <v>PARC</v>
      </c>
      <c r="AV144" s="251">
        <f>_xlfn.XLOOKUP(Tableau1[[#This Row],[Code PAS]],'parc SATIN 08012026v'!K:K,'parc SATIN 08012026v'!Q:Q,0,0)</f>
        <v>44062</v>
      </c>
      <c r="AW144" s="251" t="str">
        <f>_xlfn.XLOOKUP(Tableau1[[#This Row],[Code PAS]],'parc SATIN 08012026v'!K:K,'parc SATIN 08012026v'!S:S,0,0)</f>
        <v>création</v>
      </c>
      <c r="AX144" s="250" t="str">
        <f>_xlfn.XLOOKUP(Tableau1[[#This Row],[Code PAS]],'parc SATIN 08012026v'!K:K,'parc SATIN 08012026v'!AF:AF,0,0)</f>
        <v>20 Mb/s</v>
      </c>
      <c r="AY14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45" spans="1:52" s="250" customFormat="1" ht="15" customHeight="1" x14ac:dyDescent="0.3">
      <c r="A145" s="248" t="s">
        <v>2735</v>
      </c>
      <c r="B145" s="248"/>
      <c r="C145" s="249"/>
      <c r="D145" s="249"/>
      <c r="E145" s="248" t="s">
        <v>3071</v>
      </c>
      <c r="F145" s="981" t="s">
        <v>225</v>
      </c>
      <c r="H145" s="248" t="s">
        <v>2748</v>
      </c>
      <c r="I145" s="248"/>
      <c r="J145" s="248" t="str">
        <f>_xlfn.XLOOKUP(Tableau1[[#This Row],[Code PAS]],'[13]Parc Satin'!$L:$L,'[13]Parc Satin'!$CK:$CK,0,0)</f>
        <v>Nominal C2E Fibre Secours C2E Fibre</v>
      </c>
      <c r="K145" s="248"/>
      <c r="L145" s="248"/>
      <c r="M145" s="248"/>
      <c r="N145" s="248"/>
      <c r="O145" s="248"/>
      <c r="P145" s="822">
        <v>0</v>
      </c>
      <c r="Q145" s="822">
        <v>0</v>
      </c>
      <c r="R145" s="822">
        <v>0</v>
      </c>
      <c r="S145" s="822">
        <v>0</v>
      </c>
      <c r="T145" s="823">
        <v>1149</v>
      </c>
      <c r="U145" s="823">
        <v>44</v>
      </c>
      <c r="V145" s="823">
        <v>32</v>
      </c>
      <c r="W145" s="823">
        <v>5</v>
      </c>
      <c r="X145" s="823">
        <f>Tableau1[[#This Row],[Coût Abonnement offre]]+Tableau1[[#This Row],[Coût Abonnement Chassis]]+Tableau1[[#This Row],[Cout Cartes interface ]]+Tableau1[[#This Row],[Cout canaux voix supplémentaire]]</f>
        <v>1230</v>
      </c>
      <c r="Y145" s="823">
        <v>0</v>
      </c>
      <c r="Z145" s="966">
        <v>0</v>
      </c>
      <c r="AA145" s="966">
        <v>0</v>
      </c>
      <c r="AB145" s="969">
        <v>0</v>
      </c>
      <c r="AC145" s="969">
        <v>0</v>
      </c>
      <c r="AD145" s="969">
        <v>0</v>
      </c>
      <c r="AE145" s="264">
        <v>20</v>
      </c>
      <c r="AF145" s="264">
        <v>300</v>
      </c>
      <c r="AG145" s="264">
        <v>50</v>
      </c>
      <c r="AH145" s="264">
        <v>350</v>
      </c>
      <c r="AI145" s="973">
        <v>5</v>
      </c>
      <c r="AJ145" s="263">
        <v>20</v>
      </c>
      <c r="AK145" s="987">
        <v>350</v>
      </c>
      <c r="AL145" s="263">
        <f>VLOOKUP(Tableau1[[#This Row],[Code PAS]],'Facturation PAS RIN5 RUN'!C:F,4,0)</f>
        <v>32</v>
      </c>
      <c r="AM145" s="263"/>
      <c r="AN145" s="263" t="b">
        <f>ROUND(Tableau1[[#This Row],[Montant Options coûts récurrents]],0)=ROUND(Tableau1[[#This Row],[GTRS1 (Coût Plage de support 24h/24 7j/7)]],0)</f>
        <v>0</v>
      </c>
      <c r="AO145" s="265" t="e">
        <f>_xlfn.XLOOKUP(Tableau1[[#This Row],[Code PAS]],'parc SATIN 08012026v'!K:K,'parc SATIN 08012026v'!#REF!,0,0)</f>
        <v>#REF!</v>
      </c>
      <c r="AP145" s="263" t="e">
        <f>VLOOKUP(Tableau1[[#This Row],[Code PAS]],#REF!,3,0)</f>
        <v>#REF!</v>
      </c>
      <c r="AQ145" s="263" t="e">
        <f>VLOOKUP(Tableau1[[#This Row],[Code PAS]],[14]Feuil1!$B:$G,6,0)</f>
        <v>#N/A</v>
      </c>
      <c r="AR145" s="263" t="str">
        <f>_xlfn.XLOOKUP(Tableau1[[#This Row],[Code PAS]],'Facturation PAS RIN5 RUN'!C:C,'Facturation PAS RIN5 RUN'!B:B,0,0)</f>
        <v>Gold_20_20</v>
      </c>
      <c r="AS145" s="263" t="b">
        <f>Tableau1[[#This Row],[Etat facturation]]=Tableau1[[#This Row],[Index offre du fournisseur]]</f>
        <v>1</v>
      </c>
      <c r="AT145" s="250" t="str">
        <f>_xlfn.XLOOKUP(Tableau1[[#This Row],[Code PAS]],'parc SATIN 08012026v'!K:K,'parc SATIN 08012026v'!M:M,0,0)</f>
        <v>PARC</v>
      </c>
      <c r="AU145" s="250" t="str">
        <f>_xlfn.XLOOKUP(Tableau1[[#This Row],[Code PAS]],'parc SATIN 08012026v'!K:K,'parc SATIN 08012026v'!O:O,0,0)</f>
        <v>PARC</v>
      </c>
      <c r="AV145" s="251">
        <f>_xlfn.XLOOKUP(Tableau1[[#This Row],[Code PAS]],'parc SATIN 08012026v'!K:K,'parc SATIN 08012026v'!Q:Q,0,0)</f>
        <v>43809</v>
      </c>
      <c r="AW145" s="251" t="str">
        <f>_xlfn.XLOOKUP(Tableau1[[#This Row],[Code PAS]],'parc SATIN 08012026v'!K:K,'parc SATIN 08012026v'!S:S,0,0)</f>
        <v>change</v>
      </c>
      <c r="AX145" s="250" t="str">
        <f>_xlfn.XLOOKUP(Tableau1[[#This Row],[Code PAS]],'parc SATIN 08012026v'!K:K,'parc SATIN 08012026v'!AF:AF,0,0)</f>
        <v>20 Mb/s</v>
      </c>
      <c r="AY14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46" spans="1:52" s="250" customFormat="1" ht="15" customHeight="1" x14ac:dyDescent="0.3">
      <c r="A146" s="250" t="s">
        <v>2743</v>
      </c>
      <c r="E146" s="250" t="s">
        <v>3072</v>
      </c>
      <c r="F146" s="984" t="s">
        <v>1071</v>
      </c>
      <c r="G146" s="250" t="s">
        <v>2791</v>
      </c>
      <c r="H146" s="250" t="s">
        <v>2791</v>
      </c>
      <c r="I146" s="250" t="s">
        <v>78</v>
      </c>
      <c r="J146" s="248" t="str">
        <f>_xlfn.XLOOKUP(Tableau1[[#This Row],[Code PAS]],'[13]Parc Satin'!$L:$L,'[13]Parc Satin'!$CK:$CK,0,0)</f>
        <v>Nominal C2E Fibre Secours C2E Fibre</v>
      </c>
      <c r="K146" s="250" t="s">
        <v>2832</v>
      </c>
      <c r="L146" s="250">
        <v>500</v>
      </c>
      <c r="M146" s="250">
        <v>400</v>
      </c>
      <c r="N146" s="250">
        <v>1</v>
      </c>
      <c r="O146" s="250" t="s">
        <v>74</v>
      </c>
      <c r="P146" s="820">
        <v>0</v>
      </c>
      <c r="Q146" s="820">
        <v>0</v>
      </c>
      <c r="R146" s="820">
        <v>0</v>
      </c>
      <c r="S146" s="820">
        <v>0</v>
      </c>
      <c r="T146" s="824">
        <v>1454</v>
      </c>
      <c r="U146" s="824">
        <v>84</v>
      </c>
      <c r="V146" s="824">
        <v>0</v>
      </c>
      <c r="W146" s="824">
        <v>36</v>
      </c>
      <c r="X146" s="823">
        <f>Tableau1[[#This Row],[Coût Abonnement offre]]+Tableau1[[#This Row],[Coût Abonnement Chassis]]+Tableau1[[#This Row],[Cout Cartes interface ]]+Tableau1[[#This Row],[Cout canaux voix supplémentaire]]</f>
        <v>1574</v>
      </c>
      <c r="Y146" s="824">
        <v>0</v>
      </c>
      <c r="Z146" s="966">
        <v>0</v>
      </c>
      <c r="AA146" s="966">
        <v>0</v>
      </c>
      <c r="AB146" s="969">
        <v>0</v>
      </c>
      <c r="AC146" s="969">
        <v>0</v>
      </c>
      <c r="AD146" s="969">
        <v>0</v>
      </c>
      <c r="AE146" s="264">
        <v>50</v>
      </c>
      <c r="AF146" s="264">
        <v>500</v>
      </c>
      <c r="AG146" s="264">
        <v>400</v>
      </c>
      <c r="AH146" s="264">
        <v>900</v>
      </c>
      <c r="AI146" s="973">
        <v>36</v>
      </c>
      <c r="AJ146" s="263">
        <v>50</v>
      </c>
      <c r="AK146" s="987">
        <v>900</v>
      </c>
      <c r="AL146" s="263">
        <f>VLOOKUP(Tableau1[[#This Row],[Code PAS]],'Facturation PAS RIN5 RUN'!C:F,4,0)</f>
        <v>0</v>
      </c>
      <c r="AM146" s="263"/>
      <c r="AN146" s="263" t="b">
        <f>ROUND(Tableau1[[#This Row],[Montant Options coûts récurrents]],0)=ROUND(Tableau1[[#This Row],[GTRS1 (Coût Plage de support 24h/24 7j/7)]],0)</f>
        <v>1</v>
      </c>
      <c r="AO146" s="265" t="e">
        <f>_xlfn.XLOOKUP(Tableau1[[#This Row],[Code PAS]],'parc SATIN 08012026v'!K:K,'parc SATIN 08012026v'!#REF!,0,0)</f>
        <v>#REF!</v>
      </c>
      <c r="AP146" s="263" t="e">
        <f>VLOOKUP(Tableau1[[#This Row],[Code PAS]],#REF!,3,0)</f>
        <v>#REF!</v>
      </c>
      <c r="AQ146" s="263" t="e">
        <f>VLOOKUP(Tableau1[[#This Row],[Code PAS]],[14]Feuil1!$B:$G,6,0)</f>
        <v>#N/A</v>
      </c>
      <c r="AR146" s="263" t="str">
        <f>_xlfn.XLOOKUP(Tableau1[[#This Row],[Code PAS]],'Facturation PAS RIN5 RUN'!C:C,'Facturation PAS RIN5 RUN'!B:B,0,0)</f>
        <v>Silver_50_50</v>
      </c>
      <c r="AS146" s="263" t="b">
        <f>Tableau1[[#This Row],[Etat facturation]]=Tableau1[[#This Row],[Index offre du fournisseur]]</f>
        <v>1</v>
      </c>
      <c r="AT146" s="250" t="str">
        <f>_xlfn.XLOOKUP(Tableau1[[#This Row],[Code PAS]],'parc SATIN 08012026v'!K:K,'parc SATIN 08012026v'!M:M,0,0)</f>
        <v>PARC</v>
      </c>
      <c r="AU146" s="250" t="str">
        <f>_xlfn.XLOOKUP(Tableau1[[#This Row],[Code PAS]],'parc SATIN 08012026v'!K:K,'parc SATIN 08012026v'!O:O,0,0)</f>
        <v>PARC</v>
      </c>
      <c r="AV146" s="251">
        <f>_xlfn.XLOOKUP(Tableau1[[#This Row],[Code PAS]],'parc SATIN 08012026v'!K:K,'parc SATIN 08012026v'!Q:Q,0,0)</f>
        <v>45450</v>
      </c>
      <c r="AW146" s="251" t="str">
        <f>_xlfn.XLOOKUP(Tableau1[[#This Row],[Code PAS]],'parc SATIN 08012026v'!K:K,'parc SATIN 08012026v'!S:S,0,0)</f>
        <v>change</v>
      </c>
      <c r="AX146" s="250" t="str">
        <f>_xlfn.XLOOKUP(Tableau1[[#This Row],[Code PAS]],'parc SATIN 08012026v'!K:K,'parc SATIN 08012026v'!AF:AF,0,0)</f>
        <v>50 Mb/s</v>
      </c>
      <c r="AY14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47" spans="1:52" s="250" customFormat="1" ht="15" customHeight="1" x14ac:dyDescent="0.3">
      <c r="A147" s="250" t="s">
        <v>2758</v>
      </c>
      <c r="E147" s="250" t="s">
        <v>3073</v>
      </c>
      <c r="F147" s="984" t="s">
        <v>2124</v>
      </c>
      <c r="G147" s="250" t="s">
        <v>2751</v>
      </c>
      <c r="H147" s="250" t="s">
        <v>2751</v>
      </c>
      <c r="I147" s="250" t="s">
        <v>165</v>
      </c>
      <c r="J147" s="248" t="str">
        <f>_xlfn.XLOOKUP(Tableau1[[#This Row],[Code PAS]],'[13]Parc Satin'!$L:$L,'[13]Parc Satin'!$CK:$CK,0,0)</f>
        <v>Nominal InterLan 1.0 sans Secours</v>
      </c>
      <c r="L147" s="250">
        <v>120</v>
      </c>
      <c r="M147" s="250">
        <v>60</v>
      </c>
      <c r="O147" s="250" t="s">
        <v>74</v>
      </c>
      <c r="P147" s="820">
        <v>0</v>
      </c>
      <c r="Q147" s="820">
        <v>361</v>
      </c>
      <c r="R147" s="820">
        <v>0</v>
      </c>
      <c r="S147" s="820">
        <v>361</v>
      </c>
      <c r="T147" s="824">
        <v>568</v>
      </c>
      <c r="U147" s="824">
        <v>22</v>
      </c>
      <c r="V147" s="824">
        <v>20</v>
      </c>
      <c r="W147" s="824">
        <v>5</v>
      </c>
      <c r="X147" s="823">
        <f>Tableau1[[#This Row],[Coût Abonnement offre]]+Tableau1[[#This Row],[Coût Abonnement Chassis]]+Tableau1[[#This Row],[Cout Cartes interface ]]+Tableau1[[#This Row],[Cout canaux voix supplémentaire]]</f>
        <v>615</v>
      </c>
      <c r="Y147" s="824">
        <v>0</v>
      </c>
      <c r="Z147" s="966">
        <v>0</v>
      </c>
      <c r="AA147" s="966">
        <v>0</v>
      </c>
      <c r="AB147" s="969">
        <v>0</v>
      </c>
      <c r="AC147" s="969">
        <v>0</v>
      </c>
      <c r="AD147" s="969">
        <v>0</v>
      </c>
      <c r="AE147" s="264">
        <v>10</v>
      </c>
      <c r="AF147" s="264">
        <v>120</v>
      </c>
      <c r="AG147" s="264">
        <v>60</v>
      </c>
      <c r="AH147" s="264">
        <v>180</v>
      </c>
      <c r="AI147" s="973">
        <v>5</v>
      </c>
      <c r="AJ147" s="263">
        <v>10</v>
      </c>
      <c r="AK147" s="987">
        <v>180</v>
      </c>
      <c r="AL147" s="263">
        <f>VLOOKUP(Tableau1[[#This Row],[Code PAS]],'Facturation PAS RIN5 RUN'!C:F,4,0)</f>
        <v>20</v>
      </c>
      <c r="AM147" s="263"/>
      <c r="AN147" s="263" t="b">
        <f>ROUND(Tableau1[[#This Row],[Montant Options coûts récurrents]],0)=ROUND(Tableau1[[#This Row],[GTRS1 (Coût Plage de support 24h/24 7j/7)]],0)</f>
        <v>0</v>
      </c>
      <c r="AO147" s="265" t="e">
        <f>_xlfn.XLOOKUP(Tableau1[[#This Row],[Code PAS]],'parc SATIN 08012026v'!K:K,'parc SATIN 08012026v'!#REF!,0,0)</f>
        <v>#REF!</v>
      </c>
      <c r="AP147" s="263" t="e">
        <f>VLOOKUP(Tableau1[[#This Row],[Code PAS]],#REF!,3,0)</f>
        <v>#REF!</v>
      </c>
      <c r="AQ147" s="263" t="e">
        <f>VLOOKUP(Tableau1[[#This Row],[Code PAS]],[14]Feuil1!$B:$G,6,0)</f>
        <v>#N/A</v>
      </c>
      <c r="AR147" s="263" t="str">
        <f>_xlfn.XLOOKUP(Tableau1[[#This Row],[Code PAS]],'Facturation PAS RIN5 RUN'!C:C,'Facturation PAS RIN5 RUN'!B:B,0,0)</f>
        <v>Bronze_10_0</v>
      </c>
      <c r="AS147" s="263" t="b">
        <f>Tableau1[[#This Row],[Etat facturation]]=Tableau1[[#This Row],[Index offre du fournisseur]]</f>
        <v>1</v>
      </c>
      <c r="AT147" s="250" t="str">
        <f>_xlfn.XLOOKUP(Tableau1[[#This Row],[Code PAS]],'parc SATIN 08012026v'!K:K,'parc SATIN 08012026v'!M:M,0,0)</f>
        <v>PARC</v>
      </c>
      <c r="AU147" s="250" t="str">
        <f>_xlfn.XLOOKUP(Tableau1[[#This Row],[Code PAS]],'parc SATIN 08012026v'!K:K,'parc SATIN 08012026v'!O:O,0,0)</f>
        <v>PARC</v>
      </c>
      <c r="AV147" s="251">
        <f>_xlfn.XLOOKUP(Tableau1[[#This Row],[Code PAS]],'parc SATIN 08012026v'!K:K,'parc SATIN 08012026v'!Q:Q,0,0)</f>
        <v>45029</v>
      </c>
      <c r="AW147" s="251" t="str">
        <f>_xlfn.XLOOKUP(Tableau1[[#This Row],[Code PAS]],'parc SATIN 08012026v'!K:K,'parc SATIN 08012026v'!S:S,0,0)</f>
        <v>change</v>
      </c>
      <c r="AX147" s="250" t="str">
        <f>_xlfn.XLOOKUP(Tableau1[[#This Row],[Code PAS]],'parc SATIN 08012026v'!K:K,'parc SATIN 08012026v'!AF:AF,0,0)</f>
        <v>10 Mb/s</v>
      </c>
      <c r="AY14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148" spans="1:52" s="250" customFormat="1" ht="15" customHeight="1" x14ac:dyDescent="0.3">
      <c r="A148" s="250" t="s">
        <v>2743</v>
      </c>
      <c r="C148" s="249"/>
      <c r="D148" s="249">
        <v>45868.440277777801</v>
      </c>
      <c r="E148" s="250" t="s">
        <v>3074</v>
      </c>
      <c r="F148" s="984" t="s">
        <v>1061</v>
      </c>
      <c r="G148" s="250" t="s">
        <v>2940</v>
      </c>
      <c r="H148" s="250" t="s">
        <v>2940</v>
      </c>
      <c r="I148" s="250" t="s">
        <v>78</v>
      </c>
      <c r="J148" s="248"/>
      <c r="P148" s="824">
        <v>0</v>
      </c>
      <c r="Q148" s="824">
        <v>0</v>
      </c>
      <c r="R148" s="824">
        <v>0</v>
      </c>
      <c r="S148" s="824">
        <v>0</v>
      </c>
      <c r="T148" s="824">
        <v>1249</v>
      </c>
      <c r="U148" s="824">
        <v>71</v>
      </c>
      <c r="V148" s="824">
        <v>48</v>
      </c>
      <c r="W148" s="824">
        <v>14</v>
      </c>
      <c r="X148" s="824">
        <v>1380.9564263010345</v>
      </c>
      <c r="Y148" s="824">
        <v>0</v>
      </c>
      <c r="Z148" s="966">
        <v>0</v>
      </c>
      <c r="AA148" s="966">
        <v>0</v>
      </c>
      <c r="AB148" s="969">
        <v>0</v>
      </c>
      <c r="AC148" s="969">
        <v>0</v>
      </c>
      <c r="AD148" s="969">
        <v>0</v>
      </c>
      <c r="AE148" s="264">
        <v>30</v>
      </c>
      <c r="AF148" s="264">
        <v>400</v>
      </c>
      <c r="AG148" s="264">
        <v>150</v>
      </c>
      <c r="AH148" s="264">
        <v>550</v>
      </c>
      <c r="AI148" s="973">
        <v>14</v>
      </c>
      <c r="AJ148" s="263">
        <v>30</v>
      </c>
      <c r="AK148" s="987">
        <v>450</v>
      </c>
      <c r="AL148" s="263">
        <f>VLOOKUP(Tableau1[[#This Row],[Code PAS]],'Facturation PAS RIN5 RUN'!C:F,4,0)</f>
        <v>48</v>
      </c>
      <c r="AM148" s="263"/>
      <c r="AN148" s="263" t="b">
        <f>ROUND(Tableau1[[#This Row],[Montant Options coûts récurrents]],0)=ROUND(Tableau1[[#This Row],[GTRS1 (Coût Plage de support 24h/24 7j/7)]],0)</f>
        <v>0</v>
      </c>
      <c r="AO148" s="265" t="e">
        <f>_xlfn.XLOOKUP(Tableau1[[#This Row],[Code PAS]],'parc SATIN 08012026v'!K:K,'parc SATIN 08012026v'!#REF!,0,0)</f>
        <v>#REF!</v>
      </c>
      <c r="AP148" s="263" t="e">
        <f>VLOOKUP(Tableau1[[#This Row],[Code PAS]],#REF!,3,0)</f>
        <v>#REF!</v>
      </c>
      <c r="AQ148" s="263" t="e">
        <f>VLOOKUP(Tableau1[[#This Row],[Code PAS]],[14]Feuil1!$B:$G,6,0)</f>
        <v>#N/A</v>
      </c>
      <c r="AR148" s="263" t="str">
        <f>_xlfn.XLOOKUP(Tableau1[[#This Row],[Code PAS]],'Facturation PAS RIN5 RUN'!C:C,'Facturation PAS RIN5 RUN'!B:B,0,0)</f>
        <v>Silver_30_30</v>
      </c>
      <c r="AS148" s="263" t="b">
        <f>Tableau1[[#This Row],[Etat facturation]]=Tableau1[[#This Row],[Index offre du fournisseur]]</f>
        <v>1</v>
      </c>
      <c r="AT148" s="250" t="str">
        <f>_xlfn.XLOOKUP(Tableau1[[#This Row],[Code PAS]],'parc SATIN 08012026v'!K:K,'parc SATIN 08012026v'!M:M,0,0)</f>
        <v>PARC</v>
      </c>
      <c r="AU148" s="250" t="str">
        <f>_xlfn.XLOOKUP(Tableau1[[#This Row],[Code PAS]],'parc SATIN 08012026v'!K:K,'parc SATIN 08012026v'!O:O,0,0)</f>
        <v>PARC</v>
      </c>
      <c r="AV148" s="251">
        <f>_xlfn.XLOOKUP(Tableau1[[#This Row],[Code PAS]],'parc SATIN 08012026v'!K:K,'parc SATIN 08012026v'!Q:Q,0,0)</f>
        <v>45868</v>
      </c>
      <c r="AW148" s="251" t="str">
        <f>_xlfn.XLOOKUP(Tableau1[[#This Row],[Code PAS]],'parc SATIN 08012026v'!K:K,'parc SATIN 08012026v'!S:S,0,0)</f>
        <v>change</v>
      </c>
      <c r="AX148" s="250" t="str">
        <f>_xlfn.XLOOKUP(Tableau1[[#This Row],[Code PAS]],'parc SATIN 08012026v'!K:K,'parc SATIN 08012026v'!AF:AF,0,0)</f>
        <v>30 Mb/s</v>
      </c>
      <c r="AY14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148" s="250" t="s">
        <v>2842</v>
      </c>
    </row>
    <row r="149" spans="1:52" s="250" customFormat="1" ht="15" customHeight="1" x14ac:dyDescent="0.3">
      <c r="A149" s="250" t="s">
        <v>2758</v>
      </c>
      <c r="C149" s="249"/>
      <c r="D149" s="249"/>
      <c r="E149" s="250" t="s">
        <v>3075</v>
      </c>
      <c r="F149" s="984" t="s">
        <v>1484</v>
      </c>
      <c r="G149" s="250" t="s">
        <v>3076</v>
      </c>
      <c r="H149" s="250" t="s">
        <v>3076</v>
      </c>
      <c r="I149" s="250" t="s">
        <v>78</v>
      </c>
      <c r="J149" s="248" t="str">
        <f>_xlfn.XLOOKUP(Tableau1[[#This Row],[Code PAS]],'[13]Parc Satin'!$L:$L,'[13]Parc Satin'!$CK:$CK,0,0)</f>
        <v>Nominal InterLan 1.0 Secours C2E Fibre</v>
      </c>
      <c r="K149" s="250" t="s">
        <v>2850</v>
      </c>
      <c r="L149" s="250">
        <v>200</v>
      </c>
      <c r="M149" s="250">
        <v>60</v>
      </c>
      <c r="N149" s="250">
        <v>1</v>
      </c>
      <c r="O149" s="250" t="s">
        <v>74</v>
      </c>
      <c r="P149" s="824">
        <v>0</v>
      </c>
      <c r="Q149" s="824">
        <v>0</v>
      </c>
      <c r="R149" s="824">
        <v>0</v>
      </c>
      <c r="S149" s="824">
        <v>0</v>
      </c>
      <c r="T149" s="824">
        <v>1027</v>
      </c>
      <c r="U149" s="824">
        <v>44</v>
      </c>
      <c r="V149" s="824">
        <v>40</v>
      </c>
      <c r="W149" s="824">
        <v>5</v>
      </c>
      <c r="X149" s="824">
        <f>Tableau1[[#This Row],[Coût Abonnement offre]]+Tableau1[[#This Row],[Coût Abonnement Chassis]]+Tableau1[[#This Row],[Cout Cartes interface ]]+Tableau1[[#This Row],[Cout canaux voix supplémentaire]]</f>
        <v>1116</v>
      </c>
      <c r="Y149" s="824">
        <v>0</v>
      </c>
      <c r="Z149" s="966">
        <v>0</v>
      </c>
      <c r="AA149" s="966">
        <v>0</v>
      </c>
      <c r="AB149" s="969">
        <v>0</v>
      </c>
      <c r="AC149" s="969">
        <v>0</v>
      </c>
      <c r="AD149" s="969">
        <v>0</v>
      </c>
      <c r="AE149" s="264">
        <v>15</v>
      </c>
      <c r="AF149" s="264">
        <v>200</v>
      </c>
      <c r="AG149" s="264">
        <v>60</v>
      </c>
      <c r="AH149" s="264">
        <v>260</v>
      </c>
      <c r="AI149" s="973">
        <v>5</v>
      </c>
      <c r="AJ149" s="263">
        <v>15</v>
      </c>
      <c r="AK149" s="987">
        <v>120</v>
      </c>
      <c r="AL149" s="263">
        <f>VLOOKUP(Tableau1[[#This Row],[Code PAS]],'Facturation PAS RIN5 RUN'!C:F,4,0)</f>
        <v>40</v>
      </c>
      <c r="AM149" s="263"/>
      <c r="AN149" s="263" t="b">
        <f>ROUND(Tableau1[[#This Row],[Montant Options coûts récurrents]],0)=ROUND(Tableau1[[#This Row],[GTRS1 (Coût Plage de support 24h/24 7j/7)]],0)</f>
        <v>0</v>
      </c>
      <c r="AO149" s="265" t="e">
        <f>_xlfn.XLOOKUP(Tableau1[[#This Row],[Code PAS]],'parc SATIN 08012026v'!K:K,'parc SATIN 08012026v'!#REF!,0,0)</f>
        <v>#REF!</v>
      </c>
      <c r="AP149" s="263" t="e">
        <f>VLOOKUP(Tableau1[[#This Row],[Code PAS]],#REF!,3,0)</f>
        <v>#REF!</v>
      </c>
      <c r="AQ149" s="263" t="e">
        <f>VLOOKUP(Tableau1[[#This Row],[Code PAS]],[14]Feuil1!$B:$G,6,0)</f>
        <v>#N/A</v>
      </c>
      <c r="AR149" s="263" t="str">
        <f>_xlfn.XLOOKUP(Tableau1[[#This Row],[Code PAS]],'Facturation PAS RIN5 RUN'!C:C,'Facturation PAS RIN5 RUN'!B:B,0,0)</f>
        <v>Gold_15_15</v>
      </c>
      <c r="AS149" s="263" t="b">
        <f>Tableau1[[#This Row],[Etat facturation]]=Tableau1[[#This Row],[Index offre du fournisseur]]</f>
        <v>1</v>
      </c>
      <c r="AT149" s="250" t="str">
        <f>_xlfn.XLOOKUP(Tableau1[[#This Row],[Code PAS]],'parc SATIN 08012026v'!K:K,'parc SATIN 08012026v'!M:M,0,0)</f>
        <v>PARC</v>
      </c>
      <c r="AU149" s="250" t="str">
        <f>_xlfn.XLOOKUP(Tableau1[[#This Row],[Code PAS]],'parc SATIN 08012026v'!K:K,'parc SATIN 08012026v'!O:O,0,0)</f>
        <v>PARC</v>
      </c>
      <c r="AV149" s="251">
        <f>_xlfn.XLOOKUP(Tableau1[[#This Row],[Code PAS]],'parc SATIN 08012026v'!K:K,'parc SATIN 08012026v'!Q:Q,0,0)</f>
        <v>45386</v>
      </c>
      <c r="AW149" s="251" t="str">
        <f>_xlfn.XLOOKUP(Tableau1[[#This Row],[Code PAS]],'parc SATIN 08012026v'!K:K,'parc SATIN 08012026v'!S:S,0,0)</f>
        <v>change</v>
      </c>
      <c r="AX149" s="250" t="str">
        <f>_xlfn.XLOOKUP(Tableau1[[#This Row],[Code PAS]],'parc SATIN 08012026v'!K:K,'parc SATIN 08012026v'!AF:AF,0,0)</f>
        <v>15 Mb/s</v>
      </c>
      <c r="AY14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</v>
      </c>
    </row>
    <row r="150" spans="1:52" s="250" customFormat="1" ht="15" customHeight="1" x14ac:dyDescent="0.3">
      <c r="A150" s="250" t="s">
        <v>2743</v>
      </c>
      <c r="C150" s="249"/>
      <c r="D150" s="249"/>
      <c r="E150" s="250" t="s">
        <v>3077</v>
      </c>
      <c r="F150" s="984" t="s">
        <v>2315</v>
      </c>
      <c r="H150" s="250" t="s">
        <v>2768</v>
      </c>
      <c r="J150" s="248" t="str">
        <f>_xlfn.XLOOKUP(Tableau1[[#This Row],[Code PAS]],'[13]Parc Satin'!$L:$L,'[13]Parc Satin'!$CK:$CK,0,0)</f>
        <v>Nominal C2E Fibre Secours C2E Fibre</v>
      </c>
      <c r="P150" s="820">
        <v>0</v>
      </c>
      <c r="Q150" s="820">
        <v>0</v>
      </c>
      <c r="R150" s="820">
        <v>0</v>
      </c>
      <c r="S150" s="820">
        <v>0</v>
      </c>
      <c r="T150" s="824">
        <v>979</v>
      </c>
      <c r="U150" s="824">
        <v>44</v>
      </c>
      <c r="V150" s="824">
        <v>32</v>
      </c>
      <c r="W150" s="824">
        <v>0</v>
      </c>
      <c r="X150" s="823">
        <f>Tableau1[[#This Row],[Coût Abonnement offre]]+Tableau1[[#This Row],[Coût Abonnement Chassis]]+Tableau1[[#This Row],[Cout Cartes interface ]]+Tableau1[[#This Row],[Cout canaux voix supplémentaire]]</f>
        <v>1055</v>
      </c>
      <c r="Y150" s="824">
        <v>0</v>
      </c>
      <c r="Z150" s="966">
        <v>0</v>
      </c>
      <c r="AA150" s="966">
        <v>0</v>
      </c>
      <c r="AB150" s="969">
        <v>0</v>
      </c>
      <c r="AC150" s="969">
        <v>0</v>
      </c>
      <c r="AD150" s="969">
        <v>0</v>
      </c>
      <c r="AE150" s="264">
        <v>10</v>
      </c>
      <c r="AF150" s="264">
        <v>120</v>
      </c>
      <c r="AG150" s="264">
        <v>60</v>
      </c>
      <c r="AH150" s="264">
        <v>180</v>
      </c>
      <c r="AI150" s="973">
        <v>5</v>
      </c>
      <c r="AJ150" s="263">
        <v>10</v>
      </c>
      <c r="AK150" s="987">
        <v>120</v>
      </c>
      <c r="AL150" s="263">
        <f>VLOOKUP(Tableau1[[#This Row],[Code PAS]],'Facturation PAS RIN5 RUN'!C:F,4,0)</f>
        <v>32</v>
      </c>
      <c r="AM150" s="263"/>
      <c r="AN150" s="263" t="b">
        <f>ROUND(Tableau1[[#This Row],[Montant Options coûts récurrents]],0)=ROUND(Tableau1[[#This Row],[GTRS1 (Coût Plage de support 24h/24 7j/7)]],0)</f>
        <v>0</v>
      </c>
      <c r="AO150" s="265" t="e">
        <f>_xlfn.XLOOKUP(Tableau1[[#This Row],[Code PAS]],'parc SATIN 08012026v'!K:K,'parc SATIN 08012026v'!#REF!,0,0)</f>
        <v>#REF!</v>
      </c>
      <c r="AP150" s="263" t="e">
        <f>VLOOKUP(Tableau1[[#This Row],[Code PAS]],#REF!,3,0)</f>
        <v>#REF!</v>
      </c>
      <c r="AQ150" s="263" t="e">
        <f>VLOOKUP(Tableau1[[#This Row],[Code PAS]],[14]Feuil1!$B:$G,6,0)</f>
        <v>#N/A</v>
      </c>
      <c r="AR150" s="263" t="str">
        <f>_xlfn.XLOOKUP(Tableau1[[#This Row],[Code PAS]],'Facturation PAS RIN5 RUN'!C:C,'Facturation PAS RIN5 RUN'!B:B,0,0)</f>
        <v>Gold_10_10</v>
      </c>
      <c r="AS150" s="263" t="b">
        <f>Tableau1[[#This Row],[Etat facturation]]=Tableau1[[#This Row],[Index offre du fournisseur]]</f>
        <v>1</v>
      </c>
      <c r="AT150" s="250" t="str">
        <f>_xlfn.XLOOKUP(Tableau1[[#This Row],[Code PAS]],'parc SATIN 08012026v'!K:K,'parc SATIN 08012026v'!M:M,0,0)</f>
        <v>PARC</v>
      </c>
      <c r="AU150" s="250" t="str">
        <f>_xlfn.XLOOKUP(Tableau1[[#This Row],[Code PAS]],'parc SATIN 08012026v'!K:K,'parc SATIN 08012026v'!O:O,0,0)</f>
        <v>PARC</v>
      </c>
      <c r="AV150" s="251">
        <f>_xlfn.XLOOKUP(Tableau1[[#This Row],[Code PAS]],'parc SATIN 08012026v'!K:K,'parc SATIN 08012026v'!Q:Q,0,0)</f>
        <v>43614</v>
      </c>
      <c r="AW150" s="251" t="str">
        <f>_xlfn.XLOOKUP(Tableau1[[#This Row],[Code PAS]],'parc SATIN 08012026v'!K:K,'parc SATIN 08012026v'!S:S,0,0)</f>
        <v>change</v>
      </c>
      <c r="AX150" s="250" t="str">
        <f>_xlfn.XLOOKUP(Tableau1[[#This Row],[Code PAS]],'parc SATIN 08012026v'!K:K,'parc SATIN 08012026v'!AF:AF,0,0)</f>
        <v>10 Mb/s</v>
      </c>
      <c r="AY15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150" s="250" t="s">
        <v>2868</v>
      </c>
    </row>
    <row r="151" spans="1:52" s="250" customFormat="1" ht="15" customHeight="1" x14ac:dyDescent="0.3">
      <c r="A151" s="248" t="s">
        <v>2735</v>
      </c>
      <c r="B151" s="248"/>
      <c r="C151" s="249"/>
      <c r="D151" s="249"/>
      <c r="E151" s="250" t="s">
        <v>3078</v>
      </c>
      <c r="F151" s="984" t="s">
        <v>330</v>
      </c>
      <c r="G151" s="250" t="s">
        <v>2784</v>
      </c>
      <c r="H151" s="250" t="s">
        <v>2784</v>
      </c>
      <c r="I151" s="250" t="s">
        <v>78</v>
      </c>
      <c r="J151" s="248" t="str">
        <f>_xlfn.XLOOKUP(Tableau1[[#This Row],[Code PAS]],'[13]Parc Satin'!$L:$L,'[13]Parc Satin'!$CK:$CK,0,0)</f>
        <v>Nominal C2E Fibre Secours C2E Fibre</v>
      </c>
      <c r="K151" s="250" t="s">
        <v>2814</v>
      </c>
      <c r="L151" s="250">
        <v>500</v>
      </c>
      <c r="M151" s="250">
        <v>400</v>
      </c>
      <c r="O151" s="250" t="s">
        <v>74</v>
      </c>
      <c r="P151" s="824">
        <v>0</v>
      </c>
      <c r="Q151" s="824">
        <v>0</v>
      </c>
      <c r="R151" s="824">
        <v>0</v>
      </c>
      <c r="S151" s="824">
        <v>0</v>
      </c>
      <c r="T151" s="824">
        <v>1454</v>
      </c>
      <c r="U151" s="824">
        <v>84</v>
      </c>
      <c r="V151" s="824">
        <v>0</v>
      </c>
      <c r="W151" s="824">
        <v>36</v>
      </c>
      <c r="X151" s="824">
        <f>Tableau1[[#This Row],[Coût Abonnement offre]]+Tableau1[[#This Row],[Coût Abonnement Chassis]]+Tableau1[[#This Row],[Cout Cartes interface ]]+Tableau1[[#This Row],[Cout canaux voix supplémentaire]]</f>
        <v>1574</v>
      </c>
      <c r="Y151" s="824">
        <v>0</v>
      </c>
      <c r="Z151" s="966">
        <v>0</v>
      </c>
      <c r="AA151" s="966">
        <v>0</v>
      </c>
      <c r="AB151" s="969">
        <v>0</v>
      </c>
      <c r="AC151" s="969">
        <v>0</v>
      </c>
      <c r="AD151" s="969">
        <v>0</v>
      </c>
      <c r="AE151" s="264">
        <v>50</v>
      </c>
      <c r="AF151" s="264">
        <v>500</v>
      </c>
      <c r="AG151" s="264">
        <v>400</v>
      </c>
      <c r="AH151" s="264">
        <v>900</v>
      </c>
      <c r="AI151" s="973">
        <v>36</v>
      </c>
      <c r="AJ151" s="263">
        <v>50</v>
      </c>
      <c r="AK151" s="987">
        <v>900</v>
      </c>
      <c r="AL151" s="263">
        <f>VLOOKUP(Tableau1[[#This Row],[Code PAS]],'Facturation PAS RIN5 RUN'!C:F,4,0)</f>
        <v>0</v>
      </c>
      <c r="AM151" s="263"/>
      <c r="AN151" s="263" t="b">
        <f>ROUND(Tableau1[[#This Row],[Montant Options coûts récurrents]],0)=ROUND(Tableau1[[#This Row],[GTRS1 (Coût Plage de support 24h/24 7j/7)]],0)</f>
        <v>1</v>
      </c>
      <c r="AO151" s="265" t="e">
        <f>_xlfn.XLOOKUP(Tableau1[[#This Row],[Code PAS]],'parc SATIN 08012026v'!K:K,'parc SATIN 08012026v'!#REF!,0,0)</f>
        <v>#REF!</v>
      </c>
      <c r="AP151" s="263" t="e">
        <f>VLOOKUP(Tableau1[[#This Row],[Code PAS]],#REF!,3,0)</f>
        <v>#REF!</v>
      </c>
      <c r="AQ151" s="263" t="e">
        <f>VLOOKUP(Tableau1[[#This Row],[Code PAS]],[14]Feuil1!$B:$G,6,0)</f>
        <v>#N/A</v>
      </c>
      <c r="AR151" s="263" t="str">
        <f>_xlfn.XLOOKUP(Tableau1[[#This Row],[Code PAS]],'Facturation PAS RIN5 RUN'!C:C,'Facturation PAS RIN5 RUN'!B:B,0,0)</f>
        <v>Gold_50_50</v>
      </c>
      <c r="AS151" s="263" t="b">
        <f>Tableau1[[#This Row],[Etat facturation]]=Tableau1[[#This Row],[Index offre du fournisseur]]</f>
        <v>1</v>
      </c>
      <c r="AT151" s="250" t="str">
        <f>_xlfn.XLOOKUP(Tableau1[[#This Row],[Code PAS]],'parc SATIN 08012026v'!K:K,'parc SATIN 08012026v'!M:M,0,0)</f>
        <v>PARC</v>
      </c>
      <c r="AU151" s="250" t="str">
        <f>_xlfn.XLOOKUP(Tableau1[[#This Row],[Code PAS]],'parc SATIN 08012026v'!K:K,'parc SATIN 08012026v'!O:O,0,0)</f>
        <v>PARC</v>
      </c>
      <c r="AV151" s="251">
        <f>_xlfn.XLOOKUP(Tableau1[[#This Row],[Code PAS]],'parc SATIN 08012026v'!K:K,'parc SATIN 08012026v'!Q:Q,0,0)</f>
        <v>45562</v>
      </c>
      <c r="AW151" s="251" t="str">
        <f>_xlfn.XLOOKUP(Tableau1[[#This Row],[Code PAS]],'parc SATIN 08012026v'!K:K,'parc SATIN 08012026v'!S:S,0,0)</f>
        <v>change</v>
      </c>
      <c r="AX151" s="250" t="str">
        <f>_xlfn.XLOOKUP(Tableau1[[#This Row],[Code PAS]],'parc SATIN 08012026v'!K:K,'parc SATIN 08012026v'!AF:AF,0,0)</f>
        <v>50 Mb/s</v>
      </c>
      <c r="AY15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52" spans="1:52" s="250" customFormat="1" ht="15" customHeight="1" x14ac:dyDescent="0.3">
      <c r="A152" s="248" t="s">
        <v>2735</v>
      </c>
      <c r="B152" s="248"/>
      <c r="C152" s="248"/>
      <c r="D152" s="249">
        <v>45854.487094907403</v>
      </c>
      <c r="E152" s="248" t="s">
        <v>3082</v>
      </c>
      <c r="F152" s="981" t="s">
        <v>203</v>
      </c>
      <c r="G152" s="250" t="s">
        <v>2791</v>
      </c>
      <c r="H152" s="248" t="s">
        <v>2791</v>
      </c>
      <c r="I152" s="248" t="s">
        <v>165</v>
      </c>
      <c r="J152" s="248" t="s">
        <v>2820</v>
      </c>
      <c r="K152" s="248" t="s">
        <v>2820</v>
      </c>
      <c r="L152" s="248">
        <v>500</v>
      </c>
      <c r="M152" s="248">
        <v>400</v>
      </c>
      <c r="N152" s="248">
        <v>1</v>
      </c>
      <c r="O152" s="248" t="s">
        <v>74</v>
      </c>
      <c r="P152" s="822">
        <v>0</v>
      </c>
      <c r="Q152" s="822">
        <v>0</v>
      </c>
      <c r="R152" s="822">
        <v>0</v>
      </c>
      <c r="S152" s="822">
        <v>0</v>
      </c>
      <c r="T152" s="823">
        <v>1454</v>
      </c>
      <c r="U152" s="823">
        <v>71</v>
      </c>
      <c r="V152" s="823">
        <v>32</v>
      </c>
      <c r="W152" s="823">
        <v>36</v>
      </c>
      <c r="X152" s="823">
        <v>1592.4564263010345</v>
      </c>
      <c r="Y152" s="823">
        <v>0</v>
      </c>
      <c r="Z152" s="966">
        <v>0</v>
      </c>
      <c r="AA152" s="966">
        <v>0</v>
      </c>
      <c r="AB152" s="969">
        <v>0</v>
      </c>
      <c r="AC152" s="969">
        <v>0</v>
      </c>
      <c r="AD152" s="969">
        <v>0</v>
      </c>
      <c r="AE152" s="264">
        <v>50</v>
      </c>
      <c r="AF152" s="264">
        <v>500</v>
      </c>
      <c r="AG152" s="264">
        <v>400</v>
      </c>
      <c r="AH152" s="264">
        <v>900</v>
      </c>
      <c r="AI152" s="973">
        <v>36</v>
      </c>
      <c r="AJ152" s="263">
        <v>50</v>
      </c>
      <c r="AK152" s="987">
        <v>900</v>
      </c>
      <c r="AL152" s="263">
        <f>VLOOKUP(Tableau1[[#This Row],[Code PAS]],'Facturation PAS RIN5 RUN'!C:F,4,0)</f>
        <v>32</v>
      </c>
      <c r="AM152" s="263"/>
      <c r="AN152" s="263" t="b">
        <f>ROUND(Tableau1[[#This Row],[Montant Options coûts récurrents]],0)=ROUND(Tableau1[[#This Row],[GTRS1 (Coût Plage de support 24h/24 7j/7)]],0)</f>
        <v>0</v>
      </c>
      <c r="AO152" s="265" t="e">
        <f>_xlfn.XLOOKUP(Tableau1[[#This Row],[Code PAS]],'parc SATIN 08012026v'!K:K,'parc SATIN 08012026v'!#REF!,0,0)</f>
        <v>#REF!</v>
      </c>
      <c r="AP152" s="263" t="e">
        <f>VLOOKUP(Tableau1[[#This Row],[Code PAS]],#REF!,3,0)</f>
        <v>#REF!</v>
      </c>
      <c r="AQ152" s="263" t="e">
        <f>VLOOKUP(Tableau1[[#This Row],[Code PAS]],[14]Feuil1!$B:$G,6,0)</f>
        <v>#N/A</v>
      </c>
      <c r="AR152" s="263" t="str">
        <f>_xlfn.XLOOKUP(Tableau1[[#This Row],[Code PAS]],'Facturation PAS RIN5 RUN'!C:C,'Facturation PAS RIN5 RUN'!B:B,0,0)</f>
        <v>Silver_50_50</v>
      </c>
      <c r="AS152" s="263" t="b">
        <f>Tableau1[[#This Row],[Etat facturation]]=Tableau1[[#This Row],[Index offre du fournisseur]]</f>
        <v>1</v>
      </c>
      <c r="AT152" s="250" t="str">
        <f>_xlfn.XLOOKUP(Tableau1[[#This Row],[Code PAS]],'parc SATIN 08012026v'!K:K,'parc SATIN 08012026v'!M:M,0,0)</f>
        <v>PARC</v>
      </c>
      <c r="AU152" s="250" t="str">
        <f>_xlfn.XLOOKUP(Tableau1[[#This Row],[Code PAS]],'parc SATIN 08012026v'!K:K,'parc SATIN 08012026v'!O:O,0,0)</f>
        <v>PARC</v>
      </c>
      <c r="AV152" s="251">
        <f>_xlfn.XLOOKUP(Tableau1[[#This Row],[Code PAS]],'parc SATIN 08012026v'!K:K,'parc SATIN 08012026v'!Q:Q,0,0)</f>
        <v>45854</v>
      </c>
      <c r="AW152" s="251" t="str">
        <f>_xlfn.XLOOKUP(Tableau1[[#This Row],[Code PAS]],'parc SATIN 08012026v'!K:K,'parc SATIN 08012026v'!S:S,0,0)</f>
        <v>change</v>
      </c>
      <c r="AX152" s="250" t="str">
        <f>_xlfn.XLOOKUP(Tableau1[[#This Row],[Code PAS]],'parc SATIN 08012026v'!K:K,'parc SATIN 08012026v'!AF:AF,0,0)</f>
        <v>50 Mb/s</v>
      </c>
      <c r="AY15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152" s="250" t="s">
        <v>2842</v>
      </c>
    </row>
    <row r="153" spans="1:52" s="250" customFormat="1" ht="15" customHeight="1" x14ac:dyDescent="0.3">
      <c r="A153" s="250" t="s">
        <v>2743</v>
      </c>
      <c r="C153" s="249"/>
      <c r="D153" s="249">
        <v>45728</v>
      </c>
      <c r="E153" s="250" t="s">
        <v>3083</v>
      </c>
      <c r="F153" s="984" t="s">
        <v>1052</v>
      </c>
      <c r="G153" s="250" t="s">
        <v>2871</v>
      </c>
      <c r="H153" s="250" t="s">
        <v>2871</v>
      </c>
      <c r="I153" s="250" t="s">
        <v>78</v>
      </c>
      <c r="J153" s="248"/>
      <c r="L153" s="250">
        <v>500</v>
      </c>
      <c r="M153" s="250">
        <v>400</v>
      </c>
      <c r="P153" s="820">
        <v>0</v>
      </c>
      <c r="Q153" s="820">
        <v>0</v>
      </c>
      <c r="R153" s="820">
        <v>0</v>
      </c>
      <c r="S153" s="820">
        <v>0</v>
      </c>
      <c r="T153" s="824">
        <v>861</v>
      </c>
      <c r="U153" s="824">
        <v>35</v>
      </c>
      <c r="V153" s="824">
        <v>8</v>
      </c>
      <c r="W153" s="824">
        <v>36</v>
      </c>
      <c r="X153" s="823">
        <v>939.91198185659005</v>
      </c>
      <c r="Y153" s="824">
        <v>0</v>
      </c>
      <c r="Z153" s="966">
        <v>0</v>
      </c>
      <c r="AA153" s="966">
        <v>0</v>
      </c>
      <c r="AB153" s="969">
        <v>0</v>
      </c>
      <c r="AC153" s="969">
        <v>0</v>
      </c>
      <c r="AD153" s="969">
        <v>0</v>
      </c>
      <c r="AE153" s="264">
        <v>50</v>
      </c>
      <c r="AF153" s="264">
        <v>500</v>
      </c>
      <c r="AG153" s="264">
        <v>400</v>
      </c>
      <c r="AH153" s="264">
        <v>900</v>
      </c>
      <c r="AI153" s="973">
        <v>36</v>
      </c>
      <c r="AJ153" s="263">
        <v>50</v>
      </c>
      <c r="AK153" s="987">
        <v>900</v>
      </c>
      <c r="AL153" s="263">
        <f>VLOOKUP(Tableau1[[#This Row],[Code PAS]],'Facturation PAS RIN5 RUN'!C:F,4,0)</f>
        <v>8</v>
      </c>
      <c r="AM153" s="263"/>
      <c r="AN153" s="263" t="b">
        <f>ROUND(Tableau1[[#This Row],[Montant Options coûts récurrents]],0)=ROUND(Tableau1[[#This Row],[GTRS1 (Coût Plage de support 24h/24 7j/7)]],0)</f>
        <v>0</v>
      </c>
      <c r="AO153" s="265" t="e">
        <f>_xlfn.XLOOKUP(Tableau1[[#This Row],[Code PAS]],'parc SATIN 08012026v'!K:K,'parc SATIN 08012026v'!#REF!,0,0)</f>
        <v>#REF!</v>
      </c>
      <c r="AP153" s="263" t="e">
        <f>VLOOKUP(Tableau1[[#This Row],[Code PAS]],#REF!,3,0)</f>
        <v>#REF!</v>
      </c>
      <c r="AQ153" s="263" t="e">
        <f>VLOOKUP(Tableau1[[#This Row],[Code PAS]],[14]Feuil1!$B:$G,6,0)</f>
        <v>#N/A</v>
      </c>
      <c r="AR153" s="263" t="str">
        <f>_xlfn.XLOOKUP(Tableau1[[#This Row],[Code PAS]],'Facturation PAS RIN5 RUN'!C:C,'Facturation PAS RIN5 RUN'!B:B,0,0)</f>
        <v>Platinum_MAN_50_0</v>
      </c>
      <c r="AS153" s="263" t="b">
        <f>Tableau1[[#This Row],[Etat facturation]]=Tableau1[[#This Row],[Index offre du fournisseur]]</f>
        <v>1</v>
      </c>
      <c r="AT153" s="250" t="str">
        <f>_xlfn.XLOOKUP(Tableau1[[#This Row],[Code PAS]],'parc SATIN 08012026v'!K:K,'parc SATIN 08012026v'!M:M,0,0)</f>
        <v>PARC</v>
      </c>
      <c r="AU153" s="250" t="str">
        <f>_xlfn.XLOOKUP(Tableau1[[#This Row],[Code PAS]],'parc SATIN 08012026v'!K:K,'parc SATIN 08012026v'!O:O,0,0)</f>
        <v>PARC</v>
      </c>
      <c r="AV153" s="251">
        <f>_xlfn.XLOOKUP(Tableau1[[#This Row],[Code PAS]],'parc SATIN 08012026v'!K:K,'parc SATIN 08012026v'!Q:Q,0,0)</f>
        <v>45728</v>
      </c>
      <c r="AW153" s="251" t="str">
        <f>_xlfn.XLOOKUP(Tableau1[[#This Row],[Code PAS]],'parc SATIN 08012026v'!K:K,'parc SATIN 08012026v'!S:S,0,0)</f>
        <v>change</v>
      </c>
      <c r="AX153" s="250" t="str">
        <f>_xlfn.XLOOKUP(Tableau1[[#This Row],[Code PAS]],'parc SATIN 08012026v'!K:K,'parc SATIN 08012026v'!AF:AF,0,0)</f>
        <v>50 Mb/s</v>
      </c>
      <c r="AY153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50</v>
      </c>
      <c r="AZ153" s="250" t="s">
        <v>2842</v>
      </c>
    </row>
    <row r="154" spans="1:52" s="250" customFormat="1" ht="15" customHeight="1" x14ac:dyDescent="0.3">
      <c r="A154" s="250" t="s">
        <v>2743</v>
      </c>
      <c r="C154" s="249"/>
      <c r="D154" s="249">
        <v>45728</v>
      </c>
      <c r="E154" s="250" t="s">
        <v>3084</v>
      </c>
      <c r="F154" s="984" t="s">
        <v>1340</v>
      </c>
      <c r="G154" s="250" t="s">
        <v>2871</v>
      </c>
      <c r="H154" s="250" t="s">
        <v>2871</v>
      </c>
      <c r="I154" s="250" t="s">
        <v>78</v>
      </c>
      <c r="J154" s="248"/>
      <c r="L154" s="250">
        <v>500</v>
      </c>
      <c r="M154" s="250">
        <v>400</v>
      </c>
      <c r="P154" s="820">
        <v>0</v>
      </c>
      <c r="Q154" s="820">
        <v>0</v>
      </c>
      <c r="R154" s="820">
        <v>0</v>
      </c>
      <c r="S154" s="820">
        <v>0</v>
      </c>
      <c r="T154" s="824">
        <v>861</v>
      </c>
      <c r="U154" s="824">
        <v>35</v>
      </c>
      <c r="V154" s="824">
        <v>8</v>
      </c>
      <c r="W154" s="824">
        <v>36</v>
      </c>
      <c r="X154" s="823">
        <v>939.91198185659005</v>
      </c>
      <c r="Y154" s="824">
        <v>0</v>
      </c>
      <c r="Z154" s="966">
        <v>0</v>
      </c>
      <c r="AA154" s="966">
        <v>0</v>
      </c>
      <c r="AB154" s="969">
        <v>0</v>
      </c>
      <c r="AC154" s="969">
        <v>0</v>
      </c>
      <c r="AD154" s="969">
        <v>0</v>
      </c>
      <c r="AE154" s="264">
        <v>50</v>
      </c>
      <c r="AF154" s="264">
        <v>500</v>
      </c>
      <c r="AG154" s="264">
        <v>400</v>
      </c>
      <c r="AH154" s="264">
        <v>900</v>
      </c>
      <c r="AI154" s="973">
        <v>36</v>
      </c>
      <c r="AJ154" s="263">
        <v>50</v>
      </c>
      <c r="AK154" s="987">
        <v>900</v>
      </c>
      <c r="AL154" s="263">
        <f>VLOOKUP(Tableau1[[#This Row],[Code PAS]],'Facturation PAS RIN5 RUN'!C:F,4,0)</f>
        <v>8</v>
      </c>
      <c r="AM154" s="263"/>
      <c r="AN154" s="263" t="b">
        <f>ROUND(Tableau1[[#This Row],[Montant Options coûts récurrents]],0)=ROUND(Tableau1[[#This Row],[GTRS1 (Coût Plage de support 24h/24 7j/7)]],0)</f>
        <v>0</v>
      </c>
      <c r="AO154" s="265" t="e">
        <f>_xlfn.XLOOKUP(Tableau1[[#This Row],[Code PAS]],'parc SATIN 08012026v'!K:K,'parc SATIN 08012026v'!#REF!,0,0)</f>
        <v>#REF!</v>
      </c>
      <c r="AP154" s="263" t="e">
        <f>VLOOKUP(Tableau1[[#This Row],[Code PAS]],#REF!,3,0)</f>
        <v>#REF!</v>
      </c>
      <c r="AQ154" s="263" t="e">
        <f>VLOOKUP(Tableau1[[#This Row],[Code PAS]],[14]Feuil1!$B:$G,6,0)</f>
        <v>#N/A</v>
      </c>
      <c r="AR154" s="263" t="str">
        <f>_xlfn.XLOOKUP(Tableau1[[#This Row],[Code PAS]],'Facturation PAS RIN5 RUN'!C:C,'Facturation PAS RIN5 RUN'!B:B,0,0)</f>
        <v>Platinum_MAN_50_0</v>
      </c>
      <c r="AS154" s="263" t="b">
        <f>Tableau1[[#This Row],[Etat facturation]]=Tableau1[[#This Row],[Index offre du fournisseur]]</f>
        <v>1</v>
      </c>
      <c r="AT154" s="250" t="str">
        <f>_xlfn.XLOOKUP(Tableau1[[#This Row],[Code PAS]],'parc SATIN 08012026v'!K:K,'parc SATIN 08012026v'!M:M,0,0)</f>
        <v>PARC</v>
      </c>
      <c r="AU154" s="250" t="str">
        <f>_xlfn.XLOOKUP(Tableau1[[#This Row],[Code PAS]],'parc SATIN 08012026v'!K:K,'parc SATIN 08012026v'!O:O,0,0)</f>
        <v>PARC</v>
      </c>
      <c r="AV154" s="251">
        <f>_xlfn.XLOOKUP(Tableau1[[#This Row],[Code PAS]],'parc SATIN 08012026v'!K:K,'parc SATIN 08012026v'!Q:Q,0,0)</f>
        <v>45728</v>
      </c>
      <c r="AW154" s="251" t="str">
        <f>_xlfn.XLOOKUP(Tableau1[[#This Row],[Code PAS]],'parc SATIN 08012026v'!K:K,'parc SATIN 08012026v'!S:S,0,0)</f>
        <v>change</v>
      </c>
      <c r="AX154" s="250" t="str">
        <f>_xlfn.XLOOKUP(Tableau1[[#This Row],[Code PAS]],'parc SATIN 08012026v'!K:K,'parc SATIN 08012026v'!AF:AF,0,0)</f>
        <v>50 Mb/s</v>
      </c>
      <c r="AY154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50</v>
      </c>
      <c r="AZ154" s="250" t="s">
        <v>2842</v>
      </c>
    </row>
    <row r="155" spans="1:52" s="250" customFormat="1" ht="15" customHeight="1" x14ac:dyDescent="0.3">
      <c r="A155" s="250" t="s">
        <v>3085</v>
      </c>
      <c r="C155" s="249"/>
      <c r="D155" s="249"/>
      <c r="E155" s="250" t="s">
        <v>3086</v>
      </c>
      <c r="F155" s="984" t="s">
        <v>2307</v>
      </c>
      <c r="G155" s="250" t="s">
        <v>2791</v>
      </c>
      <c r="H155" s="250" t="s">
        <v>2791</v>
      </c>
      <c r="I155" s="250" t="s">
        <v>165</v>
      </c>
      <c r="J155" s="248" t="str">
        <f>_xlfn.XLOOKUP(Tableau1[[#This Row],[Code PAS]],'[13]Parc Satin'!$L:$L,'[13]Parc Satin'!$CK:$CK,0,0)</f>
        <v>Nominal C2E Fibre Secours C2E Fibre</v>
      </c>
      <c r="K155" s="250" t="s">
        <v>2850</v>
      </c>
      <c r="L155" s="250">
        <v>500</v>
      </c>
      <c r="M155" s="250">
        <v>400</v>
      </c>
      <c r="N155" s="250">
        <v>2</v>
      </c>
      <c r="O155" s="250" t="s">
        <v>74</v>
      </c>
      <c r="P155" s="820">
        <v>0</v>
      </c>
      <c r="Q155" s="820">
        <v>228</v>
      </c>
      <c r="R155" s="820">
        <v>0</v>
      </c>
      <c r="S155" s="820">
        <v>228</v>
      </c>
      <c r="T155" s="824">
        <v>1454</v>
      </c>
      <c r="U155" s="824">
        <v>95</v>
      </c>
      <c r="V155" s="824">
        <v>40</v>
      </c>
      <c r="W155" s="824">
        <v>36</v>
      </c>
      <c r="X155" s="823">
        <f>Tableau1[[#This Row],[Coût Abonnement offre]]+Tableau1[[#This Row],[Coût Abonnement Chassis]]+Tableau1[[#This Row],[Cout Cartes interface ]]+Tableau1[[#This Row],[Cout canaux voix supplémentaire]]</f>
        <v>1625</v>
      </c>
      <c r="Y155" s="824">
        <v>0</v>
      </c>
      <c r="Z155" s="966">
        <v>0</v>
      </c>
      <c r="AA155" s="966">
        <v>0</v>
      </c>
      <c r="AB155" s="969">
        <v>0</v>
      </c>
      <c r="AC155" s="969">
        <v>0</v>
      </c>
      <c r="AD155" s="969">
        <v>0</v>
      </c>
      <c r="AE155" s="264">
        <v>50</v>
      </c>
      <c r="AF155" s="264">
        <v>500</v>
      </c>
      <c r="AG155" s="264">
        <v>400</v>
      </c>
      <c r="AH155" s="264">
        <v>900</v>
      </c>
      <c r="AI155" s="973">
        <v>36</v>
      </c>
      <c r="AJ155" s="263">
        <v>50</v>
      </c>
      <c r="AK155" s="987">
        <v>900</v>
      </c>
      <c r="AL155" s="263">
        <f>VLOOKUP(Tableau1[[#This Row],[Code PAS]],'Facturation PAS RIN5 RUN'!C:F,4,0)</f>
        <v>40</v>
      </c>
      <c r="AM155" s="263"/>
      <c r="AN155" s="263" t="b">
        <f>ROUND(Tableau1[[#This Row],[Montant Options coûts récurrents]],0)=ROUND(Tableau1[[#This Row],[GTRS1 (Coût Plage de support 24h/24 7j/7)]],0)</f>
        <v>0</v>
      </c>
      <c r="AO155" s="265" t="e">
        <f>_xlfn.XLOOKUP(Tableau1[[#This Row],[Code PAS]],'parc SATIN 08012026v'!K:K,'parc SATIN 08012026v'!#REF!,0,0)</f>
        <v>#REF!</v>
      </c>
      <c r="AP155" s="263" t="e">
        <f>VLOOKUP(Tableau1[[#This Row],[Code PAS]],#REF!,3,0)</f>
        <v>#REF!</v>
      </c>
      <c r="AQ155" s="263" t="e">
        <f>VLOOKUP(Tableau1[[#This Row],[Code PAS]],[14]Feuil1!$B:$G,6,0)</f>
        <v>#N/A</v>
      </c>
      <c r="AR155" s="263" t="str">
        <f>_xlfn.XLOOKUP(Tableau1[[#This Row],[Code PAS]],'Facturation PAS RIN5 RUN'!C:C,'Facturation PAS RIN5 RUN'!B:B,0,0)</f>
        <v>Silver_50_50</v>
      </c>
      <c r="AS155" s="263" t="b">
        <f>Tableau1[[#This Row],[Etat facturation]]=Tableau1[[#This Row],[Index offre du fournisseur]]</f>
        <v>1</v>
      </c>
      <c r="AT155" s="250" t="str">
        <f>_xlfn.XLOOKUP(Tableau1[[#This Row],[Code PAS]],'parc SATIN 08012026v'!K:K,'parc SATIN 08012026v'!M:M,0,0)</f>
        <v>PARC</v>
      </c>
      <c r="AU155" s="250" t="str">
        <f>_xlfn.XLOOKUP(Tableau1[[#This Row],[Code PAS]],'parc SATIN 08012026v'!K:K,'parc SATIN 08012026v'!O:O,0,0)</f>
        <v>PARC</v>
      </c>
      <c r="AV155" s="251">
        <f>_xlfn.XLOOKUP(Tableau1[[#This Row],[Code PAS]],'parc SATIN 08012026v'!K:K,'parc SATIN 08012026v'!Q:Q,0,0)</f>
        <v>45155</v>
      </c>
      <c r="AW155" s="251" t="str">
        <f>_xlfn.XLOOKUP(Tableau1[[#This Row],[Code PAS]],'parc SATIN 08012026v'!K:K,'parc SATIN 08012026v'!S:S,0,0)</f>
        <v>change</v>
      </c>
      <c r="AX155" s="250" t="str">
        <f>_xlfn.XLOOKUP(Tableau1[[#This Row],[Code PAS]],'parc SATIN 08012026v'!K:K,'parc SATIN 08012026v'!AF:AF,0,0)</f>
        <v>50 Mb/s</v>
      </c>
      <c r="AY15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56" spans="1:52" s="250" customFormat="1" ht="15" customHeight="1" x14ac:dyDescent="0.3">
      <c r="A156" s="248" t="s">
        <v>2735</v>
      </c>
      <c r="B156" s="248"/>
      <c r="C156" s="249"/>
      <c r="D156" s="249"/>
      <c r="E156" s="248" t="s">
        <v>3087</v>
      </c>
      <c r="F156" s="981" t="s">
        <v>770</v>
      </c>
      <c r="G156" s="250" t="s">
        <v>2745</v>
      </c>
      <c r="H156" s="248" t="s">
        <v>2745</v>
      </c>
      <c r="I156" s="248" t="s">
        <v>78</v>
      </c>
      <c r="J156" s="248" t="str">
        <f>_xlfn.XLOOKUP(Tableau1[[#This Row],[Code PAS]],'[13]Parc Satin'!$L:$L,'[13]Parc Satin'!$CK:$CK,0,0)</f>
        <v>Nominal InterLan 1.0 Secours InterLan 1.0</v>
      </c>
      <c r="K156" s="248" t="s">
        <v>2860</v>
      </c>
      <c r="L156" s="248">
        <v>600</v>
      </c>
      <c r="M156" s="248">
        <v>1200</v>
      </c>
      <c r="N156" s="248">
        <v>1</v>
      </c>
      <c r="O156" s="248" t="s">
        <v>74</v>
      </c>
      <c r="P156" s="822">
        <v>0</v>
      </c>
      <c r="Q156" s="822">
        <v>211</v>
      </c>
      <c r="R156" s="822">
        <v>0</v>
      </c>
      <c r="S156" s="822">
        <v>211</v>
      </c>
      <c r="T156" s="823">
        <v>1628</v>
      </c>
      <c r="U156" s="823">
        <v>84</v>
      </c>
      <c r="V156" s="823">
        <v>0</v>
      </c>
      <c r="W156" s="823">
        <v>108</v>
      </c>
      <c r="X156" s="823">
        <f>Tableau1[[#This Row],[Coût Abonnement offre]]+Tableau1[[#This Row],[Coût Abonnement Chassis]]+Tableau1[[#This Row],[Cout Cartes interface ]]+Tableau1[[#This Row],[Cout canaux voix supplémentaire]]</f>
        <v>1820</v>
      </c>
      <c r="Y156" s="823">
        <v>0</v>
      </c>
      <c r="Z156" s="966">
        <v>0</v>
      </c>
      <c r="AA156" s="966">
        <v>0</v>
      </c>
      <c r="AB156" s="969">
        <v>0</v>
      </c>
      <c r="AC156" s="969">
        <v>0</v>
      </c>
      <c r="AD156" s="969">
        <v>0</v>
      </c>
      <c r="AE156" s="264">
        <v>100</v>
      </c>
      <c r="AF156" s="264">
        <v>600</v>
      </c>
      <c r="AG156" s="264">
        <v>1200</v>
      </c>
      <c r="AH156" s="264">
        <v>1800</v>
      </c>
      <c r="AI156" s="973">
        <v>108</v>
      </c>
      <c r="AJ156" s="263">
        <v>100</v>
      </c>
      <c r="AK156" s="987">
        <v>1800</v>
      </c>
      <c r="AL156" s="263">
        <f>VLOOKUP(Tableau1[[#This Row],[Code PAS]],'Facturation PAS RIN5 RUN'!C:F,4,0)</f>
        <v>0</v>
      </c>
      <c r="AM156" s="263"/>
      <c r="AN156" s="263" t="b">
        <f>ROUND(Tableau1[[#This Row],[Montant Options coûts récurrents]],0)=ROUND(Tableau1[[#This Row],[GTRS1 (Coût Plage de support 24h/24 7j/7)]],0)</f>
        <v>1</v>
      </c>
      <c r="AO156" s="265" t="e">
        <f>_xlfn.XLOOKUP(Tableau1[[#This Row],[Code PAS]],'parc SATIN 08012026v'!K:K,'parc SATIN 08012026v'!#REF!,0,0)</f>
        <v>#REF!</v>
      </c>
      <c r="AP156" s="263" t="e">
        <f>VLOOKUP(Tableau1[[#This Row],[Code PAS]],#REF!,3,0)</f>
        <v>#REF!</v>
      </c>
      <c r="AQ156" s="263" t="e">
        <f>VLOOKUP(Tableau1[[#This Row],[Code PAS]],[14]Feuil1!$B:$G,6,0)</f>
        <v>#N/A</v>
      </c>
      <c r="AR156" s="263" t="str">
        <f>_xlfn.XLOOKUP(Tableau1[[#This Row],[Code PAS]],'Facturation PAS RIN5 RUN'!C:C,'Facturation PAS RIN5 RUN'!B:B,0,0)</f>
        <v>Gold_100_100</v>
      </c>
      <c r="AS156" s="263" t="b">
        <f>Tableau1[[#This Row],[Etat facturation]]=Tableau1[[#This Row],[Index offre du fournisseur]]</f>
        <v>1</v>
      </c>
      <c r="AT156" s="250" t="str">
        <f>_xlfn.XLOOKUP(Tableau1[[#This Row],[Code PAS]],'parc SATIN 08012026v'!K:K,'parc SATIN 08012026v'!M:M,0,0)</f>
        <v>PARC</v>
      </c>
      <c r="AU156" s="250" t="str">
        <f>_xlfn.XLOOKUP(Tableau1[[#This Row],[Code PAS]],'parc SATIN 08012026v'!K:K,'parc SATIN 08012026v'!O:O,0,0)</f>
        <v>PARC</v>
      </c>
      <c r="AV156" s="251">
        <f>_xlfn.XLOOKUP(Tableau1[[#This Row],[Code PAS]],'parc SATIN 08012026v'!K:K,'parc SATIN 08012026v'!Q:Q,0,0)</f>
        <v>45446</v>
      </c>
      <c r="AW156" s="251" t="str">
        <f>_xlfn.XLOOKUP(Tableau1[[#This Row],[Code PAS]],'parc SATIN 08012026v'!K:K,'parc SATIN 08012026v'!S:S,0,0)</f>
        <v>création</v>
      </c>
      <c r="AX156" s="250" t="str">
        <f>_xlfn.XLOOKUP(Tableau1[[#This Row],[Code PAS]],'parc SATIN 08012026v'!K:K,'parc SATIN 08012026v'!AF:AF,0,0)</f>
        <v>100 Mb/s</v>
      </c>
      <c r="AY15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157" spans="1:52" s="250" customFormat="1" ht="15" customHeight="1" x14ac:dyDescent="0.3">
      <c r="A157" s="250" t="s">
        <v>2739</v>
      </c>
      <c r="C157" s="249"/>
      <c r="D157" s="249"/>
      <c r="E157" s="250" t="s">
        <v>3088</v>
      </c>
      <c r="F157" s="981" t="s">
        <v>1656</v>
      </c>
      <c r="G157" s="250" t="s">
        <v>2757</v>
      </c>
      <c r="H157" s="250" t="s">
        <v>2757</v>
      </c>
      <c r="I157" s="250" t="s">
        <v>165</v>
      </c>
      <c r="J157" s="248" t="str">
        <f>_xlfn.XLOOKUP(Tableau1[[#This Row],[Code PAS]],'[13]Parc Satin'!$L:$L,'[13]Parc Satin'!$CK:$CK,0,0)</f>
        <v>Nominal C2E Fibre sans Secours</v>
      </c>
      <c r="L157" s="250">
        <v>40</v>
      </c>
      <c r="M157" s="250">
        <v>30</v>
      </c>
      <c r="N157" s="250">
        <v>2</v>
      </c>
      <c r="O157" s="250" t="s">
        <v>74</v>
      </c>
      <c r="P157" s="824">
        <v>3104</v>
      </c>
      <c r="Q157" s="824">
        <v>602</v>
      </c>
      <c r="R157" s="824">
        <v>57</v>
      </c>
      <c r="S157" s="824">
        <v>3763</v>
      </c>
      <c r="T157" s="824">
        <v>356</v>
      </c>
      <c r="U157" s="824">
        <v>12</v>
      </c>
      <c r="V157" s="824">
        <v>0</v>
      </c>
      <c r="W157" s="824">
        <v>27</v>
      </c>
      <c r="X157" s="824">
        <f>Tableau1[[#This Row],[Coût Abonnement offre]]+Tableau1[[#This Row],[Coût Abonnement Chassis]]+Tableau1[[#This Row],[Cout Cartes interface ]]+Tableau1[[#This Row],[Cout canaux voix supplémentaire]]</f>
        <v>395</v>
      </c>
      <c r="Y157" s="824">
        <v>0</v>
      </c>
      <c r="Z157" s="966">
        <v>0</v>
      </c>
      <c r="AA157" s="966">
        <v>0</v>
      </c>
      <c r="AB157" s="969">
        <v>0</v>
      </c>
      <c r="AC157" s="969">
        <v>0</v>
      </c>
      <c r="AD157" s="969">
        <v>0</v>
      </c>
      <c r="AE157" s="264">
        <v>4</v>
      </c>
      <c r="AF157" s="264">
        <v>40</v>
      </c>
      <c r="AG157" s="264">
        <v>30</v>
      </c>
      <c r="AH157" s="264">
        <v>70</v>
      </c>
      <c r="AI157" s="973">
        <v>27</v>
      </c>
      <c r="AJ157" s="263">
        <v>4</v>
      </c>
      <c r="AK157" s="987">
        <v>70</v>
      </c>
      <c r="AL157" s="263">
        <f>VLOOKUP(Tableau1[[#This Row],[Code PAS]],'Facturation PAS RIN5 RUN'!C:F,4,0)</f>
        <v>0</v>
      </c>
      <c r="AM157" s="263"/>
      <c r="AN157" s="263" t="b">
        <f>ROUND(Tableau1[[#This Row],[Montant Options coûts récurrents]],0)=ROUND(Tableau1[[#This Row],[GTRS1 (Coût Plage de support 24h/24 7j/7)]],0)</f>
        <v>1</v>
      </c>
      <c r="AO157" s="265" t="e">
        <f>_xlfn.XLOOKUP(Tableau1[[#This Row],[Code PAS]],'parc SATIN 08012026v'!K:K,'parc SATIN 08012026v'!#REF!,0,0)</f>
        <v>#REF!</v>
      </c>
      <c r="AP157" s="263" t="e">
        <f>VLOOKUP(Tableau1[[#This Row],[Code PAS]],#REF!,3,0)</f>
        <v>#REF!</v>
      </c>
      <c r="AQ157" s="263" t="e">
        <f>VLOOKUP(Tableau1[[#This Row],[Code PAS]],[14]Feuil1!$B:$G,6,0)</f>
        <v>#N/A</v>
      </c>
      <c r="AR157" s="263" t="str">
        <f>_xlfn.XLOOKUP(Tableau1[[#This Row],[Code PAS]],'Facturation PAS RIN5 RUN'!C:C,'Facturation PAS RIN5 RUN'!B:B,0,0)</f>
        <v>Bronze_4_0</v>
      </c>
      <c r="AS157" s="263" t="b">
        <f>Tableau1[[#This Row],[Etat facturation]]=Tableau1[[#This Row],[Index offre du fournisseur]]</f>
        <v>1</v>
      </c>
      <c r="AT157" s="250" t="str">
        <f>_xlfn.XLOOKUP(Tableau1[[#This Row],[Code PAS]],'parc SATIN 08012026v'!K:K,'parc SATIN 08012026v'!M:M,0,0)</f>
        <v>PARC</v>
      </c>
      <c r="AU157" s="250" t="str">
        <f>_xlfn.XLOOKUP(Tableau1[[#This Row],[Code PAS]],'parc SATIN 08012026v'!K:K,'parc SATIN 08012026v'!O:O,0,0)</f>
        <v>PARC</v>
      </c>
      <c r="AV157" s="251">
        <f>_xlfn.XLOOKUP(Tableau1[[#This Row],[Code PAS]],'parc SATIN 08012026v'!K:K,'parc SATIN 08012026v'!Q:Q,0,0)</f>
        <v>44830</v>
      </c>
      <c r="AW157" s="251" t="str">
        <f>_xlfn.XLOOKUP(Tableau1[[#This Row],[Code PAS]],'parc SATIN 08012026v'!K:K,'parc SATIN 08012026v'!S:S,0,0)</f>
        <v>création</v>
      </c>
      <c r="AX157" s="250" t="str">
        <f>_xlfn.XLOOKUP(Tableau1[[#This Row],[Code PAS]],'parc SATIN 08012026v'!K:K,'parc SATIN 08012026v'!AF:AF,0,0)</f>
        <v>4 Mb/s</v>
      </c>
      <c r="AY15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</row>
    <row r="158" spans="1:52" s="250" customFormat="1" ht="15" customHeight="1" x14ac:dyDescent="0.3">
      <c r="A158" s="250" t="s">
        <v>2743</v>
      </c>
      <c r="C158" s="249"/>
      <c r="D158" s="249"/>
      <c r="E158" s="250" t="s">
        <v>3089</v>
      </c>
      <c r="F158" s="984" t="s">
        <v>1044</v>
      </c>
      <c r="H158" s="250" t="s">
        <v>2813</v>
      </c>
      <c r="J158" s="248" t="str">
        <f>_xlfn.XLOOKUP(Tableau1[[#This Row],[Code PAS]],'[13]Parc Satin'!$L:$L,'[13]Parc Satin'!$CK:$CK,0,0)</f>
        <v>Nominal C2E Fibre Secours C2E Fibre</v>
      </c>
      <c r="P158" s="820">
        <v>0</v>
      </c>
      <c r="Q158" s="820">
        <v>0</v>
      </c>
      <c r="R158" s="820">
        <v>0</v>
      </c>
      <c r="S158" s="820">
        <v>0</v>
      </c>
      <c r="T158" s="824">
        <v>1149</v>
      </c>
      <c r="U158" s="824">
        <v>44</v>
      </c>
      <c r="V158" s="824">
        <v>32</v>
      </c>
      <c r="W158" s="824">
        <v>0</v>
      </c>
      <c r="X158" s="823">
        <f>Tableau1[[#This Row],[Coût Abonnement offre]]+Tableau1[[#This Row],[Coût Abonnement Chassis]]+Tableau1[[#This Row],[Cout Cartes interface ]]+Tableau1[[#This Row],[Cout canaux voix supplémentaire]]</f>
        <v>1225</v>
      </c>
      <c r="Y158" s="824">
        <v>0</v>
      </c>
      <c r="Z158" s="966">
        <v>0</v>
      </c>
      <c r="AA158" s="966">
        <v>0</v>
      </c>
      <c r="AB158" s="969">
        <v>0</v>
      </c>
      <c r="AC158" s="969">
        <v>0</v>
      </c>
      <c r="AD158" s="969">
        <v>0</v>
      </c>
      <c r="AE158" s="264">
        <v>20</v>
      </c>
      <c r="AF158" s="264">
        <v>300</v>
      </c>
      <c r="AG158" s="264">
        <v>50</v>
      </c>
      <c r="AH158" s="264">
        <v>350</v>
      </c>
      <c r="AI158" s="973">
        <v>5</v>
      </c>
      <c r="AJ158" s="263">
        <v>20</v>
      </c>
      <c r="AK158" s="987">
        <v>300</v>
      </c>
      <c r="AL158" s="263">
        <f>VLOOKUP(Tableau1[[#This Row],[Code PAS]],'Facturation PAS RIN5 RUN'!C:F,4,0)</f>
        <v>32</v>
      </c>
      <c r="AM158" s="263"/>
      <c r="AN158" s="263" t="b">
        <f>ROUND(Tableau1[[#This Row],[Montant Options coûts récurrents]],0)=ROUND(Tableau1[[#This Row],[GTRS1 (Coût Plage de support 24h/24 7j/7)]],0)</f>
        <v>0</v>
      </c>
      <c r="AO158" s="265" t="e">
        <f>_xlfn.XLOOKUP(Tableau1[[#This Row],[Code PAS]],'parc SATIN 08012026v'!K:K,'parc SATIN 08012026v'!#REF!,0,0)</f>
        <v>#REF!</v>
      </c>
      <c r="AP158" s="263" t="e">
        <f>VLOOKUP(Tableau1[[#This Row],[Code PAS]],#REF!,3,0)</f>
        <v>#REF!</v>
      </c>
      <c r="AQ158" s="263" t="e">
        <f>VLOOKUP(Tableau1[[#This Row],[Code PAS]],[14]Feuil1!$B:$G,6,0)</f>
        <v>#N/A</v>
      </c>
      <c r="AR158" s="263" t="str">
        <f>_xlfn.XLOOKUP(Tableau1[[#This Row],[Code PAS]],'Facturation PAS RIN5 RUN'!C:C,'Facturation PAS RIN5 RUN'!B:B,0,0)</f>
        <v>Silver_20_20</v>
      </c>
      <c r="AS158" s="263" t="b">
        <f>Tableau1[[#This Row],[Etat facturation]]=Tableau1[[#This Row],[Index offre du fournisseur]]</f>
        <v>1</v>
      </c>
      <c r="AT158" s="250" t="str">
        <f>_xlfn.XLOOKUP(Tableau1[[#This Row],[Code PAS]],'parc SATIN 08012026v'!K:K,'parc SATIN 08012026v'!M:M,0,0)</f>
        <v>PARC</v>
      </c>
      <c r="AU158" s="250" t="str">
        <f>_xlfn.XLOOKUP(Tableau1[[#This Row],[Code PAS]],'parc SATIN 08012026v'!K:K,'parc SATIN 08012026v'!O:O,0,0)</f>
        <v>PARC</v>
      </c>
      <c r="AV158" s="251">
        <f>_xlfn.XLOOKUP(Tableau1[[#This Row],[Code PAS]],'parc SATIN 08012026v'!K:K,'parc SATIN 08012026v'!Q:Q,0,0)</f>
        <v>43872</v>
      </c>
      <c r="AW158" s="251" t="str">
        <f>_xlfn.XLOOKUP(Tableau1[[#This Row],[Code PAS]],'parc SATIN 08012026v'!K:K,'parc SATIN 08012026v'!S:S,0,0)</f>
        <v>change</v>
      </c>
      <c r="AX158" s="250" t="str">
        <f>_xlfn.XLOOKUP(Tableau1[[#This Row],[Code PAS]],'parc SATIN 08012026v'!K:K,'parc SATIN 08012026v'!AF:AF,0,0)</f>
        <v>20 Mb/s</v>
      </c>
      <c r="AY15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158" s="250" t="s">
        <v>2868</v>
      </c>
    </row>
    <row r="159" spans="1:52" s="250" customFormat="1" ht="15" customHeight="1" x14ac:dyDescent="0.3">
      <c r="A159" s="250" t="s">
        <v>2743</v>
      </c>
      <c r="C159" s="249"/>
      <c r="D159" s="249"/>
      <c r="E159" s="250" t="s">
        <v>3090</v>
      </c>
      <c r="F159" s="984" t="s">
        <v>1035</v>
      </c>
      <c r="G159" s="250" t="s">
        <v>2765</v>
      </c>
      <c r="H159" s="250" t="s">
        <v>2765</v>
      </c>
      <c r="I159" s="250" t="s">
        <v>78</v>
      </c>
      <c r="J159" s="248" t="str">
        <f>_xlfn.XLOOKUP(Tableau1[[#This Row],[Code PAS]],'[13]Parc Satin'!$L:$L,'[13]Parc Satin'!$CK:$CK,0,0)</f>
        <v>Nominal InterLan 1.0 Secours InterLan 1.0</v>
      </c>
      <c r="K159" s="248" t="s">
        <v>2829</v>
      </c>
      <c r="L159" s="250">
        <v>400</v>
      </c>
      <c r="M159" s="250">
        <v>150</v>
      </c>
      <c r="N159" s="250">
        <v>1</v>
      </c>
      <c r="O159" s="250" t="s">
        <v>74</v>
      </c>
      <c r="P159" s="824">
        <v>0</v>
      </c>
      <c r="Q159" s="824">
        <v>0</v>
      </c>
      <c r="R159" s="824">
        <v>0</v>
      </c>
      <c r="S159" s="824">
        <v>0</v>
      </c>
      <c r="T159" s="824">
        <v>1249</v>
      </c>
      <c r="U159" s="824">
        <v>71</v>
      </c>
      <c r="V159" s="824">
        <v>32</v>
      </c>
      <c r="W159" s="824">
        <v>14</v>
      </c>
      <c r="X159" s="824">
        <f>Tableau1[[#This Row],[Coût Abonnement offre]]+Tableau1[[#This Row],[Coût Abonnement Chassis]]+Tableau1[[#This Row],[Cout Cartes interface ]]+Tableau1[[#This Row],[Cout canaux voix supplémentaire]]</f>
        <v>1366</v>
      </c>
      <c r="Y159" s="824">
        <v>0</v>
      </c>
      <c r="Z159" s="966">
        <v>0</v>
      </c>
      <c r="AA159" s="966">
        <v>0</v>
      </c>
      <c r="AB159" s="969">
        <v>0</v>
      </c>
      <c r="AC159" s="969">
        <v>0</v>
      </c>
      <c r="AD159" s="969">
        <v>0</v>
      </c>
      <c r="AE159" s="264">
        <v>30</v>
      </c>
      <c r="AF159" s="264">
        <v>400</v>
      </c>
      <c r="AG159" s="264">
        <v>150</v>
      </c>
      <c r="AH159" s="264">
        <v>550</v>
      </c>
      <c r="AI159" s="973">
        <v>14</v>
      </c>
      <c r="AJ159" s="263">
        <v>30</v>
      </c>
      <c r="AK159" s="987">
        <v>550</v>
      </c>
      <c r="AL159" s="263">
        <f>VLOOKUP(Tableau1[[#This Row],[Code PAS]],'Facturation PAS RIN5 RUN'!C:F,4,0)</f>
        <v>32</v>
      </c>
      <c r="AM159" s="263"/>
      <c r="AN159" s="263" t="b">
        <f>ROUND(Tableau1[[#This Row],[Montant Options coûts récurrents]],0)=ROUND(Tableau1[[#This Row],[GTRS1 (Coût Plage de support 24h/24 7j/7)]],0)</f>
        <v>0</v>
      </c>
      <c r="AO159" s="265" t="e">
        <f>_xlfn.XLOOKUP(Tableau1[[#This Row],[Code PAS]],'parc SATIN 08012026v'!K:K,'parc SATIN 08012026v'!#REF!,0,0)</f>
        <v>#REF!</v>
      </c>
      <c r="AP159" s="263" t="e">
        <f>VLOOKUP(Tableau1[[#This Row],[Code PAS]],#REF!,3,0)</f>
        <v>#REF!</v>
      </c>
      <c r="AQ159" s="263" t="str">
        <f>VLOOKUP(Tableau1[[#This Row],[Code PAS]],[14]Feuil1!$B:$G,6,0)</f>
        <v>Lundi au Samedi 8h-18h</v>
      </c>
      <c r="AR159" s="263" t="str">
        <f>_xlfn.XLOOKUP(Tableau1[[#This Row],[Code PAS]],'Facturation PAS RIN5 RUN'!C:C,'Facturation PAS RIN5 RUN'!B:B,0,0)</f>
        <v>Gold_20_20</v>
      </c>
      <c r="AS159" s="263" t="b">
        <f>Tableau1[[#This Row],[Etat facturation]]=Tableau1[[#This Row],[Index offre du fournisseur]]</f>
        <v>0</v>
      </c>
      <c r="AT159" s="250" t="str">
        <f>_xlfn.XLOOKUP(Tableau1[[#This Row],[Code PAS]],'parc SATIN 08012026v'!K:K,'parc SATIN 08012026v'!M:M,0,0)</f>
        <v>PARC</v>
      </c>
      <c r="AU159" s="250" t="str">
        <f>_xlfn.XLOOKUP(Tableau1[[#This Row],[Code PAS]],'parc SATIN 08012026v'!K:K,'parc SATIN 08012026v'!O:O,0,0)</f>
        <v>PARC</v>
      </c>
      <c r="AV159" s="251">
        <f>_xlfn.XLOOKUP(Tableau1[[#This Row],[Code PAS]],'parc SATIN 08012026v'!K:K,'parc SATIN 08012026v'!Q:Q,0,0)</f>
        <v>45716</v>
      </c>
      <c r="AW159" s="251" t="str">
        <f>_xlfn.XLOOKUP(Tableau1[[#This Row],[Code PAS]],'parc SATIN 08012026v'!K:K,'parc SATIN 08012026v'!S:S,0,0)</f>
        <v>change</v>
      </c>
      <c r="AX159" s="250" t="str">
        <f>_xlfn.XLOOKUP(Tableau1[[#This Row],[Code PAS]],'parc SATIN 08012026v'!K:K,'parc SATIN 08012026v'!AF:AF,0,0)</f>
        <v>30 Mb/s</v>
      </c>
      <c r="AY15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160" spans="1:52" s="250" customFormat="1" ht="15" customHeight="1" x14ac:dyDescent="0.3">
      <c r="A160" s="250" t="s">
        <v>2758</v>
      </c>
      <c r="C160" s="249"/>
      <c r="D160" s="249"/>
      <c r="E160" s="250" t="s">
        <v>3091</v>
      </c>
      <c r="F160" s="984" t="s">
        <v>2663</v>
      </c>
      <c r="G160" s="250" t="s">
        <v>2800</v>
      </c>
      <c r="H160" s="250" t="s">
        <v>2867</v>
      </c>
      <c r="J160" s="248" t="str">
        <f>_xlfn.XLOOKUP(Tableau1[[#This Row],[Code PAS]],'[13]Parc Satin'!$L:$L,'[13]Parc Satin'!$CK:$CK,0,0)</f>
        <v>Nominal C2E sans Secours</v>
      </c>
      <c r="P160" s="820">
        <v>0</v>
      </c>
      <c r="Q160" s="820">
        <v>0</v>
      </c>
      <c r="R160" s="820">
        <v>0</v>
      </c>
      <c r="S160" s="820">
        <v>0</v>
      </c>
      <c r="T160" s="824">
        <v>290</v>
      </c>
      <c r="U160" s="824">
        <v>12</v>
      </c>
      <c r="V160" s="824">
        <v>0</v>
      </c>
      <c r="W160" s="824">
        <v>0</v>
      </c>
      <c r="X160" s="823">
        <f>Tableau1[[#This Row],[Coût Abonnement offre]]+Tableau1[[#This Row],[Coût Abonnement Chassis]]+Tableau1[[#This Row],[Cout Cartes interface ]]+Tableau1[[#This Row],[Cout canaux voix supplémentaire]]</f>
        <v>302</v>
      </c>
      <c r="Y160" s="824">
        <v>0</v>
      </c>
      <c r="Z160" s="966">
        <v>0</v>
      </c>
      <c r="AA160" s="966">
        <v>0</v>
      </c>
      <c r="AB160" s="969">
        <v>0</v>
      </c>
      <c r="AC160" s="969">
        <v>0</v>
      </c>
      <c r="AD160" s="969">
        <v>0</v>
      </c>
      <c r="AE160" s="264">
        <v>2</v>
      </c>
      <c r="AF160" s="264">
        <v>20</v>
      </c>
      <c r="AG160" s="264">
        <v>10</v>
      </c>
      <c r="AH160" s="264">
        <v>30</v>
      </c>
      <c r="AI160" s="973">
        <v>9</v>
      </c>
      <c r="AJ160" s="263">
        <v>2</v>
      </c>
      <c r="AK160" s="987">
        <v>20</v>
      </c>
      <c r="AL160" s="263">
        <f>VLOOKUP(Tableau1[[#This Row],[Code PAS]],'Facturation PAS RIN5 RUN'!C:F,4,0)</f>
        <v>0</v>
      </c>
      <c r="AM160" s="263"/>
      <c r="AN160" s="263" t="b">
        <f>ROUND(Tableau1[[#This Row],[Montant Options coûts récurrents]],0)=ROUND(Tableau1[[#This Row],[GTRS1 (Coût Plage de support 24h/24 7j/7)]],0)</f>
        <v>1</v>
      </c>
      <c r="AO160" s="265" t="e">
        <f>_xlfn.XLOOKUP(Tableau1[[#This Row],[Code PAS]],'parc SATIN 08012026v'!K:K,'parc SATIN 08012026v'!#REF!,0,0)</f>
        <v>#REF!</v>
      </c>
      <c r="AP160" s="263" t="e">
        <f>VLOOKUP(Tableau1[[#This Row],[Code PAS]],#REF!,3,0)</f>
        <v>#REF!</v>
      </c>
      <c r="AQ160" s="263" t="e">
        <f>VLOOKUP(Tableau1[[#This Row],[Code PAS]],[14]Feuil1!$B:$G,6,0)</f>
        <v>#N/A</v>
      </c>
      <c r="AR160" s="263" t="str">
        <f>_xlfn.XLOOKUP(Tableau1[[#This Row],[Code PAS]],'Facturation PAS RIN5 RUN'!C:C,'Facturation PAS RIN5 RUN'!B:B,0,0)</f>
        <v>Bronze_2_0</v>
      </c>
      <c r="AS160" s="263" t="b">
        <f>Tableau1[[#This Row],[Etat facturation]]=Tableau1[[#This Row],[Index offre du fournisseur]]</f>
        <v>1</v>
      </c>
      <c r="AT160" s="250" t="str">
        <f>_xlfn.XLOOKUP(Tableau1[[#This Row],[Code PAS]],'parc SATIN 08012026v'!K:K,'parc SATIN 08012026v'!M:M,0,0)</f>
        <v>PARC</v>
      </c>
      <c r="AU160" s="250" t="str">
        <f>_xlfn.XLOOKUP(Tableau1[[#This Row],[Code PAS]],'parc SATIN 08012026v'!K:K,'parc SATIN 08012026v'!O:O,0,0)</f>
        <v>PARC</v>
      </c>
      <c r="AV160" s="251">
        <f>_xlfn.XLOOKUP(Tableau1[[#This Row],[Code PAS]],'parc SATIN 08012026v'!K:K,'parc SATIN 08012026v'!Q:Q,0,0)</f>
        <v>44195</v>
      </c>
      <c r="AW160" s="251" t="str">
        <f>_xlfn.XLOOKUP(Tableau1[[#This Row],[Code PAS]],'parc SATIN 08012026v'!K:K,'parc SATIN 08012026v'!S:S,0,0)</f>
        <v>change</v>
      </c>
      <c r="AX160" s="250" t="str">
        <f>_xlfn.XLOOKUP(Tableau1[[#This Row],[Code PAS]],'parc SATIN 08012026v'!K:K,'parc SATIN 08012026v'!AF:AF,0,0)</f>
        <v>2 Mb/s</v>
      </c>
      <c r="AY16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160" s="250" t="s">
        <v>2868</v>
      </c>
    </row>
    <row r="161" spans="1:52" s="250" customFormat="1" ht="15" customHeight="1" x14ac:dyDescent="0.3">
      <c r="A161" s="250" t="s">
        <v>2758</v>
      </c>
      <c r="E161" s="250" t="s">
        <v>3092</v>
      </c>
      <c r="F161" s="984" t="s">
        <v>2528</v>
      </c>
      <c r="G161" s="250" t="s">
        <v>2791</v>
      </c>
      <c r="H161" s="250" t="s">
        <v>2791</v>
      </c>
      <c r="I161" s="248" t="s">
        <v>2817</v>
      </c>
      <c r="J161" s="248" t="str">
        <f>_xlfn.XLOOKUP(Tableau1[[#This Row],[Code PAS]],'[13]Parc Satin'!$L:$L,'[13]Parc Satin'!$CK:$CK,0,0)</f>
        <v>Nominal C2E Fibre Secours C2E Fibre</v>
      </c>
      <c r="L161" s="250">
        <v>500</v>
      </c>
      <c r="M161" s="250">
        <v>400</v>
      </c>
      <c r="N161" s="250">
        <v>1</v>
      </c>
      <c r="O161" s="250" t="s">
        <v>74</v>
      </c>
      <c r="P161" s="824">
        <v>0</v>
      </c>
      <c r="Q161" s="824">
        <v>228</v>
      </c>
      <c r="R161" s="824">
        <v>0</v>
      </c>
      <c r="S161" s="824">
        <v>228</v>
      </c>
      <c r="T161" s="824">
        <v>3152</v>
      </c>
      <c r="U161" s="824">
        <v>84</v>
      </c>
      <c r="V161" s="824">
        <v>0</v>
      </c>
      <c r="W161" s="824">
        <v>36</v>
      </c>
      <c r="X161" s="824">
        <f>Tableau1[[#This Row],[Coût Abonnement offre]]+Tableau1[[#This Row],[Coût Abonnement Chassis]]+Tableau1[[#This Row],[Cout Cartes interface ]]+Tableau1[[#This Row],[Cout canaux voix supplémentaire]]</f>
        <v>3272</v>
      </c>
      <c r="Y161" s="824">
        <v>0</v>
      </c>
      <c r="Z161" s="966">
        <v>0</v>
      </c>
      <c r="AA161" s="966">
        <v>0</v>
      </c>
      <c r="AB161" s="969">
        <v>0</v>
      </c>
      <c r="AC161" s="969">
        <v>0</v>
      </c>
      <c r="AD161" s="969">
        <v>0</v>
      </c>
      <c r="AE161" s="264">
        <v>50</v>
      </c>
      <c r="AF161" s="264">
        <v>500</v>
      </c>
      <c r="AG161" s="264">
        <v>400</v>
      </c>
      <c r="AH161" s="264">
        <v>900</v>
      </c>
      <c r="AI161" s="973">
        <v>36</v>
      </c>
      <c r="AJ161" s="263">
        <v>50</v>
      </c>
      <c r="AK161" s="987">
        <v>900</v>
      </c>
      <c r="AL161" s="263">
        <f>VLOOKUP(Tableau1[[#This Row],[Code PAS]],'Facturation PAS RIN5 RUN'!C:F,4,0)</f>
        <v>0</v>
      </c>
      <c r="AM161" s="263"/>
      <c r="AN161" s="263" t="b">
        <f>ROUND(Tableau1[[#This Row],[Montant Options coûts récurrents]],0)=ROUND(Tableau1[[#This Row],[GTRS1 (Coût Plage de support 24h/24 7j/7)]],0)</f>
        <v>1</v>
      </c>
      <c r="AO161" s="265" t="e">
        <f>_xlfn.XLOOKUP(Tableau1[[#This Row],[Code PAS]],'parc SATIN 08012026v'!K:K,'parc SATIN 08012026v'!#REF!,0,0)</f>
        <v>#REF!</v>
      </c>
      <c r="AP161" s="263" t="e">
        <f>VLOOKUP(Tableau1[[#This Row],[Code PAS]],#REF!,3,0)</f>
        <v>#REF!</v>
      </c>
      <c r="AQ161" s="263" t="e">
        <f>VLOOKUP(Tableau1[[#This Row],[Code PAS]],[14]Feuil1!$B:$G,6,0)</f>
        <v>#N/A</v>
      </c>
      <c r="AR161" s="263" t="str">
        <f>_xlfn.XLOOKUP(Tableau1[[#This Row],[Code PAS]],'Facturation PAS RIN5 RUN'!C:C,'Facturation PAS RIN5 RUN'!B:B,0,0)</f>
        <v>Silver_50_50</v>
      </c>
      <c r="AS161" s="263" t="b">
        <f>Tableau1[[#This Row],[Etat facturation]]=Tableau1[[#This Row],[Index offre du fournisseur]]</f>
        <v>1</v>
      </c>
      <c r="AT161" s="250" t="str">
        <f>_xlfn.XLOOKUP(Tableau1[[#This Row],[Code PAS]],'parc SATIN 08012026v'!K:K,'parc SATIN 08012026v'!M:M,0,0)</f>
        <v>PARC</v>
      </c>
      <c r="AU161" s="250" t="str">
        <f>_xlfn.XLOOKUP(Tableau1[[#This Row],[Code PAS]],'parc SATIN 08012026v'!K:K,'parc SATIN 08012026v'!O:O,0,0)</f>
        <v>PARC</v>
      </c>
      <c r="AV161" s="251">
        <f>_xlfn.XLOOKUP(Tableau1[[#This Row],[Code PAS]],'parc SATIN 08012026v'!K:K,'parc SATIN 08012026v'!Q:Q,0,0)</f>
        <v>45890</v>
      </c>
      <c r="AW161" s="251" t="str">
        <f>_xlfn.XLOOKUP(Tableau1[[#This Row],[Code PAS]],'parc SATIN 08012026v'!K:K,'parc SATIN 08012026v'!S:S,0,0)</f>
        <v>change</v>
      </c>
      <c r="AX161" s="250" t="str">
        <f>_xlfn.XLOOKUP(Tableau1[[#This Row],[Code PAS]],'parc SATIN 08012026v'!K:K,'parc SATIN 08012026v'!AF:AF,0,0)</f>
        <v>50 Mb/s</v>
      </c>
      <c r="AY16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62" spans="1:52" s="250" customFormat="1" ht="15" customHeight="1" x14ac:dyDescent="0.3">
      <c r="A162" s="250" t="s">
        <v>2758</v>
      </c>
      <c r="C162" s="249"/>
      <c r="D162" s="249"/>
      <c r="E162" s="250" t="s">
        <v>3093</v>
      </c>
      <c r="F162" s="984" t="s">
        <v>2639</v>
      </c>
      <c r="G162" s="250" t="s">
        <v>2800</v>
      </c>
      <c r="H162" s="250" t="s">
        <v>2867</v>
      </c>
      <c r="J162" s="248" t="str">
        <f>_xlfn.XLOOKUP(Tableau1[[#This Row],[Code PAS]],'[13]Parc Satin'!$L:$L,'[13]Parc Satin'!$CK:$CK,0,0)</f>
        <v>Nominal C2E sans Secours</v>
      </c>
      <c r="P162" s="820">
        <v>0</v>
      </c>
      <c r="Q162" s="820">
        <v>0</v>
      </c>
      <c r="R162" s="820">
        <v>0</v>
      </c>
      <c r="S162" s="820">
        <v>0</v>
      </c>
      <c r="T162" s="824">
        <v>290</v>
      </c>
      <c r="U162" s="824">
        <v>12</v>
      </c>
      <c r="V162" s="824">
        <v>0</v>
      </c>
      <c r="W162" s="824">
        <v>0</v>
      </c>
      <c r="X162" s="823">
        <f>Tableau1[[#This Row],[Coût Abonnement offre]]+Tableau1[[#This Row],[Coût Abonnement Chassis]]+Tableau1[[#This Row],[Cout Cartes interface ]]+Tableau1[[#This Row],[Cout canaux voix supplémentaire]]</f>
        <v>302</v>
      </c>
      <c r="Y162" s="824">
        <v>0</v>
      </c>
      <c r="Z162" s="966">
        <v>0</v>
      </c>
      <c r="AA162" s="966">
        <v>0</v>
      </c>
      <c r="AB162" s="969">
        <v>0</v>
      </c>
      <c r="AC162" s="969">
        <v>0</v>
      </c>
      <c r="AD162" s="969">
        <v>0</v>
      </c>
      <c r="AE162" s="264">
        <v>2</v>
      </c>
      <c r="AF162" s="264">
        <v>20</v>
      </c>
      <c r="AG162" s="264">
        <v>10</v>
      </c>
      <c r="AH162" s="264">
        <v>30</v>
      </c>
      <c r="AI162" s="973">
        <v>9</v>
      </c>
      <c r="AJ162" s="263">
        <v>2</v>
      </c>
      <c r="AK162" s="987">
        <v>20</v>
      </c>
      <c r="AL162" s="263">
        <f>VLOOKUP(Tableau1[[#This Row],[Code PAS]],'Facturation PAS RIN5 RUN'!C:F,4,0)</f>
        <v>0</v>
      </c>
      <c r="AM162" s="263"/>
      <c r="AN162" s="263" t="b">
        <f>ROUND(Tableau1[[#This Row],[Montant Options coûts récurrents]],0)=ROUND(Tableau1[[#This Row],[GTRS1 (Coût Plage de support 24h/24 7j/7)]],0)</f>
        <v>1</v>
      </c>
      <c r="AO162" s="265" t="e">
        <f>_xlfn.XLOOKUP(Tableau1[[#This Row],[Code PAS]],'parc SATIN 08012026v'!K:K,'parc SATIN 08012026v'!#REF!,0,0)</f>
        <v>#REF!</v>
      </c>
      <c r="AP162" s="263" t="e">
        <f>VLOOKUP(Tableau1[[#This Row],[Code PAS]],#REF!,3,0)</f>
        <v>#REF!</v>
      </c>
      <c r="AQ162" s="263" t="e">
        <f>VLOOKUP(Tableau1[[#This Row],[Code PAS]],[14]Feuil1!$B:$G,6,0)</f>
        <v>#N/A</v>
      </c>
      <c r="AR162" s="263" t="str">
        <f>_xlfn.XLOOKUP(Tableau1[[#This Row],[Code PAS]],'Facturation PAS RIN5 RUN'!C:C,'Facturation PAS RIN5 RUN'!B:B,0,0)</f>
        <v>Bronze_2_0</v>
      </c>
      <c r="AS162" s="263" t="b">
        <f>Tableau1[[#This Row],[Etat facturation]]=Tableau1[[#This Row],[Index offre du fournisseur]]</f>
        <v>1</v>
      </c>
      <c r="AT162" s="250" t="str">
        <f>_xlfn.XLOOKUP(Tableau1[[#This Row],[Code PAS]],'parc SATIN 08012026v'!K:K,'parc SATIN 08012026v'!M:M,0,0)</f>
        <v>PARC</v>
      </c>
      <c r="AU162" s="250" t="str">
        <f>_xlfn.XLOOKUP(Tableau1[[#This Row],[Code PAS]],'parc SATIN 08012026v'!K:K,'parc SATIN 08012026v'!O:O,0,0)</f>
        <v>PARC</v>
      </c>
      <c r="AV162" s="251">
        <f>_xlfn.XLOOKUP(Tableau1[[#This Row],[Code PAS]],'parc SATIN 08012026v'!K:K,'parc SATIN 08012026v'!Q:Q,0,0)</f>
        <v>44200</v>
      </c>
      <c r="AW162" s="251" t="str">
        <f>_xlfn.XLOOKUP(Tableau1[[#This Row],[Code PAS]],'parc SATIN 08012026v'!K:K,'parc SATIN 08012026v'!S:S,0,0)</f>
        <v>change</v>
      </c>
      <c r="AX162" s="250" t="str">
        <f>_xlfn.XLOOKUP(Tableau1[[#This Row],[Code PAS]],'parc SATIN 08012026v'!K:K,'parc SATIN 08012026v'!AF:AF,0,0)</f>
        <v>2 Mb/s</v>
      </c>
      <c r="AY16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162" s="250" t="s">
        <v>2868</v>
      </c>
    </row>
    <row r="163" spans="1:52" s="250" customFormat="1" ht="15" customHeight="1" x14ac:dyDescent="0.3">
      <c r="A163" s="250" t="s">
        <v>2739</v>
      </c>
      <c r="E163" s="250" t="s">
        <v>3094</v>
      </c>
      <c r="F163" s="984" t="s">
        <v>1636</v>
      </c>
      <c r="H163" s="250" t="s">
        <v>2751</v>
      </c>
      <c r="J163" s="248" t="str">
        <f>_xlfn.XLOOKUP(Tableau1[[#This Row],[Code PAS]],'[13]Parc Satin'!$L:$L,'[13]Parc Satin'!$CK:$CK,0,0)</f>
        <v>Nominal C2E Fibre sans Secours</v>
      </c>
      <c r="P163" s="824">
        <v>9407</v>
      </c>
      <c r="Q163" s="824">
        <v>0</v>
      </c>
      <c r="R163" s="824">
        <v>0</v>
      </c>
      <c r="S163" s="824">
        <v>0</v>
      </c>
      <c r="T163" s="823">
        <v>568</v>
      </c>
      <c r="U163" s="824">
        <v>22</v>
      </c>
      <c r="V163" s="823">
        <v>8</v>
      </c>
      <c r="W163" s="823">
        <v>0</v>
      </c>
      <c r="X163" s="823">
        <f>Tableau1[[#This Row],[Coût Abonnement offre]]+Tableau1[[#This Row],[Coût Abonnement Chassis]]+Tableau1[[#This Row],[Cout Cartes interface ]]+Tableau1[[#This Row],[Cout canaux voix supplémentaire]]</f>
        <v>598</v>
      </c>
      <c r="Y163" s="824">
        <v>0</v>
      </c>
      <c r="Z163" s="966">
        <v>0</v>
      </c>
      <c r="AA163" s="966">
        <v>0</v>
      </c>
      <c r="AB163" s="969">
        <v>0</v>
      </c>
      <c r="AC163" s="969">
        <v>0</v>
      </c>
      <c r="AD163" s="969">
        <v>0</v>
      </c>
      <c r="AE163" s="264">
        <v>10</v>
      </c>
      <c r="AF163" s="264">
        <v>120</v>
      </c>
      <c r="AG163" s="264">
        <v>60</v>
      </c>
      <c r="AH163" s="264">
        <v>180</v>
      </c>
      <c r="AI163" s="973">
        <v>5</v>
      </c>
      <c r="AJ163" s="263">
        <v>10</v>
      </c>
      <c r="AK163" s="987">
        <v>120</v>
      </c>
      <c r="AL163" s="263">
        <f>VLOOKUP(Tableau1[[#This Row],[Code PAS]],'Facturation PAS RIN5 RUN'!C:F,4,0)</f>
        <v>8</v>
      </c>
      <c r="AM163" s="263"/>
      <c r="AN163" s="263" t="b">
        <f>ROUND(Tableau1[[#This Row],[Montant Options coûts récurrents]],0)=ROUND(Tableau1[[#This Row],[GTRS1 (Coût Plage de support 24h/24 7j/7)]],0)</f>
        <v>0</v>
      </c>
      <c r="AO163" s="265" t="e">
        <f>_xlfn.XLOOKUP(Tableau1[[#This Row],[Code PAS]],'parc SATIN 08012026v'!K:K,'parc SATIN 08012026v'!#REF!,0,0)</f>
        <v>#REF!</v>
      </c>
      <c r="AP163" s="263" t="e">
        <f>VLOOKUP(Tableau1[[#This Row],[Code PAS]],#REF!,3,0)</f>
        <v>#REF!</v>
      </c>
      <c r="AQ163" s="263" t="e">
        <f>VLOOKUP(Tableau1[[#This Row],[Code PAS]],[14]Feuil1!$B:$G,6,0)</f>
        <v>#N/A</v>
      </c>
      <c r="AR163" s="263" t="str">
        <f>_xlfn.XLOOKUP(Tableau1[[#This Row],[Code PAS]],'Facturation PAS RIN5 RUN'!C:C,'Facturation PAS RIN5 RUN'!B:B,0,0)</f>
        <v>Bronze_10_0</v>
      </c>
      <c r="AS163" s="263" t="b">
        <f>Tableau1[[#This Row],[Etat facturation]]=Tableau1[[#This Row],[Index offre du fournisseur]]</f>
        <v>1</v>
      </c>
      <c r="AT163" s="250" t="str">
        <f>_xlfn.XLOOKUP(Tableau1[[#This Row],[Code PAS]],'parc SATIN 08012026v'!K:K,'parc SATIN 08012026v'!M:M,0,0)</f>
        <v>PARC</v>
      </c>
      <c r="AU163" s="250" t="str">
        <f>_xlfn.XLOOKUP(Tableau1[[#This Row],[Code PAS]],'parc SATIN 08012026v'!K:K,'parc SATIN 08012026v'!O:O,0,0)</f>
        <v>PARC</v>
      </c>
      <c r="AV163" s="251">
        <f>_xlfn.XLOOKUP(Tableau1[[#This Row],[Code PAS]],'parc SATIN 08012026v'!K:K,'parc SATIN 08012026v'!Q:Q,0,0)</f>
        <v>44691</v>
      </c>
      <c r="AW163" s="251" t="str">
        <f>_xlfn.XLOOKUP(Tableau1[[#This Row],[Code PAS]],'parc SATIN 08012026v'!K:K,'parc SATIN 08012026v'!S:S,0,0)</f>
        <v>création</v>
      </c>
      <c r="AX163" s="250" t="str">
        <f>_xlfn.XLOOKUP(Tableau1[[#This Row],[Code PAS]],'parc SATIN 08012026v'!K:K,'parc SATIN 08012026v'!AF:AF,0,0)</f>
        <v>10 Mb/s</v>
      </c>
      <c r="AY16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163" s="250" t="s">
        <v>2868</v>
      </c>
    </row>
    <row r="164" spans="1:52" s="250" customFormat="1" ht="15" customHeight="1" x14ac:dyDescent="0.3">
      <c r="A164" s="250" t="s">
        <v>2743</v>
      </c>
      <c r="C164" s="249"/>
      <c r="D164" s="249"/>
      <c r="E164" s="250" t="s">
        <v>3095</v>
      </c>
      <c r="F164" s="984" t="s">
        <v>1026</v>
      </c>
      <c r="H164" s="250" t="s">
        <v>2748</v>
      </c>
      <c r="J164" s="248" t="str">
        <f>_xlfn.XLOOKUP(Tableau1[[#This Row],[Code PAS]],'[13]Parc Satin'!$L:$L,'[13]Parc Satin'!$CK:$CK,0,0)</f>
        <v>Nominal C2E Fibre Secours C2E Fibre</v>
      </c>
      <c r="P164" s="820">
        <v>0</v>
      </c>
      <c r="Q164" s="820">
        <v>0</v>
      </c>
      <c r="R164" s="820">
        <v>0</v>
      </c>
      <c r="S164" s="820">
        <v>0</v>
      </c>
      <c r="T164" s="824">
        <v>1149</v>
      </c>
      <c r="U164" s="824">
        <v>44</v>
      </c>
      <c r="V164" s="824">
        <v>32</v>
      </c>
      <c r="W164" s="824">
        <v>0</v>
      </c>
      <c r="X164" s="823">
        <f>Tableau1[[#This Row],[Coût Abonnement offre]]+Tableau1[[#This Row],[Coût Abonnement Chassis]]+Tableau1[[#This Row],[Cout Cartes interface ]]+Tableau1[[#This Row],[Cout canaux voix supplémentaire]]</f>
        <v>1225</v>
      </c>
      <c r="Y164" s="824">
        <v>0</v>
      </c>
      <c r="Z164" s="966">
        <v>0</v>
      </c>
      <c r="AA164" s="966">
        <v>0</v>
      </c>
      <c r="AB164" s="969">
        <v>0</v>
      </c>
      <c r="AC164" s="969">
        <v>0</v>
      </c>
      <c r="AD164" s="969">
        <v>0</v>
      </c>
      <c r="AE164" s="264">
        <v>20</v>
      </c>
      <c r="AF164" s="264">
        <v>300</v>
      </c>
      <c r="AG164" s="264">
        <v>50</v>
      </c>
      <c r="AH164" s="264">
        <v>350</v>
      </c>
      <c r="AI164" s="973">
        <v>5</v>
      </c>
      <c r="AJ164" s="263">
        <v>20</v>
      </c>
      <c r="AK164" s="987">
        <v>300</v>
      </c>
      <c r="AL164" s="263">
        <f>VLOOKUP(Tableau1[[#This Row],[Code PAS]],'Facturation PAS RIN5 RUN'!C:F,4,0)</f>
        <v>32</v>
      </c>
      <c r="AM164" s="263"/>
      <c r="AN164" s="263" t="b">
        <f>ROUND(Tableau1[[#This Row],[Montant Options coûts récurrents]],0)=ROUND(Tableau1[[#This Row],[GTRS1 (Coût Plage de support 24h/24 7j/7)]],0)</f>
        <v>0</v>
      </c>
      <c r="AO164" s="265" t="e">
        <f>_xlfn.XLOOKUP(Tableau1[[#This Row],[Code PAS]],'parc SATIN 08012026v'!K:K,'parc SATIN 08012026v'!#REF!,0,0)</f>
        <v>#REF!</v>
      </c>
      <c r="AP164" s="263" t="e">
        <f>VLOOKUP(Tableau1[[#This Row],[Code PAS]],#REF!,3,0)</f>
        <v>#REF!</v>
      </c>
      <c r="AQ164" s="263" t="e">
        <f>VLOOKUP(Tableau1[[#This Row],[Code PAS]],[14]Feuil1!$B:$G,6,0)</f>
        <v>#N/A</v>
      </c>
      <c r="AR164" s="263" t="str">
        <f>_xlfn.XLOOKUP(Tableau1[[#This Row],[Code PAS]],'Facturation PAS RIN5 RUN'!C:C,'Facturation PAS RIN5 RUN'!B:B,0,0)</f>
        <v>Gold_20_20</v>
      </c>
      <c r="AS164" s="263" t="b">
        <f>Tableau1[[#This Row],[Etat facturation]]=Tableau1[[#This Row],[Index offre du fournisseur]]</f>
        <v>1</v>
      </c>
      <c r="AT164" s="250" t="str">
        <f>_xlfn.XLOOKUP(Tableau1[[#This Row],[Code PAS]],'parc SATIN 08012026v'!K:K,'parc SATIN 08012026v'!M:M,0,0)</f>
        <v>PARC</v>
      </c>
      <c r="AU164" s="250" t="str">
        <f>_xlfn.XLOOKUP(Tableau1[[#This Row],[Code PAS]],'parc SATIN 08012026v'!K:K,'parc SATIN 08012026v'!O:O,0,0)</f>
        <v>PARC</v>
      </c>
      <c r="AV164" s="251">
        <f>_xlfn.XLOOKUP(Tableau1[[#This Row],[Code PAS]],'parc SATIN 08012026v'!K:K,'parc SATIN 08012026v'!Q:Q,0,0)</f>
        <v>43872</v>
      </c>
      <c r="AW164" s="251" t="str">
        <f>_xlfn.XLOOKUP(Tableau1[[#This Row],[Code PAS]],'parc SATIN 08012026v'!K:K,'parc SATIN 08012026v'!S:S,0,0)</f>
        <v>change</v>
      </c>
      <c r="AX164" s="250" t="str">
        <f>_xlfn.XLOOKUP(Tableau1[[#This Row],[Code PAS]],'parc SATIN 08012026v'!K:K,'parc SATIN 08012026v'!AF:AF,0,0)</f>
        <v>20 Mb/s</v>
      </c>
      <c r="AY16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164" s="250" t="s">
        <v>2868</v>
      </c>
    </row>
    <row r="165" spans="1:52" s="250" customFormat="1" ht="15" customHeight="1" x14ac:dyDescent="0.3">
      <c r="A165" s="248"/>
      <c r="B165" s="249">
        <v>45793</v>
      </c>
      <c r="C165" s="249"/>
      <c r="D165" s="249"/>
      <c r="E165" s="250" t="s">
        <v>3096</v>
      </c>
      <c r="F165" s="984" t="s">
        <v>1812</v>
      </c>
      <c r="G165" s="250" t="s">
        <v>2742</v>
      </c>
      <c r="H165" s="250" t="s">
        <v>2742</v>
      </c>
      <c r="I165" s="250" t="s">
        <v>78</v>
      </c>
      <c r="J165" s="248" t="str">
        <f>_xlfn.XLOOKUP(Tableau1[[#This Row],[Code PAS]],'[13]Parc Satin'!$L:$L,'[13]Parc Satin'!$CK:$CK,0,0)</f>
        <v>Nominal InterLan 1.0 Secours InterLan 1.0</v>
      </c>
      <c r="K165" s="250" t="s">
        <v>2860</v>
      </c>
      <c r="L165" s="250">
        <v>800</v>
      </c>
      <c r="M165" s="250">
        <v>2800</v>
      </c>
      <c r="N165" s="252"/>
      <c r="O165" s="252" t="s">
        <v>74</v>
      </c>
      <c r="P165" s="824">
        <v>0</v>
      </c>
      <c r="Q165" s="824">
        <v>652</v>
      </c>
      <c r="R165" s="824">
        <v>0</v>
      </c>
      <c r="S165" s="824">
        <v>652</v>
      </c>
      <c r="T165" s="824">
        <v>1842</v>
      </c>
      <c r="U165" s="824">
        <v>142</v>
      </c>
      <c r="V165" s="824">
        <v>16</v>
      </c>
      <c r="W165" s="824">
        <v>252</v>
      </c>
      <c r="X165" s="824">
        <f>Tableau1[[#This Row],[Coût Abonnement offre]]+Tableau1[[#This Row],[Coût Abonnement Chassis]]+Tableau1[[#This Row],[Cout Cartes interface ]]+Tableau1[[#This Row],[Cout canaux voix supplémentaire]]</f>
        <v>2252</v>
      </c>
      <c r="Y165" s="824">
        <v>0</v>
      </c>
      <c r="Z165" s="966">
        <v>0</v>
      </c>
      <c r="AA165" s="966">
        <v>0</v>
      </c>
      <c r="AB165" s="969">
        <v>0</v>
      </c>
      <c r="AC165" s="969">
        <v>0</v>
      </c>
      <c r="AD165" s="969">
        <v>0</v>
      </c>
      <c r="AE165" s="264">
        <v>200</v>
      </c>
      <c r="AF165" s="264">
        <v>800</v>
      </c>
      <c r="AG165" s="264">
        <v>2800</v>
      </c>
      <c r="AH165" s="264">
        <v>3600</v>
      </c>
      <c r="AI165" s="973">
        <v>252</v>
      </c>
      <c r="AJ165" s="263">
        <v>200</v>
      </c>
      <c r="AK165" s="987">
        <v>3600</v>
      </c>
      <c r="AL165" s="263">
        <f>VLOOKUP(Tableau1[[#This Row],[Code PAS]],'Facturation PAS RIN5 RUN'!C:F,4,0)</f>
        <v>16</v>
      </c>
      <c r="AM165" s="263"/>
      <c r="AN165" s="263" t="b">
        <f>ROUND(Tableau1[[#This Row],[Montant Options coûts récurrents]],0)=ROUND(Tableau1[[#This Row],[GTRS1 (Coût Plage de support 24h/24 7j/7)]],0)</f>
        <v>0</v>
      </c>
      <c r="AO165" s="265" t="e">
        <f>_xlfn.XLOOKUP(Tableau1[[#This Row],[Code PAS]],'parc SATIN 08012026v'!K:K,'parc SATIN 08012026v'!#REF!,0,0)</f>
        <v>#REF!</v>
      </c>
      <c r="AP165" s="263" t="e">
        <f>VLOOKUP(Tableau1[[#This Row],[Code PAS]],#REF!,3,0)</f>
        <v>#REF!</v>
      </c>
      <c r="AQ165" s="263" t="e">
        <f>VLOOKUP(Tableau1[[#This Row],[Code PAS]],[14]Feuil1!$B:$G,6,0)</f>
        <v>#N/A</v>
      </c>
      <c r="AR165" s="263" t="str">
        <f>_xlfn.XLOOKUP(Tableau1[[#This Row],[Code PAS]],'Facturation PAS RIN5 RUN'!C:C,'Facturation PAS RIN5 RUN'!B:B,0,0)</f>
        <v>Gold_200_200</v>
      </c>
      <c r="AS165" s="263" t="b">
        <f>Tableau1[[#This Row],[Etat facturation]]=Tableau1[[#This Row],[Index offre du fournisseur]]</f>
        <v>1</v>
      </c>
      <c r="AT165" s="250" t="str">
        <f>_xlfn.XLOOKUP(Tableau1[[#This Row],[Code PAS]],'parc SATIN 08012026v'!K:K,'parc SATIN 08012026v'!M:M,0,0)</f>
        <v>PARC</v>
      </c>
      <c r="AU165" s="250" t="str">
        <f>_xlfn.XLOOKUP(Tableau1[[#This Row],[Code PAS]],'parc SATIN 08012026v'!K:K,'parc SATIN 08012026v'!O:O,0,0)</f>
        <v>PARC</v>
      </c>
      <c r="AV165" s="251">
        <f>_xlfn.XLOOKUP(Tableau1[[#This Row],[Code PAS]],'parc SATIN 08012026v'!K:K,'parc SATIN 08012026v'!Q:Q,0,0)</f>
        <v>45793</v>
      </c>
      <c r="AW165" s="251" t="str">
        <f>_xlfn.XLOOKUP(Tableau1[[#This Row],[Code PAS]],'parc SATIN 08012026v'!K:K,'parc SATIN 08012026v'!S:S,0,0)</f>
        <v>création</v>
      </c>
      <c r="AX165" s="250" t="str">
        <f>_xlfn.XLOOKUP(Tableau1[[#This Row],[Code PAS]],'parc SATIN 08012026v'!K:K,'parc SATIN 08012026v'!AF:AF,0,0)</f>
        <v>200 Mb/s</v>
      </c>
      <c r="AY16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200</v>
      </c>
    </row>
    <row r="166" spans="1:52" s="250" customFormat="1" ht="15" customHeight="1" x14ac:dyDescent="0.3">
      <c r="A166" s="248"/>
      <c r="B166" s="248"/>
      <c r="C166" s="249"/>
      <c r="D166" s="249"/>
      <c r="E166" s="250" t="s">
        <v>3097</v>
      </c>
      <c r="F166" s="984" t="s">
        <v>1694</v>
      </c>
      <c r="G166" s="250" t="s">
        <v>2745</v>
      </c>
      <c r="H166" s="250" t="s">
        <v>2745</v>
      </c>
      <c r="I166" s="250" t="s">
        <v>78</v>
      </c>
      <c r="J166" s="248" t="str">
        <f>_xlfn.XLOOKUP(Tableau1[[#This Row],[Code PAS]],'[13]Parc Satin'!$L:$L,'[13]Parc Satin'!$CK:$CK,0,0)</f>
        <v>Nominal InterLan 1.0 Secours InterLan 1.0</v>
      </c>
      <c r="K166" s="250" t="s">
        <v>2860</v>
      </c>
      <c r="L166" s="250">
        <v>600</v>
      </c>
      <c r="M166" s="250">
        <v>1200</v>
      </c>
      <c r="N166" s="252">
        <v>1</v>
      </c>
      <c r="O166" s="252" t="s">
        <v>74</v>
      </c>
      <c r="P166" s="824">
        <v>0</v>
      </c>
      <c r="Q166" s="824">
        <v>652</v>
      </c>
      <c r="R166" s="824">
        <v>0</v>
      </c>
      <c r="S166" s="824">
        <v>652</v>
      </c>
      <c r="T166" s="824">
        <v>1628</v>
      </c>
      <c r="U166" s="824">
        <v>239</v>
      </c>
      <c r="V166" s="824">
        <v>32</v>
      </c>
      <c r="W166" s="824">
        <v>108</v>
      </c>
      <c r="X166" s="824">
        <f>Tableau1[[#This Row],[Coût Abonnement offre]]+Tableau1[[#This Row],[Coût Abonnement Chassis]]+Tableau1[[#This Row],[Cout Cartes interface ]]+Tableau1[[#This Row],[Cout canaux voix supplémentaire]]</f>
        <v>2007</v>
      </c>
      <c r="Y166" s="824">
        <v>0</v>
      </c>
      <c r="Z166" s="966">
        <v>0</v>
      </c>
      <c r="AA166" s="966">
        <v>0</v>
      </c>
      <c r="AB166" s="969">
        <v>0</v>
      </c>
      <c r="AC166" s="969">
        <v>0</v>
      </c>
      <c r="AD166" s="969">
        <v>0</v>
      </c>
      <c r="AE166" s="264">
        <v>100</v>
      </c>
      <c r="AF166" s="264">
        <v>600</v>
      </c>
      <c r="AG166" s="264">
        <v>1200</v>
      </c>
      <c r="AH166" s="264">
        <v>1800</v>
      </c>
      <c r="AI166" s="973">
        <v>108</v>
      </c>
      <c r="AJ166" s="263">
        <v>100</v>
      </c>
      <c r="AK166" s="987">
        <v>1800</v>
      </c>
      <c r="AL166" s="263">
        <f>VLOOKUP(Tableau1[[#This Row],[Code PAS]],'Facturation PAS RIN5 RUN'!C:F,4,0)</f>
        <v>32</v>
      </c>
      <c r="AM166" s="263"/>
      <c r="AN166" s="263" t="b">
        <f>ROUND(Tableau1[[#This Row],[Montant Options coûts récurrents]],0)=ROUND(Tableau1[[#This Row],[GTRS1 (Coût Plage de support 24h/24 7j/7)]],0)</f>
        <v>0</v>
      </c>
      <c r="AO166" s="265" t="e">
        <f>_xlfn.XLOOKUP(Tableau1[[#This Row],[Code PAS]],'parc SATIN 08012026v'!K:K,'parc SATIN 08012026v'!#REF!,0,0)</f>
        <v>#REF!</v>
      </c>
      <c r="AP166" s="263" t="e">
        <f>VLOOKUP(Tableau1[[#This Row],[Code PAS]],#REF!,3,0)</f>
        <v>#REF!</v>
      </c>
      <c r="AQ166" s="263" t="e">
        <f>VLOOKUP(Tableau1[[#This Row],[Code PAS]],[14]Feuil1!$B:$G,6,0)</f>
        <v>#N/A</v>
      </c>
      <c r="AR166" s="263" t="str">
        <f>_xlfn.XLOOKUP(Tableau1[[#This Row],[Code PAS]],'Facturation PAS RIN5 RUN'!C:C,'Facturation PAS RIN5 RUN'!B:B,0,0)</f>
        <v>Gold_100_100</v>
      </c>
      <c r="AS166" s="263" t="b">
        <f>Tableau1[[#This Row],[Etat facturation]]=Tableau1[[#This Row],[Index offre du fournisseur]]</f>
        <v>1</v>
      </c>
      <c r="AT166" s="250" t="str">
        <f>_xlfn.XLOOKUP(Tableau1[[#This Row],[Code PAS]],'parc SATIN 08012026v'!K:K,'parc SATIN 08012026v'!M:M,0,0)</f>
        <v>PARC</v>
      </c>
      <c r="AU166" s="250" t="str">
        <f>_xlfn.XLOOKUP(Tableau1[[#This Row],[Code PAS]],'parc SATIN 08012026v'!K:K,'parc SATIN 08012026v'!O:O,0,0)</f>
        <v>PARC</v>
      </c>
      <c r="AV166" s="251">
        <f>_xlfn.XLOOKUP(Tableau1[[#This Row],[Code PAS]],'parc SATIN 08012026v'!K:K,'parc SATIN 08012026v'!Q:Q,0,0)</f>
        <v>45187</v>
      </c>
      <c r="AW166" s="251" t="str">
        <f>_xlfn.XLOOKUP(Tableau1[[#This Row],[Code PAS]],'parc SATIN 08012026v'!K:K,'parc SATIN 08012026v'!S:S,0,0)</f>
        <v>création</v>
      </c>
      <c r="AX166" s="250" t="str">
        <f>_xlfn.XLOOKUP(Tableau1[[#This Row],[Code PAS]],'parc SATIN 08012026v'!K:K,'parc SATIN 08012026v'!AF:AF,0,0)</f>
        <v>100 Mb/s</v>
      </c>
      <c r="AY16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167" spans="1:52" s="250" customFormat="1" ht="15" customHeight="1" x14ac:dyDescent="0.3">
      <c r="A167" s="248" t="s">
        <v>2735</v>
      </c>
      <c r="B167" s="248"/>
      <c r="C167" s="249"/>
      <c r="D167" s="249"/>
      <c r="E167" s="248" t="s">
        <v>3098</v>
      </c>
      <c r="F167" s="981" t="s">
        <v>760</v>
      </c>
      <c r="H167" s="248" t="s">
        <v>3036</v>
      </c>
      <c r="I167" s="248"/>
      <c r="J167" s="248" t="str">
        <f>_xlfn.XLOOKUP(Tableau1[[#This Row],[Code PAS]],'[13]Parc Satin'!$L:$L,'[13]Parc Satin'!$CK:$CK,0,0)</f>
        <v>Nominal InterLan 1.0 Secours InterLan 1.0</v>
      </c>
      <c r="K167" s="248"/>
      <c r="L167" s="248"/>
      <c r="M167" s="248"/>
      <c r="N167" s="248"/>
      <c r="O167" s="248"/>
      <c r="P167" s="822">
        <v>4280</v>
      </c>
      <c r="Q167" s="822">
        <v>0</v>
      </c>
      <c r="R167" s="822">
        <v>0</v>
      </c>
      <c r="S167" s="822">
        <v>0</v>
      </c>
      <c r="T167" s="823">
        <v>2032</v>
      </c>
      <c r="U167" s="823">
        <v>239</v>
      </c>
      <c r="V167" s="823">
        <v>32</v>
      </c>
      <c r="W167" s="823">
        <v>171</v>
      </c>
      <c r="X167" s="823">
        <f>Tableau1[[#This Row],[Coût Abonnement offre]]+Tableau1[[#This Row],[Coût Abonnement Chassis]]+Tableau1[[#This Row],[Cout Cartes interface ]]+Tableau1[[#This Row],[Cout canaux voix supplémentaire]]</f>
        <v>2474</v>
      </c>
      <c r="Y167" s="823"/>
      <c r="Z167" s="966">
        <v>0</v>
      </c>
      <c r="AA167" s="966">
        <v>0</v>
      </c>
      <c r="AB167" s="969">
        <v>0</v>
      </c>
      <c r="AC167" s="969">
        <v>0</v>
      </c>
      <c r="AD167" s="969">
        <v>0</v>
      </c>
      <c r="AE167" s="264">
        <v>150</v>
      </c>
      <c r="AF167" s="264">
        <v>700</v>
      </c>
      <c r="AG167" s="264">
        <v>1900</v>
      </c>
      <c r="AH167" s="264">
        <v>2600</v>
      </c>
      <c r="AI167" s="973">
        <v>171</v>
      </c>
      <c r="AJ167" s="263">
        <v>150</v>
      </c>
      <c r="AK167" s="987">
        <v>2600</v>
      </c>
      <c r="AL167" s="263">
        <f>VLOOKUP(Tableau1[[#This Row],[Code PAS]],'Facturation PAS RIN5 RUN'!C:F,4,0)</f>
        <v>32</v>
      </c>
      <c r="AM167" s="263"/>
      <c r="AN167" s="263" t="b">
        <f>ROUND(Tableau1[[#This Row],[Montant Options coûts récurrents]],0)=ROUND(Tableau1[[#This Row],[GTRS1 (Coût Plage de support 24h/24 7j/7)]],0)</f>
        <v>0</v>
      </c>
      <c r="AO167" s="265" t="e">
        <f>_xlfn.XLOOKUP(Tableau1[[#This Row],[Code PAS]],'parc SATIN 08012026v'!K:K,'parc SATIN 08012026v'!#REF!,0,0)</f>
        <v>#REF!</v>
      </c>
      <c r="AP167" s="263" t="e">
        <f>VLOOKUP(Tableau1[[#This Row],[Code PAS]],#REF!,3,0)</f>
        <v>#REF!</v>
      </c>
      <c r="AQ167" s="263" t="str">
        <f>VLOOKUP(Tableau1[[#This Row],[Code PAS]],[14]Feuil1!$B:$G,6,0)</f>
        <v>Lundi au Samedi 8h-18h</v>
      </c>
      <c r="AR167" s="263" t="str">
        <f>_xlfn.XLOOKUP(Tableau1[[#This Row],[Code PAS]],'Facturation PAS RIN5 RUN'!C:C,'Facturation PAS RIN5 RUN'!B:B,0,0)</f>
        <v>Platinum_150_150</v>
      </c>
      <c r="AS167" s="263" t="b">
        <f>Tableau1[[#This Row],[Etat facturation]]=Tableau1[[#This Row],[Index offre du fournisseur]]</f>
        <v>1</v>
      </c>
      <c r="AT167" s="250" t="str">
        <f>_xlfn.XLOOKUP(Tableau1[[#This Row],[Code PAS]],'parc SATIN 08012026v'!K:K,'parc SATIN 08012026v'!M:M,0,0)</f>
        <v>PARC</v>
      </c>
      <c r="AU167" s="250" t="str">
        <f>_xlfn.XLOOKUP(Tableau1[[#This Row],[Code PAS]],'parc SATIN 08012026v'!K:K,'parc SATIN 08012026v'!O:O,0,0)</f>
        <v>PARC</v>
      </c>
      <c r="AV167" s="251">
        <f>_xlfn.XLOOKUP(Tableau1[[#This Row],[Code PAS]],'parc SATIN 08012026v'!K:K,'parc SATIN 08012026v'!Q:Q,0,0)</f>
        <v>45890</v>
      </c>
      <c r="AW167" s="251" t="str">
        <f>_xlfn.XLOOKUP(Tableau1[[#This Row],[Code PAS]],'parc SATIN 08012026v'!K:K,'parc SATIN 08012026v'!S:S,0,0)</f>
        <v>change</v>
      </c>
      <c r="AX167" s="250" t="str">
        <f>_xlfn.XLOOKUP(Tableau1[[#This Row],[Code PAS]],'parc SATIN 08012026v'!K:K,'parc SATIN 08012026v'!AF:AF,0,0)</f>
        <v>150 Mb/s</v>
      </c>
      <c r="AY16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150</v>
      </c>
    </row>
    <row r="168" spans="1:52" s="250" customFormat="1" ht="15" customHeight="1" x14ac:dyDescent="0.3">
      <c r="A168" s="250" t="s">
        <v>2739</v>
      </c>
      <c r="B168" s="249">
        <v>45580</v>
      </c>
      <c r="C168" s="249">
        <v>45580</v>
      </c>
      <c r="D168" s="249"/>
      <c r="E168" s="250" t="s">
        <v>3099</v>
      </c>
      <c r="F168" s="984" t="s">
        <v>1645</v>
      </c>
      <c r="G168" s="250" t="s">
        <v>3100</v>
      </c>
      <c r="H168" s="250" t="s">
        <v>3100</v>
      </c>
      <c r="I168" s="250" t="s">
        <v>165</v>
      </c>
      <c r="J168" s="248" t="str">
        <f>_xlfn.XLOOKUP(Tableau1[[#This Row],[Code PAS]],'[13]Parc Satin'!$L:$L,'[13]Parc Satin'!$CK:$CK,0,0)</f>
        <v>Nominal C2E Fibre Secours C2E Fibre</v>
      </c>
      <c r="K168" s="250" t="s">
        <v>2814</v>
      </c>
      <c r="L168" s="250">
        <v>600</v>
      </c>
      <c r="M168" s="250">
        <v>1200</v>
      </c>
      <c r="O168" s="250" t="s">
        <v>74</v>
      </c>
      <c r="P168" s="824">
        <v>0</v>
      </c>
      <c r="Q168" s="824">
        <v>228</v>
      </c>
      <c r="R168" s="824">
        <v>0</v>
      </c>
      <c r="S168" s="824">
        <v>228</v>
      </c>
      <c r="T168" s="824">
        <v>4054</v>
      </c>
      <c r="U168" s="824">
        <v>84</v>
      </c>
      <c r="V168" s="824">
        <v>0</v>
      </c>
      <c r="W168" s="824">
        <v>108</v>
      </c>
      <c r="X168" s="824">
        <f>Tableau1[[#This Row],[Coût Abonnement offre]]+Tableau1[[#This Row],[Coût Abonnement Chassis]]+Tableau1[[#This Row],[Cout Cartes interface ]]+Tableau1[[#This Row],[Cout canaux voix supplémentaire]]</f>
        <v>4246</v>
      </c>
      <c r="Y168" s="824">
        <v>0</v>
      </c>
      <c r="Z168" s="966">
        <v>0</v>
      </c>
      <c r="AA168" s="966">
        <v>0</v>
      </c>
      <c r="AB168" s="969">
        <v>0</v>
      </c>
      <c r="AC168" s="969">
        <v>0</v>
      </c>
      <c r="AD168" s="969">
        <v>0</v>
      </c>
      <c r="AE168" s="264">
        <v>100</v>
      </c>
      <c r="AF168" s="264">
        <v>600</v>
      </c>
      <c r="AG168" s="264">
        <v>1200</v>
      </c>
      <c r="AH168" s="264">
        <v>1800</v>
      </c>
      <c r="AI168" s="973">
        <v>108</v>
      </c>
      <c r="AJ168" s="263">
        <v>100</v>
      </c>
      <c r="AK168" s="987">
        <v>1800</v>
      </c>
      <c r="AL168" s="263">
        <f>VLOOKUP(Tableau1[[#This Row],[Code PAS]],'Facturation PAS RIN5 RUN'!C:F,4,0)</f>
        <v>0</v>
      </c>
      <c r="AM168" s="263"/>
      <c r="AN168" s="263" t="b">
        <f>ROUND(Tableau1[[#This Row],[Montant Options coûts récurrents]],0)=ROUND(Tableau1[[#This Row],[GTRS1 (Coût Plage de support 24h/24 7j/7)]],0)</f>
        <v>1</v>
      </c>
      <c r="AO168" s="265" t="e">
        <f>_xlfn.XLOOKUP(Tableau1[[#This Row],[Code PAS]],'parc SATIN 08012026v'!K:K,'parc SATIN 08012026v'!#REF!,0,0)</f>
        <v>#REF!</v>
      </c>
      <c r="AP168" s="263" t="e">
        <f>VLOOKUP(Tableau1[[#This Row],[Code PAS]],#REF!,3,0)</f>
        <v>#REF!</v>
      </c>
      <c r="AQ168" s="263" t="e">
        <f>VLOOKUP(Tableau1[[#This Row],[Code PAS]],[14]Feuil1!$B:$G,6,0)</f>
        <v>#N/A</v>
      </c>
      <c r="AR168" s="263" t="str">
        <f>_xlfn.XLOOKUP(Tableau1[[#This Row],[Code PAS]],'Facturation PAS RIN5 RUN'!C:C,'Facturation PAS RIN5 RUN'!B:B,0,0)</f>
        <v>Silver_100_100</v>
      </c>
      <c r="AS168" s="263" t="b">
        <f>Tableau1[[#This Row],[Etat facturation]]=Tableau1[[#This Row],[Index offre du fournisseur]]</f>
        <v>1</v>
      </c>
      <c r="AT168" s="250" t="str">
        <f>_xlfn.XLOOKUP(Tableau1[[#This Row],[Code PAS]],'parc SATIN 08012026v'!K:K,'parc SATIN 08012026v'!M:M,0,0)</f>
        <v>PARC</v>
      </c>
      <c r="AU168" s="250" t="str">
        <f>_xlfn.XLOOKUP(Tableau1[[#This Row],[Code PAS]],'parc SATIN 08012026v'!K:K,'parc SATIN 08012026v'!O:O,0,0)</f>
        <v>PARC</v>
      </c>
      <c r="AV168" s="251">
        <f>_xlfn.XLOOKUP(Tableau1[[#This Row],[Code PAS]],'parc SATIN 08012026v'!K:K,'parc SATIN 08012026v'!Q:Q,0,0)</f>
        <v>45595</v>
      </c>
      <c r="AW168" s="251" t="str">
        <f>_xlfn.XLOOKUP(Tableau1[[#This Row],[Code PAS]],'parc SATIN 08012026v'!K:K,'parc SATIN 08012026v'!S:S,0,0)</f>
        <v>change</v>
      </c>
      <c r="AX168" s="250" t="str">
        <f>_xlfn.XLOOKUP(Tableau1[[#This Row],[Code PAS]],'parc SATIN 08012026v'!K:K,'parc SATIN 08012026v'!AF:AF,0,0)</f>
        <v>100 Mb/s</v>
      </c>
      <c r="AY16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169" spans="1:52" s="250" customFormat="1" ht="15" customHeight="1" x14ac:dyDescent="0.3">
      <c r="A169" s="248"/>
      <c r="B169" s="249">
        <v>45848</v>
      </c>
      <c r="C169" s="249"/>
      <c r="D169" s="249"/>
      <c r="E169" s="250" t="s">
        <v>3101</v>
      </c>
      <c r="F169" s="984" t="s">
        <v>1902</v>
      </c>
      <c r="G169" s="250" t="s">
        <v>3102</v>
      </c>
      <c r="H169" s="250" t="s">
        <v>3102</v>
      </c>
      <c r="I169" s="250" t="s">
        <v>165</v>
      </c>
      <c r="J169" s="248" t="str">
        <f>_xlfn.XLOOKUP(Tableau1[[#This Row],[Code PAS]],'[13]Parc Satin'!$L:$L,'[13]Parc Satin'!$CK:$CK,0,0)</f>
        <v>Nominal C2E Fibre sans Secours</v>
      </c>
      <c r="L169" s="250">
        <v>500</v>
      </c>
      <c r="M169" s="250">
        <v>400</v>
      </c>
      <c r="N169" s="250">
        <v>1</v>
      </c>
      <c r="O169" s="250" t="s">
        <v>74</v>
      </c>
      <c r="P169" s="824">
        <v>602</v>
      </c>
      <c r="Q169" s="824">
        <v>0</v>
      </c>
      <c r="R169" s="824">
        <v>0</v>
      </c>
      <c r="S169" s="824">
        <v>602</v>
      </c>
      <c r="T169" s="824">
        <v>861</v>
      </c>
      <c r="U169" s="824">
        <v>42</v>
      </c>
      <c r="V169" s="824">
        <v>0</v>
      </c>
      <c r="W169" s="824">
        <v>36</v>
      </c>
      <c r="X169" s="824">
        <f>Tableau1[[#This Row],[Coût Abonnement offre]]+Tableau1[[#This Row],[Coût Abonnement Chassis]]+Tableau1[[#This Row],[Cout Cartes interface ]]+Tableau1[[#This Row],[Cout canaux voix supplémentaire]]</f>
        <v>939</v>
      </c>
      <c r="Y169" s="824">
        <v>0</v>
      </c>
      <c r="Z169" s="966">
        <v>0</v>
      </c>
      <c r="AA169" s="966">
        <v>0</v>
      </c>
      <c r="AB169" s="969">
        <v>0</v>
      </c>
      <c r="AC169" s="969">
        <v>0</v>
      </c>
      <c r="AD169" s="969">
        <v>0</v>
      </c>
      <c r="AE169" s="264">
        <v>50</v>
      </c>
      <c r="AF169" s="264">
        <v>500</v>
      </c>
      <c r="AG169" s="264">
        <v>400</v>
      </c>
      <c r="AH169" s="264">
        <v>900</v>
      </c>
      <c r="AI169" s="973">
        <v>36</v>
      </c>
      <c r="AJ169" s="263">
        <v>50</v>
      </c>
      <c r="AK169" s="987">
        <v>900</v>
      </c>
      <c r="AL169" s="263">
        <f>VLOOKUP(Tableau1[[#This Row],[Code PAS]],'Facturation PAS RIN5 RUN'!C:F,4,0)</f>
        <v>0</v>
      </c>
      <c r="AM169" s="263"/>
      <c r="AN169" s="263" t="b">
        <f>ROUND(Tableau1[[#This Row],[Montant Options coûts récurrents]],0)=ROUND(Tableau1[[#This Row],[GTRS1 (Coût Plage de support 24h/24 7j/7)]],0)</f>
        <v>1</v>
      </c>
      <c r="AO169" s="265" t="e">
        <f>_xlfn.XLOOKUP(Tableau1[[#This Row],[Code PAS]],'parc SATIN 08012026v'!K:K,'parc SATIN 08012026v'!#REF!,0,0)</f>
        <v>#REF!</v>
      </c>
      <c r="AP169" s="263" t="e">
        <f>VLOOKUP(Tableau1[[#This Row],[Code PAS]],#REF!,3,0)</f>
        <v>#REF!</v>
      </c>
      <c r="AQ169" s="263" t="e">
        <f>VLOOKUP(Tableau1[[#This Row],[Code PAS]],[14]Feuil1!$B:$G,6,0)</f>
        <v>#N/A</v>
      </c>
      <c r="AR169" s="263" t="str">
        <f>_xlfn.XLOOKUP(Tableau1[[#This Row],[Code PAS]],'Facturation PAS RIN5 RUN'!C:C,'Facturation PAS RIN5 RUN'!B:B,0,0)</f>
        <v>Bronze_50_0</v>
      </c>
      <c r="AS169" s="263" t="b">
        <f>Tableau1[[#This Row],[Etat facturation]]=Tableau1[[#This Row],[Index offre du fournisseur]]</f>
        <v>1</v>
      </c>
      <c r="AT169" s="250" t="str">
        <f>_xlfn.XLOOKUP(Tableau1[[#This Row],[Code PAS]],'parc SATIN 08012026v'!K:K,'parc SATIN 08012026v'!M:M,0,0)</f>
        <v>PARC</v>
      </c>
      <c r="AU169" s="250" t="str">
        <f>_xlfn.XLOOKUP(Tableau1[[#This Row],[Code PAS]],'parc SATIN 08012026v'!K:K,'parc SATIN 08012026v'!O:O,0,0)</f>
        <v>PARC</v>
      </c>
      <c r="AV169" s="251">
        <f>_xlfn.XLOOKUP(Tableau1[[#This Row],[Code PAS]],'parc SATIN 08012026v'!K:K,'parc SATIN 08012026v'!Q:Q,0,0)</f>
        <v>45945</v>
      </c>
      <c r="AW169" s="251" t="str">
        <f>_xlfn.XLOOKUP(Tableau1[[#This Row],[Code PAS]],'parc SATIN 08012026v'!K:K,'parc SATIN 08012026v'!S:S,0,0)</f>
        <v>création</v>
      </c>
      <c r="AX169" s="250" t="str">
        <f>_xlfn.XLOOKUP(Tableau1[[#This Row],[Code PAS]],'parc SATIN 08012026v'!K:K,'parc SATIN 08012026v'!AF:AF,0,0)</f>
        <v>50 Mb/s</v>
      </c>
      <c r="AY16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70" spans="1:52" s="250" customFormat="1" ht="15" customHeight="1" x14ac:dyDescent="0.3">
      <c r="A170" s="248" t="s">
        <v>2735</v>
      </c>
      <c r="B170" s="248"/>
      <c r="C170" s="249"/>
      <c r="D170" s="249">
        <v>45939</v>
      </c>
      <c r="E170" s="250" t="s">
        <v>3103</v>
      </c>
      <c r="F170" s="984" t="s">
        <v>293</v>
      </c>
      <c r="G170" s="250" t="s">
        <v>2940</v>
      </c>
      <c r="H170" s="250" t="s">
        <v>2940</v>
      </c>
      <c r="I170" s="248" t="s">
        <v>2817</v>
      </c>
      <c r="J170" s="248" t="s">
        <v>2850</v>
      </c>
      <c r="K170" s="250" t="s">
        <v>2850</v>
      </c>
      <c r="L170" s="250">
        <v>400</v>
      </c>
      <c r="M170" s="250">
        <v>150</v>
      </c>
      <c r="N170" s="250">
        <v>1</v>
      </c>
      <c r="O170" s="250" t="s">
        <v>74</v>
      </c>
      <c r="P170" s="824">
        <v>0</v>
      </c>
      <c r="Q170" s="824">
        <v>0</v>
      </c>
      <c r="R170" s="824">
        <v>0</v>
      </c>
      <c r="S170" s="824">
        <v>0</v>
      </c>
      <c r="T170" s="824">
        <v>2623</v>
      </c>
      <c r="U170" s="824">
        <v>60</v>
      </c>
      <c r="V170" s="824">
        <v>48</v>
      </c>
      <c r="W170" s="824">
        <v>14</v>
      </c>
      <c r="X170" s="824">
        <v>2744.7564263010345</v>
      </c>
      <c r="Y170" s="823">
        <v>0</v>
      </c>
      <c r="Z170" s="966">
        <v>0</v>
      </c>
      <c r="AA170" s="966">
        <v>0</v>
      </c>
      <c r="AB170" s="969">
        <v>0</v>
      </c>
      <c r="AC170" s="969">
        <v>0</v>
      </c>
      <c r="AD170" s="969">
        <v>0</v>
      </c>
      <c r="AE170" s="264">
        <v>30</v>
      </c>
      <c r="AF170" s="264">
        <v>400</v>
      </c>
      <c r="AG170" s="264">
        <v>150</v>
      </c>
      <c r="AH170" s="264">
        <v>550</v>
      </c>
      <c r="AI170" s="973">
        <v>14</v>
      </c>
      <c r="AJ170" s="263">
        <v>30</v>
      </c>
      <c r="AK170" s="987">
        <v>550</v>
      </c>
      <c r="AL170" s="263">
        <f>VLOOKUP(Tableau1[[#This Row],[Code PAS]],'Facturation PAS RIN5 RUN'!C:F,4,0)</f>
        <v>48</v>
      </c>
      <c r="AM170" s="263"/>
      <c r="AN170" s="263" t="b">
        <f>ROUND(Tableau1[[#This Row],[Montant Options coûts récurrents]],0)=ROUND(Tableau1[[#This Row],[GTRS1 (Coût Plage de support 24h/24 7j/7)]],0)</f>
        <v>0</v>
      </c>
      <c r="AO170" s="265" t="e">
        <f>_xlfn.XLOOKUP(Tableau1[[#This Row],[Code PAS]],'parc SATIN 08012026v'!K:K,'parc SATIN 08012026v'!#REF!,0,0)</f>
        <v>#REF!</v>
      </c>
      <c r="AP170" s="263" t="e">
        <f>VLOOKUP(Tableau1[[#This Row],[Code PAS]],#REF!,3,0)</f>
        <v>#REF!</v>
      </c>
      <c r="AQ170" s="263" t="e">
        <f>VLOOKUP(Tableau1[[#This Row],[Code PAS]],[14]Feuil1!$B:$G,6,0)</f>
        <v>#N/A</v>
      </c>
      <c r="AR170" s="263" t="str">
        <f>_xlfn.XLOOKUP(Tableau1[[#This Row],[Code PAS]],'Facturation PAS RIN5 RUN'!C:C,'Facturation PAS RIN5 RUN'!B:B,0,0)</f>
        <v>Silver_30_30</v>
      </c>
      <c r="AS170" s="263" t="b">
        <f>Tableau1[[#This Row],[Etat facturation]]=Tableau1[[#This Row],[Index offre du fournisseur]]</f>
        <v>1</v>
      </c>
      <c r="AT170" s="250" t="str">
        <f>_xlfn.XLOOKUP(Tableau1[[#This Row],[Code PAS]],'parc SATIN 08012026v'!K:K,'parc SATIN 08012026v'!M:M,0,0)</f>
        <v>PARC</v>
      </c>
      <c r="AU170" s="250" t="str">
        <f>_xlfn.XLOOKUP(Tableau1[[#This Row],[Code PAS]],'parc SATIN 08012026v'!K:K,'parc SATIN 08012026v'!O:O,0,0)</f>
        <v>PARC</v>
      </c>
      <c r="AV170" s="251">
        <f>_xlfn.XLOOKUP(Tableau1[[#This Row],[Code PAS]],'parc SATIN 08012026v'!K:K,'parc SATIN 08012026v'!Q:Q,0,0)</f>
        <v>45939</v>
      </c>
      <c r="AW170" s="251" t="str">
        <f>_xlfn.XLOOKUP(Tableau1[[#This Row],[Code PAS]],'parc SATIN 08012026v'!K:K,'parc SATIN 08012026v'!S:S,0,0)</f>
        <v>change</v>
      </c>
      <c r="AX170" s="250" t="str">
        <f>_xlfn.XLOOKUP(Tableau1[[#This Row],[Code PAS]],'parc SATIN 08012026v'!K:K,'parc SATIN 08012026v'!AF:AF,0,0)</f>
        <v>30 Mb/s</v>
      </c>
      <c r="AY17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170" s="250" t="s">
        <v>2842</v>
      </c>
    </row>
    <row r="171" spans="1:52" s="250" customFormat="1" ht="15" customHeight="1" x14ac:dyDescent="0.3">
      <c r="A171" s="248"/>
      <c r="B171" s="249">
        <v>45425</v>
      </c>
      <c r="C171" s="248"/>
      <c r="D171" s="248"/>
      <c r="E171" s="250" t="s">
        <v>3104</v>
      </c>
      <c r="F171" s="984" t="s">
        <v>1764</v>
      </c>
      <c r="G171" s="250" t="s">
        <v>2791</v>
      </c>
      <c r="H171" s="250" t="s">
        <v>2791</v>
      </c>
      <c r="I171" s="250" t="s">
        <v>78</v>
      </c>
      <c r="J171" s="248" t="str">
        <f>_xlfn.XLOOKUP(Tableau1[[#This Row],[Code PAS]],'[13]Parc Satin'!$L:$L,'[13]Parc Satin'!$CK:$CK,0,0)</f>
        <v>Nominal InterLan 1.0 Secours InterLan 1.0</v>
      </c>
      <c r="K171" s="250" t="s">
        <v>2901</v>
      </c>
      <c r="L171" s="250">
        <v>500</v>
      </c>
      <c r="M171" s="250">
        <v>400</v>
      </c>
      <c r="N171" s="252">
        <v>1</v>
      </c>
      <c r="O171" s="252" t="s">
        <v>74</v>
      </c>
      <c r="P171" s="824">
        <v>0</v>
      </c>
      <c r="Q171" s="824">
        <v>652</v>
      </c>
      <c r="R171" s="824">
        <v>0</v>
      </c>
      <c r="S171" s="824">
        <v>652</v>
      </c>
      <c r="T171" s="824">
        <v>1454</v>
      </c>
      <c r="U171" s="824">
        <v>54</v>
      </c>
      <c r="V171" s="824">
        <v>0</v>
      </c>
      <c r="W171" s="824">
        <v>36</v>
      </c>
      <c r="X171" s="824">
        <f>Tableau1[[#This Row],[Coût Abonnement offre]]+Tableau1[[#This Row],[Coût Abonnement Chassis]]+Tableau1[[#This Row],[Cout Cartes interface ]]+Tableau1[[#This Row],[Cout canaux voix supplémentaire]]</f>
        <v>1544</v>
      </c>
      <c r="Y171" s="824">
        <v>0</v>
      </c>
      <c r="Z171" s="966">
        <v>0</v>
      </c>
      <c r="AA171" s="966">
        <v>0</v>
      </c>
      <c r="AB171" s="969">
        <v>0</v>
      </c>
      <c r="AC171" s="969">
        <v>0</v>
      </c>
      <c r="AD171" s="969">
        <v>0</v>
      </c>
      <c r="AE171" s="264">
        <v>50</v>
      </c>
      <c r="AF171" s="264">
        <v>500</v>
      </c>
      <c r="AG171" s="264">
        <v>400</v>
      </c>
      <c r="AH171" s="264">
        <v>900</v>
      </c>
      <c r="AI171" s="973">
        <v>36</v>
      </c>
      <c r="AJ171" s="263">
        <v>50</v>
      </c>
      <c r="AK171" s="987">
        <v>900</v>
      </c>
      <c r="AL171" s="263">
        <f>VLOOKUP(Tableau1[[#This Row],[Code PAS]],'Facturation PAS RIN5 RUN'!C:F,4,0)</f>
        <v>0</v>
      </c>
      <c r="AM171" s="263"/>
      <c r="AN171" s="263" t="b">
        <f>ROUND(Tableau1[[#This Row],[Montant Options coûts récurrents]],0)=ROUND(Tableau1[[#This Row],[GTRS1 (Coût Plage de support 24h/24 7j/7)]],0)</f>
        <v>1</v>
      </c>
      <c r="AO171" s="265" t="e">
        <f>_xlfn.XLOOKUP(Tableau1[[#This Row],[Code PAS]],'parc SATIN 08012026v'!K:K,'parc SATIN 08012026v'!#REF!,0,0)</f>
        <v>#REF!</v>
      </c>
      <c r="AP171" s="263" t="e">
        <f>VLOOKUP(Tableau1[[#This Row],[Code PAS]],#REF!,3,0)</f>
        <v>#REF!</v>
      </c>
      <c r="AQ171" s="263" t="str">
        <f>VLOOKUP(Tableau1[[#This Row],[Code PAS]],[14]Feuil1!$B:$G,6,0)</f>
        <v>Lundi au Samedi 8h-18h</v>
      </c>
      <c r="AR171" s="263" t="str">
        <f>_xlfn.XLOOKUP(Tableau1[[#This Row],[Code PAS]],'Facturation PAS RIN5 RUN'!C:C,'Facturation PAS RIN5 RUN'!B:B,0,0)</f>
        <v>Silver_50_50</v>
      </c>
      <c r="AS171" s="263" t="b">
        <f>Tableau1[[#This Row],[Etat facturation]]=Tableau1[[#This Row],[Index offre du fournisseur]]</f>
        <v>1</v>
      </c>
      <c r="AT171" s="250" t="str">
        <f>_xlfn.XLOOKUP(Tableau1[[#This Row],[Code PAS]],'parc SATIN 08012026v'!K:K,'parc SATIN 08012026v'!M:M,0,0)</f>
        <v>PARC</v>
      </c>
      <c r="AU171" s="250" t="str">
        <f>_xlfn.XLOOKUP(Tableau1[[#This Row],[Code PAS]],'parc SATIN 08012026v'!K:K,'parc SATIN 08012026v'!O:O,0,0)</f>
        <v>PARC</v>
      </c>
      <c r="AV171" s="251">
        <f>_xlfn.XLOOKUP(Tableau1[[#This Row],[Code PAS]],'parc SATIN 08012026v'!K:K,'parc SATIN 08012026v'!Q:Q,0,0)</f>
        <v>45425</v>
      </c>
      <c r="AW171" s="251" t="str">
        <f>_xlfn.XLOOKUP(Tableau1[[#This Row],[Code PAS]],'parc SATIN 08012026v'!K:K,'parc SATIN 08012026v'!S:S,0,0)</f>
        <v>création</v>
      </c>
      <c r="AX171" s="250" t="str">
        <f>_xlfn.XLOOKUP(Tableau1[[#This Row],[Code PAS]],'parc SATIN 08012026v'!K:K,'parc SATIN 08012026v'!AF:AF,0,0)</f>
        <v>50 Mb/s</v>
      </c>
      <c r="AY17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72" spans="1:52" s="250" customFormat="1" ht="15" customHeight="1" x14ac:dyDescent="0.3">
      <c r="A172" s="248" t="s">
        <v>2735</v>
      </c>
      <c r="B172" s="248"/>
      <c r="C172" s="249"/>
      <c r="D172" s="249"/>
      <c r="E172" s="250" t="s">
        <v>3105</v>
      </c>
      <c r="F172" s="984" t="s">
        <v>582</v>
      </c>
      <c r="G172" s="250" t="s">
        <v>2784</v>
      </c>
      <c r="H172" s="250" t="s">
        <v>2784</v>
      </c>
      <c r="I172" s="250" t="s">
        <v>165</v>
      </c>
      <c r="J172" s="248" t="str">
        <f>_xlfn.XLOOKUP(Tableau1[[#This Row],[Code PAS]],'[13]Parc Satin'!$L:$L,'[13]Parc Satin'!$CK:$CK,0,0)</f>
        <v>Nominal C2E Fibre Secours C2E Fibre</v>
      </c>
      <c r="K172" s="250" t="s">
        <v>2820</v>
      </c>
      <c r="L172" s="250">
        <v>500</v>
      </c>
      <c r="M172" s="250">
        <v>400</v>
      </c>
      <c r="N172" s="250">
        <v>1</v>
      </c>
      <c r="O172" s="250" t="s">
        <v>77</v>
      </c>
      <c r="P172" s="824">
        <v>0</v>
      </c>
      <c r="Q172" s="824">
        <v>0</v>
      </c>
      <c r="R172" s="824">
        <v>0</v>
      </c>
      <c r="S172" s="824">
        <v>0</v>
      </c>
      <c r="T172" s="824">
        <v>1454</v>
      </c>
      <c r="U172" s="824">
        <v>84</v>
      </c>
      <c r="V172" s="824">
        <v>0</v>
      </c>
      <c r="W172" s="824">
        <v>36</v>
      </c>
      <c r="X172" s="824">
        <f>Tableau1[[#This Row],[Coût Abonnement offre]]+Tableau1[[#This Row],[Coût Abonnement Chassis]]+Tableau1[[#This Row],[Cout Cartes interface ]]+Tableau1[[#This Row],[Cout canaux voix supplémentaire]]</f>
        <v>1574</v>
      </c>
      <c r="Y172" s="824">
        <v>0</v>
      </c>
      <c r="Z172" s="966">
        <v>0</v>
      </c>
      <c r="AA172" s="966">
        <v>0</v>
      </c>
      <c r="AB172" s="969">
        <v>0</v>
      </c>
      <c r="AC172" s="969">
        <v>0</v>
      </c>
      <c r="AD172" s="969">
        <v>0</v>
      </c>
      <c r="AE172" s="264">
        <v>50</v>
      </c>
      <c r="AF172" s="264">
        <v>500</v>
      </c>
      <c r="AG172" s="264">
        <v>400</v>
      </c>
      <c r="AH172" s="264">
        <v>900</v>
      </c>
      <c r="AI172" s="973">
        <v>36</v>
      </c>
      <c r="AJ172" s="263">
        <v>50</v>
      </c>
      <c r="AK172" s="987">
        <v>900</v>
      </c>
      <c r="AL172" s="263">
        <f>VLOOKUP(Tableau1[[#This Row],[Code PAS]],'Facturation PAS RIN5 RUN'!C:F,4,0)</f>
        <v>0</v>
      </c>
      <c r="AM172" s="263"/>
      <c r="AN172" s="263" t="b">
        <f>ROUND(Tableau1[[#This Row],[Montant Options coûts récurrents]],0)=ROUND(Tableau1[[#This Row],[GTRS1 (Coût Plage de support 24h/24 7j/7)]],0)</f>
        <v>1</v>
      </c>
      <c r="AO172" s="265" t="e">
        <f>_xlfn.XLOOKUP(Tableau1[[#This Row],[Code PAS]],'parc SATIN 08012026v'!K:K,'parc SATIN 08012026v'!#REF!,0,0)</f>
        <v>#REF!</v>
      </c>
      <c r="AP172" s="263" t="e">
        <f>VLOOKUP(Tableau1[[#This Row],[Code PAS]],#REF!,3,0)</f>
        <v>#REF!</v>
      </c>
      <c r="AQ172" s="263" t="e">
        <f>VLOOKUP(Tableau1[[#This Row],[Code PAS]],[14]Feuil1!$B:$G,6,0)</f>
        <v>#N/A</v>
      </c>
      <c r="AR172" s="263" t="str">
        <f>_xlfn.XLOOKUP(Tableau1[[#This Row],[Code PAS]],'Facturation PAS RIN5 RUN'!C:C,'Facturation PAS RIN5 RUN'!B:B,0,0)</f>
        <v>Gold_50_50</v>
      </c>
      <c r="AS172" s="263" t="b">
        <f>Tableau1[[#This Row],[Etat facturation]]=Tableau1[[#This Row],[Index offre du fournisseur]]</f>
        <v>1</v>
      </c>
      <c r="AT172" s="250" t="str">
        <f>_xlfn.XLOOKUP(Tableau1[[#This Row],[Code PAS]],'parc SATIN 08012026v'!K:K,'parc SATIN 08012026v'!M:M,0,0)</f>
        <v>PARC</v>
      </c>
      <c r="AU172" s="250" t="str">
        <f>_xlfn.XLOOKUP(Tableau1[[#This Row],[Code PAS]],'parc SATIN 08012026v'!K:K,'parc SATIN 08012026v'!O:O,0,0)</f>
        <v>PARC</v>
      </c>
      <c r="AV172" s="251">
        <f>_xlfn.XLOOKUP(Tableau1[[#This Row],[Code PAS]],'parc SATIN 08012026v'!K:K,'parc SATIN 08012026v'!Q:Q,0,0)</f>
        <v>45369</v>
      </c>
      <c r="AW172" s="251" t="str">
        <f>_xlfn.XLOOKUP(Tableau1[[#This Row],[Code PAS]],'parc SATIN 08012026v'!K:K,'parc SATIN 08012026v'!S:S,0,0)</f>
        <v>change</v>
      </c>
      <c r="AX172" s="250" t="str">
        <f>_xlfn.XLOOKUP(Tableau1[[#This Row],[Code PAS]],'parc SATIN 08012026v'!K:K,'parc SATIN 08012026v'!AF:AF,0,0)</f>
        <v>50 Mb/s</v>
      </c>
      <c r="AY17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73" spans="1:52" s="250" customFormat="1" ht="15" customHeight="1" x14ac:dyDescent="0.3">
      <c r="A173" s="248" t="s">
        <v>2735</v>
      </c>
      <c r="B173" s="248"/>
      <c r="C173" s="249"/>
      <c r="D173" s="249"/>
      <c r="E173" s="248" t="s">
        <v>3106</v>
      </c>
      <c r="F173" s="981" t="s">
        <v>574</v>
      </c>
      <c r="H173" s="248" t="s">
        <v>2748</v>
      </c>
      <c r="I173" s="248"/>
      <c r="J173" s="248" t="str">
        <f>_xlfn.XLOOKUP(Tableau1[[#This Row],[Code PAS]],'[13]Parc Satin'!$L:$L,'[13]Parc Satin'!$CK:$CK,0,0)</f>
        <v>Nominal C2E Fibre Secours C2E Fibre</v>
      </c>
      <c r="K173" s="248"/>
      <c r="L173" s="248"/>
      <c r="M173" s="248"/>
      <c r="N173" s="248"/>
      <c r="O173" s="248"/>
      <c r="P173" s="822">
        <v>0</v>
      </c>
      <c r="Q173" s="822">
        <v>0</v>
      </c>
      <c r="R173" s="822">
        <v>0</v>
      </c>
      <c r="S173" s="822">
        <v>0</v>
      </c>
      <c r="T173" s="823">
        <v>1149</v>
      </c>
      <c r="U173" s="823">
        <v>44</v>
      </c>
      <c r="V173" s="823">
        <v>16</v>
      </c>
      <c r="W173" s="823">
        <v>5</v>
      </c>
      <c r="X173" s="823">
        <f>Tableau1[[#This Row],[Coût Abonnement offre]]+Tableau1[[#This Row],[Coût Abonnement Chassis]]+Tableau1[[#This Row],[Cout Cartes interface ]]+Tableau1[[#This Row],[Cout canaux voix supplémentaire]]</f>
        <v>1214</v>
      </c>
      <c r="Y173" s="823">
        <v>0</v>
      </c>
      <c r="Z173" s="966">
        <v>0</v>
      </c>
      <c r="AA173" s="966">
        <v>0</v>
      </c>
      <c r="AB173" s="969">
        <v>0</v>
      </c>
      <c r="AC173" s="969">
        <v>0</v>
      </c>
      <c r="AD173" s="969">
        <v>0</v>
      </c>
      <c r="AE173" s="264">
        <v>20</v>
      </c>
      <c r="AF173" s="264">
        <v>300</v>
      </c>
      <c r="AG173" s="264">
        <v>50</v>
      </c>
      <c r="AH173" s="264">
        <v>350</v>
      </c>
      <c r="AI173" s="973">
        <v>5</v>
      </c>
      <c r="AJ173" s="263">
        <v>20</v>
      </c>
      <c r="AK173" s="987">
        <v>350</v>
      </c>
      <c r="AL173" s="263">
        <f>VLOOKUP(Tableau1[[#This Row],[Code PAS]],'Facturation PAS RIN5 RUN'!C:F,4,0)</f>
        <v>16</v>
      </c>
      <c r="AM173" s="263"/>
      <c r="AN173" s="263" t="b">
        <f>ROUND(Tableau1[[#This Row],[Montant Options coûts récurrents]],0)=ROUND(Tableau1[[#This Row],[GTRS1 (Coût Plage de support 24h/24 7j/7)]],0)</f>
        <v>0</v>
      </c>
      <c r="AO173" s="265" t="e">
        <f>_xlfn.XLOOKUP(Tableau1[[#This Row],[Code PAS]],'parc SATIN 08012026v'!K:K,'parc SATIN 08012026v'!#REF!,0,0)</f>
        <v>#REF!</v>
      </c>
      <c r="AP173" s="263" t="e">
        <f>VLOOKUP(Tableau1[[#This Row],[Code PAS]],#REF!,3,0)</f>
        <v>#REF!</v>
      </c>
      <c r="AQ173" s="263" t="e">
        <f>VLOOKUP(Tableau1[[#This Row],[Code PAS]],[14]Feuil1!$B:$G,6,0)</f>
        <v>#N/A</v>
      </c>
      <c r="AR173" s="263" t="str">
        <f>_xlfn.XLOOKUP(Tableau1[[#This Row],[Code PAS]],'Facturation PAS RIN5 RUN'!C:C,'Facturation PAS RIN5 RUN'!B:B,0,0)</f>
        <v>Gold_20_20</v>
      </c>
      <c r="AS173" s="263" t="b">
        <f>Tableau1[[#This Row],[Etat facturation]]=Tableau1[[#This Row],[Index offre du fournisseur]]</f>
        <v>1</v>
      </c>
      <c r="AT173" s="250" t="str">
        <f>_xlfn.XLOOKUP(Tableau1[[#This Row],[Code PAS]],'parc SATIN 08012026v'!K:K,'parc SATIN 08012026v'!M:M,0,0)</f>
        <v>PARC</v>
      </c>
      <c r="AU173" s="250" t="str">
        <f>_xlfn.XLOOKUP(Tableau1[[#This Row],[Code PAS]],'parc SATIN 08012026v'!K:K,'parc SATIN 08012026v'!O:O,0,0)</f>
        <v>PARC</v>
      </c>
      <c r="AV173" s="251">
        <f>_xlfn.XLOOKUP(Tableau1[[#This Row],[Code PAS]],'parc SATIN 08012026v'!K:K,'parc SATIN 08012026v'!Q:Q,0,0)</f>
        <v>43802</v>
      </c>
      <c r="AW173" s="251" t="str">
        <f>_xlfn.XLOOKUP(Tableau1[[#This Row],[Code PAS]],'parc SATIN 08012026v'!K:K,'parc SATIN 08012026v'!S:S,0,0)</f>
        <v>change</v>
      </c>
      <c r="AX173" s="250" t="str">
        <f>_xlfn.XLOOKUP(Tableau1[[#This Row],[Code PAS]],'parc SATIN 08012026v'!K:K,'parc SATIN 08012026v'!AF:AF,0,0)</f>
        <v>20 Mb/s</v>
      </c>
      <c r="AY17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74" spans="1:52" s="250" customFormat="1" ht="15" customHeight="1" x14ac:dyDescent="0.3">
      <c r="A174" s="248" t="s">
        <v>2735</v>
      </c>
      <c r="B174" s="248"/>
      <c r="C174" s="249">
        <v>44251</v>
      </c>
      <c r="D174" s="249"/>
      <c r="E174" s="248" t="s">
        <v>3107</v>
      </c>
      <c r="F174" s="981" t="s">
        <v>282</v>
      </c>
      <c r="G174" s="250" t="s">
        <v>2771</v>
      </c>
      <c r="H174" s="248" t="s">
        <v>2771</v>
      </c>
      <c r="I174" s="248" t="s">
        <v>78</v>
      </c>
      <c r="J174" s="248" t="str">
        <f>_xlfn.XLOOKUP(Tableau1[[#This Row],[Code PAS]],'[13]Parc Satin'!$L:$L,'[13]Parc Satin'!$CK:$CK,0,0)</f>
        <v>Nominal InterLan 1.0 Secours InterLan 1.0</v>
      </c>
      <c r="K174" s="248"/>
      <c r="L174" s="248">
        <v>600</v>
      </c>
      <c r="M174" s="248">
        <v>1200</v>
      </c>
      <c r="N174" s="248">
        <v>1</v>
      </c>
      <c r="O174" s="248" t="s">
        <v>74</v>
      </c>
      <c r="P174" s="822">
        <v>0</v>
      </c>
      <c r="Q174" s="822">
        <v>500</v>
      </c>
      <c r="R174" s="822">
        <v>0</v>
      </c>
      <c r="S174" s="822">
        <v>500</v>
      </c>
      <c r="T174" s="823">
        <v>1995</v>
      </c>
      <c r="U174" s="823">
        <v>239</v>
      </c>
      <c r="V174" s="823">
        <v>48</v>
      </c>
      <c r="W174" s="823">
        <v>108</v>
      </c>
      <c r="X174" s="823">
        <v>2390.2564263010345</v>
      </c>
      <c r="Y174" s="823">
        <v>0</v>
      </c>
      <c r="Z174" s="966">
        <v>0</v>
      </c>
      <c r="AA174" s="966">
        <v>0</v>
      </c>
      <c r="AB174" s="969">
        <v>0</v>
      </c>
      <c r="AC174" s="969">
        <v>0</v>
      </c>
      <c r="AD174" s="969">
        <v>0</v>
      </c>
      <c r="AE174" s="264">
        <v>100</v>
      </c>
      <c r="AF174" s="264">
        <v>600</v>
      </c>
      <c r="AG174" s="264">
        <v>1200</v>
      </c>
      <c r="AH174" s="264">
        <v>1800</v>
      </c>
      <c r="AI174" s="973">
        <v>108</v>
      </c>
      <c r="AJ174" s="263">
        <v>100</v>
      </c>
      <c r="AK174" s="987">
        <v>1800</v>
      </c>
      <c r="AL174" s="263">
        <f>VLOOKUP(Tableau1[[#This Row],[Code PAS]],'Facturation PAS RIN5 RUN'!C:F,4,0)</f>
        <v>48</v>
      </c>
      <c r="AM174" s="263"/>
      <c r="AN174" s="263" t="b">
        <f>ROUND(Tableau1[[#This Row],[Montant Options coûts récurrents]],0)=ROUND(Tableau1[[#This Row],[GTRS1 (Coût Plage de support 24h/24 7j/7)]],0)</f>
        <v>0</v>
      </c>
      <c r="AO174" s="265" t="e">
        <f>_xlfn.XLOOKUP(Tableau1[[#This Row],[Code PAS]],'parc SATIN 08012026v'!K:K,'parc SATIN 08012026v'!#REF!,0,0)</f>
        <v>#REF!</v>
      </c>
      <c r="AP174" s="263" t="e">
        <f>VLOOKUP(Tableau1[[#This Row],[Code PAS]],#REF!,3,0)</f>
        <v>#REF!</v>
      </c>
      <c r="AQ174" s="263" t="e">
        <f>VLOOKUP(Tableau1[[#This Row],[Code PAS]],[14]Feuil1!$B:$G,6,0)</f>
        <v>#N/A</v>
      </c>
      <c r="AR174" s="263" t="str">
        <f>_xlfn.XLOOKUP(Tableau1[[#This Row],[Code PAS]],'Facturation PAS RIN5 RUN'!C:C,'Facturation PAS RIN5 RUN'!B:B,0,0)</f>
        <v>Platinum_100_100</v>
      </c>
      <c r="AS174" s="263" t="b">
        <f>Tableau1[[#This Row],[Etat facturation]]=Tableau1[[#This Row],[Index offre du fournisseur]]</f>
        <v>1</v>
      </c>
      <c r="AT174" s="250" t="str">
        <f>_xlfn.XLOOKUP(Tableau1[[#This Row],[Code PAS]],'parc SATIN 08012026v'!K:K,'parc SATIN 08012026v'!M:M,0,0)</f>
        <v>PARC</v>
      </c>
      <c r="AU174" s="250" t="str">
        <f>_xlfn.XLOOKUP(Tableau1[[#This Row],[Code PAS]],'parc SATIN 08012026v'!K:K,'parc SATIN 08012026v'!O:O,0,0)</f>
        <v>PARC</v>
      </c>
      <c r="AV174" s="251">
        <f>_xlfn.XLOOKUP(Tableau1[[#This Row],[Code PAS]],'parc SATIN 08012026v'!K:K,'parc SATIN 08012026v'!Q:Q,0,0)</f>
        <v>45462</v>
      </c>
      <c r="AW174" s="251" t="str">
        <f>_xlfn.XLOOKUP(Tableau1[[#This Row],[Code PAS]],'parc SATIN 08012026v'!K:K,'parc SATIN 08012026v'!S:S,0,0)</f>
        <v>change</v>
      </c>
      <c r="AX174" s="250" t="str">
        <f>_xlfn.XLOOKUP(Tableau1[[#This Row],[Code PAS]],'parc SATIN 08012026v'!K:K,'parc SATIN 08012026v'!AF:AF,0,0)</f>
        <v>100 Mb/s</v>
      </c>
      <c r="AY17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175" spans="1:52" s="250" customFormat="1" ht="15" customHeight="1" x14ac:dyDescent="0.3">
      <c r="A175" s="248" t="s">
        <v>2735</v>
      </c>
      <c r="B175" s="248"/>
      <c r="C175" s="249"/>
      <c r="D175" s="249"/>
      <c r="E175" s="248" t="s">
        <v>3108</v>
      </c>
      <c r="F175" s="981" t="s">
        <v>903</v>
      </c>
      <c r="G175" s="250" t="s">
        <v>2800</v>
      </c>
      <c r="H175" s="248" t="s">
        <v>2867</v>
      </c>
      <c r="I175" s="248"/>
      <c r="J175" s="248" t="str">
        <f>_xlfn.XLOOKUP(Tableau1[[#This Row],[Code PAS]],'[13]Parc Satin'!$L:$L,'[13]Parc Satin'!$CK:$CK,0,0)</f>
        <v>Nominal C2E sans Secours</v>
      </c>
      <c r="K175" s="248"/>
      <c r="L175" s="248"/>
      <c r="M175" s="248"/>
      <c r="N175" s="248"/>
      <c r="O175" s="248"/>
      <c r="P175" s="822">
        <v>0</v>
      </c>
      <c r="Q175" s="822">
        <v>0</v>
      </c>
      <c r="R175" s="822">
        <v>0</v>
      </c>
      <c r="S175" s="822">
        <v>0</v>
      </c>
      <c r="T175" s="824">
        <v>290</v>
      </c>
      <c r="U175" s="823">
        <v>27</v>
      </c>
      <c r="V175" s="823">
        <v>0</v>
      </c>
      <c r="W175" s="823">
        <v>0</v>
      </c>
      <c r="X175" s="823">
        <f>Tableau1[[#This Row],[Coût Abonnement offre]]+Tableau1[[#This Row],[Coût Abonnement Chassis]]+Tableau1[[#This Row],[Cout Cartes interface ]]+Tableau1[[#This Row],[Cout canaux voix supplémentaire]]</f>
        <v>317</v>
      </c>
      <c r="Y175" s="823">
        <v>0</v>
      </c>
      <c r="Z175" s="966">
        <v>0</v>
      </c>
      <c r="AA175" s="966">
        <v>0</v>
      </c>
      <c r="AB175" s="969">
        <v>0</v>
      </c>
      <c r="AC175" s="969">
        <v>0</v>
      </c>
      <c r="AD175" s="969">
        <v>0</v>
      </c>
      <c r="AE175" s="264">
        <v>2</v>
      </c>
      <c r="AF175" s="264">
        <v>20</v>
      </c>
      <c r="AG175" s="264">
        <v>10</v>
      </c>
      <c r="AH175" s="264">
        <v>30</v>
      </c>
      <c r="AI175" s="973">
        <v>9</v>
      </c>
      <c r="AJ175" s="263">
        <v>2</v>
      </c>
      <c r="AK175" s="987">
        <v>20</v>
      </c>
      <c r="AL175" s="263">
        <f>VLOOKUP(Tableau1[[#This Row],[Code PAS]],'Facturation PAS RIN5 RUN'!C:F,4,0)</f>
        <v>0</v>
      </c>
      <c r="AM175" s="263"/>
      <c r="AN175" s="263" t="b">
        <f>ROUND(Tableau1[[#This Row],[Montant Options coûts récurrents]],0)=ROUND(Tableau1[[#This Row],[GTRS1 (Coût Plage de support 24h/24 7j/7)]],0)</f>
        <v>1</v>
      </c>
      <c r="AO175" s="265" t="e">
        <f>_xlfn.XLOOKUP(Tableau1[[#This Row],[Code PAS]],'parc SATIN 08012026v'!K:K,'parc SATIN 08012026v'!#REF!,0,0)</f>
        <v>#REF!</v>
      </c>
      <c r="AP175" s="263" t="e">
        <f>VLOOKUP(Tableau1[[#This Row],[Code PAS]],#REF!,3,0)</f>
        <v>#REF!</v>
      </c>
      <c r="AQ175" s="263" t="e">
        <f>VLOOKUP(Tableau1[[#This Row],[Code PAS]],[14]Feuil1!$B:$G,6,0)</f>
        <v>#N/A</v>
      </c>
      <c r="AR175" s="263" t="str">
        <f>_xlfn.XLOOKUP(Tableau1[[#This Row],[Code PAS]],'Facturation PAS RIN5 RUN'!C:C,'Facturation PAS RIN5 RUN'!B:B,0,0)</f>
        <v>Bronze_2_0</v>
      </c>
      <c r="AS175" s="263" t="b">
        <f>Tableau1[[#This Row],[Etat facturation]]=Tableau1[[#This Row],[Index offre du fournisseur]]</f>
        <v>1</v>
      </c>
      <c r="AT175" s="250" t="str">
        <f>_xlfn.XLOOKUP(Tableau1[[#This Row],[Code PAS]],'parc SATIN 08012026v'!K:K,'parc SATIN 08012026v'!M:M,0,0)</f>
        <v>PARC</v>
      </c>
      <c r="AU175" s="250" t="str">
        <f>_xlfn.XLOOKUP(Tableau1[[#This Row],[Code PAS]],'parc SATIN 08012026v'!K:K,'parc SATIN 08012026v'!O:O,0,0)</f>
        <v>PARC</v>
      </c>
      <c r="AV175" s="251">
        <f>_xlfn.XLOOKUP(Tableau1[[#This Row],[Code PAS]],'parc SATIN 08012026v'!K:K,'parc SATIN 08012026v'!Q:Q,0,0)</f>
        <v>43915</v>
      </c>
      <c r="AW175" s="251" t="str">
        <f>_xlfn.XLOOKUP(Tableau1[[#This Row],[Code PAS]],'parc SATIN 08012026v'!K:K,'parc SATIN 08012026v'!S:S,0,0)</f>
        <v>change</v>
      </c>
      <c r="AX175" s="250" t="str">
        <f>_xlfn.XLOOKUP(Tableau1[[#This Row],[Code PAS]],'parc SATIN 08012026v'!K:K,'parc SATIN 08012026v'!AF:AF,0,0)</f>
        <v>2 Mb/s</v>
      </c>
      <c r="AY175" s="254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175" s="250" t="s">
        <v>2868</v>
      </c>
    </row>
    <row r="176" spans="1:52" s="250" customFormat="1" ht="15" customHeight="1" x14ac:dyDescent="0.3">
      <c r="A176" s="250" t="s">
        <v>2758</v>
      </c>
      <c r="C176" s="249"/>
      <c r="D176" s="249"/>
      <c r="E176" s="250" t="s">
        <v>3109</v>
      </c>
      <c r="F176" s="984" t="s">
        <v>2520</v>
      </c>
      <c r="G176" s="250" t="s">
        <v>3110</v>
      </c>
      <c r="H176" s="250" t="s">
        <v>2991</v>
      </c>
      <c r="I176" s="250" t="s">
        <v>2817</v>
      </c>
      <c r="J176" s="248" t="str">
        <f>_xlfn.XLOOKUP(Tableau1[[#This Row],[Code PAS]],'[13]Parc Satin'!$L:$L,'[13]Parc Satin'!$CK:$CK,0,0)</f>
        <v>Nominal C2E Fibre sans Secours</v>
      </c>
      <c r="K176" s="250">
        <v>0</v>
      </c>
      <c r="L176" s="250">
        <v>300</v>
      </c>
      <c r="M176" s="250">
        <v>50</v>
      </c>
      <c r="N176" s="250">
        <v>0</v>
      </c>
      <c r="O176" s="250" t="s">
        <v>76</v>
      </c>
      <c r="P176" s="820">
        <v>0</v>
      </c>
      <c r="Q176" s="820">
        <v>0</v>
      </c>
      <c r="R176" s="820">
        <v>0</v>
      </c>
      <c r="S176" s="820">
        <v>0</v>
      </c>
      <c r="T176" s="824">
        <v>1288</v>
      </c>
      <c r="U176" s="824">
        <v>22</v>
      </c>
      <c r="V176" s="824">
        <v>8</v>
      </c>
      <c r="W176" s="824">
        <v>5</v>
      </c>
      <c r="X176" s="823">
        <f>Tableau1[[#This Row],[Coût Abonnement offre]]+Tableau1[[#This Row],[Coût Abonnement Chassis]]+Tableau1[[#This Row],[Cout Cartes interface ]]+Tableau1[[#This Row],[Cout canaux voix supplémentaire]]</f>
        <v>1323</v>
      </c>
      <c r="Y176" s="824">
        <v>36</v>
      </c>
      <c r="Z176" s="966">
        <v>0</v>
      </c>
      <c r="AA176" s="966">
        <v>0</v>
      </c>
      <c r="AB176" s="969">
        <v>0</v>
      </c>
      <c r="AC176" s="969">
        <v>0</v>
      </c>
      <c r="AD176" s="969">
        <v>0</v>
      </c>
      <c r="AE176" s="264">
        <v>20</v>
      </c>
      <c r="AF176" s="264">
        <v>300</v>
      </c>
      <c r="AG176" s="264">
        <v>50</v>
      </c>
      <c r="AH176" s="264">
        <v>350</v>
      </c>
      <c r="AI176" s="973">
        <v>5</v>
      </c>
      <c r="AJ176" s="263">
        <v>50</v>
      </c>
      <c r="AK176" s="987">
        <v>900</v>
      </c>
      <c r="AL176" s="263">
        <f>VLOOKUP(Tableau1[[#This Row],[Code PAS]],'Facturation PAS RIN5 RUN'!C:F,4,0)</f>
        <v>8</v>
      </c>
      <c r="AM176" s="263"/>
      <c r="AN176" s="263" t="b">
        <f>ROUND(Tableau1[[#This Row],[Montant Options coûts récurrents]],0)=ROUND(Tableau1[[#This Row],[GTRS1 (Coût Plage de support 24h/24 7j/7)]],0)</f>
        <v>0</v>
      </c>
      <c r="AO176" s="265" t="e">
        <f>_xlfn.XLOOKUP(Tableau1[[#This Row],[Code PAS]],'parc SATIN 08012026v'!K:K,'parc SATIN 08012026v'!#REF!,0,0)</f>
        <v>#REF!</v>
      </c>
      <c r="AP176" s="263" t="e">
        <f>VLOOKUP(Tableau1[[#This Row],[Code PAS]],#REF!,3,0)</f>
        <v>#REF!</v>
      </c>
      <c r="AQ176" s="263" t="e">
        <f>VLOOKUP(Tableau1[[#This Row],[Code PAS]],[14]Feuil1!$B:$G,6,0)</f>
        <v>#N/A</v>
      </c>
      <c r="AR176" s="263" t="str">
        <f>_xlfn.XLOOKUP(Tableau1[[#This Row],[Code PAS]],'Facturation PAS RIN5 RUN'!C:C,'Facturation PAS RIN5 RUN'!B:B,0,0)</f>
        <v>Platinum_Man_20_0</v>
      </c>
      <c r="AS176" s="263" t="b">
        <f>Tableau1[[#This Row],[Etat facturation]]=Tableau1[[#This Row],[Index offre du fournisseur]]</f>
        <v>1</v>
      </c>
      <c r="AT176" s="250" t="str">
        <f>_xlfn.XLOOKUP(Tableau1[[#This Row],[Code PAS]],'parc SATIN 08012026v'!K:K,'parc SATIN 08012026v'!M:M,0,0)</f>
        <v>PARC</v>
      </c>
      <c r="AU176" s="250" t="str">
        <f>_xlfn.XLOOKUP(Tableau1[[#This Row],[Code PAS]],'parc SATIN 08012026v'!K:K,'parc SATIN 08012026v'!O:O,0,0)</f>
        <v>EN COURS</v>
      </c>
      <c r="AV176" s="251">
        <f>_xlfn.XLOOKUP(Tableau1[[#This Row],[Code PAS]],'parc SATIN 08012026v'!K:K,'parc SATIN 08012026v'!Q:Q,0,0)</f>
        <v>0</v>
      </c>
      <c r="AW176" s="251" t="str">
        <f>_xlfn.XLOOKUP(Tableau1[[#This Row],[Code PAS]],'parc SATIN 08012026v'!K:K,'parc SATIN 08012026v'!S:S,0,0)</f>
        <v>change</v>
      </c>
      <c r="AX176" s="250" t="str">
        <f>_xlfn.XLOOKUP(Tableau1[[#This Row],[Code PAS]],'parc SATIN 08012026v'!K:K,'parc SATIN 08012026v'!AF:AF,0,0)</f>
        <v>50 Mb/s</v>
      </c>
      <c r="AY176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20</v>
      </c>
    </row>
    <row r="177" spans="1:52" s="250" customFormat="1" ht="15" customHeight="1" x14ac:dyDescent="0.3">
      <c r="A177" s="250" t="s">
        <v>2739</v>
      </c>
      <c r="C177" s="249"/>
      <c r="D177" s="249"/>
      <c r="E177" s="250" t="s">
        <v>3111</v>
      </c>
      <c r="F177" s="984" t="s">
        <v>2056</v>
      </c>
      <c r="H177" s="250" t="s">
        <v>2745</v>
      </c>
      <c r="J177" s="248" t="str">
        <f>_xlfn.XLOOKUP(Tableau1[[#This Row],[Code PAS]],'[13]Parc Satin'!$L:$L,'[13]Parc Satin'!$CK:$CK,0,0)</f>
        <v>Nominal InterLan 1.0 Secours InterLan 1.0</v>
      </c>
      <c r="P177" s="820">
        <v>0</v>
      </c>
      <c r="Q177" s="820">
        <v>0</v>
      </c>
      <c r="R177" s="820">
        <v>0</v>
      </c>
      <c r="S177" s="820">
        <v>0</v>
      </c>
      <c r="T177" s="824">
        <v>1628</v>
      </c>
      <c r="U177" s="824">
        <v>95</v>
      </c>
      <c r="V177" s="824">
        <v>32</v>
      </c>
      <c r="W177" s="824">
        <v>108</v>
      </c>
      <c r="X177" s="823">
        <f>Tableau1[[#This Row],[Coût Abonnement offre]]+Tableau1[[#This Row],[Coût Abonnement Chassis]]+Tableau1[[#This Row],[Cout Cartes interface ]]+Tableau1[[#This Row],[Cout canaux voix supplémentaire]]</f>
        <v>1863</v>
      </c>
      <c r="Y177" s="824">
        <v>0</v>
      </c>
      <c r="Z177" s="966">
        <v>0</v>
      </c>
      <c r="AA177" s="966">
        <v>0</v>
      </c>
      <c r="AB177" s="969">
        <v>0</v>
      </c>
      <c r="AC177" s="969">
        <v>0</v>
      </c>
      <c r="AD177" s="969">
        <v>0</v>
      </c>
      <c r="AE177" s="264">
        <v>100</v>
      </c>
      <c r="AF177" s="264">
        <v>600</v>
      </c>
      <c r="AG177" s="264">
        <v>1200</v>
      </c>
      <c r="AH177" s="264">
        <v>1800</v>
      </c>
      <c r="AI177" s="973">
        <v>108</v>
      </c>
      <c r="AJ177" s="263">
        <v>100</v>
      </c>
      <c r="AK177" s="987">
        <v>1800</v>
      </c>
      <c r="AL177" s="263">
        <f>VLOOKUP(Tableau1[[#This Row],[Code PAS]],'Facturation PAS RIN5 RUN'!C:F,4,0)</f>
        <v>32</v>
      </c>
      <c r="AM177" s="263"/>
      <c r="AN177" s="263" t="b">
        <f>ROUND(Tableau1[[#This Row],[Montant Options coûts récurrents]],0)=ROUND(Tableau1[[#This Row],[GTRS1 (Coût Plage de support 24h/24 7j/7)]],0)</f>
        <v>0</v>
      </c>
      <c r="AO177" s="265" t="e">
        <f>_xlfn.XLOOKUP(Tableau1[[#This Row],[Code PAS]],'parc SATIN 08012026v'!K:K,'parc SATIN 08012026v'!#REF!,0,0)</f>
        <v>#REF!</v>
      </c>
      <c r="AP177" s="263" t="e">
        <f>VLOOKUP(Tableau1[[#This Row],[Code PAS]],#REF!,3,0)</f>
        <v>#REF!</v>
      </c>
      <c r="AQ177" s="263" t="e">
        <f>VLOOKUP(Tableau1[[#This Row],[Code PAS]],[14]Feuil1!$B:$G,6,0)</f>
        <v>#N/A</v>
      </c>
      <c r="AR177" s="263" t="str">
        <f>_xlfn.XLOOKUP(Tableau1[[#This Row],[Code PAS]],'Facturation PAS RIN5 RUN'!C:C,'Facturation PAS RIN5 RUN'!B:B,0,0)</f>
        <v>Gold_100_100</v>
      </c>
      <c r="AS177" s="263" t="b">
        <f>Tableau1[[#This Row],[Etat facturation]]=Tableau1[[#This Row],[Index offre du fournisseur]]</f>
        <v>1</v>
      </c>
      <c r="AT177" s="250" t="str">
        <f>_xlfn.XLOOKUP(Tableau1[[#This Row],[Code PAS]],'parc SATIN 08012026v'!K:K,'parc SATIN 08012026v'!M:M,0,0)</f>
        <v>PARC</v>
      </c>
      <c r="AU177" s="250" t="str">
        <f>_xlfn.XLOOKUP(Tableau1[[#This Row],[Code PAS]],'parc SATIN 08012026v'!K:K,'parc SATIN 08012026v'!O:O,0,0)</f>
        <v>PARC</v>
      </c>
      <c r="AV177" s="251">
        <f>_xlfn.XLOOKUP(Tableau1[[#This Row],[Code PAS]],'parc SATIN 08012026v'!K:K,'parc SATIN 08012026v'!Q:Q,0,0)</f>
        <v>43917</v>
      </c>
      <c r="AW177" s="251" t="str">
        <f>_xlfn.XLOOKUP(Tableau1[[#This Row],[Code PAS]],'parc SATIN 08012026v'!K:K,'parc SATIN 08012026v'!S:S,0,0)</f>
        <v>change</v>
      </c>
      <c r="AX177" s="250" t="str">
        <f>_xlfn.XLOOKUP(Tableau1[[#This Row],[Code PAS]],'parc SATIN 08012026v'!K:K,'parc SATIN 08012026v'!AF:AF,0,0)</f>
        <v>100 Mb/s</v>
      </c>
      <c r="AY17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178" spans="1:52" s="250" customFormat="1" ht="15" customHeight="1" x14ac:dyDescent="0.3">
      <c r="A178" s="250" t="s">
        <v>2758</v>
      </c>
      <c r="C178" s="249"/>
      <c r="D178" s="249"/>
      <c r="E178" s="250" t="s">
        <v>3112</v>
      </c>
      <c r="F178" s="984" t="s">
        <v>2030</v>
      </c>
      <c r="H178" s="250" t="s">
        <v>2926</v>
      </c>
      <c r="J178" s="248" t="str">
        <f>_xlfn.XLOOKUP(Tableau1[[#This Row],[Code PAS]],'[13]Parc Satin'!$L:$L,'[13]Parc Satin'!$CK:$CK,0,0)</f>
        <v>Nominal InterLan 1.0 Secours InterLan 1.0</v>
      </c>
      <c r="P178" s="820">
        <v>0</v>
      </c>
      <c r="Q178" s="820">
        <v>0</v>
      </c>
      <c r="R178" s="820">
        <v>0</v>
      </c>
      <c r="S178" s="820">
        <v>0</v>
      </c>
      <c r="T178" s="824">
        <v>1665</v>
      </c>
      <c r="U178" s="824">
        <v>239</v>
      </c>
      <c r="V178" s="824">
        <v>16</v>
      </c>
      <c r="W178" s="824">
        <v>0</v>
      </c>
      <c r="X178" s="823">
        <f>Tableau1[[#This Row],[Coût Abonnement offre]]+Tableau1[[#This Row],[Coût Abonnement Chassis]]+Tableau1[[#This Row],[Cout Cartes interface ]]+Tableau1[[#This Row],[Cout canaux voix supplémentaire]]</f>
        <v>1920</v>
      </c>
      <c r="Y178" s="824">
        <v>0</v>
      </c>
      <c r="Z178" s="966">
        <v>0</v>
      </c>
      <c r="AA178" s="966">
        <v>0</v>
      </c>
      <c r="AB178" s="969">
        <v>0</v>
      </c>
      <c r="AC178" s="969">
        <v>0</v>
      </c>
      <c r="AD178" s="969">
        <v>0</v>
      </c>
      <c r="AE178" s="264">
        <v>150</v>
      </c>
      <c r="AF178" s="264">
        <v>700</v>
      </c>
      <c r="AG178" s="264">
        <v>1900</v>
      </c>
      <c r="AH178" s="264">
        <v>2600</v>
      </c>
      <c r="AI178" s="973">
        <v>171</v>
      </c>
      <c r="AJ178" s="263">
        <v>150</v>
      </c>
      <c r="AK178" s="987">
        <v>600</v>
      </c>
      <c r="AL178" s="263">
        <f>VLOOKUP(Tableau1[[#This Row],[Code PAS]],'Facturation PAS RIN5 RUN'!C:F,4,0)</f>
        <v>16</v>
      </c>
      <c r="AM178" s="263"/>
      <c r="AN178" s="263" t="b">
        <f>ROUND(Tableau1[[#This Row],[Montant Options coûts récurrents]],0)=ROUND(Tableau1[[#This Row],[GTRS1 (Coût Plage de support 24h/24 7j/7)]],0)</f>
        <v>0</v>
      </c>
      <c r="AO178" s="265" t="e">
        <f>_xlfn.XLOOKUP(Tableau1[[#This Row],[Code PAS]],'parc SATIN 08012026v'!K:K,'parc SATIN 08012026v'!#REF!,0,0)</f>
        <v>#REF!</v>
      </c>
      <c r="AP178" s="263" t="e">
        <f>VLOOKUP(Tableau1[[#This Row],[Code PAS]],#REF!,3,0)</f>
        <v>#REF!</v>
      </c>
      <c r="AQ178" s="263" t="e">
        <f>VLOOKUP(Tableau1[[#This Row],[Code PAS]],[14]Feuil1!$B:$G,6,0)</f>
        <v>#N/A</v>
      </c>
      <c r="AR178" s="263" t="str">
        <f>_xlfn.XLOOKUP(Tableau1[[#This Row],[Code PAS]],'Facturation PAS RIN5 RUN'!C:C,'Facturation PAS RIN5 RUN'!B:B,0,0)</f>
        <v>Gold_150_150</v>
      </c>
      <c r="AS178" s="263" t="b">
        <f>Tableau1[[#This Row],[Etat facturation]]=Tableau1[[#This Row],[Index offre du fournisseur]]</f>
        <v>1</v>
      </c>
      <c r="AT178" s="250" t="str">
        <f>_xlfn.XLOOKUP(Tableau1[[#This Row],[Code PAS]],'parc SATIN 08012026v'!K:K,'parc SATIN 08012026v'!M:M,0,0)</f>
        <v>PARC</v>
      </c>
      <c r="AU178" s="250" t="str">
        <f>_xlfn.XLOOKUP(Tableau1[[#This Row],[Code PAS]],'parc SATIN 08012026v'!K:K,'parc SATIN 08012026v'!O:O,0,0)</f>
        <v>PARC</v>
      </c>
      <c r="AV178" s="251">
        <f>_xlfn.XLOOKUP(Tableau1[[#This Row],[Code PAS]],'parc SATIN 08012026v'!K:K,'parc SATIN 08012026v'!Q:Q,0,0)</f>
        <v>44042</v>
      </c>
      <c r="AW178" s="251" t="str">
        <f>_xlfn.XLOOKUP(Tableau1[[#This Row],[Code PAS]],'parc SATIN 08012026v'!K:K,'parc SATIN 08012026v'!S:S,0,0)</f>
        <v>change</v>
      </c>
      <c r="AX178" s="250" t="str">
        <f>_xlfn.XLOOKUP(Tableau1[[#This Row],[Code PAS]],'parc SATIN 08012026v'!K:K,'parc SATIN 08012026v'!AF:AF,0,0)</f>
        <v>150 Mb/s</v>
      </c>
      <c r="AY17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150</v>
      </c>
      <c r="AZ178" s="250" t="s">
        <v>2868</v>
      </c>
    </row>
    <row r="179" spans="1:52" s="250" customFormat="1" ht="15" customHeight="1" x14ac:dyDescent="0.3">
      <c r="A179" s="250" t="s">
        <v>2758</v>
      </c>
      <c r="B179" s="249">
        <v>46014</v>
      </c>
      <c r="C179" s="249">
        <v>46014</v>
      </c>
      <c r="D179" s="249"/>
      <c r="E179" s="250" t="s">
        <v>3113</v>
      </c>
      <c r="F179" s="984" t="s">
        <v>1475</v>
      </c>
      <c r="G179" s="250" t="s">
        <v>2791</v>
      </c>
      <c r="H179" s="250" t="s">
        <v>2987</v>
      </c>
      <c r="I179" s="250" t="s">
        <v>78</v>
      </c>
      <c r="J179" s="248" t="s">
        <v>2829</v>
      </c>
      <c r="K179" s="250" t="s">
        <v>2829</v>
      </c>
      <c r="L179" s="250">
        <v>500</v>
      </c>
      <c r="M179" s="250">
        <v>400</v>
      </c>
      <c r="N179" s="250">
        <v>1</v>
      </c>
      <c r="O179" s="250" t="s">
        <v>74</v>
      </c>
      <c r="P179" s="824">
        <v>0</v>
      </c>
      <c r="Q179" s="824">
        <v>228</v>
      </c>
      <c r="R179" s="824">
        <v>0</v>
      </c>
      <c r="S179" s="824">
        <v>228</v>
      </c>
      <c r="T179" s="824">
        <v>1454</v>
      </c>
      <c r="U179" s="824">
        <v>84</v>
      </c>
      <c r="V179" s="824">
        <v>0</v>
      </c>
      <c r="W179" s="824">
        <v>36</v>
      </c>
      <c r="X179" s="824">
        <v>1573.8564263010346</v>
      </c>
      <c r="Y179" s="824">
        <v>0</v>
      </c>
      <c r="Z179" s="966">
        <v>0</v>
      </c>
      <c r="AA179" s="966">
        <v>0</v>
      </c>
      <c r="AB179" s="969">
        <v>0</v>
      </c>
      <c r="AC179" s="969">
        <v>0</v>
      </c>
      <c r="AD179" s="969">
        <v>0</v>
      </c>
      <c r="AE179" s="264">
        <v>50</v>
      </c>
      <c r="AF179" s="264">
        <v>500</v>
      </c>
      <c r="AG179" s="264">
        <v>400</v>
      </c>
      <c r="AH179" s="264">
        <v>900</v>
      </c>
      <c r="AI179" s="973">
        <v>36</v>
      </c>
      <c r="AJ179" s="263">
        <v>50</v>
      </c>
      <c r="AK179" s="987">
        <v>900</v>
      </c>
      <c r="AL179" s="263">
        <f>VLOOKUP(Tableau1[[#This Row],[Code PAS]],'Facturation PAS RIN5 RUN'!C:F,4,0)</f>
        <v>0</v>
      </c>
      <c r="AM179" s="263"/>
      <c r="AN179" s="263" t="b">
        <f>ROUND(Tableau1[[#This Row],[Montant Options coûts récurrents]],0)=ROUND(Tableau1[[#This Row],[GTRS1 (Coût Plage de support 24h/24 7j/7)]],0)</f>
        <v>1</v>
      </c>
      <c r="AO179" s="265" t="e">
        <f>_xlfn.XLOOKUP(Tableau1[[#This Row],[Code PAS]],'parc SATIN 08012026v'!K:K,'parc SATIN 08012026v'!#REF!,0,0)</f>
        <v>#REF!</v>
      </c>
      <c r="AP179" s="263" t="e">
        <f>VLOOKUP(Tableau1[[#This Row],[Code PAS]],#REF!,3,0)</f>
        <v>#REF!</v>
      </c>
      <c r="AQ179" s="263" t="e">
        <f>VLOOKUP(Tableau1[[#This Row],[Code PAS]],[14]Feuil1!$B:$G,6,0)</f>
        <v>#N/A</v>
      </c>
      <c r="AR179" s="263" t="str">
        <f>_xlfn.XLOOKUP(Tableau1[[#This Row],[Code PAS]],'Facturation PAS RIN5 RUN'!C:C,'Facturation PAS RIN5 RUN'!B:B,0,0)</f>
        <v>Silver_50_50</v>
      </c>
      <c r="AS179" s="263" t="b">
        <f>Tableau1[[#This Row],[Etat facturation]]=Tableau1[[#This Row],[Index offre du fournisseur]]</f>
        <v>1</v>
      </c>
      <c r="AT179" s="250" t="str">
        <f>_xlfn.XLOOKUP(Tableau1[[#This Row],[Code PAS]],'parc SATIN 08012026v'!K:K,'parc SATIN 08012026v'!M:M,0,0)</f>
        <v>PARC</v>
      </c>
      <c r="AU179" s="250" t="str">
        <f>_xlfn.XLOOKUP(Tableau1[[#This Row],[Code PAS]],'parc SATIN 08012026v'!K:K,'parc SATIN 08012026v'!O:O,0,0)</f>
        <v>PARC</v>
      </c>
      <c r="AV179" s="251">
        <f>_xlfn.XLOOKUP(Tableau1[[#This Row],[Code PAS]],'parc SATIN 08012026v'!K:K,'parc SATIN 08012026v'!Q:Q,0,0)</f>
        <v>46014</v>
      </c>
      <c r="AW179" s="251" t="str">
        <f>_xlfn.XLOOKUP(Tableau1[[#This Row],[Code PAS]],'parc SATIN 08012026v'!K:K,'parc SATIN 08012026v'!S:S,0,0)</f>
        <v>change</v>
      </c>
      <c r="AX179" s="250" t="str">
        <f>_xlfn.XLOOKUP(Tableau1[[#This Row],[Code PAS]],'parc SATIN 08012026v'!K:K,'parc SATIN 08012026v'!AF:AF,0,0)</f>
        <v>50 Mb/s</v>
      </c>
      <c r="AY17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179" s="250" t="s">
        <v>3114</v>
      </c>
    </row>
    <row r="180" spans="1:52" s="250" customFormat="1" ht="15" customHeight="1" x14ac:dyDescent="0.3">
      <c r="A180" s="248"/>
      <c r="B180" s="248"/>
      <c r="C180" s="249"/>
      <c r="D180" s="249"/>
      <c r="E180" s="250" t="s">
        <v>2769</v>
      </c>
      <c r="F180" s="984" t="s">
        <v>193</v>
      </c>
      <c r="G180" s="250" t="s">
        <v>2745</v>
      </c>
      <c r="H180" s="250" t="s">
        <v>2745</v>
      </c>
      <c r="I180" s="250" t="s">
        <v>78</v>
      </c>
      <c r="J180" s="248" t="str">
        <f>_xlfn.XLOOKUP(Tableau1[[#This Row],[Code PAS]],'[13]Parc Satin'!$L:$L,'[13]Parc Satin'!$CK:$CK,0,0)</f>
        <v>Nominal InterLan 1.0 Secours InterLan 1.0</v>
      </c>
      <c r="K180" s="250" t="s">
        <v>2829</v>
      </c>
      <c r="L180" s="250">
        <v>600</v>
      </c>
      <c r="M180" s="250">
        <v>1200</v>
      </c>
      <c r="N180" s="250">
        <v>1</v>
      </c>
      <c r="O180" s="250" t="s">
        <v>74</v>
      </c>
      <c r="P180" s="824">
        <v>0</v>
      </c>
      <c r="Q180" s="824">
        <v>0</v>
      </c>
      <c r="R180" s="824">
        <v>0</v>
      </c>
      <c r="S180" s="824">
        <v>0</v>
      </c>
      <c r="T180" s="824">
        <v>1628</v>
      </c>
      <c r="U180" s="824">
        <v>239</v>
      </c>
      <c r="V180" s="824">
        <v>64</v>
      </c>
      <c r="W180" s="824">
        <v>108</v>
      </c>
      <c r="X180" s="824">
        <f>Tableau1[[#This Row],[Coût Abonnement offre]]+Tableau1[[#This Row],[Coût Abonnement Chassis]]+Tableau1[[#This Row],[Cout Cartes interface ]]+Tableau1[[#This Row],[Cout canaux voix supplémentaire]]</f>
        <v>2039</v>
      </c>
      <c r="Y180" s="824">
        <v>0</v>
      </c>
      <c r="Z180" s="966">
        <v>0</v>
      </c>
      <c r="AA180" s="966">
        <v>0</v>
      </c>
      <c r="AB180" s="969">
        <v>0</v>
      </c>
      <c r="AC180" s="969">
        <v>0</v>
      </c>
      <c r="AD180" s="969">
        <v>0</v>
      </c>
      <c r="AE180" s="264">
        <v>100</v>
      </c>
      <c r="AF180" s="264">
        <v>600</v>
      </c>
      <c r="AG180" s="264">
        <v>1200</v>
      </c>
      <c r="AH180" s="264">
        <v>1800</v>
      </c>
      <c r="AI180" s="973">
        <v>108</v>
      </c>
      <c r="AJ180" s="263">
        <v>100</v>
      </c>
      <c r="AK180" s="987">
        <v>1800</v>
      </c>
      <c r="AL180" s="263">
        <f>VLOOKUP(Tableau1[[#This Row],[Code PAS]],'Facturation PAS RIN5 RUN'!C:F,4,0)</f>
        <v>64</v>
      </c>
      <c r="AM180" s="263"/>
      <c r="AN180" s="263" t="b">
        <f>ROUND(Tableau1[[#This Row],[Montant Options coûts récurrents]],0)=ROUND(Tableau1[[#This Row],[GTRS1 (Coût Plage de support 24h/24 7j/7)]],0)</f>
        <v>0</v>
      </c>
      <c r="AO180" s="265" t="e">
        <f>_xlfn.XLOOKUP(Tableau1[[#This Row],[Code PAS]],'parc SATIN 08012026v'!K:K,'parc SATIN 08012026v'!#REF!,0,0)</f>
        <v>#REF!</v>
      </c>
      <c r="AP180" s="263" t="e">
        <f>VLOOKUP(Tableau1[[#This Row],[Code PAS]],#REF!,3,0)</f>
        <v>#REF!</v>
      </c>
      <c r="AQ180" s="263" t="e">
        <f>VLOOKUP(Tableau1[[#This Row],[Code PAS]],[14]Feuil1!$B:$G,6,0)</f>
        <v>#N/A</v>
      </c>
      <c r="AR180" s="263" t="str">
        <f>_xlfn.XLOOKUP(Tableau1[[#This Row],[Code PAS]],'Facturation PAS RIN5 RUN'!C:C,'Facturation PAS RIN5 RUN'!B:B,0,0)</f>
        <v>Gold_100_100</v>
      </c>
      <c r="AS180" s="263" t="b">
        <f>Tableau1[[#This Row],[Etat facturation]]=Tableau1[[#This Row],[Index offre du fournisseur]]</f>
        <v>1</v>
      </c>
      <c r="AT180" s="250" t="str">
        <f>_xlfn.XLOOKUP(Tableau1[[#This Row],[Code PAS]],'parc SATIN 08012026v'!K:K,'parc SATIN 08012026v'!M:M,0,0)</f>
        <v>PARC</v>
      </c>
      <c r="AU180" s="250" t="str">
        <f>_xlfn.XLOOKUP(Tableau1[[#This Row],[Code PAS]],'parc SATIN 08012026v'!K:K,'parc SATIN 08012026v'!O:O,0,0)</f>
        <v>PARC</v>
      </c>
      <c r="AV180" s="251">
        <f>_xlfn.XLOOKUP(Tableau1[[#This Row],[Code PAS]],'parc SATIN 08012026v'!K:K,'parc SATIN 08012026v'!Q:Q,0,0)</f>
        <v>45649</v>
      </c>
      <c r="AW180" s="251" t="str">
        <f>_xlfn.XLOOKUP(Tableau1[[#This Row],[Code PAS]],'parc SATIN 08012026v'!K:K,'parc SATIN 08012026v'!S:S,0,0)</f>
        <v>change</v>
      </c>
      <c r="AX180" s="250" t="str">
        <f>_xlfn.XLOOKUP(Tableau1[[#This Row],[Code PAS]],'parc SATIN 08012026v'!K:K,'parc SATIN 08012026v'!AF:AF,0,0)</f>
        <v>100 Mb/s</v>
      </c>
      <c r="AY18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181" spans="1:52" s="250" customFormat="1" ht="15" customHeight="1" x14ac:dyDescent="0.3">
      <c r="A181" s="248"/>
      <c r="B181" s="248"/>
      <c r="C181" s="248"/>
      <c r="D181" s="248"/>
      <c r="E181" s="250" t="s">
        <v>3115</v>
      </c>
      <c r="F181" s="984" t="s">
        <v>1844</v>
      </c>
      <c r="G181" s="250" t="s">
        <v>2791</v>
      </c>
      <c r="H181" s="250" t="s">
        <v>2791</v>
      </c>
      <c r="I181" s="250" t="s">
        <v>78</v>
      </c>
      <c r="J181" s="248" t="str">
        <f>_xlfn.XLOOKUP(Tableau1[[#This Row],[Code PAS]],'[13]Parc Satin'!$L:$L,'[13]Parc Satin'!$CK:$CK,0,0)</f>
        <v>Nominal InterLan 1.0 Secours InterLan 1.0</v>
      </c>
      <c r="K181" s="250" t="s">
        <v>2829</v>
      </c>
      <c r="L181" s="250">
        <v>500</v>
      </c>
      <c r="M181" s="250">
        <v>400</v>
      </c>
      <c r="N181" s="252">
        <v>1</v>
      </c>
      <c r="O181" s="252" t="s">
        <v>74</v>
      </c>
      <c r="P181" s="824">
        <v>0</v>
      </c>
      <c r="Q181" s="824">
        <v>652</v>
      </c>
      <c r="R181" s="824">
        <v>0</v>
      </c>
      <c r="S181" s="824">
        <v>652</v>
      </c>
      <c r="T181" s="824">
        <v>1454</v>
      </c>
      <c r="U181" s="824">
        <v>142</v>
      </c>
      <c r="V181" s="824">
        <v>16</v>
      </c>
      <c r="W181" s="824">
        <v>36</v>
      </c>
      <c r="X181" s="824">
        <f>Tableau1[[#This Row],[Coût Abonnement offre]]+Tableau1[[#This Row],[Coût Abonnement Chassis]]+Tableau1[[#This Row],[Cout Cartes interface ]]+Tableau1[[#This Row],[Cout canaux voix supplémentaire]]</f>
        <v>1648</v>
      </c>
      <c r="Y181" s="824">
        <v>0</v>
      </c>
      <c r="Z181" s="966">
        <v>0</v>
      </c>
      <c r="AA181" s="966">
        <v>0</v>
      </c>
      <c r="AB181" s="969">
        <v>0</v>
      </c>
      <c r="AC181" s="969">
        <v>0</v>
      </c>
      <c r="AD181" s="969">
        <v>0</v>
      </c>
      <c r="AE181" s="264">
        <v>50</v>
      </c>
      <c r="AF181" s="264">
        <v>500</v>
      </c>
      <c r="AG181" s="264">
        <v>400</v>
      </c>
      <c r="AH181" s="264">
        <v>900</v>
      </c>
      <c r="AI181" s="973">
        <v>36</v>
      </c>
      <c r="AJ181" s="263">
        <v>50</v>
      </c>
      <c r="AK181" s="987">
        <v>900</v>
      </c>
      <c r="AL181" s="263">
        <f>VLOOKUP(Tableau1[[#This Row],[Code PAS]],'Facturation PAS RIN5 RUN'!C:F,4,0)</f>
        <v>16</v>
      </c>
      <c r="AM181" s="263"/>
      <c r="AN181" s="263" t="b">
        <f>ROUND(Tableau1[[#This Row],[Montant Options coûts récurrents]],0)=ROUND(Tableau1[[#This Row],[GTRS1 (Coût Plage de support 24h/24 7j/7)]],0)</f>
        <v>0</v>
      </c>
      <c r="AO181" s="265" t="e">
        <f>_xlfn.XLOOKUP(Tableau1[[#This Row],[Code PAS]],'parc SATIN 08012026v'!K:K,'parc SATIN 08012026v'!#REF!,0,0)</f>
        <v>#REF!</v>
      </c>
      <c r="AP181" s="263" t="e">
        <f>VLOOKUP(Tableau1[[#This Row],[Code PAS]],#REF!,3,0)</f>
        <v>#REF!</v>
      </c>
      <c r="AQ181" s="263" t="e">
        <f>VLOOKUP(Tableau1[[#This Row],[Code PAS]],[14]Feuil1!$B:$G,6,0)</f>
        <v>#N/A</v>
      </c>
      <c r="AR181" s="263" t="str">
        <f>_xlfn.XLOOKUP(Tableau1[[#This Row],[Code PAS]],'Facturation PAS RIN5 RUN'!C:C,'Facturation PAS RIN5 RUN'!B:B,0,0)</f>
        <v>Silver_50_50</v>
      </c>
      <c r="AS181" s="263" t="b">
        <f>Tableau1[[#This Row],[Etat facturation]]=Tableau1[[#This Row],[Index offre du fournisseur]]</f>
        <v>1</v>
      </c>
      <c r="AT181" s="250" t="str">
        <f>_xlfn.XLOOKUP(Tableau1[[#This Row],[Code PAS]],'parc SATIN 08012026v'!K:K,'parc SATIN 08012026v'!M:M,0,0)</f>
        <v>PARC</v>
      </c>
      <c r="AU181" s="250" t="str">
        <f>_xlfn.XLOOKUP(Tableau1[[#This Row],[Code PAS]],'parc SATIN 08012026v'!K:K,'parc SATIN 08012026v'!O:O,0,0)</f>
        <v>PARC</v>
      </c>
      <c r="AV181" s="251">
        <f>_xlfn.XLOOKUP(Tableau1[[#This Row],[Code PAS]],'parc SATIN 08012026v'!K:K,'parc SATIN 08012026v'!Q:Q,0,0)</f>
        <v>45952</v>
      </c>
      <c r="AW181" s="251" t="str">
        <f>_xlfn.XLOOKUP(Tableau1[[#This Row],[Code PAS]],'parc SATIN 08012026v'!K:K,'parc SATIN 08012026v'!S:S,0,0)</f>
        <v>change</v>
      </c>
      <c r="AX181" s="250" t="str">
        <f>_xlfn.XLOOKUP(Tableau1[[#This Row],[Code PAS]],'parc SATIN 08012026v'!K:K,'parc SATIN 08012026v'!AF:AF,0,0)</f>
        <v>50 Mb/s</v>
      </c>
      <c r="AY18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82" spans="1:52" s="250" customFormat="1" ht="15" customHeight="1" x14ac:dyDescent="0.3">
      <c r="A182" s="248"/>
      <c r="B182" s="249">
        <v>45743</v>
      </c>
      <c r="C182" s="249">
        <v>45845</v>
      </c>
      <c r="D182" s="249">
        <v>45845</v>
      </c>
      <c r="E182" s="250" t="s">
        <v>3116</v>
      </c>
      <c r="F182" s="984" t="s">
        <v>1837</v>
      </c>
      <c r="G182" s="250" t="s">
        <v>3065</v>
      </c>
      <c r="H182" s="250" t="s">
        <v>3065</v>
      </c>
      <c r="I182" s="248" t="s">
        <v>78</v>
      </c>
      <c r="J182" s="248"/>
      <c r="L182" s="250">
        <v>900</v>
      </c>
      <c r="M182" s="250">
        <v>4600</v>
      </c>
      <c r="N182" s="250">
        <v>1</v>
      </c>
      <c r="O182" s="250" t="s">
        <v>74</v>
      </c>
      <c r="P182" s="824">
        <v>0</v>
      </c>
      <c r="Q182" s="824">
        <v>0</v>
      </c>
      <c r="R182" s="824">
        <v>0</v>
      </c>
      <c r="S182" s="824">
        <v>0</v>
      </c>
      <c r="T182" s="824">
        <v>1899</v>
      </c>
      <c r="U182" s="824">
        <v>142</v>
      </c>
      <c r="V182" s="824">
        <v>16</v>
      </c>
      <c r="W182" s="824">
        <v>414</v>
      </c>
      <c r="X182" s="824">
        <v>2470.8564263010348</v>
      </c>
      <c r="Y182" s="824">
        <v>0</v>
      </c>
      <c r="Z182" s="966">
        <v>0</v>
      </c>
      <c r="AA182" s="966">
        <v>0</v>
      </c>
      <c r="AB182" s="969">
        <v>0</v>
      </c>
      <c r="AC182" s="969">
        <v>0</v>
      </c>
      <c r="AD182" s="969">
        <v>0</v>
      </c>
      <c r="AE182" s="264">
        <v>300</v>
      </c>
      <c r="AF182" s="264">
        <v>900</v>
      </c>
      <c r="AG182" s="264">
        <v>4600</v>
      </c>
      <c r="AH182" s="264">
        <v>5500</v>
      </c>
      <c r="AI182" s="973">
        <v>414</v>
      </c>
      <c r="AJ182" s="263">
        <v>300</v>
      </c>
      <c r="AK182" s="987">
        <v>5500</v>
      </c>
      <c r="AL182" s="263">
        <f>VLOOKUP(Tableau1[[#This Row],[Code PAS]],'Facturation PAS RIN5 RUN'!C:F,4,0)</f>
        <v>16</v>
      </c>
      <c r="AM182" s="263"/>
      <c r="AN182" s="263" t="b">
        <f>ROUND(Tableau1[[#This Row],[Montant Options coûts récurrents]],0)=ROUND(Tableau1[[#This Row],[GTRS1 (Coût Plage de support 24h/24 7j/7)]],0)</f>
        <v>0</v>
      </c>
      <c r="AO182" s="265" t="e">
        <f>_xlfn.XLOOKUP(Tableau1[[#This Row],[Code PAS]],'parc SATIN 08012026v'!K:K,'parc SATIN 08012026v'!#REF!,0,0)</f>
        <v>#REF!</v>
      </c>
      <c r="AP182" s="263" t="e">
        <f>VLOOKUP(Tableau1[[#This Row],[Code PAS]],#REF!,3,0)</f>
        <v>#REF!</v>
      </c>
      <c r="AQ182" s="263" t="e">
        <f>VLOOKUP(Tableau1[[#This Row],[Code PAS]],[14]Feuil1!$B:$G,6,0)</f>
        <v>#N/A</v>
      </c>
      <c r="AR182" s="263" t="str">
        <f>_xlfn.XLOOKUP(Tableau1[[#This Row],[Code PAS]],'Facturation PAS RIN5 RUN'!C:C,'Facturation PAS RIN5 RUN'!B:B,0,0)</f>
        <v>Gold_300_300</v>
      </c>
      <c r="AS182" s="263" t="b">
        <f>Tableau1[[#This Row],[Etat facturation]]=Tableau1[[#This Row],[Index offre du fournisseur]]</f>
        <v>1</v>
      </c>
      <c r="AT182" s="250" t="str">
        <f>_xlfn.XLOOKUP(Tableau1[[#This Row],[Code PAS]],'parc SATIN 08012026v'!K:K,'parc SATIN 08012026v'!M:M,0,0)</f>
        <v>PARC</v>
      </c>
      <c r="AU182" s="250" t="str">
        <f>_xlfn.XLOOKUP(Tableau1[[#This Row],[Code PAS]],'parc SATIN 08012026v'!K:K,'parc SATIN 08012026v'!O:O,0,0)</f>
        <v>PARC</v>
      </c>
      <c r="AV182" s="251">
        <f>_xlfn.XLOOKUP(Tableau1[[#This Row],[Code PAS]],'parc SATIN 08012026v'!K:K,'parc SATIN 08012026v'!Q:Q,0,0)</f>
        <v>45832</v>
      </c>
      <c r="AW182" s="251" t="str">
        <f>_xlfn.XLOOKUP(Tableau1[[#This Row],[Code PAS]],'parc SATIN 08012026v'!K:K,'parc SATIN 08012026v'!S:S,0,0)</f>
        <v>change</v>
      </c>
      <c r="AX182" s="250" t="str">
        <f>_xlfn.XLOOKUP(Tableau1[[#This Row],[Code PAS]],'parc SATIN 08012026v'!K:K,'parc SATIN 08012026v'!AF:AF,0,0)</f>
        <v>300 Mbits/s</v>
      </c>
      <c r="AY18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300</v>
      </c>
      <c r="AZ182" s="250" t="s">
        <v>2842</v>
      </c>
    </row>
    <row r="183" spans="1:52" s="250" customFormat="1" ht="15" customHeight="1" x14ac:dyDescent="0.3">
      <c r="A183" s="248"/>
      <c r="B183" s="249">
        <v>45678</v>
      </c>
      <c r="C183" s="249"/>
      <c r="D183" s="249">
        <v>46007</v>
      </c>
      <c r="E183" s="250" t="s">
        <v>3117</v>
      </c>
      <c r="F183" s="984" t="s">
        <v>1828</v>
      </c>
      <c r="G183" s="250" t="s">
        <v>3065</v>
      </c>
      <c r="H183" s="250" t="s">
        <v>3065</v>
      </c>
      <c r="I183" s="250" t="s">
        <v>78</v>
      </c>
      <c r="J183" s="248" t="s">
        <v>2829</v>
      </c>
      <c r="L183" s="250">
        <v>900</v>
      </c>
      <c r="M183" s="250">
        <v>4600</v>
      </c>
      <c r="N183" s="252">
        <v>1</v>
      </c>
      <c r="O183" s="252" t="s">
        <v>74</v>
      </c>
      <c r="P183" s="824">
        <v>0</v>
      </c>
      <c r="Q183" s="824">
        <v>0</v>
      </c>
      <c r="R183" s="824">
        <v>0</v>
      </c>
      <c r="S183" s="824">
        <v>0</v>
      </c>
      <c r="T183" s="824">
        <v>1899</v>
      </c>
      <c r="U183" s="824">
        <v>142</v>
      </c>
      <c r="V183" s="824">
        <v>16</v>
      </c>
      <c r="W183" s="824">
        <v>414</v>
      </c>
      <c r="X183" s="824">
        <v>2470.8564263010348</v>
      </c>
      <c r="Y183" s="824">
        <v>0</v>
      </c>
      <c r="Z183" s="966">
        <v>0</v>
      </c>
      <c r="AA183" s="966">
        <v>0</v>
      </c>
      <c r="AB183" s="969">
        <v>0</v>
      </c>
      <c r="AC183" s="969">
        <v>0</v>
      </c>
      <c r="AD183" s="969">
        <v>0</v>
      </c>
      <c r="AE183" s="264">
        <v>300</v>
      </c>
      <c r="AF183" s="264">
        <v>900</v>
      </c>
      <c r="AG183" s="264">
        <v>4600</v>
      </c>
      <c r="AH183" s="264">
        <v>5500</v>
      </c>
      <c r="AI183" s="973">
        <v>414</v>
      </c>
      <c r="AJ183" s="263">
        <v>300</v>
      </c>
      <c r="AK183" s="987">
        <v>5500</v>
      </c>
      <c r="AL183" s="263">
        <f>VLOOKUP(Tableau1[[#This Row],[Code PAS]],'Facturation PAS RIN5 RUN'!C:F,4,0)</f>
        <v>16</v>
      </c>
      <c r="AM183" s="263"/>
      <c r="AN183" s="263" t="b">
        <f>ROUND(Tableau1[[#This Row],[Montant Options coûts récurrents]],0)=ROUND(Tableau1[[#This Row],[GTRS1 (Coût Plage de support 24h/24 7j/7)]],0)</f>
        <v>0</v>
      </c>
      <c r="AO183" s="265" t="e">
        <f>_xlfn.XLOOKUP(Tableau1[[#This Row],[Code PAS]],'parc SATIN 08012026v'!K:K,'parc SATIN 08012026v'!#REF!,0,0)</f>
        <v>#REF!</v>
      </c>
      <c r="AP183" s="263" t="e">
        <f>VLOOKUP(Tableau1[[#This Row],[Code PAS]],#REF!,3,0)</f>
        <v>#REF!</v>
      </c>
      <c r="AQ183" s="263" t="str">
        <f>VLOOKUP(Tableau1[[#This Row],[Code PAS]],[14]Feuil1!$B:$G,6,0)</f>
        <v>Lundi au Samedi 8h-18h</v>
      </c>
      <c r="AR183" s="263" t="str">
        <f>_xlfn.XLOOKUP(Tableau1[[#This Row],[Code PAS]],'Facturation PAS RIN5 RUN'!C:C,'Facturation PAS RIN5 RUN'!B:B,0,0)</f>
        <v>Gold_300_300</v>
      </c>
      <c r="AS183" s="263" t="b">
        <f>Tableau1[[#This Row],[Etat facturation]]=Tableau1[[#This Row],[Index offre du fournisseur]]</f>
        <v>1</v>
      </c>
      <c r="AT183" s="250" t="str">
        <f>_xlfn.XLOOKUP(Tableau1[[#This Row],[Code PAS]],'parc SATIN 08012026v'!K:K,'parc SATIN 08012026v'!M:M,0,0)</f>
        <v>PARC</v>
      </c>
      <c r="AU183" s="250" t="str">
        <f>_xlfn.XLOOKUP(Tableau1[[#This Row],[Code PAS]],'parc SATIN 08012026v'!K:K,'parc SATIN 08012026v'!O:O,0,0)</f>
        <v>PARC</v>
      </c>
      <c r="AV183" s="251">
        <f>_xlfn.XLOOKUP(Tableau1[[#This Row],[Code PAS]],'parc SATIN 08012026v'!K:K,'parc SATIN 08012026v'!Q:Q,0,0)</f>
        <v>46007</v>
      </c>
      <c r="AW183" s="251" t="str">
        <f>_xlfn.XLOOKUP(Tableau1[[#This Row],[Code PAS]],'parc SATIN 08012026v'!K:K,'parc SATIN 08012026v'!S:S,0,0)</f>
        <v>change</v>
      </c>
      <c r="AX183" s="250" t="str">
        <f>_xlfn.XLOOKUP(Tableau1[[#This Row],[Code PAS]],'parc SATIN 08012026v'!K:K,'parc SATIN 08012026v'!AF:AF,0,0)</f>
        <v>300 Mbits/s</v>
      </c>
      <c r="AY18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300</v>
      </c>
      <c r="AZ183" s="250" t="s">
        <v>2842</v>
      </c>
    </row>
    <row r="184" spans="1:52" s="250" customFormat="1" ht="15" customHeight="1" x14ac:dyDescent="0.3">
      <c r="A184" s="250" t="s">
        <v>2785</v>
      </c>
      <c r="C184" s="249"/>
      <c r="D184" s="249"/>
      <c r="E184" s="250" t="s">
        <v>3118</v>
      </c>
      <c r="F184" s="984" t="s">
        <v>2064</v>
      </c>
      <c r="G184" s="250" t="s">
        <v>2748</v>
      </c>
      <c r="H184" s="250" t="s">
        <v>2748</v>
      </c>
      <c r="I184" s="250" t="s">
        <v>78</v>
      </c>
      <c r="J184" s="248" t="str">
        <f>_xlfn.XLOOKUP(Tableau1[[#This Row],[Code PAS]],'[13]Parc Satin'!$L:$L,'[13]Parc Satin'!$CK:$CK,0,0)</f>
        <v>Nominal InterLan 1.0 Secours InterLan 1.0</v>
      </c>
      <c r="K184" s="250" t="s">
        <v>2860</v>
      </c>
      <c r="L184" s="250">
        <v>300</v>
      </c>
      <c r="M184" s="250">
        <v>50</v>
      </c>
      <c r="N184" s="250">
        <v>1</v>
      </c>
      <c r="O184" s="250" t="s">
        <v>74</v>
      </c>
      <c r="P184" s="824">
        <v>0</v>
      </c>
      <c r="Q184" s="824">
        <v>0</v>
      </c>
      <c r="R184" s="824">
        <v>0</v>
      </c>
      <c r="S184" s="824">
        <v>0</v>
      </c>
      <c r="T184" s="824">
        <v>1149</v>
      </c>
      <c r="U184" s="824">
        <v>71</v>
      </c>
      <c r="V184" s="824">
        <v>80</v>
      </c>
      <c r="W184" s="824">
        <v>5</v>
      </c>
      <c r="X184" s="824">
        <f>Tableau1[[#This Row],[Coût Abonnement offre]]+Tableau1[[#This Row],[Coût Abonnement Chassis]]+Tableau1[[#This Row],[Cout Cartes interface ]]+Tableau1[[#This Row],[Cout canaux voix supplémentaire]]</f>
        <v>1305</v>
      </c>
      <c r="Y184" s="824">
        <v>0</v>
      </c>
      <c r="Z184" s="966">
        <v>0</v>
      </c>
      <c r="AA184" s="966">
        <v>0</v>
      </c>
      <c r="AB184" s="969">
        <v>0</v>
      </c>
      <c r="AC184" s="969">
        <v>0</v>
      </c>
      <c r="AD184" s="969">
        <v>0</v>
      </c>
      <c r="AE184" s="264">
        <v>20</v>
      </c>
      <c r="AF184" s="264">
        <v>300</v>
      </c>
      <c r="AG184" s="264">
        <v>50</v>
      </c>
      <c r="AH184" s="264">
        <v>350</v>
      </c>
      <c r="AI184" s="973">
        <v>5</v>
      </c>
      <c r="AJ184" s="263">
        <v>20</v>
      </c>
      <c r="AK184" s="987">
        <v>350</v>
      </c>
      <c r="AL184" s="263">
        <f>VLOOKUP(Tableau1[[#This Row],[Code PAS]],'Facturation PAS RIN5 RUN'!C:F,4,0)</f>
        <v>80</v>
      </c>
      <c r="AM184" s="263"/>
      <c r="AN184" s="263" t="b">
        <f>ROUND(Tableau1[[#This Row],[Montant Options coûts récurrents]],0)=ROUND(Tableau1[[#This Row],[GTRS1 (Coût Plage de support 24h/24 7j/7)]],0)</f>
        <v>0</v>
      </c>
      <c r="AO184" s="265" t="e">
        <f>_xlfn.XLOOKUP(Tableau1[[#This Row],[Code PAS]],'parc SATIN 08012026v'!K:K,'parc SATIN 08012026v'!#REF!,0,0)</f>
        <v>#REF!</v>
      </c>
      <c r="AP184" s="263" t="e">
        <f>VLOOKUP(Tableau1[[#This Row],[Code PAS]],#REF!,3,0)</f>
        <v>#REF!</v>
      </c>
      <c r="AQ184" s="263" t="e">
        <f>VLOOKUP(Tableau1[[#This Row],[Code PAS]],[14]Feuil1!$B:$G,6,0)</f>
        <v>#N/A</v>
      </c>
      <c r="AR184" s="263" t="str">
        <f>_xlfn.XLOOKUP(Tableau1[[#This Row],[Code PAS]],'Facturation PAS RIN5 RUN'!C:C,'Facturation PAS RIN5 RUN'!B:B,0,0)</f>
        <v>Gold_20_20</v>
      </c>
      <c r="AS184" s="263" t="b">
        <f>Tableau1[[#This Row],[Etat facturation]]=Tableau1[[#This Row],[Index offre du fournisseur]]</f>
        <v>1</v>
      </c>
      <c r="AT184" s="250" t="str">
        <f>_xlfn.XLOOKUP(Tableau1[[#This Row],[Code PAS]],'parc SATIN 08012026v'!K:K,'parc SATIN 08012026v'!M:M,0,0)</f>
        <v>PARC</v>
      </c>
      <c r="AU184" s="250" t="str">
        <f>_xlfn.XLOOKUP(Tableau1[[#This Row],[Code PAS]],'parc SATIN 08012026v'!K:K,'parc SATIN 08012026v'!O:O,0,0)</f>
        <v>PARC</v>
      </c>
      <c r="AV184" s="251">
        <f>_xlfn.XLOOKUP(Tableau1[[#This Row],[Code PAS]],'parc SATIN 08012026v'!K:K,'parc SATIN 08012026v'!Q:Q,0,0)</f>
        <v>44083</v>
      </c>
      <c r="AW184" s="251" t="str">
        <f>_xlfn.XLOOKUP(Tableau1[[#This Row],[Code PAS]],'parc SATIN 08012026v'!K:K,'parc SATIN 08012026v'!S:S,0,0)</f>
        <v>création</v>
      </c>
      <c r="AX184" s="250" t="str">
        <f>_xlfn.XLOOKUP(Tableau1[[#This Row],[Code PAS]],'parc SATIN 08012026v'!K:K,'parc SATIN 08012026v'!AF:AF,0,0)</f>
        <v>20 Mb/s</v>
      </c>
      <c r="AY18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85" spans="1:52" s="250" customFormat="1" ht="15" customHeight="1" x14ac:dyDescent="0.3">
      <c r="A185" s="250" t="s">
        <v>2739</v>
      </c>
      <c r="C185" s="249"/>
      <c r="D185" s="249"/>
      <c r="E185" s="250" t="s">
        <v>3119</v>
      </c>
      <c r="F185" s="984" t="s">
        <v>2623</v>
      </c>
      <c r="G185" s="250" t="s">
        <v>3011</v>
      </c>
      <c r="H185" s="250" t="s">
        <v>3011</v>
      </c>
      <c r="J185" s="248" t="str">
        <f>_xlfn.XLOOKUP(Tableau1[[#This Row],[Code PAS]],'[13]Parc Satin'!$L:$L,'[13]Parc Satin'!$CK:$CK,0,0)</f>
        <v>Nominal InterLan 1.0 Secours InterLan 1.0</v>
      </c>
      <c r="P185" s="820">
        <v>20844</v>
      </c>
      <c r="Q185" s="820">
        <v>0</v>
      </c>
      <c r="R185" s="820">
        <v>0</v>
      </c>
      <c r="S185" s="820">
        <v>0</v>
      </c>
      <c r="T185" s="824">
        <v>2323</v>
      </c>
      <c r="U185" s="824">
        <v>382</v>
      </c>
      <c r="V185" s="824">
        <v>112</v>
      </c>
      <c r="W185" s="824">
        <v>540</v>
      </c>
      <c r="X185" s="823">
        <v>3357.0564263010347</v>
      </c>
      <c r="Y185" s="824">
        <v>66</v>
      </c>
      <c r="Z185" s="966">
        <v>0</v>
      </c>
      <c r="AA185" s="966">
        <v>0</v>
      </c>
      <c r="AB185" s="969">
        <v>0</v>
      </c>
      <c r="AC185" s="969">
        <v>0</v>
      </c>
      <c r="AD185" s="969">
        <v>0</v>
      </c>
      <c r="AE185" s="264">
        <v>400</v>
      </c>
      <c r="AF185" s="264">
        <v>1000</v>
      </c>
      <c r="AG185" s="264">
        <v>6000</v>
      </c>
      <c r="AH185" s="264">
        <v>7000</v>
      </c>
      <c r="AI185" s="973">
        <v>540</v>
      </c>
      <c r="AJ185" s="263">
        <v>400</v>
      </c>
      <c r="AK185" s="987">
        <v>7000</v>
      </c>
      <c r="AL185" s="263">
        <f>VLOOKUP(Tableau1[[#This Row],[Code PAS]],'Facturation PAS RIN5 RUN'!C:F,4,0)</f>
        <v>112</v>
      </c>
      <c r="AM185" s="263"/>
      <c r="AN185" s="263" t="b">
        <f>ROUND(Tableau1[[#This Row],[Montant Options coûts récurrents]],0)=ROUND(Tableau1[[#This Row],[GTRS1 (Coût Plage de support 24h/24 7j/7)]],0)</f>
        <v>0</v>
      </c>
      <c r="AO185" s="265" t="e">
        <f>_xlfn.XLOOKUP(Tableau1[[#This Row],[Code PAS]],'parc SATIN 08012026v'!K:K,'parc SATIN 08012026v'!#REF!,0,0)</f>
        <v>#REF!</v>
      </c>
      <c r="AP185" s="263" t="e">
        <f>VLOOKUP(Tableau1[[#This Row],[Code PAS]],#REF!,3,0)</f>
        <v>#REF!</v>
      </c>
      <c r="AQ185" s="263" t="e">
        <f>VLOOKUP(Tableau1[[#This Row],[Code PAS]],[14]Feuil1!$B:$G,6,0)</f>
        <v>#N/A</v>
      </c>
      <c r="AR185" s="263" t="str">
        <f>_xlfn.XLOOKUP(Tableau1[[#This Row],[Code PAS]],'Facturation PAS RIN5 RUN'!C:C,'Facturation PAS RIN5 RUN'!B:B,0,0)</f>
        <v>Platinum_400_400</v>
      </c>
      <c r="AS185" s="263" t="b">
        <f>Tableau1[[#This Row],[Etat facturation]]=Tableau1[[#This Row],[Index offre du fournisseur]]</f>
        <v>1</v>
      </c>
      <c r="AT185" s="250" t="str">
        <f>_xlfn.XLOOKUP(Tableau1[[#This Row],[Code PAS]],'parc SATIN 08012026v'!K:K,'parc SATIN 08012026v'!M:M,0,0)</f>
        <v>PARC</v>
      </c>
      <c r="AU185" s="250" t="str">
        <f>_xlfn.XLOOKUP(Tableau1[[#This Row],[Code PAS]],'parc SATIN 08012026v'!K:K,'parc SATIN 08012026v'!O:O,0,0)</f>
        <v>PARC</v>
      </c>
      <c r="AV185" s="251">
        <f>_xlfn.XLOOKUP(Tableau1[[#This Row],[Code PAS]],'parc SATIN 08012026v'!K:K,'parc SATIN 08012026v'!Q:Q,0,0)</f>
        <v>44263</v>
      </c>
      <c r="AW185" s="251" t="str">
        <f>_xlfn.XLOOKUP(Tableau1[[#This Row],[Code PAS]],'parc SATIN 08012026v'!K:K,'parc SATIN 08012026v'!S:S,0,0)</f>
        <v>change</v>
      </c>
      <c r="AX185" s="250" t="str">
        <f>_xlfn.XLOOKUP(Tableau1[[#This Row],[Code PAS]],'parc SATIN 08012026v'!K:K,'parc SATIN 08012026v'!AF:AF,0,0)</f>
        <v>400 Mbits/s</v>
      </c>
      <c r="AY18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400</v>
      </c>
    </row>
    <row r="186" spans="1:52" s="250" customFormat="1" ht="15" customHeight="1" x14ac:dyDescent="0.3">
      <c r="A186" s="250" t="s">
        <v>2743</v>
      </c>
      <c r="C186" s="249"/>
      <c r="D186" s="249">
        <v>45756</v>
      </c>
      <c r="E186" s="250" t="s">
        <v>3120</v>
      </c>
      <c r="F186" s="984" t="s">
        <v>2460</v>
      </c>
      <c r="G186" s="250" t="s">
        <v>2765</v>
      </c>
      <c r="H186" s="250" t="s">
        <v>2765</v>
      </c>
      <c r="I186" s="250" t="s">
        <v>2817</v>
      </c>
      <c r="J186" s="248" t="s">
        <v>2814</v>
      </c>
      <c r="K186" s="250" t="s">
        <v>2814</v>
      </c>
      <c r="L186" s="250">
        <v>400</v>
      </c>
      <c r="M186" s="250">
        <v>150</v>
      </c>
      <c r="N186" s="250">
        <v>1</v>
      </c>
      <c r="O186" s="250" t="s">
        <v>74</v>
      </c>
      <c r="P186" s="824">
        <v>0</v>
      </c>
      <c r="Q186" s="824">
        <v>0</v>
      </c>
      <c r="R186" s="824">
        <v>0</v>
      </c>
      <c r="S186" s="824">
        <v>0</v>
      </c>
      <c r="T186" s="824">
        <v>2623</v>
      </c>
      <c r="U186" s="824">
        <v>60</v>
      </c>
      <c r="V186" s="824">
        <v>32</v>
      </c>
      <c r="W186" s="824">
        <v>14</v>
      </c>
      <c r="X186" s="824">
        <v>2728.7564263010345</v>
      </c>
      <c r="Y186" s="824">
        <v>0</v>
      </c>
      <c r="Z186" s="966">
        <v>0</v>
      </c>
      <c r="AA186" s="966">
        <v>0</v>
      </c>
      <c r="AB186" s="969">
        <v>0</v>
      </c>
      <c r="AC186" s="969">
        <v>0</v>
      </c>
      <c r="AD186" s="969">
        <v>0</v>
      </c>
      <c r="AE186" s="264">
        <v>30</v>
      </c>
      <c r="AF186" s="264">
        <v>400</v>
      </c>
      <c r="AG186" s="264">
        <v>150</v>
      </c>
      <c r="AH186" s="264">
        <v>550</v>
      </c>
      <c r="AI186" s="973">
        <v>14</v>
      </c>
      <c r="AJ186" s="263">
        <v>30</v>
      </c>
      <c r="AK186" s="987">
        <v>550</v>
      </c>
      <c r="AL186" s="263">
        <f>VLOOKUP(Tableau1[[#This Row],[Code PAS]],'Facturation PAS RIN5 RUN'!C:F,4,0)</f>
        <v>32</v>
      </c>
      <c r="AM186" s="263"/>
      <c r="AN186" s="263" t="b">
        <f>ROUND(Tableau1[[#This Row],[Montant Options coûts récurrents]],0)=ROUND(Tableau1[[#This Row],[GTRS1 (Coût Plage de support 24h/24 7j/7)]],0)</f>
        <v>0</v>
      </c>
      <c r="AO186" s="265" t="e">
        <f>_xlfn.XLOOKUP(Tableau1[[#This Row],[Code PAS]],'parc SATIN 08012026v'!K:K,'parc SATIN 08012026v'!#REF!,0,0)</f>
        <v>#REF!</v>
      </c>
      <c r="AP186" s="263" t="e">
        <f>VLOOKUP(Tableau1[[#This Row],[Code PAS]],#REF!,3,0)</f>
        <v>#REF!</v>
      </c>
      <c r="AQ186" s="263" t="e">
        <f>VLOOKUP(Tableau1[[#This Row],[Code PAS]],[14]Feuil1!$B:$G,6,0)</f>
        <v>#N/A</v>
      </c>
      <c r="AR186" s="263" t="str">
        <f>_xlfn.XLOOKUP(Tableau1[[#This Row],[Code PAS]],'Facturation PAS RIN5 RUN'!C:C,'Facturation PAS RIN5 RUN'!B:B,0,0)</f>
        <v>Gold_30_30</v>
      </c>
      <c r="AS186" s="263" t="b">
        <f>Tableau1[[#This Row],[Etat facturation]]=Tableau1[[#This Row],[Index offre du fournisseur]]</f>
        <v>1</v>
      </c>
      <c r="AT186" s="250" t="str">
        <f>_xlfn.XLOOKUP(Tableau1[[#This Row],[Code PAS]],'parc SATIN 08012026v'!K:K,'parc SATIN 08012026v'!M:M,0,0)</f>
        <v>PARC</v>
      </c>
      <c r="AU186" s="250" t="str">
        <f>_xlfn.XLOOKUP(Tableau1[[#This Row],[Code PAS]],'parc SATIN 08012026v'!K:K,'parc SATIN 08012026v'!O:O,0,0)</f>
        <v>PARC</v>
      </c>
      <c r="AV186" s="251">
        <f>_xlfn.XLOOKUP(Tableau1[[#This Row],[Code PAS]],'parc SATIN 08012026v'!K:K,'parc SATIN 08012026v'!Q:Q,0,0)</f>
        <v>45756</v>
      </c>
      <c r="AW186" s="251" t="str">
        <f>_xlfn.XLOOKUP(Tableau1[[#This Row],[Code PAS]],'parc SATIN 08012026v'!K:K,'parc SATIN 08012026v'!S:S,0,0)</f>
        <v>change</v>
      </c>
      <c r="AX186" s="250" t="str">
        <f>_xlfn.XLOOKUP(Tableau1[[#This Row],[Code PAS]],'parc SATIN 08012026v'!K:K,'parc SATIN 08012026v'!AF:AF,0,0)</f>
        <v>30 Mb/s</v>
      </c>
      <c r="AY18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186" s="250" t="s">
        <v>2842</v>
      </c>
    </row>
    <row r="187" spans="1:52" s="250" customFormat="1" ht="15" customHeight="1" x14ac:dyDescent="0.3">
      <c r="A187" s="250" t="s">
        <v>2739</v>
      </c>
      <c r="E187" s="250" t="s">
        <v>3121</v>
      </c>
      <c r="F187" s="984" t="s">
        <v>1510</v>
      </c>
      <c r="G187" s="250" t="s">
        <v>2800</v>
      </c>
      <c r="H187" s="250" t="s">
        <v>2874</v>
      </c>
      <c r="J187" s="248" t="str">
        <f>_xlfn.XLOOKUP(Tableau1[[#This Row],[Code PAS]],'[13]Parc Satin'!$L:$L,'[13]Parc Satin'!$CK:$CK,0,0)</f>
        <v>Nominal C2E sans Secours</v>
      </c>
      <c r="P187" s="820">
        <v>0</v>
      </c>
      <c r="Q187" s="820">
        <v>0</v>
      </c>
      <c r="R187" s="820">
        <v>0</v>
      </c>
      <c r="S187" s="820">
        <v>0</v>
      </c>
      <c r="T187" s="824">
        <v>285</v>
      </c>
      <c r="U187" s="824">
        <v>27</v>
      </c>
      <c r="V187" s="824">
        <v>0</v>
      </c>
      <c r="W187" s="824">
        <v>0</v>
      </c>
      <c r="X187" s="823">
        <f>Tableau1[[#This Row],[Coût Abonnement offre]]+Tableau1[[#This Row],[Coût Abonnement Chassis]]+Tableau1[[#This Row],[Cout Cartes interface ]]+Tableau1[[#This Row],[Cout canaux voix supplémentaire]]</f>
        <v>312</v>
      </c>
      <c r="Y187" s="824">
        <v>0</v>
      </c>
      <c r="Z187" s="966">
        <v>0</v>
      </c>
      <c r="AA187" s="966">
        <v>0</v>
      </c>
      <c r="AB187" s="969">
        <v>0</v>
      </c>
      <c r="AC187" s="969">
        <v>0</v>
      </c>
      <c r="AD187" s="969">
        <v>0</v>
      </c>
      <c r="AE187" s="264">
        <v>1</v>
      </c>
      <c r="AF187" s="264">
        <v>15</v>
      </c>
      <c r="AG187" s="264">
        <v>0</v>
      </c>
      <c r="AH187" s="264">
        <v>15</v>
      </c>
      <c r="AI187" s="973">
        <v>0</v>
      </c>
      <c r="AJ187" s="263">
        <v>1</v>
      </c>
      <c r="AK187" s="987">
        <v>10</v>
      </c>
      <c r="AL187" s="263">
        <f>VLOOKUP(Tableau1[[#This Row],[Code PAS]],'Facturation PAS RIN5 RUN'!C:F,4,0)</f>
        <v>0</v>
      </c>
      <c r="AM187" s="263"/>
      <c r="AN187" s="263" t="b">
        <f>ROUND(Tableau1[[#This Row],[Montant Options coûts récurrents]],0)=ROUND(Tableau1[[#This Row],[GTRS1 (Coût Plage de support 24h/24 7j/7)]],0)</f>
        <v>1</v>
      </c>
      <c r="AO187" s="265" t="e">
        <f>_xlfn.XLOOKUP(Tableau1[[#This Row],[Code PAS]],'parc SATIN 08012026v'!K:K,'parc SATIN 08012026v'!#REF!,0,0)</f>
        <v>#REF!</v>
      </c>
      <c r="AP187" s="263" t="e">
        <f>VLOOKUP(Tableau1[[#This Row],[Code PAS]],#REF!,3,0)</f>
        <v>#REF!</v>
      </c>
      <c r="AQ187" s="263" t="e">
        <f>VLOOKUP(Tableau1[[#This Row],[Code PAS]],[14]Feuil1!$B:$G,6,0)</f>
        <v>#N/A</v>
      </c>
      <c r="AR187" s="263" t="str">
        <f>_xlfn.XLOOKUP(Tableau1[[#This Row],[Code PAS]],'Facturation PAS RIN5 RUN'!C:C,'Facturation PAS RIN5 RUN'!B:B,0,0)</f>
        <v>Bronze_1_0</v>
      </c>
      <c r="AS187" s="263" t="b">
        <f>Tableau1[[#This Row],[Etat facturation]]=Tableau1[[#This Row],[Index offre du fournisseur]]</f>
        <v>1</v>
      </c>
      <c r="AT187" s="250" t="str">
        <f>_xlfn.XLOOKUP(Tableau1[[#This Row],[Code PAS]],'parc SATIN 08012026v'!K:K,'parc SATIN 08012026v'!M:M,0,0)</f>
        <v>PARC</v>
      </c>
      <c r="AU187" s="250" t="str">
        <f>_xlfn.XLOOKUP(Tableau1[[#This Row],[Code PAS]],'parc SATIN 08012026v'!K:K,'parc SATIN 08012026v'!O:O,0,0)</f>
        <v>PARC</v>
      </c>
      <c r="AV187" s="251">
        <f>_xlfn.XLOOKUP(Tableau1[[#This Row],[Code PAS]],'parc SATIN 08012026v'!K:K,'parc SATIN 08012026v'!Q:Q,0,0)</f>
        <v>44049</v>
      </c>
      <c r="AW187" s="251" t="str">
        <f>_xlfn.XLOOKUP(Tableau1[[#This Row],[Code PAS]],'parc SATIN 08012026v'!K:K,'parc SATIN 08012026v'!S:S,0,0)</f>
        <v>création</v>
      </c>
      <c r="AX187" s="250" t="str">
        <f>_xlfn.XLOOKUP(Tableau1[[#This Row],[Code PAS]],'parc SATIN 08012026v'!K:K,'parc SATIN 08012026v'!AF:AF,0,0)</f>
        <v>1 Mb/s</v>
      </c>
      <c r="AY187" s="254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</v>
      </c>
    </row>
    <row r="188" spans="1:52" s="250" customFormat="1" ht="15" customHeight="1" x14ac:dyDescent="0.3">
      <c r="A188" s="250" t="s">
        <v>2743</v>
      </c>
      <c r="C188" s="249"/>
      <c r="D188" s="249"/>
      <c r="E188" s="250" t="s">
        <v>3122</v>
      </c>
      <c r="F188" s="984" t="s">
        <v>1288</v>
      </c>
      <c r="G188" s="250" t="s">
        <v>2748</v>
      </c>
      <c r="H188" s="250" t="s">
        <v>2748</v>
      </c>
      <c r="I188" s="250" t="s">
        <v>78</v>
      </c>
      <c r="J188" s="248" t="s">
        <v>2850</v>
      </c>
      <c r="K188" s="250" t="s">
        <v>2850</v>
      </c>
      <c r="L188" s="250">
        <v>300</v>
      </c>
      <c r="M188" s="250">
        <v>50</v>
      </c>
      <c r="N188" s="250">
        <v>2</v>
      </c>
      <c r="O188" s="250" t="s">
        <v>74</v>
      </c>
      <c r="P188" s="824">
        <v>0</v>
      </c>
      <c r="Q188" s="824">
        <v>0</v>
      </c>
      <c r="R188" s="824">
        <v>0</v>
      </c>
      <c r="S188" s="824">
        <v>0</v>
      </c>
      <c r="T188" s="824">
        <v>1149</v>
      </c>
      <c r="U188" s="824">
        <v>44</v>
      </c>
      <c r="V188" s="824">
        <v>32</v>
      </c>
      <c r="W188" s="824">
        <v>5</v>
      </c>
      <c r="X188" s="824">
        <v>1229.7564263010347</v>
      </c>
      <c r="Y188" s="824">
        <v>0</v>
      </c>
      <c r="Z188" s="966">
        <v>0</v>
      </c>
      <c r="AA188" s="966">
        <v>0</v>
      </c>
      <c r="AB188" s="969">
        <v>0</v>
      </c>
      <c r="AC188" s="969">
        <v>0</v>
      </c>
      <c r="AD188" s="969">
        <v>0</v>
      </c>
      <c r="AE188" s="264">
        <v>20</v>
      </c>
      <c r="AF188" s="264">
        <v>300</v>
      </c>
      <c r="AG188" s="264">
        <v>50</v>
      </c>
      <c r="AH188" s="264">
        <v>350</v>
      </c>
      <c r="AI188" s="973">
        <v>5</v>
      </c>
      <c r="AJ188" s="263">
        <v>20</v>
      </c>
      <c r="AK188" s="987">
        <v>350</v>
      </c>
      <c r="AL188" s="263">
        <f>VLOOKUP(Tableau1[[#This Row],[Code PAS]],'Facturation PAS RIN5 RUN'!C:F,4,0)</f>
        <v>32</v>
      </c>
      <c r="AM188" s="263"/>
      <c r="AN188" s="263" t="b">
        <f>ROUND(Tableau1[[#This Row],[Montant Options coûts récurrents]],0)=ROUND(Tableau1[[#This Row],[GTRS1 (Coût Plage de support 24h/24 7j/7)]],0)</f>
        <v>0</v>
      </c>
      <c r="AO188" s="265" t="e">
        <f>_xlfn.XLOOKUP(Tableau1[[#This Row],[Code PAS]],'parc SATIN 08012026v'!K:K,'parc SATIN 08012026v'!#REF!,0,0)</f>
        <v>#REF!</v>
      </c>
      <c r="AP188" s="263" t="e">
        <f>VLOOKUP(Tableau1[[#This Row],[Code PAS]],#REF!,3,0)</f>
        <v>#REF!</v>
      </c>
      <c r="AQ188" s="263" t="e">
        <f>VLOOKUP(Tableau1[[#This Row],[Code PAS]],[14]Feuil1!$B:$G,6,0)</f>
        <v>#N/A</v>
      </c>
      <c r="AR188" s="263" t="str">
        <f>_xlfn.XLOOKUP(Tableau1[[#This Row],[Code PAS]],'Facturation PAS RIN5 RUN'!C:C,'Facturation PAS RIN5 RUN'!B:B,0,0)</f>
        <v>Gold_20_20</v>
      </c>
      <c r="AS188" s="263" t="b">
        <f>Tableau1[[#This Row],[Etat facturation]]=Tableau1[[#This Row],[Index offre du fournisseur]]</f>
        <v>1</v>
      </c>
      <c r="AT188" s="250" t="str">
        <f>_xlfn.XLOOKUP(Tableau1[[#This Row],[Code PAS]],'parc SATIN 08012026v'!K:K,'parc SATIN 08012026v'!M:M,0,0)</f>
        <v>PARC</v>
      </c>
      <c r="AU188" s="250" t="str">
        <f>_xlfn.XLOOKUP(Tableau1[[#This Row],[Code PAS]],'parc SATIN 08012026v'!K:K,'parc SATIN 08012026v'!O:O,0,0)</f>
        <v>PARC</v>
      </c>
      <c r="AV188" s="251">
        <f>_xlfn.XLOOKUP(Tableau1[[#This Row],[Code PAS]],'parc SATIN 08012026v'!K:K,'parc SATIN 08012026v'!Q:Q,0,0)</f>
        <v>44558</v>
      </c>
      <c r="AW188" s="251" t="str">
        <f>_xlfn.XLOOKUP(Tableau1[[#This Row],[Code PAS]],'parc SATIN 08012026v'!K:K,'parc SATIN 08012026v'!S:S,0,0)</f>
        <v>change</v>
      </c>
      <c r="AX188" s="250" t="str">
        <f>_xlfn.XLOOKUP(Tableau1[[#This Row],[Code PAS]],'parc SATIN 08012026v'!K:K,'parc SATIN 08012026v'!AF:AF,0,0)</f>
        <v>20 Mb/s</v>
      </c>
      <c r="AY18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89" spans="1:52" s="250" customFormat="1" ht="15" customHeight="1" x14ac:dyDescent="0.3">
      <c r="A189" s="250" t="s">
        <v>2743</v>
      </c>
      <c r="C189" s="249"/>
      <c r="D189" s="249"/>
      <c r="E189" s="250" t="s">
        <v>3123</v>
      </c>
      <c r="F189" s="984" t="s">
        <v>1395</v>
      </c>
      <c r="G189" s="250" t="s">
        <v>2800</v>
      </c>
      <c r="H189" s="250" t="s">
        <v>2784</v>
      </c>
      <c r="J189" s="248" t="str">
        <f>_xlfn.XLOOKUP(Tableau1[[#This Row],[Code PAS]],'[13]Parc Satin'!$L:$L,'[13]Parc Satin'!$CK:$CK,0,0)</f>
        <v>Nominal InterLan 1.0 Secours InterLan 1.0</v>
      </c>
      <c r="P189" s="820">
        <v>0</v>
      </c>
      <c r="Q189" s="820">
        <v>0</v>
      </c>
      <c r="R189" s="820">
        <v>0</v>
      </c>
      <c r="S189" s="820">
        <v>0</v>
      </c>
      <c r="T189" s="824">
        <v>1454</v>
      </c>
      <c r="U189" s="824">
        <v>95</v>
      </c>
      <c r="V189" s="824">
        <v>16</v>
      </c>
      <c r="W189" s="824">
        <v>36</v>
      </c>
      <c r="X189" s="823">
        <f>Tableau1[[#This Row],[Coût Abonnement offre]]+Tableau1[[#This Row],[Coût Abonnement Chassis]]+Tableau1[[#This Row],[Cout Cartes interface ]]+Tableau1[[#This Row],[Cout canaux voix supplémentaire]]</f>
        <v>1601</v>
      </c>
      <c r="Y189" s="824"/>
      <c r="Z189" s="966">
        <v>0</v>
      </c>
      <c r="AA189" s="966">
        <v>0</v>
      </c>
      <c r="AB189" s="969">
        <v>0</v>
      </c>
      <c r="AC189" s="969">
        <v>0</v>
      </c>
      <c r="AD189" s="969">
        <v>0</v>
      </c>
      <c r="AE189" s="264">
        <v>50</v>
      </c>
      <c r="AF189" s="264">
        <v>500</v>
      </c>
      <c r="AG189" s="264">
        <v>400</v>
      </c>
      <c r="AH189" s="264">
        <v>900</v>
      </c>
      <c r="AI189" s="973">
        <v>36</v>
      </c>
      <c r="AJ189" s="263">
        <v>50</v>
      </c>
      <c r="AK189" s="987">
        <v>900</v>
      </c>
      <c r="AL189" s="263">
        <f>VLOOKUP(Tableau1[[#This Row],[Code PAS]],'Facturation PAS RIN5 RUN'!C:F,4,0)</f>
        <v>16</v>
      </c>
      <c r="AM189" s="263"/>
      <c r="AN189" s="263" t="b">
        <f>ROUND(Tableau1[[#This Row],[Montant Options coûts récurrents]],0)=ROUND(Tableau1[[#This Row],[GTRS1 (Coût Plage de support 24h/24 7j/7)]],0)</f>
        <v>0</v>
      </c>
      <c r="AO189" s="265" t="e">
        <f>_xlfn.XLOOKUP(Tableau1[[#This Row],[Code PAS]],'parc SATIN 08012026v'!K:K,'parc SATIN 08012026v'!#REF!,0,0)</f>
        <v>#REF!</v>
      </c>
      <c r="AP189" s="263" t="e">
        <f>VLOOKUP(Tableau1[[#This Row],[Code PAS]],#REF!,3,0)</f>
        <v>#REF!</v>
      </c>
      <c r="AQ189" s="263" t="str">
        <f>VLOOKUP(Tableau1[[#This Row],[Code PAS]],[14]Feuil1!$B:$G,6,0)</f>
        <v>Lundi au Samedi 8h-18h</v>
      </c>
      <c r="AR189" s="263" t="str">
        <f>_xlfn.XLOOKUP(Tableau1[[#This Row],[Code PAS]],'Facturation PAS RIN5 RUN'!C:C,'Facturation PAS RIN5 RUN'!B:B,0,0)</f>
        <v>Gold_50_50</v>
      </c>
      <c r="AS189" s="263" t="b">
        <f>Tableau1[[#This Row],[Etat facturation]]=Tableau1[[#This Row],[Index offre du fournisseur]]</f>
        <v>1</v>
      </c>
      <c r="AT189" s="250" t="str">
        <f>_xlfn.XLOOKUP(Tableau1[[#This Row],[Code PAS]],'parc SATIN 08012026v'!K:K,'parc SATIN 08012026v'!M:M,0,0)</f>
        <v>PARC</v>
      </c>
      <c r="AU189" s="250" t="str">
        <f>_xlfn.XLOOKUP(Tableau1[[#This Row],[Code PAS]],'parc SATIN 08012026v'!K:K,'parc SATIN 08012026v'!O:O,0,0)</f>
        <v>PARC</v>
      </c>
      <c r="AV189" s="251">
        <f>_xlfn.XLOOKUP(Tableau1[[#This Row],[Code PAS]],'parc SATIN 08012026v'!K:K,'parc SATIN 08012026v'!Q:Q,0,0)</f>
        <v>44088</v>
      </c>
      <c r="AW189" s="251" t="str">
        <f>_xlfn.XLOOKUP(Tableau1[[#This Row],[Code PAS]],'parc SATIN 08012026v'!K:K,'parc SATIN 08012026v'!S:S,0,0)</f>
        <v>change</v>
      </c>
      <c r="AX189" s="250" t="str">
        <f>_xlfn.XLOOKUP(Tableau1[[#This Row],[Code PAS]],'parc SATIN 08012026v'!K:K,'parc SATIN 08012026v'!AF:AF,0,0)</f>
        <v>50 Mb/s</v>
      </c>
      <c r="AY18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90" spans="1:52" s="250" customFormat="1" ht="15" customHeight="1" x14ac:dyDescent="0.3">
      <c r="A190" s="250" t="s">
        <v>2743</v>
      </c>
      <c r="C190" s="249"/>
      <c r="D190" s="249"/>
      <c r="E190" s="250" t="s">
        <v>3124</v>
      </c>
      <c r="F190" s="984" t="s">
        <v>1386</v>
      </c>
      <c r="G190" s="250" t="s">
        <v>2768</v>
      </c>
      <c r="H190" s="250" t="s">
        <v>2768</v>
      </c>
      <c r="I190" s="250" t="s">
        <v>78</v>
      </c>
      <c r="J190" s="248" t="str">
        <f>_xlfn.XLOOKUP(Tableau1[[#This Row],[Code PAS]],'[13]Parc Satin'!$L:$L,'[13]Parc Satin'!$CK:$CK,0,0)</f>
        <v>Nominal InterLan 1.0 Secours InterLan 1.0</v>
      </c>
      <c r="K190" s="250" t="s">
        <v>2814</v>
      </c>
      <c r="L190" s="250">
        <v>120</v>
      </c>
      <c r="M190" s="250">
        <v>60</v>
      </c>
      <c r="N190" s="250">
        <v>1</v>
      </c>
      <c r="O190" s="250" t="s">
        <v>74</v>
      </c>
      <c r="P190" s="824">
        <v>0</v>
      </c>
      <c r="Q190" s="824">
        <v>0</v>
      </c>
      <c r="R190" s="824">
        <v>0</v>
      </c>
      <c r="S190" s="824">
        <v>0</v>
      </c>
      <c r="T190" s="824">
        <v>979</v>
      </c>
      <c r="U190" s="824">
        <v>44</v>
      </c>
      <c r="V190" s="824">
        <v>48</v>
      </c>
      <c r="W190" s="824">
        <v>5</v>
      </c>
      <c r="X190" s="824">
        <f>Tableau1[[#This Row],[Coût Abonnement offre]]+Tableau1[[#This Row],[Coût Abonnement Chassis]]+Tableau1[[#This Row],[Cout Cartes interface ]]+Tableau1[[#This Row],[Cout canaux voix supplémentaire]]</f>
        <v>1076</v>
      </c>
      <c r="Y190" s="824">
        <v>0</v>
      </c>
      <c r="Z190" s="966">
        <v>0</v>
      </c>
      <c r="AA190" s="966">
        <v>0</v>
      </c>
      <c r="AB190" s="969">
        <v>0</v>
      </c>
      <c r="AC190" s="969">
        <v>0</v>
      </c>
      <c r="AD190" s="969">
        <v>0</v>
      </c>
      <c r="AE190" s="264">
        <v>10</v>
      </c>
      <c r="AF190" s="264">
        <v>120</v>
      </c>
      <c r="AG190" s="264">
        <v>60</v>
      </c>
      <c r="AH190" s="264">
        <v>180</v>
      </c>
      <c r="AI190" s="973">
        <v>5</v>
      </c>
      <c r="AJ190" s="263">
        <v>10</v>
      </c>
      <c r="AK190" s="987">
        <v>180</v>
      </c>
      <c r="AL190" s="263">
        <f>VLOOKUP(Tableau1[[#This Row],[Code PAS]],'Facturation PAS RIN5 RUN'!C:F,4,0)</f>
        <v>48</v>
      </c>
      <c r="AM190" s="263"/>
      <c r="AN190" s="263" t="b">
        <f>ROUND(Tableau1[[#This Row],[Montant Options coûts récurrents]],0)=ROUND(Tableau1[[#This Row],[GTRS1 (Coût Plage de support 24h/24 7j/7)]],0)</f>
        <v>0</v>
      </c>
      <c r="AO190" s="265" t="e">
        <f>_xlfn.XLOOKUP(Tableau1[[#This Row],[Code PAS]],'parc SATIN 08012026v'!K:K,'parc SATIN 08012026v'!#REF!,0,0)</f>
        <v>#REF!</v>
      </c>
      <c r="AP190" s="263" t="e">
        <f>VLOOKUP(Tableau1[[#This Row],[Code PAS]],#REF!,3,0)</f>
        <v>#REF!</v>
      </c>
      <c r="AQ190" s="263" t="e">
        <f>VLOOKUP(Tableau1[[#This Row],[Code PAS]],[14]Feuil1!$B:$G,6,0)</f>
        <v>#N/A</v>
      </c>
      <c r="AR190" s="263" t="str">
        <f>_xlfn.XLOOKUP(Tableau1[[#This Row],[Code PAS]],'Facturation PAS RIN5 RUN'!C:C,'Facturation PAS RIN5 RUN'!B:B,0,0)</f>
        <v>Gold_10_10</v>
      </c>
      <c r="AS190" s="263" t="b">
        <f>Tableau1[[#This Row],[Etat facturation]]=Tableau1[[#This Row],[Index offre du fournisseur]]</f>
        <v>1</v>
      </c>
      <c r="AT190" s="250" t="str">
        <f>_xlfn.XLOOKUP(Tableau1[[#This Row],[Code PAS]],'parc SATIN 08012026v'!K:K,'parc SATIN 08012026v'!M:M,0,0)</f>
        <v>PARC</v>
      </c>
      <c r="AU190" s="250" t="str">
        <f>_xlfn.XLOOKUP(Tableau1[[#This Row],[Code PAS]],'parc SATIN 08012026v'!K:K,'parc SATIN 08012026v'!O:O,0,0)</f>
        <v>PARC</v>
      </c>
      <c r="AV190" s="251">
        <f>_xlfn.XLOOKUP(Tableau1[[#This Row],[Code PAS]],'parc SATIN 08012026v'!K:K,'parc SATIN 08012026v'!Q:Q,0,0)</f>
        <v>44774</v>
      </c>
      <c r="AW190" s="251" t="str">
        <f>_xlfn.XLOOKUP(Tableau1[[#This Row],[Code PAS]],'parc SATIN 08012026v'!K:K,'parc SATIN 08012026v'!S:S,0,0)</f>
        <v>change</v>
      </c>
      <c r="AX190" s="250" t="str">
        <f>_xlfn.XLOOKUP(Tableau1[[#This Row],[Code PAS]],'parc SATIN 08012026v'!K:K,'parc SATIN 08012026v'!AF:AF,0,0)</f>
        <v>10 Mb/s</v>
      </c>
      <c r="AY19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191" spans="1:52" s="250" customFormat="1" ht="15" customHeight="1" x14ac:dyDescent="0.3">
      <c r="C191" s="249"/>
      <c r="D191" s="249"/>
      <c r="E191" s="250" t="s">
        <v>3127</v>
      </c>
      <c r="F191" s="984" t="s">
        <v>2090</v>
      </c>
      <c r="G191" s="250" t="s">
        <v>3126</v>
      </c>
      <c r="H191" s="250" t="s">
        <v>3126</v>
      </c>
      <c r="I191" s="250" t="s">
        <v>165</v>
      </c>
      <c r="J191" s="248" t="s">
        <v>2832</v>
      </c>
      <c r="L191" s="250">
        <v>1200</v>
      </c>
      <c r="M191" s="250">
        <v>28800</v>
      </c>
      <c r="N191" s="250">
        <v>15</v>
      </c>
      <c r="O191" s="250" t="s">
        <v>76</v>
      </c>
      <c r="P191" s="820"/>
      <c r="Q191" s="820">
        <v>500</v>
      </c>
      <c r="R191" s="820"/>
      <c r="S191" s="820">
        <v>500</v>
      </c>
      <c r="T191" s="824">
        <v>8164.6119818565903</v>
      </c>
      <c r="U191" s="824"/>
      <c r="V191" s="824"/>
      <c r="W191" s="824"/>
      <c r="X191" s="823">
        <v>8164.6119818565903</v>
      </c>
      <c r="Y191" s="824">
        <v>36</v>
      </c>
      <c r="Z191" s="966">
        <v>0</v>
      </c>
      <c r="AA191" s="966">
        <v>0</v>
      </c>
      <c r="AB191" s="969">
        <v>0</v>
      </c>
      <c r="AC191" s="969">
        <v>0</v>
      </c>
      <c r="AD191" s="969">
        <v>0</v>
      </c>
      <c r="AE191" s="264">
        <v>2000</v>
      </c>
      <c r="AF191" s="264">
        <v>1200</v>
      </c>
      <c r="AG191" s="264">
        <v>28800</v>
      </c>
      <c r="AH191" s="264">
        <v>30000</v>
      </c>
      <c r="AI191" s="973">
        <v>2592</v>
      </c>
      <c r="AJ191" s="263">
        <v>2000</v>
      </c>
      <c r="AK191" s="987">
        <v>30000</v>
      </c>
      <c r="AL191" s="263">
        <f>VLOOKUP(Tableau1[[#This Row],[Code PAS]],'Facturation PAS RIN5 RUN'!C:F,4,0)</f>
        <v>0</v>
      </c>
      <c r="AM191" s="263"/>
      <c r="AN191" s="263" t="b">
        <f>ROUND(Tableau1[[#This Row],[Montant Options coûts récurrents]],0)=ROUND(Tableau1[[#This Row],[GTRS1 (Coût Plage de support 24h/24 7j/7)]],0)</f>
        <v>0</v>
      </c>
      <c r="AO191" s="265" t="e">
        <f>_xlfn.XLOOKUP(Tableau1[[#This Row],[Code PAS]],'parc SATIN 08012026v'!K:K,'parc SATIN 08012026v'!#REF!,0,0)</f>
        <v>#REF!</v>
      </c>
      <c r="AP191" s="263" t="e">
        <f>VLOOKUP(Tableau1[[#This Row],[Code PAS]],#REF!,3,0)</f>
        <v>#REF!</v>
      </c>
      <c r="AQ191" s="263" t="e">
        <f>VLOOKUP(Tableau1[[#This Row],[Code PAS]],[14]Feuil1!$B:$G,6,0)</f>
        <v>#N/A</v>
      </c>
      <c r="AR191" s="263" t="str">
        <f>_xlfn.XLOOKUP(Tableau1[[#This Row],[Code PAS]],'Facturation PAS RIN5 RUN'!C:C,'Facturation PAS RIN5 RUN'!B:B,0,0)</f>
        <v>Platinum_Man_2000_0</v>
      </c>
      <c r="AS191" s="263" t="b">
        <f>Tableau1[[#This Row],[Etat facturation]]=Tableau1[[#This Row],[Index offre du fournisseur]]</f>
        <v>1</v>
      </c>
      <c r="AT191" s="250" t="str">
        <f>_xlfn.XLOOKUP(Tableau1[[#This Row],[Code PAS]],'parc SATIN 08012026v'!K:K,'parc SATIN 08012026v'!M:M,0,0)</f>
        <v>PARC</v>
      </c>
      <c r="AU191" s="250" t="str">
        <f>_xlfn.XLOOKUP(Tableau1[[#This Row],[Code PAS]],'parc SATIN 08012026v'!K:K,'parc SATIN 08012026v'!O:O,0,0)</f>
        <v>PARC</v>
      </c>
      <c r="AV191" s="251">
        <f>_xlfn.XLOOKUP(Tableau1[[#This Row],[Code PAS]],'parc SATIN 08012026v'!K:K,'parc SATIN 08012026v'!Q:Q,0,0)</f>
        <v>44140</v>
      </c>
      <c r="AW191" s="251" t="str">
        <f>_xlfn.XLOOKUP(Tableau1[[#This Row],[Code PAS]],'parc SATIN 08012026v'!K:K,'parc SATIN 08012026v'!S:S,0,0)</f>
        <v>change</v>
      </c>
      <c r="AX191" s="250" t="str">
        <f>_xlfn.XLOOKUP(Tableau1[[#This Row],[Code PAS]],'parc SATIN 08012026v'!K:K,'parc SATIN 08012026v'!AF:AF,0,0)</f>
        <v>2 Gbits/s</v>
      </c>
      <c r="AY191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2000</v>
      </c>
      <c r="AZ191" s="250" t="s">
        <v>3751</v>
      </c>
    </row>
    <row r="192" spans="1:52" s="250" customFormat="1" ht="15" customHeight="1" x14ac:dyDescent="0.3">
      <c r="C192" s="249"/>
      <c r="D192" s="249"/>
      <c r="E192" s="250" t="s">
        <v>3128</v>
      </c>
      <c r="F192" s="984" t="s">
        <v>173</v>
      </c>
      <c r="G192" s="250" t="s">
        <v>2863</v>
      </c>
      <c r="H192" s="250" t="s">
        <v>2863</v>
      </c>
      <c r="I192" s="250" t="s">
        <v>165</v>
      </c>
      <c r="J192" s="248" t="str">
        <f>_xlfn.XLOOKUP(Tableau1[[#This Row],[Code PAS]],'[13]Parc Satin'!$L:$L,'[13]Parc Satin'!$CK:$CK,0,0)</f>
        <v>Nominal InterLan 1.0 Secours InterLan 1.0</v>
      </c>
      <c r="K192" s="250" t="s">
        <v>2860</v>
      </c>
      <c r="L192" s="250">
        <v>1200</v>
      </c>
      <c r="M192" s="250">
        <v>28800</v>
      </c>
      <c r="N192" s="250">
        <v>3</v>
      </c>
      <c r="O192" s="250" t="s">
        <v>76</v>
      </c>
      <c r="P192" s="824">
        <v>0</v>
      </c>
      <c r="Q192" s="824">
        <v>500</v>
      </c>
      <c r="R192" s="824">
        <v>0</v>
      </c>
      <c r="S192" s="824">
        <v>500</v>
      </c>
      <c r="T192" s="824">
        <v>15856</v>
      </c>
      <c r="U192" s="824">
        <v>3806</v>
      </c>
      <c r="V192" s="824">
        <v>0</v>
      </c>
      <c r="W192" s="824">
        <v>0</v>
      </c>
      <c r="X192" s="824">
        <f>Tableau1[[#This Row],[Coût Abonnement offre]]+Tableau1[[#This Row],[Coût Abonnement Chassis]]+Tableau1[[#This Row],[Cout Cartes interface ]]+Tableau1[[#This Row],[Cout canaux voix supplémentaire]]</f>
        <v>19662</v>
      </c>
      <c r="Y192" s="824">
        <v>66</v>
      </c>
      <c r="Z192" s="966">
        <v>0</v>
      </c>
      <c r="AA192" s="966">
        <v>0</v>
      </c>
      <c r="AB192" s="969">
        <v>0</v>
      </c>
      <c r="AC192" s="969">
        <v>0</v>
      </c>
      <c r="AD192" s="969">
        <v>0</v>
      </c>
      <c r="AE192" s="264">
        <v>6000</v>
      </c>
      <c r="AF192" s="264">
        <v>1200</v>
      </c>
      <c r="AG192" s="264">
        <v>28800</v>
      </c>
      <c r="AH192" s="264">
        <v>30000</v>
      </c>
      <c r="AI192" s="973">
        <v>2592</v>
      </c>
      <c r="AJ192" s="263">
        <v>6000</v>
      </c>
      <c r="AK192" s="987">
        <v>30000</v>
      </c>
      <c r="AL192" s="263">
        <f>VLOOKUP(Tableau1[[#This Row],[Code PAS]],'Facturation PAS RIN5 RUN'!C:F,4,0)</f>
        <v>0</v>
      </c>
      <c r="AM192" s="263"/>
      <c r="AN192" s="263" t="b">
        <f>ROUND(Tableau1[[#This Row],[Montant Options coûts récurrents]],0)=ROUND(Tableau1[[#This Row],[GTRS1 (Coût Plage de support 24h/24 7j/7)]],0)</f>
        <v>0</v>
      </c>
      <c r="AO192" s="265" t="e">
        <f>_xlfn.XLOOKUP(Tableau1[[#This Row],[Code PAS]],'parc SATIN 08012026v'!K:K,'parc SATIN 08012026v'!#REF!,0,0)</f>
        <v>#REF!</v>
      </c>
      <c r="AP192" s="263" t="e">
        <f>VLOOKUP(Tableau1[[#This Row],[Code PAS]],#REF!,3,0)</f>
        <v>#REF!</v>
      </c>
      <c r="AQ192" s="263" t="e">
        <f>VLOOKUP(Tableau1[[#This Row],[Code PAS]],[14]Feuil1!$B:$G,6,0)</f>
        <v>#N/A</v>
      </c>
      <c r="AR192" s="263" t="str">
        <f>_xlfn.XLOOKUP(Tableau1[[#This Row],[Code PAS]],'Facturation PAS RIN5 RUN'!C:C,'Facturation PAS RIN5 RUN'!B:B,0,0)</f>
        <v>Platinum_6000_6000</v>
      </c>
      <c r="AS192" s="263" t="b">
        <f>Tableau1[[#This Row],[Etat facturation]]=Tableau1[[#This Row],[Index offre du fournisseur]]</f>
        <v>1</v>
      </c>
      <c r="AT192" s="250" t="str">
        <f>_xlfn.XLOOKUP(Tableau1[[#This Row],[Code PAS]],'parc SATIN 08012026v'!K:K,'parc SATIN 08012026v'!M:M,0,0)</f>
        <v>PARC</v>
      </c>
      <c r="AU192" s="250" t="str">
        <f>_xlfn.XLOOKUP(Tableau1[[#This Row],[Code PAS]],'parc SATIN 08012026v'!K:K,'parc SATIN 08012026v'!O:O,0,0)</f>
        <v>PARC</v>
      </c>
      <c r="AV192" s="251">
        <f>_xlfn.XLOOKUP(Tableau1[[#This Row],[Code PAS]],'parc SATIN 08012026v'!K:K,'parc SATIN 08012026v'!Q:Q,0,0)</f>
        <v>45560</v>
      </c>
      <c r="AW192" s="251" t="str">
        <f>_xlfn.XLOOKUP(Tableau1[[#This Row],[Code PAS]],'parc SATIN 08012026v'!K:K,'parc SATIN 08012026v'!S:S,0,0)</f>
        <v>change</v>
      </c>
      <c r="AX192" s="250" t="str">
        <f>_xlfn.XLOOKUP(Tableau1[[#This Row],[Code PAS]],'parc SATIN 08012026v'!K:K,'parc SATIN 08012026v'!AF:AF,0,0)</f>
        <v>6 Gbits/s</v>
      </c>
      <c r="AY19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6000</v>
      </c>
      <c r="AZ192" s="250" t="s">
        <v>2864</v>
      </c>
    </row>
    <row r="193" spans="1:52" s="250" customFormat="1" ht="15" customHeight="1" x14ac:dyDescent="0.3">
      <c r="A193" s="250" t="s">
        <v>2739</v>
      </c>
      <c r="C193" s="249"/>
      <c r="D193" s="249"/>
      <c r="E193" s="250" t="s">
        <v>3129</v>
      </c>
      <c r="F193" s="984" t="s">
        <v>1493</v>
      </c>
      <c r="G193" s="250" t="s">
        <v>2765</v>
      </c>
      <c r="H193" s="250" t="s">
        <v>2765</v>
      </c>
      <c r="I193" s="250" t="s">
        <v>78</v>
      </c>
      <c r="J193" s="248" t="str">
        <f>_xlfn.XLOOKUP(Tableau1[[#This Row],[Code PAS]],'[13]Parc Satin'!$L:$L,'[13]Parc Satin'!$CK:$CK,0,0)</f>
        <v>Nominal InterLan 1.0 Secours InterLan 1.0</v>
      </c>
      <c r="K193" s="250" t="s">
        <v>2829</v>
      </c>
      <c r="L193" s="250">
        <v>400</v>
      </c>
      <c r="M193" s="250">
        <v>150</v>
      </c>
      <c r="N193" s="250">
        <v>2</v>
      </c>
      <c r="O193" s="250" t="s">
        <v>74</v>
      </c>
      <c r="P193" s="820">
        <v>0</v>
      </c>
      <c r="Q193" s="820">
        <v>0</v>
      </c>
      <c r="R193" s="820">
        <v>0</v>
      </c>
      <c r="S193" s="820">
        <v>0</v>
      </c>
      <c r="T193" s="824">
        <v>1249</v>
      </c>
      <c r="U193" s="824">
        <v>239</v>
      </c>
      <c r="V193" s="824">
        <v>16</v>
      </c>
      <c r="W193" s="824">
        <v>14</v>
      </c>
      <c r="X193" s="823">
        <f>Tableau1[[#This Row],[Coût Abonnement offre]]+Tableau1[[#This Row],[Coût Abonnement Chassis]]+Tableau1[[#This Row],[Cout Cartes interface ]]+Tableau1[[#This Row],[Cout canaux voix supplémentaire]]</f>
        <v>1518</v>
      </c>
      <c r="Y193" s="824">
        <v>0</v>
      </c>
      <c r="Z193" s="966">
        <v>0</v>
      </c>
      <c r="AA193" s="966">
        <v>0</v>
      </c>
      <c r="AB193" s="969">
        <v>0</v>
      </c>
      <c r="AC193" s="969">
        <v>0</v>
      </c>
      <c r="AD193" s="969">
        <v>0</v>
      </c>
      <c r="AE193" s="264">
        <v>30</v>
      </c>
      <c r="AF193" s="264">
        <v>400</v>
      </c>
      <c r="AG193" s="264">
        <v>150</v>
      </c>
      <c r="AH193" s="264">
        <v>550</v>
      </c>
      <c r="AI193" s="973">
        <v>14</v>
      </c>
      <c r="AJ193" s="263">
        <v>30</v>
      </c>
      <c r="AK193" s="987">
        <v>550</v>
      </c>
      <c r="AL193" s="263">
        <f>VLOOKUP(Tableau1[[#This Row],[Code PAS]],'Facturation PAS RIN5 RUN'!C:F,4,0)</f>
        <v>16</v>
      </c>
      <c r="AM193" s="263"/>
      <c r="AN193" s="263" t="b">
        <f>ROUND(Tableau1[[#This Row],[Montant Options coûts récurrents]],0)=ROUND(Tableau1[[#This Row],[GTRS1 (Coût Plage de support 24h/24 7j/7)]],0)</f>
        <v>0</v>
      </c>
      <c r="AO193" s="265" t="e">
        <f>_xlfn.XLOOKUP(Tableau1[[#This Row],[Code PAS]],'parc SATIN 08012026v'!K:K,'parc SATIN 08012026v'!#REF!,0,0)</f>
        <v>#REF!</v>
      </c>
      <c r="AP193" s="263" t="e">
        <f>VLOOKUP(Tableau1[[#This Row],[Code PAS]],#REF!,3,0)</f>
        <v>#REF!</v>
      </c>
      <c r="AQ193" s="263" t="e">
        <f>VLOOKUP(Tableau1[[#This Row],[Code PAS]],[14]Feuil1!$B:$G,6,0)</f>
        <v>#N/A</v>
      </c>
      <c r="AR193" s="263" t="str">
        <f>_xlfn.XLOOKUP(Tableau1[[#This Row],[Code PAS]],'Facturation PAS RIN5 RUN'!C:C,'Facturation PAS RIN5 RUN'!B:B,0,0)</f>
        <v>Gold_30_30</v>
      </c>
      <c r="AS193" s="263" t="b">
        <f>Tableau1[[#This Row],[Etat facturation]]=Tableau1[[#This Row],[Index offre du fournisseur]]</f>
        <v>1</v>
      </c>
      <c r="AT193" s="250" t="str">
        <f>_xlfn.XLOOKUP(Tableau1[[#This Row],[Code PAS]],'parc SATIN 08012026v'!K:K,'parc SATIN 08012026v'!M:M,0,0)</f>
        <v>PARC</v>
      </c>
      <c r="AU193" s="250" t="str">
        <f>_xlfn.XLOOKUP(Tableau1[[#This Row],[Code PAS]],'parc SATIN 08012026v'!K:K,'parc SATIN 08012026v'!O:O,0,0)</f>
        <v>PARC</v>
      </c>
      <c r="AV193" s="251">
        <f>_xlfn.XLOOKUP(Tableau1[[#This Row],[Code PAS]],'parc SATIN 08012026v'!K:K,'parc SATIN 08012026v'!Q:Q,0,0)</f>
        <v>44839</v>
      </c>
      <c r="AW193" s="251" t="str">
        <f>_xlfn.XLOOKUP(Tableau1[[#This Row],[Code PAS]],'parc SATIN 08012026v'!K:K,'parc SATIN 08012026v'!S:S,0,0)</f>
        <v>change</v>
      </c>
      <c r="AX193" s="250" t="str">
        <f>_xlfn.XLOOKUP(Tableau1[[#This Row],[Code PAS]],'parc SATIN 08012026v'!K:K,'parc SATIN 08012026v'!AF:AF,0,0)</f>
        <v>30 Mb/s</v>
      </c>
      <c r="AY19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194" spans="1:52" s="250" customFormat="1" ht="15" customHeight="1" x14ac:dyDescent="0.3">
      <c r="A194" s="250" t="s">
        <v>2758</v>
      </c>
      <c r="C194" s="249"/>
      <c r="D194" s="249"/>
      <c r="E194" s="250" t="s">
        <v>3130</v>
      </c>
      <c r="F194" s="984" t="s">
        <v>2346</v>
      </c>
      <c r="G194" s="250" t="s">
        <v>2800</v>
      </c>
      <c r="H194" s="250" t="s">
        <v>2867</v>
      </c>
      <c r="J194" s="248" t="str">
        <f>_xlfn.XLOOKUP(Tableau1[[#This Row],[Code PAS]],'[13]Parc Satin'!$L:$L,'[13]Parc Satin'!$CK:$CK,0,0)</f>
        <v>Nominal C2E sans Secours</v>
      </c>
      <c r="P194" s="820">
        <v>0</v>
      </c>
      <c r="Q194" s="820">
        <v>0</v>
      </c>
      <c r="R194" s="820">
        <v>0</v>
      </c>
      <c r="S194" s="820">
        <v>0</v>
      </c>
      <c r="T194" s="824">
        <v>290</v>
      </c>
      <c r="U194" s="824">
        <v>12</v>
      </c>
      <c r="V194" s="824">
        <v>0</v>
      </c>
      <c r="W194" s="824">
        <v>0</v>
      </c>
      <c r="X194" s="823">
        <f>Tableau1[[#This Row],[Coût Abonnement offre]]+Tableau1[[#This Row],[Coût Abonnement Chassis]]+Tableau1[[#This Row],[Cout Cartes interface ]]+Tableau1[[#This Row],[Cout canaux voix supplémentaire]]</f>
        <v>302</v>
      </c>
      <c r="Y194" s="824">
        <v>0</v>
      </c>
      <c r="Z194" s="966">
        <v>0</v>
      </c>
      <c r="AA194" s="966">
        <v>0</v>
      </c>
      <c r="AB194" s="969">
        <v>0</v>
      </c>
      <c r="AC194" s="969">
        <v>0</v>
      </c>
      <c r="AD194" s="969">
        <v>0</v>
      </c>
      <c r="AE194" s="264">
        <v>2</v>
      </c>
      <c r="AF194" s="264">
        <v>20</v>
      </c>
      <c r="AG194" s="264">
        <v>10</v>
      </c>
      <c r="AH194" s="264">
        <v>30</v>
      </c>
      <c r="AI194" s="973">
        <v>9</v>
      </c>
      <c r="AJ194" s="263">
        <v>2</v>
      </c>
      <c r="AK194" s="987">
        <v>20</v>
      </c>
      <c r="AL194" s="263">
        <f>VLOOKUP(Tableau1[[#This Row],[Code PAS]],'Facturation PAS RIN5 RUN'!C:F,4,0)</f>
        <v>0</v>
      </c>
      <c r="AM194" s="263"/>
      <c r="AN194" s="263" t="b">
        <f>ROUND(Tableau1[[#This Row],[Montant Options coûts récurrents]],0)=ROUND(Tableau1[[#This Row],[GTRS1 (Coût Plage de support 24h/24 7j/7)]],0)</f>
        <v>1</v>
      </c>
      <c r="AO194" s="265" t="e">
        <f>_xlfn.XLOOKUP(Tableau1[[#This Row],[Code PAS]],'parc SATIN 08012026v'!K:K,'parc SATIN 08012026v'!#REF!,0,0)</f>
        <v>#REF!</v>
      </c>
      <c r="AP194" s="263" t="e">
        <f>VLOOKUP(Tableau1[[#This Row],[Code PAS]],#REF!,3,0)</f>
        <v>#REF!</v>
      </c>
      <c r="AQ194" s="263" t="e">
        <f>VLOOKUP(Tableau1[[#This Row],[Code PAS]],[14]Feuil1!$B:$G,6,0)</f>
        <v>#N/A</v>
      </c>
      <c r="AR194" s="263" t="str">
        <f>_xlfn.XLOOKUP(Tableau1[[#This Row],[Code PAS]],'Facturation PAS RIN5 RUN'!C:C,'Facturation PAS RIN5 RUN'!B:B,0,0)</f>
        <v>Bronze_2_0</v>
      </c>
      <c r="AS194" s="263" t="b">
        <f>Tableau1[[#This Row],[Etat facturation]]=Tableau1[[#This Row],[Index offre du fournisseur]]</f>
        <v>1</v>
      </c>
      <c r="AT194" s="250" t="str">
        <f>_xlfn.XLOOKUP(Tableau1[[#This Row],[Code PAS]],'parc SATIN 08012026v'!K:K,'parc SATIN 08012026v'!M:M,0,0)</f>
        <v>PARC</v>
      </c>
      <c r="AU194" s="250" t="str">
        <f>_xlfn.XLOOKUP(Tableau1[[#This Row],[Code PAS]],'parc SATIN 08012026v'!K:K,'parc SATIN 08012026v'!O:O,0,0)</f>
        <v>PARC</v>
      </c>
      <c r="AV194" s="251">
        <f>_xlfn.XLOOKUP(Tableau1[[#This Row],[Code PAS]],'parc SATIN 08012026v'!K:K,'parc SATIN 08012026v'!Q:Q,0,0)</f>
        <v>43915</v>
      </c>
      <c r="AW194" s="251" t="str">
        <f>_xlfn.XLOOKUP(Tableau1[[#This Row],[Code PAS]],'parc SATIN 08012026v'!K:K,'parc SATIN 08012026v'!S:S,0,0)</f>
        <v>change</v>
      </c>
      <c r="AX194" s="250" t="str">
        <f>_xlfn.XLOOKUP(Tableau1[[#This Row],[Code PAS]],'parc SATIN 08012026v'!K:K,'parc SATIN 08012026v'!AF:AF,0,0)</f>
        <v>2 Mb/s</v>
      </c>
      <c r="AY19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194" s="250" t="s">
        <v>2868</v>
      </c>
    </row>
    <row r="195" spans="1:52" s="250" customFormat="1" ht="15" customHeight="1" x14ac:dyDescent="0.3">
      <c r="A195" s="248" t="s">
        <v>2735</v>
      </c>
      <c r="B195" s="248"/>
      <c r="C195" s="249"/>
      <c r="D195" s="249"/>
      <c r="E195" s="248" t="s">
        <v>3131</v>
      </c>
      <c r="F195" s="981" t="s">
        <v>806</v>
      </c>
      <c r="G195" s="250" t="s">
        <v>2784</v>
      </c>
      <c r="H195" s="248" t="s">
        <v>2784</v>
      </c>
      <c r="I195" s="248" t="s">
        <v>165</v>
      </c>
      <c r="J195" s="248" t="str">
        <f>_xlfn.XLOOKUP(Tableau1[[#This Row],[Code PAS]],'[13]Parc Satin'!$L:$L,'[13]Parc Satin'!$CK:$CK,0,0)</f>
        <v>Nominal C2E Fibre Secours C2E Fibre</v>
      </c>
      <c r="K195" s="248" t="s">
        <v>2820</v>
      </c>
      <c r="L195" s="248">
        <v>500</v>
      </c>
      <c r="M195" s="248">
        <v>400</v>
      </c>
      <c r="N195" s="248"/>
      <c r="O195" s="248" t="s">
        <v>74</v>
      </c>
      <c r="P195" s="822">
        <v>0</v>
      </c>
      <c r="Q195" s="822">
        <v>228</v>
      </c>
      <c r="R195" s="822">
        <v>0</v>
      </c>
      <c r="S195" s="822">
        <v>228</v>
      </c>
      <c r="T195" s="823">
        <v>1454</v>
      </c>
      <c r="U195" s="823">
        <v>84</v>
      </c>
      <c r="V195" s="823">
        <v>0</v>
      </c>
      <c r="W195" s="823">
        <v>36</v>
      </c>
      <c r="X195" s="823">
        <f>Tableau1[[#This Row],[Coût Abonnement offre]]+Tableau1[[#This Row],[Coût Abonnement Chassis]]+Tableau1[[#This Row],[Cout Cartes interface ]]+Tableau1[[#This Row],[Cout canaux voix supplémentaire]]</f>
        <v>1574</v>
      </c>
      <c r="Y195" s="823">
        <v>0</v>
      </c>
      <c r="Z195" s="966">
        <v>0</v>
      </c>
      <c r="AA195" s="966">
        <v>0</v>
      </c>
      <c r="AB195" s="969">
        <v>0</v>
      </c>
      <c r="AC195" s="969">
        <v>0</v>
      </c>
      <c r="AD195" s="969">
        <v>0</v>
      </c>
      <c r="AE195" s="264">
        <v>50</v>
      </c>
      <c r="AF195" s="264">
        <v>500</v>
      </c>
      <c r="AG195" s="264">
        <v>400</v>
      </c>
      <c r="AH195" s="264">
        <v>900</v>
      </c>
      <c r="AI195" s="973">
        <v>36</v>
      </c>
      <c r="AJ195" s="263">
        <v>50</v>
      </c>
      <c r="AK195" s="987">
        <v>900</v>
      </c>
      <c r="AL195" s="263">
        <f>VLOOKUP(Tableau1[[#This Row],[Code PAS]],'Facturation PAS RIN5 RUN'!C:F,4,0)</f>
        <v>0</v>
      </c>
      <c r="AM195" s="263"/>
      <c r="AN195" s="263" t="b">
        <f>ROUND(Tableau1[[#This Row],[Montant Options coûts récurrents]],0)=ROUND(Tableau1[[#This Row],[GTRS1 (Coût Plage de support 24h/24 7j/7)]],0)</f>
        <v>1</v>
      </c>
      <c r="AO195" s="265" t="e">
        <f>_xlfn.XLOOKUP(Tableau1[[#This Row],[Code PAS]],'parc SATIN 08012026v'!K:K,'parc SATIN 08012026v'!#REF!,0,0)</f>
        <v>#REF!</v>
      </c>
      <c r="AP195" s="263" t="e">
        <f>VLOOKUP(Tableau1[[#This Row],[Code PAS]],#REF!,3,0)</f>
        <v>#REF!</v>
      </c>
      <c r="AQ195" s="263" t="e">
        <f>VLOOKUP(Tableau1[[#This Row],[Code PAS]],[14]Feuil1!$B:$G,6,0)</f>
        <v>#N/A</v>
      </c>
      <c r="AR195" s="263" t="str">
        <f>_xlfn.XLOOKUP(Tableau1[[#This Row],[Code PAS]],'Facturation PAS RIN5 RUN'!C:C,'Facturation PAS RIN5 RUN'!B:B,0,0)</f>
        <v>Gold_50_50</v>
      </c>
      <c r="AS195" s="263" t="b">
        <f>Tableau1[[#This Row],[Etat facturation]]=Tableau1[[#This Row],[Index offre du fournisseur]]</f>
        <v>1</v>
      </c>
      <c r="AT195" s="250" t="str">
        <f>_xlfn.XLOOKUP(Tableau1[[#This Row],[Code PAS]],'parc SATIN 08012026v'!K:K,'parc SATIN 08012026v'!M:M,0,0)</f>
        <v>PARC</v>
      </c>
      <c r="AU195" s="250" t="str">
        <f>_xlfn.XLOOKUP(Tableau1[[#This Row],[Code PAS]],'parc SATIN 08012026v'!K:K,'parc SATIN 08012026v'!O:O,0,0)</f>
        <v>PARC</v>
      </c>
      <c r="AV195" s="251">
        <f>_xlfn.XLOOKUP(Tableau1[[#This Row],[Code PAS]],'parc SATIN 08012026v'!K:K,'parc SATIN 08012026v'!Q:Q,0,0)</f>
        <v>45538</v>
      </c>
      <c r="AW195" s="251" t="str">
        <f>_xlfn.XLOOKUP(Tableau1[[#This Row],[Code PAS]],'parc SATIN 08012026v'!K:K,'parc SATIN 08012026v'!S:S,0,0)</f>
        <v>change</v>
      </c>
      <c r="AX195" s="250" t="str">
        <f>_xlfn.XLOOKUP(Tableau1[[#This Row],[Code PAS]],'parc SATIN 08012026v'!K:K,'parc SATIN 08012026v'!AF:AF,0,0)</f>
        <v>50 Mb/s</v>
      </c>
      <c r="AY19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196" spans="1:52" s="250" customFormat="1" ht="15" customHeight="1" x14ac:dyDescent="0.3">
      <c r="A196" s="250" t="s">
        <v>2743</v>
      </c>
      <c r="C196" s="249"/>
      <c r="D196" s="249">
        <v>45693</v>
      </c>
      <c r="E196" s="250" t="s">
        <v>3132</v>
      </c>
      <c r="F196" s="984" t="s">
        <v>2418</v>
      </c>
      <c r="G196" s="250" t="s">
        <v>2777</v>
      </c>
      <c r="H196" s="250" t="s">
        <v>2777</v>
      </c>
      <c r="I196" s="250" t="s">
        <v>2817</v>
      </c>
      <c r="J196" s="248" t="s">
        <v>2820</v>
      </c>
      <c r="L196" s="250">
        <v>300</v>
      </c>
      <c r="M196" s="250">
        <v>50</v>
      </c>
      <c r="N196" s="250">
        <v>1</v>
      </c>
      <c r="O196" s="250" t="s">
        <v>74</v>
      </c>
      <c r="P196" s="820">
        <v>0</v>
      </c>
      <c r="Q196" s="820">
        <v>0</v>
      </c>
      <c r="R196" s="820">
        <v>0</v>
      </c>
      <c r="S196" s="820">
        <v>0</v>
      </c>
      <c r="T196" s="824">
        <v>1288</v>
      </c>
      <c r="U196" s="824">
        <v>22</v>
      </c>
      <c r="V196" s="824">
        <v>8</v>
      </c>
      <c r="W196" s="824">
        <v>5</v>
      </c>
      <c r="X196" s="823">
        <v>1322.7</v>
      </c>
      <c r="Y196" s="824">
        <v>0</v>
      </c>
      <c r="Z196" s="966">
        <v>0</v>
      </c>
      <c r="AA196" s="966">
        <v>0</v>
      </c>
      <c r="AB196" s="969">
        <v>0</v>
      </c>
      <c r="AC196" s="969">
        <v>0</v>
      </c>
      <c r="AD196" s="969">
        <v>0</v>
      </c>
      <c r="AE196" s="264">
        <v>20</v>
      </c>
      <c r="AF196" s="264">
        <v>300</v>
      </c>
      <c r="AG196" s="264">
        <v>50</v>
      </c>
      <c r="AH196" s="264">
        <v>350</v>
      </c>
      <c r="AI196" s="973">
        <v>5</v>
      </c>
      <c r="AJ196" s="263">
        <v>20</v>
      </c>
      <c r="AK196" s="987">
        <v>350</v>
      </c>
      <c r="AL196" s="263">
        <f>VLOOKUP(Tableau1[[#This Row],[Code PAS]],'Facturation PAS RIN5 RUN'!C:F,4,0)</f>
        <v>8</v>
      </c>
      <c r="AM196" s="263"/>
      <c r="AN196" s="263" t="b">
        <f>ROUND(Tableau1[[#This Row],[Montant Options coûts récurrents]],0)=ROUND(Tableau1[[#This Row],[GTRS1 (Coût Plage de support 24h/24 7j/7)]],0)</f>
        <v>0</v>
      </c>
      <c r="AO196" s="265" t="e">
        <f>_xlfn.XLOOKUP(Tableau1[[#This Row],[Code PAS]],'parc SATIN 08012026v'!K:K,'parc SATIN 08012026v'!#REF!,0,0)</f>
        <v>#REF!</v>
      </c>
      <c r="AP196" s="263" t="e">
        <f>VLOOKUP(Tableau1[[#This Row],[Code PAS]],#REF!,3,0)</f>
        <v>#REF!</v>
      </c>
      <c r="AQ196" s="263" t="e">
        <f>VLOOKUP(Tableau1[[#This Row],[Code PAS]],[14]Feuil1!$B:$G,6,0)</f>
        <v>#N/A</v>
      </c>
      <c r="AR196" s="263" t="str">
        <f>_xlfn.XLOOKUP(Tableau1[[#This Row],[Code PAS]],'Facturation PAS RIN5 RUN'!C:C,'Facturation PAS RIN5 RUN'!B:B,0,0)</f>
        <v>Bronze_20_0</v>
      </c>
      <c r="AS196" s="263" t="b">
        <f>Tableau1[[#This Row],[Etat facturation]]=Tableau1[[#This Row],[Index offre du fournisseur]]</f>
        <v>1</v>
      </c>
      <c r="AT196" s="250" t="str">
        <f>_xlfn.XLOOKUP(Tableau1[[#This Row],[Code PAS]],'parc SATIN 08012026v'!K:K,'parc SATIN 08012026v'!M:M,0,0)</f>
        <v>PARC</v>
      </c>
      <c r="AU196" s="250" t="str">
        <f>_xlfn.XLOOKUP(Tableau1[[#This Row],[Code PAS]],'parc SATIN 08012026v'!K:K,'parc SATIN 08012026v'!O:O,0,0)</f>
        <v>PARC</v>
      </c>
      <c r="AV196" s="251">
        <f>_xlfn.XLOOKUP(Tableau1[[#This Row],[Code PAS]],'parc SATIN 08012026v'!K:K,'parc SATIN 08012026v'!Q:Q,0,0)</f>
        <v>45693</v>
      </c>
      <c r="AW196" s="251" t="str">
        <f>_xlfn.XLOOKUP(Tableau1[[#This Row],[Code PAS]],'parc SATIN 08012026v'!K:K,'parc SATIN 08012026v'!S:S,0,0)</f>
        <v>change</v>
      </c>
      <c r="AX196" s="250" t="str">
        <f>_xlfn.XLOOKUP(Tableau1[[#This Row],[Code PAS]],'parc SATIN 08012026v'!K:K,'parc SATIN 08012026v'!AF:AF,0,0)</f>
        <v>20 Mb/s</v>
      </c>
      <c r="AY19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196" s="250" t="s">
        <v>2842</v>
      </c>
    </row>
    <row r="197" spans="1:52" s="250" customFormat="1" ht="15" customHeight="1" x14ac:dyDescent="0.3">
      <c r="A197" s="250" t="s">
        <v>2743</v>
      </c>
      <c r="C197" s="249"/>
      <c r="D197" s="249"/>
      <c r="E197" s="250" t="s">
        <v>3134</v>
      </c>
      <c r="F197" s="984" t="s">
        <v>2468</v>
      </c>
      <c r="G197" s="250" t="s">
        <v>2748</v>
      </c>
      <c r="H197" s="250" t="s">
        <v>2748</v>
      </c>
      <c r="I197" s="250" t="s">
        <v>2817</v>
      </c>
      <c r="J197" s="248" t="str">
        <f>_xlfn.XLOOKUP(Tableau1[[#This Row],[Code PAS]],'[13]Parc Satin'!$L:$L,'[13]Parc Satin'!$CK:$CK,0,0)</f>
        <v>Nominal C2E Fibre Secours C2E Fibre</v>
      </c>
      <c r="K197" s="248" t="s">
        <v>2814</v>
      </c>
      <c r="L197" s="250">
        <v>300</v>
      </c>
      <c r="M197" s="250">
        <v>50</v>
      </c>
      <c r="N197" s="250">
        <v>1</v>
      </c>
      <c r="O197" s="250" t="s">
        <v>74</v>
      </c>
      <c r="P197" s="824">
        <v>0</v>
      </c>
      <c r="Q197" s="824">
        <v>0</v>
      </c>
      <c r="R197" s="824">
        <v>0</v>
      </c>
      <c r="S197" s="824">
        <v>0</v>
      </c>
      <c r="T197" s="824">
        <v>2384</v>
      </c>
      <c r="U197" s="824">
        <v>44</v>
      </c>
      <c r="V197" s="824">
        <v>32</v>
      </c>
      <c r="W197" s="824">
        <v>5</v>
      </c>
      <c r="X197" s="824">
        <f>Tableau1[[#This Row],[Coût Abonnement offre]]+Tableau1[[#This Row],[Coût Abonnement Chassis]]+Tableau1[[#This Row],[Cout Cartes interface ]]+Tableau1[[#This Row],[Cout canaux voix supplémentaire]]</f>
        <v>2465</v>
      </c>
      <c r="Y197" s="824">
        <v>0</v>
      </c>
      <c r="Z197" s="966">
        <v>0</v>
      </c>
      <c r="AA197" s="966">
        <v>0</v>
      </c>
      <c r="AB197" s="969">
        <v>0</v>
      </c>
      <c r="AC197" s="969">
        <v>0</v>
      </c>
      <c r="AD197" s="969">
        <v>0</v>
      </c>
      <c r="AE197" s="264">
        <v>20</v>
      </c>
      <c r="AF197" s="264">
        <v>300</v>
      </c>
      <c r="AG197" s="264">
        <v>50</v>
      </c>
      <c r="AH197" s="264">
        <v>350</v>
      </c>
      <c r="AI197" s="973">
        <v>5</v>
      </c>
      <c r="AJ197" s="263">
        <v>20</v>
      </c>
      <c r="AK197" s="987">
        <v>350</v>
      </c>
      <c r="AL197" s="263">
        <f>VLOOKUP(Tableau1[[#This Row],[Code PAS]],'Facturation PAS RIN5 RUN'!C:F,4,0)</f>
        <v>32</v>
      </c>
      <c r="AM197" s="263"/>
      <c r="AN197" s="263" t="b">
        <f>ROUND(Tableau1[[#This Row],[Montant Options coûts récurrents]],0)=ROUND(Tableau1[[#This Row],[GTRS1 (Coût Plage de support 24h/24 7j/7)]],0)</f>
        <v>0</v>
      </c>
      <c r="AO197" s="265" t="e">
        <f>_xlfn.XLOOKUP(Tableau1[[#This Row],[Code PAS]],'parc SATIN 08012026v'!K:K,'parc SATIN 08012026v'!#REF!,0,0)</f>
        <v>#REF!</v>
      </c>
      <c r="AP197" s="263" t="e">
        <f>VLOOKUP(Tableau1[[#This Row],[Code PAS]],#REF!,3,0)</f>
        <v>#REF!</v>
      </c>
      <c r="AQ197" s="263" t="e">
        <f>VLOOKUP(Tableau1[[#This Row],[Code PAS]],[14]Feuil1!$B:$G,6,0)</f>
        <v>#N/A</v>
      </c>
      <c r="AR197" s="263" t="str">
        <f>_xlfn.XLOOKUP(Tableau1[[#This Row],[Code PAS]],'Facturation PAS RIN5 RUN'!C:C,'Facturation PAS RIN5 RUN'!B:B,0,0)</f>
        <v>Gold_20_20</v>
      </c>
      <c r="AS197" s="263" t="b">
        <f>Tableau1[[#This Row],[Etat facturation]]=Tableau1[[#This Row],[Index offre du fournisseur]]</f>
        <v>1</v>
      </c>
      <c r="AT197" s="250" t="str">
        <f>_xlfn.XLOOKUP(Tableau1[[#This Row],[Code PAS]],'parc SATIN 08012026v'!K:K,'parc SATIN 08012026v'!M:M,0,0)</f>
        <v>PARC</v>
      </c>
      <c r="AU197" s="250" t="str">
        <f>_xlfn.XLOOKUP(Tableau1[[#This Row],[Code PAS]],'parc SATIN 08012026v'!K:K,'parc SATIN 08012026v'!O:O,0,0)</f>
        <v>PARC</v>
      </c>
      <c r="AV197" s="251">
        <f>_xlfn.XLOOKUP(Tableau1[[#This Row],[Code PAS]],'parc SATIN 08012026v'!K:K,'parc SATIN 08012026v'!Q:Q,0,0)</f>
        <v>45769</v>
      </c>
      <c r="AW197" s="251" t="str">
        <f>_xlfn.XLOOKUP(Tableau1[[#This Row],[Code PAS]],'parc SATIN 08012026v'!K:K,'parc SATIN 08012026v'!S:S,0,0)</f>
        <v>change</v>
      </c>
      <c r="AX197" s="250" t="str">
        <f>_xlfn.XLOOKUP(Tableau1[[#This Row],[Code PAS]],'parc SATIN 08012026v'!K:K,'parc SATIN 08012026v'!AF:AF,0,0)</f>
        <v>20 Mb/s</v>
      </c>
      <c r="AY19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198" spans="1:52" s="250" customFormat="1" ht="15" customHeight="1" x14ac:dyDescent="0.3">
      <c r="A198" s="250" t="s">
        <v>2758</v>
      </c>
      <c r="C198" s="249"/>
      <c r="D198" s="249"/>
      <c r="E198" s="250" t="s">
        <v>3135</v>
      </c>
      <c r="F198" s="984" t="s">
        <v>2656</v>
      </c>
      <c r="G198" s="250" t="s">
        <v>2800</v>
      </c>
      <c r="H198" s="250" t="s">
        <v>2867</v>
      </c>
      <c r="J198" s="248" t="str">
        <f>_xlfn.XLOOKUP(Tableau1[[#This Row],[Code PAS]],'[13]Parc Satin'!$L:$L,'[13]Parc Satin'!$CK:$CK,0,0)</f>
        <v>Nominal C2E sans Secours</v>
      </c>
      <c r="P198" s="820">
        <v>0</v>
      </c>
      <c r="Q198" s="820">
        <v>0</v>
      </c>
      <c r="R198" s="820">
        <v>0</v>
      </c>
      <c r="S198" s="820">
        <v>0</v>
      </c>
      <c r="T198" s="824">
        <v>290</v>
      </c>
      <c r="U198" s="824">
        <v>12</v>
      </c>
      <c r="V198" s="824">
        <v>0</v>
      </c>
      <c r="W198" s="824">
        <v>0</v>
      </c>
      <c r="X198" s="823">
        <f>Tableau1[[#This Row],[Coût Abonnement offre]]+Tableau1[[#This Row],[Coût Abonnement Chassis]]+Tableau1[[#This Row],[Cout Cartes interface ]]+Tableau1[[#This Row],[Cout canaux voix supplémentaire]]</f>
        <v>302</v>
      </c>
      <c r="Y198" s="824">
        <v>0</v>
      </c>
      <c r="Z198" s="966">
        <v>0</v>
      </c>
      <c r="AA198" s="966">
        <v>0</v>
      </c>
      <c r="AB198" s="969">
        <v>0</v>
      </c>
      <c r="AC198" s="969">
        <v>0</v>
      </c>
      <c r="AD198" s="969">
        <v>0</v>
      </c>
      <c r="AE198" s="264">
        <v>2</v>
      </c>
      <c r="AF198" s="264">
        <v>20</v>
      </c>
      <c r="AG198" s="264">
        <v>10</v>
      </c>
      <c r="AH198" s="264">
        <v>30</v>
      </c>
      <c r="AI198" s="973">
        <v>9</v>
      </c>
      <c r="AJ198" s="263">
        <v>2</v>
      </c>
      <c r="AK198" s="987">
        <v>20</v>
      </c>
      <c r="AL198" s="263">
        <f>VLOOKUP(Tableau1[[#This Row],[Code PAS]],'Facturation PAS RIN5 RUN'!C:F,4,0)</f>
        <v>0</v>
      </c>
      <c r="AM198" s="263"/>
      <c r="AN198" s="263" t="b">
        <f>ROUND(Tableau1[[#This Row],[Montant Options coûts récurrents]],0)=ROUND(Tableau1[[#This Row],[GTRS1 (Coût Plage de support 24h/24 7j/7)]],0)</f>
        <v>1</v>
      </c>
      <c r="AO198" s="265" t="e">
        <f>_xlfn.XLOOKUP(Tableau1[[#This Row],[Code PAS]],'parc SATIN 08012026v'!K:K,'parc SATIN 08012026v'!#REF!,0,0)</f>
        <v>#REF!</v>
      </c>
      <c r="AP198" s="263" t="e">
        <f>VLOOKUP(Tableau1[[#This Row],[Code PAS]],#REF!,3,0)</f>
        <v>#REF!</v>
      </c>
      <c r="AQ198" s="263" t="e">
        <f>VLOOKUP(Tableau1[[#This Row],[Code PAS]],[14]Feuil1!$B:$G,6,0)</f>
        <v>#N/A</v>
      </c>
      <c r="AR198" s="263" t="str">
        <f>_xlfn.XLOOKUP(Tableau1[[#This Row],[Code PAS]],'Facturation PAS RIN5 RUN'!C:C,'Facturation PAS RIN5 RUN'!B:B,0,0)</f>
        <v>Bronze_2_0</v>
      </c>
      <c r="AS198" s="263" t="b">
        <f>Tableau1[[#This Row],[Etat facturation]]=Tableau1[[#This Row],[Index offre du fournisseur]]</f>
        <v>1</v>
      </c>
      <c r="AT198" s="250" t="str">
        <f>_xlfn.XLOOKUP(Tableau1[[#This Row],[Code PAS]],'parc SATIN 08012026v'!K:K,'parc SATIN 08012026v'!M:M,0,0)</f>
        <v>PARC</v>
      </c>
      <c r="AU198" s="250" t="str">
        <f>_xlfn.XLOOKUP(Tableau1[[#This Row],[Code PAS]],'parc SATIN 08012026v'!K:K,'parc SATIN 08012026v'!O:O,0,0)</f>
        <v>PARC</v>
      </c>
      <c r="AV198" s="251">
        <f>_xlfn.XLOOKUP(Tableau1[[#This Row],[Code PAS]],'parc SATIN 08012026v'!K:K,'parc SATIN 08012026v'!Q:Q,0,0)</f>
        <v>43866</v>
      </c>
      <c r="AW198" s="251" t="str">
        <f>_xlfn.XLOOKUP(Tableau1[[#This Row],[Code PAS]],'parc SATIN 08012026v'!K:K,'parc SATIN 08012026v'!S:S,0,0)</f>
        <v>change</v>
      </c>
      <c r="AX198" s="250" t="str">
        <f>_xlfn.XLOOKUP(Tableau1[[#This Row],[Code PAS]],'parc SATIN 08012026v'!K:K,'parc SATIN 08012026v'!AF:AF,0,0)</f>
        <v>2 Mb/s</v>
      </c>
      <c r="AY19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198" s="250" t="s">
        <v>2868</v>
      </c>
    </row>
    <row r="199" spans="1:52" s="250" customFormat="1" ht="15" customHeight="1" x14ac:dyDescent="0.3">
      <c r="A199" s="250" t="s">
        <v>2758</v>
      </c>
      <c r="E199" s="250" t="s">
        <v>3136</v>
      </c>
      <c r="F199" s="984" t="s">
        <v>2038</v>
      </c>
      <c r="G199" s="250" t="s">
        <v>2800</v>
      </c>
      <c r="H199" s="250" t="s">
        <v>2874</v>
      </c>
      <c r="J199" s="248" t="str">
        <f>_xlfn.XLOOKUP(Tableau1[[#This Row],[Code PAS]],'[13]Parc Satin'!$L:$L,'[13]Parc Satin'!$CK:$CK,0,0)</f>
        <v>Nominal C2E sans Secours</v>
      </c>
      <c r="P199" s="820">
        <v>0</v>
      </c>
      <c r="Q199" s="820">
        <v>0</v>
      </c>
      <c r="R199" s="820">
        <v>0</v>
      </c>
      <c r="S199" s="820">
        <v>0</v>
      </c>
      <c r="T199" s="824">
        <v>285</v>
      </c>
      <c r="U199" s="824">
        <v>12</v>
      </c>
      <c r="V199" s="824">
        <v>0</v>
      </c>
      <c r="W199" s="824">
        <v>0</v>
      </c>
      <c r="X199" s="823">
        <f>Tableau1[[#This Row],[Coût Abonnement offre]]+Tableau1[[#This Row],[Coût Abonnement Chassis]]+Tableau1[[#This Row],[Cout Cartes interface ]]+Tableau1[[#This Row],[Cout canaux voix supplémentaire]]</f>
        <v>297</v>
      </c>
      <c r="Y199" s="824">
        <v>0</v>
      </c>
      <c r="Z199" s="966">
        <v>0</v>
      </c>
      <c r="AA199" s="966">
        <v>0</v>
      </c>
      <c r="AB199" s="969">
        <v>0</v>
      </c>
      <c r="AC199" s="969">
        <v>0</v>
      </c>
      <c r="AD199" s="969">
        <v>0</v>
      </c>
      <c r="AE199" s="264">
        <v>1</v>
      </c>
      <c r="AF199" s="264">
        <v>15</v>
      </c>
      <c r="AG199" s="264">
        <v>0</v>
      </c>
      <c r="AH199" s="264">
        <v>15</v>
      </c>
      <c r="AI199" s="973">
        <v>0</v>
      </c>
      <c r="AJ199" s="263">
        <v>1</v>
      </c>
      <c r="AK199" s="987">
        <v>10</v>
      </c>
      <c r="AL199" s="263">
        <f>VLOOKUP(Tableau1[[#This Row],[Code PAS]],'Facturation PAS RIN5 RUN'!C:F,4,0)</f>
        <v>0</v>
      </c>
      <c r="AM199" s="263"/>
      <c r="AN199" s="263" t="b">
        <f>ROUND(Tableau1[[#This Row],[Montant Options coûts récurrents]],0)=ROUND(Tableau1[[#This Row],[GTRS1 (Coût Plage de support 24h/24 7j/7)]],0)</f>
        <v>1</v>
      </c>
      <c r="AO199" s="265" t="e">
        <f>_xlfn.XLOOKUP(Tableau1[[#This Row],[Code PAS]],'parc SATIN 08012026v'!K:K,'parc SATIN 08012026v'!#REF!,0,0)</f>
        <v>#REF!</v>
      </c>
      <c r="AP199" s="263" t="e">
        <f>VLOOKUP(Tableau1[[#This Row],[Code PAS]],#REF!,3,0)</f>
        <v>#REF!</v>
      </c>
      <c r="AQ199" s="263" t="e">
        <f>VLOOKUP(Tableau1[[#This Row],[Code PAS]],[14]Feuil1!$B:$G,6,0)</f>
        <v>#N/A</v>
      </c>
      <c r="AR199" s="263" t="str">
        <f>_xlfn.XLOOKUP(Tableau1[[#This Row],[Code PAS]],'Facturation PAS RIN5 RUN'!C:C,'Facturation PAS RIN5 RUN'!B:B,0,0)</f>
        <v>Bronze_1_0</v>
      </c>
      <c r="AS199" s="263" t="b">
        <f>Tableau1[[#This Row],[Etat facturation]]=Tableau1[[#This Row],[Index offre du fournisseur]]</f>
        <v>1</v>
      </c>
      <c r="AT199" s="250" t="str">
        <f>_xlfn.XLOOKUP(Tableau1[[#This Row],[Code PAS]],'parc SATIN 08012026v'!K:K,'parc SATIN 08012026v'!M:M,0,0)</f>
        <v>PARC</v>
      </c>
      <c r="AU199" s="250" t="str">
        <f>_xlfn.XLOOKUP(Tableau1[[#This Row],[Code PAS]],'parc SATIN 08012026v'!K:K,'parc SATIN 08012026v'!O:O,0,0)</f>
        <v>PARC</v>
      </c>
      <c r="AV199" s="251">
        <f>_xlfn.XLOOKUP(Tableau1[[#This Row],[Code PAS]],'parc SATIN 08012026v'!K:K,'parc SATIN 08012026v'!Q:Q,0,0)</f>
        <v>43872</v>
      </c>
      <c r="AW199" s="251" t="str">
        <f>_xlfn.XLOOKUP(Tableau1[[#This Row],[Code PAS]],'parc SATIN 08012026v'!K:K,'parc SATIN 08012026v'!S:S,0,0)</f>
        <v>change</v>
      </c>
      <c r="AX199" s="250" t="str">
        <f>_xlfn.XLOOKUP(Tableau1[[#This Row],[Code PAS]],'parc SATIN 08012026v'!K:K,'parc SATIN 08012026v'!AF:AF,0,0)</f>
        <v>1 Mb/s</v>
      </c>
      <c r="AY199" s="254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</v>
      </c>
    </row>
    <row r="200" spans="1:52" s="250" customFormat="1" ht="15" customHeight="1" x14ac:dyDescent="0.3">
      <c r="A200" s="250" t="s">
        <v>2758</v>
      </c>
      <c r="C200" s="249"/>
      <c r="D200" s="249">
        <v>45950.490821759297</v>
      </c>
      <c r="E200" s="250" t="s">
        <v>3137</v>
      </c>
      <c r="F200" s="984" t="s">
        <v>2106</v>
      </c>
      <c r="G200" s="250" t="s">
        <v>2940</v>
      </c>
      <c r="H200" s="250" t="s">
        <v>2940</v>
      </c>
      <c r="I200" s="248" t="s">
        <v>165</v>
      </c>
      <c r="J200" s="248" t="s">
        <v>2850</v>
      </c>
      <c r="K200" s="250" t="s">
        <v>2850</v>
      </c>
      <c r="L200" s="250">
        <v>400</v>
      </c>
      <c r="M200" s="250">
        <v>150</v>
      </c>
      <c r="N200" s="250">
        <v>1</v>
      </c>
      <c r="O200" s="250" t="s">
        <v>74</v>
      </c>
      <c r="P200" s="824">
        <v>0</v>
      </c>
      <c r="Q200" s="824">
        <v>0</v>
      </c>
      <c r="R200" s="824">
        <v>0</v>
      </c>
      <c r="S200" s="824">
        <v>0</v>
      </c>
      <c r="T200" s="824">
        <v>1249</v>
      </c>
      <c r="U200" s="824">
        <v>60</v>
      </c>
      <c r="V200" s="824">
        <v>40</v>
      </c>
      <c r="W200" s="824">
        <v>14</v>
      </c>
      <c r="X200" s="824">
        <v>1362.7564263010347</v>
      </c>
      <c r="Y200" s="824">
        <v>0</v>
      </c>
      <c r="Z200" s="966">
        <v>0</v>
      </c>
      <c r="AA200" s="966">
        <v>0</v>
      </c>
      <c r="AB200" s="969">
        <v>0</v>
      </c>
      <c r="AC200" s="969">
        <v>0</v>
      </c>
      <c r="AD200" s="969">
        <v>0</v>
      </c>
      <c r="AE200" s="264">
        <v>30</v>
      </c>
      <c r="AF200" s="264">
        <v>400</v>
      </c>
      <c r="AG200" s="264">
        <v>150</v>
      </c>
      <c r="AH200" s="264">
        <v>550</v>
      </c>
      <c r="AI200" s="973">
        <v>14</v>
      </c>
      <c r="AJ200" s="263">
        <v>30</v>
      </c>
      <c r="AK200" s="987">
        <v>550</v>
      </c>
      <c r="AL200" s="263">
        <f>VLOOKUP(Tableau1[[#This Row],[Code PAS]],'Facturation PAS RIN5 RUN'!C:F,4,0)</f>
        <v>40</v>
      </c>
      <c r="AM200" s="263"/>
      <c r="AN200" s="263" t="b">
        <f>ROUND(Tableau1[[#This Row],[Montant Options coûts récurrents]],0)=ROUND(Tableau1[[#This Row],[GTRS1 (Coût Plage de support 24h/24 7j/7)]],0)</f>
        <v>0</v>
      </c>
      <c r="AO200" s="265" t="e">
        <f>_xlfn.XLOOKUP(Tableau1[[#This Row],[Code PAS]],'parc SATIN 08012026v'!K:K,'parc SATIN 08012026v'!#REF!,0,0)</f>
        <v>#REF!</v>
      </c>
      <c r="AP200" s="263" t="e">
        <f>VLOOKUP(Tableau1[[#This Row],[Code PAS]],#REF!,3,0)</f>
        <v>#REF!</v>
      </c>
      <c r="AQ200" s="263" t="e">
        <f>VLOOKUP(Tableau1[[#This Row],[Code PAS]],[14]Feuil1!$B:$G,6,0)</f>
        <v>#N/A</v>
      </c>
      <c r="AR200" s="263" t="str">
        <f>_xlfn.XLOOKUP(Tableau1[[#This Row],[Code PAS]],'Facturation PAS RIN5 RUN'!C:C,'Facturation PAS RIN5 RUN'!B:B,0,0)</f>
        <v>Silver_30_30</v>
      </c>
      <c r="AS200" s="263" t="b">
        <f>Tableau1[[#This Row],[Etat facturation]]=Tableau1[[#This Row],[Index offre du fournisseur]]</f>
        <v>1</v>
      </c>
      <c r="AT200" s="250" t="str">
        <f>_xlfn.XLOOKUP(Tableau1[[#This Row],[Code PAS]],'parc SATIN 08012026v'!K:K,'parc SATIN 08012026v'!M:M,0,0)</f>
        <v>PARC</v>
      </c>
      <c r="AU200" s="250" t="str">
        <f>_xlfn.XLOOKUP(Tableau1[[#This Row],[Code PAS]],'parc SATIN 08012026v'!K:K,'parc SATIN 08012026v'!O:O,0,0)</f>
        <v>PARC</v>
      </c>
      <c r="AV200" s="251">
        <f>_xlfn.XLOOKUP(Tableau1[[#This Row],[Code PAS]],'parc SATIN 08012026v'!K:K,'parc SATIN 08012026v'!Q:Q,0,0)</f>
        <v>45950</v>
      </c>
      <c r="AW200" s="251" t="str">
        <f>_xlfn.XLOOKUP(Tableau1[[#This Row],[Code PAS]],'parc SATIN 08012026v'!K:K,'parc SATIN 08012026v'!S:S,0,0)</f>
        <v>change</v>
      </c>
      <c r="AX200" s="250" t="str">
        <f>_xlfn.XLOOKUP(Tableau1[[#This Row],[Code PAS]],'parc SATIN 08012026v'!K:K,'parc SATIN 08012026v'!AF:AF,0,0)</f>
        <v>30 Mb/s</v>
      </c>
      <c r="AY20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200" s="250" t="s">
        <v>2842</v>
      </c>
    </row>
    <row r="201" spans="1:52" s="250" customFormat="1" ht="15" customHeight="1" x14ac:dyDescent="0.3">
      <c r="A201" s="250" t="s">
        <v>2743</v>
      </c>
      <c r="C201" s="249"/>
      <c r="D201" s="249"/>
      <c r="E201" s="250" t="s">
        <v>3138</v>
      </c>
      <c r="F201" s="984" t="s">
        <v>1012</v>
      </c>
      <c r="G201" s="250" t="s">
        <v>2748</v>
      </c>
      <c r="H201" s="250" t="s">
        <v>2748</v>
      </c>
      <c r="I201" s="250" t="s">
        <v>78</v>
      </c>
      <c r="J201" s="248" t="str">
        <f>_xlfn.XLOOKUP(Tableau1[[#This Row],[Code PAS]],'[13]Parc Satin'!$L:$L,'[13]Parc Satin'!$CK:$CK,0,0)</f>
        <v>Nominal InterLan 1.0 Secours InterLan 1.0</v>
      </c>
      <c r="K201" s="250" t="s">
        <v>2829</v>
      </c>
      <c r="L201" s="250">
        <v>300</v>
      </c>
      <c r="M201" s="250">
        <v>50</v>
      </c>
      <c r="N201" s="250">
        <v>1</v>
      </c>
      <c r="O201" s="250" t="s">
        <v>74</v>
      </c>
      <c r="P201" s="820">
        <v>0</v>
      </c>
      <c r="Q201" s="820">
        <v>0</v>
      </c>
      <c r="R201" s="820">
        <v>0</v>
      </c>
      <c r="S201" s="820">
        <v>0</v>
      </c>
      <c r="T201" s="824">
        <v>1149</v>
      </c>
      <c r="U201" s="824">
        <v>71</v>
      </c>
      <c r="V201" s="824">
        <v>16</v>
      </c>
      <c r="W201" s="824">
        <v>5</v>
      </c>
      <c r="X201" s="823">
        <f>Tableau1[[#This Row],[Coût Abonnement offre]]+Tableau1[[#This Row],[Coût Abonnement Chassis]]+Tableau1[[#This Row],[Cout Cartes interface ]]+Tableau1[[#This Row],[Cout canaux voix supplémentaire]]</f>
        <v>1241</v>
      </c>
      <c r="Y201" s="824">
        <v>0</v>
      </c>
      <c r="Z201" s="966">
        <v>0</v>
      </c>
      <c r="AA201" s="966">
        <v>0</v>
      </c>
      <c r="AB201" s="969">
        <v>0</v>
      </c>
      <c r="AC201" s="969">
        <v>0</v>
      </c>
      <c r="AD201" s="969">
        <v>0</v>
      </c>
      <c r="AE201" s="264">
        <v>20</v>
      </c>
      <c r="AF201" s="264">
        <v>300</v>
      </c>
      <c r="AG201" s="264">
        <v>50</v>
      </c>
      <c r="AH201" s="264">
        <v>350</v>
      </c>
      <c r="AI201" s="973">
        <v>5</v>
      </c>
      <c r="AJ201" s="263">
        <v>20</v>
      </c>
      <c r="AK201" s="987">
        <v>350</v>
      </c>
      <c r="AL201" s="263">
        <f>VLOOKUP(Tableau1[[#This Row],[Code PAS]],'Facturation PAS RIN5 RUN'!C:F,4,0)</f>
        <v>16</v>
      </c>
      <c r="AM201" s="263"/>
      <c r="AN201" s="263" t="b">
        <f>ROUND(Tableau1[[#This Row],[Montant Options coûts récurrents]],0)=ROUND(Tableau1[[#This Row],[GTRS1 (Coût Plage de support 24h/24 7j/7)]],0)</f>
        <v>0</v>
      </c>
      <c r="AO201" s="265" t="e">
        <f>_xlfn.XLOOKUP(Tableau1[[#This Row],[Code PAS]],'parc SATIN 08012026v'!K:K,'parc SATIN 08012026v'!#REF!,0,0)</f>
        <v>#REF!</v>
      </c>
      <c r="AP201" s="263" t="e">
        <f>VLOOKUP(Tableau1[[#This Row],[Code PAS]],#REF!,3,0)</f>
        <v>#REF!</v>
      </c>
      <c r="AQ201" s="263" t="e">
        <f>VLOOKUP(Tableau1[[#This Row],[Code PAS]],[14]Feuil1!$B:$G,6,0)</f>
        <v>#N/A</v>
      </c>
      <c r="AR201" s="263" t="str">
        <f>_xlfn.XLOOKUP(Tableau1[[#This Row],[Code PAS]],'Facturation PAS RIN5 RUN'!C:C,'Facturation PAS RIN5 RUN'!B:B,0,0)</f>
        <v>Gold_20_20</v>
      </c>
      <c r="AS201" s="263" t="b">
        <f>Tableau1[[#This Row],[Etat facturation]]=Tableau1[[#This Row],[Index offre du fournisseur]]</f>
        <v>1</v>
      </c>
      <c r="AT201" s="250" t="str">
        <f>_xlfn.XLOOKUP(Tableau1[[#This Row],[Code PAS]],'parc SATIN 08012026v'!K:K,'parc SATIN 08012026v'!M:M,0,0)</f>
        <v>PARC</v>
      </c>
      <c r="AU201" s="250" t="str">
        <f>_xlfn.XLOOKUP(Tableau1[[#This Row],[Code PAS]],'parc SATIN 08012026v'!K:K,'parc SATIN 08012026v'!O:O,0,0)</f>
        <v>PARC</v>
      </c>
      <c r="AV201" s="251">
        <f>_xlfn.XLOOKUP(Tableau1[[#This Row],[Code PAS]],'parc SATIN 08012026v'!K:K,'parc SATIN 08012026v'!Q:Q,0,0)</f>
        <v>44827</v>
      </c>
      <c r="AW201" s="251" t="str">
        <f>_xlfn.XLOOKUP(Tableau1[[#This Row],[Code PAS]],'parc SATIN 08012026v'!K:K,'parc SATIN 08012026v'!S:S,0,0)</f>
        <v>change</v>
      </c>
      <c r="AX201" s="250" t="str">
        <f>_xlfn.XLOOKUP(Tableau1[[#This Row],[Code PAS]],'parc SATIN 08012026v'!K:K,'parc SATIN 08012026v'!AF:AF,0,0)</f>
        <v>20 Mb/s</v>
      </c>
      <c r="AY20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02" spans="1:52" s="250" customFormat="1" ht="15" customHeight="1" x14ac:dyDescent="0.3">
      <c r="A202" s="248" t="s">
        <v>2735</v>
      </c>
      <c r="B202" s="248"/>
      <c r="C202" s="249"/>
      <c r="D202" s="249"/>
      <c r="E202" s="248" t="s">
        <v>3139</v>
      </c>
      <c r="F202" s="984" t="s">
        <v>713</v>
      </c>
      <c r="G202" s="250" t="s">
        <v>2784</v>
      </c>
      <c r="H202" s="250" t="s">
        <v>2784</v>
      </c>
      <c r="I202" s="250" t="s">
        <v>78</v>
      </c>
      <c r="J202" s="248" t="str">
        <f>_xlfn.XLOOKUP(Tableau1[[#This Row],[Code PAS]],'[13]Parc Satin'!$L:$L,'[13]Parc Satin'!$CK:$CK,0,0)</f>
        <v>Nominal InterLan 1.0 Secours InterLan 1.0</v>
      </c>
      <c r="K202" s="250" t="s">
        <v>2860</v>
      </c>
      <c r="L202" s="250">
        <v>500</v>
      </c>
      <c r="M202" s="250">
        <v>400</v>
      </c>
      <c r="O202" s="250" t="s">
        <v>74</v>
      </c>
      <c r="P202" s="824">
        <v>0</v>
      </c>
      <c r="Q202" s="824">
        <v>0</v>
      </c>
      <c r="R202" s="824">
        <v>0</v>
      </c>
      <c r="S202" s="824">
        <v>0</v>
      </c>
      <c r="T202" s="824">
        <v>1454</v>
      </c>
      <c r="U202" s="824">
        <v>95</v>
      </c>
      <c r="V202" s="824">
        <v>48</v>
      </c>
      <c r="W202" s="824">
        <v>36</v>
      </c>
      <c r="X202" s="824">
        <f>Tableau1[[#This Row],[Coût Abonnement offre]]+Tableau1[[#This Row],[Coût Abonnement Chassis]]+Tableau1[[#This Row],[Cout Cartes interface ]]+Tableau1[[#This Row],[Cout canaux voix supplémentaire]]</f>
        <v>1633</v>
      </c>
      <c r="Y202" s="824">
        <v>0</v>
      </c>
      <c r="Z202" s="966">
        <v>0</v>
      </c>
      <c r="AA202" s="966">
        <v>0</v>
      </c>
      <c r="AB202" s="969">
        <v>0</v>
      </c>
      <c r="AC202" s="969">
        <v>0</v>
      </c>
      <c r="AD202" s="969">
        <v>0</v>
      </c>
      <c r="AE202" s="264">
        <v>50</v>
      </c>
      <c r="AF202" s="264">
        <v>500</v>
      </c>
      <c r="AG202" s="264">
        <v>400</v>
      </c>
      <c r="AH202" s="264">
        <v>900</v>
      </c>
      <c r="AI202" s="973">
        <v>36</v>
      </c>
      <c r="AJ202" s="263">
        <v>50</v>
      </c>
      <c r="AK202" s="987">
        <v>900</v>
      </c>
      <c r="AL202" s="263">
        <f>VLOOKUP(Tableau1[[#This Row],[Code PAS]],'Facturation PAS RIN5 RUN'!C:F,4,0)</f>
        <v>48</v>
      </c>
      <c r="AM202" s="263"/>
      <c r="AN202" s="263" t="b">
        <f>ROUND(Tableau1[[#This Row],[Montant Options coûts récurrents]],0)=ROUND(Tableau1[[#This Row],[GTRS1 (Coût Plage de support 24h/24 7j/7)]],0)</f>
        <v>0</v>
      </c>
      <c r="AO202" s="265" t="e">
        <f>_xlfn.XLOOKUP(Tableau1[[#This Row],[Code PAS]],'parc SATIN 08012026v'!K:K,'parc SATIN 08012026v'!#REF!,0,0)</f>
        <v>#REF!</v>
      </c>
      <c r="AP202" s="263" t="e">
        <f>VLOOKUP(Tableau1[[#This Row],[Code PAS]],#REF!,3,0)</f>
        <v>#REF!</v>
      </c>
      <c r="AQ202" s="263" t="e">
        <f>VLOOKUP(Tableau1[[#This Row],[Code PAS]],[14]Feuil1!$B:$G,6,0)</f>
        <v>#N/A</v>
      </c>
      <c r="AR202" s="263" t="str">
        <f>_xlfn.XLOOKUP(Tableau1[[#This Row],[Code PAS]],'Facturation PAS RIN5 RUN'!C:C,'Facturation PAS RIN5 RUN'!B:B,0,0)</f>
        <v>Gold_50_50</v>
      </c>
      <c r="AS202" s="263" t="b">
        <f>Tableau1[[#This Row],[Etat facturation]]=Tableau1[[#This Row],[Index offre du fournisseur]]</f>
        <v>1</v>
      </c>
      <c r="AT202" s="250" t="str">
        <f>_xlfn.XLOOKUP(Tableau1[[#This Row],[Code PAS]],'parc SATIN 08012026v'!K:K,'parc SATIN 08012026v'!M:M,0,0)</f>
        <v>PARC</v>
      </c>
      <c r="AU202" s="250" t="str">
        <f>_xlfn.XLOOKUP(Tableau1[[#This Row],[Code PAS]],'parc SATIN 08012026v'!K:K,'parc SATIN 08012026v'!O:O,0,0)</f>
        <v>PARC</v>
      </c>
      <c r="AV202" s="251">
        <f>_xlfn.XLOOKUP(Tableau1[[#This Row],[Code PAS]],'parc SATIN 08012026v'!K:K,'parc SATIN 08012026v'!Q:Q,0,0)</f>
        <v>45555</v>
      </c>
      <c r="AW202" s="251" t="str">
        <f>_xlfn.XLOOKUP(Tableau1[[#This Row],[Code PAS]],'parc SATIN 08012026v'!K:K,'parc SATIN 08012026v'!S:S,0,0)</f>
        <v>change</v>
      </c>
      <c r="AX202" s="250" t="str">
        <f>_xlfn.XLOOKUP(Tableau1[[#This Row],[Code PAS]],'parc SATIN 08012026v'!K:K,'parc SATIN 08012026v'!AF:AF,0,0)</f>
        <v>50 Mb/s</v>
      </c>
      <c r="AY20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203" spans="1:52" s="250" customFormat="1" ht="15" customHeight="1" x14ac:dyDescent="0.3">
      <c r="A203" s="250" t="s">
        <v>2758</v>
      </c>
      <c r="C203" s="249"/>
      <c r="D203" s="249"/>
      <c r="E203" s="250" t="s">
        <v>3140</v>
      </c>
      <c r="F203" s="984" t="s">
        <v>2098</v>
      </c>
      <c r="G203" s="250" t="s">
        <v>2768</v>
      </c>
      <c r="H203" s="250" t="s">
        <v>2909</v>
      </c>
      <c r="I203" s="250" t="s">
        <v>165</v>
      </c>
      <c r="J203" s="248" t="str">
        <f>_xlfn.XLOOKUP(Tableau1[[#This Row],[Code PAS]],Tableau3[SIT- Nom du site],Tableau3[Architecture retenue],0,0)</f>
        <v>Nominal C2E Fibre Secours C2E Fibre</v>
      </c>
      <c r="K203" s="250" t="s">
        <v>2814</v>
      </c>
      <c r="L203" s="250">
        <v>120</v>
      </c>
      <c r="M203" s="250">
        <v>60</v>
      </c>
      <c r="N203" s="250">
        <v>1</v>
      </c>
      <c r="O203" s="250" t="s">
        <v>74</v>
      </c>
      <c r="P203" s="824">
        <v>0</v>
      </c>
      <c r="Q203" s="824">
        <v>391</v>
      </c>
      <c r="R203" s="824">
        <v>0</v>
      </c>
      <c r="S203" s="824">
        <v>391</v>
      </c>
      <c r="T203" s="824">
        <v>979</v>
      </c>
      <c r="U203" s="824">
        <v>84</v>
      </c>
      <c r="V203" s="824">
        <v>0</v>
      </c>
      <c r="W203" s="824">
        <v>5</v>
      </c>
      <c r="X203" s="824">
        <f>Tableau1[[#This Row],[Coût Abonnement offre]]+Tableau1[[#This Row],[Coût Abonnement Chassis]]+Tableau1[[#This Row],[Cout Cartes interface ]]+Tableau1[[#This Row],[Cout canaux voix supplémentaire]]</f>
        <v>1068</v>
      </c>
      <c r="Y203" s="824">
        <v>0</v>
      </c>
      <c r="Z203" s="966">
        <v>0</v>
      </c>
      <c r="AA203" s="966">
        <v>0</v>
      </c>
      <c r="AB203" s="969">
        <v>0</v>
      </c>
      <c r="AC203" s="969">
        <v>0</v>
      </c>
      <c r="AD203" s="969">
        <v>0</v>
      </c>
      <c r="AE203" s="264">
        <v>10</v>
      </c>
      <c r="AF203" s="264">
        <v>120</v>
      </c>
      <c r="AG203" s="264">
        <v>60</v>
      </c>
      <c r="AH203" s="264">
        <v>180</v>
      </c>
      <c r="AI203" s="973">
        <v>5</v>
      </c>
      <c r="AJ203" s="263">
        <v>10</v>
      </c>
      <c r="AK203" s="987">
        <v>180</v>
      </c>
      <c r="AL203" s="263">
        <f>VLOOKUP(Tableau1[[#This Row],[Code PAS]],'Facturation PAS RIN5 RUN'!C:F,4,0)</f>
        <v>0</v>
      </c>
      <c r="AM203" s="263"/>
      <c r="AN203" s="263" t="b">
        <f>ROUND(Tableau1[[#This Row],[Montant Options coûts récurrents]],0)=ROUND(Tableau1[[#This Row],[GTRS1 (Coût Plage de support 24h/24 7j/7)]],0)</f>
        <v>1</v>
      </c>
      <c r="AO203" s="265" t="e">
        <f>_xlfn.XLOOKUP(Tableau1[[#This Row],[Code PAS]],'parc SATIN 08012026v'!K:K,'parc SATIN 08012026v'!#REF!,0,0)</f>
        <v>#REF!</v>
      </c>
      <c r="AP203" s="263" t="e">
        <f>VLOOKUP(Tableau1[[#This Row],[Code PAS]],#REF!,3,0)</f>
        <v>#REF!</v>
      </c>
      <c r="AQ203" s="263" t="e">
        <f>VLOOKUP(Tableau1[[#This Row],[Code PAS]],[14]Feuil1!$B:$G,6,0)</f>
        <v>#N/A</v>
      </c>
      <c r="AR203" s="263" t="str">
        <f>_xlfn.XLOOKUP(Tableau1[[#This Row],[Code PAS]],'Facturation PAS RIN5 RUN'!C:C,'Facturation PAS RIN5 RUN'!B:B,0,0)</f>
        <v>Silver_10_10</v>
      </c>
      <c r="AS203" s="263" t="b">
        <f>Tableau1[[#This Row],[Etat facturation]]=Tableau1[[#This Row],[Index offre du fournisseur]]</f>
        <v>1</v>
      </c>
      <c r="AT203" s="250" t="str">
        <f>_xlfn.XLOOKUP(Tableau1[[#This Row],[Code PAS]],'parc SATIN 08012026v'!K:K,'parc SATIN 08012026v'!M:M,0,0)</f>
        <v>PARC</v>
      </c>
      <c r="AU203" s="250" t="str">
        <f>_xlfn.XLOOKUP(Tableau1[[#This Row],[Code PAS]],'parc SATIN 08012026v'!K:K,'parc SATIN 08012026v'!O:O,0,0)</f>
        <v>EN COURS</v>
      </c>
      <c r="AV203" s="251">
        <f>_xlfn.XLOOKUP(Tableau1[[#This Row],[Code PAS]],'parc SATIN 08012026v'!K:K,'parc SATIN 08012026v'!Q:Q,0,0)</f>
        <v>0</v>
      </c>
      <c r="AW203" s="251" t="str">
        <f>_xlfn.XLOOKUP(Tableau1[[#This Row],[Code PAS]],'parc SATIN 08012026v'!K:K,'parc SATIN 08012026v'!S:S,0,0)</f>
        <v>change</v>
      </c>
      <c r="AX203" s="250" t="str">
        <f>_xlfn.XLOOKUP(Tableau1[[#This Row],[Code PAS]],'parc SATIN 08012026v'!K:K,'parc SATIN 08012026v'!AF:AF,0,0)</f>
        <v>10 Mb/s</v>
      </c>
      <c r="AY20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204" spans="1:52" s="250" customFormat="1" ht="15" customHeight="1" x14ac:dyDescent="0.3">
      <c r="A204" s="250" t="s">
        <v>2758</v>
      </c>
      <c r="C204" s="249"/>
      <c r="D204" s="249"/>
      <c r="E204" s="250" t="s">
        <v>3141</v>
      </c>
      <c r="F204" s="984" t="s">
        <v>2323</v>
      </c>
      <c r="H204" s="250" t="s">
        <v>2801</v>
      </c>
      <c r="J204" s="248" t="str">
        <f>_xlfn.XLOOKUP(Tableau1[[#This Row],[Code PAS]],'[13]Parc Satin'!$L:$L,'[13]Parc Satin'!$CK:$CK,0,0)</f>
        <v>Nominal C2E Secours C2E</v>
      </c>
      <c r="P204" s="820">
        <v>0</v>
      </c>
      <c r="Q204" s="820">
        <v>0</v>
      </c>
      <c r="R204" s="820">
        <v>0</v>
      </c>
      <c r="S204" s="820">
        <v>0</v>
      </c>
      <c r="T204" s="824">
        <v>701</v>
      </c>
      <c r="U204" s="824">
        <v>54</v>
      </c>
      <c r="V204" s="824">
        <v>0</v>
      </c>
      <c r="W204" s="824">
        <v>0</v>
      </c>
      <c r="X204" s="823">
        <f>Tableau1[[#This Row],[Coût Abonnement offre]]+Tableau1[[#This Row],[Coût Abonnement Chassis]]+Tableau1[[#This Row],[Cout Cartes interface ]]+Tableau1[[#This Row],[Cout canaux voix supplémentaire]]</f>
        <v>755</v>
      </c>
      <c r="Y204" s="824">
        <v>0</v>
      </c>
      <c r="Z204" s="966">
        <v>0</v>
      </c>
      <c r="AA204" s="966">
        <v>0</v>
      </c>
      <c r="AB204" s="969">
        <v>0</v>
      </c>
      <c r="AC204" s="969">
        <v>0</v>
      </c>
      <c r="AD204" s="969">
        <v>0</v>
      </c>
      <c r="AE204" s="264">
        <v>6</v>
      </c>
      <c r="AF204" s="264">
        <v>60</v>
      </c>
      <c r="AG204" s="264">
        <v>40</v>
      </c>
      <c r="AH204" s="264">
        <v>100</v>
      </c>
      <c r="AI204" s="973">
        <v>36</v>
      </c>
      <c r="AJ204" s="263">
        <v>6</v>
      </c>
      <c r="AK204" s="987">
        <v>60</v>
      </c>
      <c r="AL204" s="263">
        <f>VLOOKUP(Tableau1[[#This Row],[Code PAS]],'Facturation PAS RIN5 RUN'!C:F,4,0)</f>
        <v>0</v>
      </c>
      <c r="AM204" s="263"/>
      <c r="AN204" s="263" t="b">
        <f>ROUND(Tableau1[[#This Row],[Montant Options coûts récurrents]],0)=ROUND(Tableau1[[#This Row],[GTRS1 (Coût Plage de support 24h/24 7j/7)]],0)</f>
        <v>1</v>
      </c>
      <c r="AO204" s="265" t="e">
        <f>_xlfn.XLOOKUP(Tableau1[[#This Row],[Code PAS]],'parc SATIN 08012026v'!K:K,'parc SATIN 08012026v'!#REF!,0,0)</f>
        <v>#REF!</v>
      </c>
      <c r="AP204" s="263" t="e">
        <f>VLOOKUP(Tableau1[[#This Row],[Code PAS]],#REF!,3,0)</f>
        <v>#REF!</v>
      </c>
      <c r="AQ204" s="263" t="e">
        <f>VLOOKUP(Tableau1[[#This Row],[Code PAS]],[14]Feuil1!$B:$G,6,0)</f>
        <v>#N/A</v>
      </c>
      <c r="AR204" s="263" t="str">
        <f>_xlfn.XLOOKUP(Tableau1[[#This Row],[Code PAS]],'Facturation PAS RIN5 RUN'!C:C,'Facturation PAS RIN5 RUN'!B:B,0,0)</f>
        <v>Gold_6_6</v>
      </c>
      <c r="AS204" s="263" t="b">
        <f>Tableau1[[#This Row],[Etat facturation]]=Tableau1[[#This Row],[Index offre du fournisseur]]</f>
        <v>1</v>
      </c>
      <c r="AT204" s="250" t="str">
        <f>_xlfn.XLOOKUP(Tableau1[[#This Row],[Code PAS]],'parc SATIN 08012026v'!K:K,'parc SATIN 08012026v'!M:M,0,0)</f>
        <v>PARC</v>
      </c>
      <c r="AU204" s="250" t="str">
        <f>_xlfn.XLOOKUP(Tableau1[[#This Row],[Code PAS]],'parc SATIN 08012026v'!K:K,'parc SATIN 08012026v'!O:O,0,0)</f>
        <v>PARC</v>
      </c>
      <c r="AV204" s="251">
        <f>_xlfn.XLOOKUP(Tableau1[[#This Row],[Code PAS]],'parc SATIN 08012026v'!K:K,'parc SATIN 08012026v'!Q:Q,0,0)</f>
        <v>43880</v>
      </c>
      <c r="AW204" s="251" t="str">
        <f>_xlfn.XLOOKUP(Tableau1[[#This Row],[Code PAS]],'parc SATIN 08012026v'!K:K,'parc SATIN 08012026v'!S:S,0,0)</f>
        <v>change</v>
      </c>
      <c r="AX204" s="250" t="str">
        <f>_xlfn.XLOOKUP(Tableau1[[#This Row],[Code PAS]],'parc SATIN 08012026v'!K:K,'parc SATIN 08012026v'!AF:AF,0,0)</f>
        <v>6 Mb/s</v>
      </c>
      <c r="AY20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</v>
      </c>
      <c r="AZ204" s="250" t="s">
        <v>2868</v>
      </c>
    </row>
    <row r="205" spans="1:52" s="250" customFormat="1" ht="18" customHeight="1" x14ac:dyDescent="0.3">
      <c r="A205" s="250" t="s">
        <v>2758</v>
      </c>
      <c r="C205" s="249"/>
      <c r="D205" s="249"/>
      <c r="E205" s="250" t="s">
        <v>3142</v>
      </c>
      <c r="F205" s="984" t="s">
        <v>2177</v>
      </c>
      <c r="G205" s="250" t="s">
        <v>2765</v>
      </c>
      <c r="H205" s="250" t="s">
        <v>2765</v>
      </c>
      <c r="I205" s="250" t="s">
        <v>165</v>
      </c>
      <c r="J205" s="248" t="str">
        <f>_xlfn.XLOOKUP(Tableau1[[#This Row],[Code PAS]],'[13]Parc Satin'!$L:$L,'[13]Parc Satin'!$CK:$CK,0,0)</f>
        <v>Nominal InterLan 1.0 Secours C2E Fibre</v>
      </c>
      <c r="K205" s="250" t="s">
        <v>2850</v>
      </c>
      <c r="L205" s="250">
        <v>400</v>
      </c>
      <c r="M205" s="250">
        <v>150</v>
      </c>
      <c r="N205" s="250">
        <v>1</v>
      </c>
      <c r="O205" s="250" t="s">
        <v>74</v>
      </c>
      <c r="P205" s="824">
        <v>0</v>
      </c>
      <c r="Q205" s="824">
        <v>0</v>
      </c>
      <c r="R205" s="824">
        <v>0</v>
      </c>
      <c r="S205" s="824">
        <v>0</v>
      </c>
      <c r="T205" s="824">
        <v>1249</v>
      </c>
      <c r="U205" s="824">
        <v>60</v>
      </c>
      <c r="V205" s="824">
        <v>80</v>
      </c>
      <c r="W205" s="824">
        <v>14</v>
      </c>
      <c r="X205" s="824">
        <f>Tableau1[[#This Row],[Coût Abonnement offre]]+Tableau1[[#This Row],[Coût Abonnement Chassis]]+Tableau1[[#This Row],[Cout Cartes interface ]]+Tableau1[[#This Row],[Cout canaux voix supplémentaire]]</f>
        <v>1403</v>
      </c>
      <c r="Y205" s="824">
        <v>0</v>
      </c>
      <c r="Z205" s="966">
        <v>0</v>
      </c>
      <c r="AA205" s="966">
        <v>0</v>
      </c>
      <c r="AB205" s="969">
        <v>0</v>
      </c>
      <c r="AC205" s="969">
        <v>0</v>
      </c>
      <c r="AD205" s="969">
        <v>0</v>
      </c>
      <c r="AE205" s="264">
        <v>30</v>
      </c>
      <c r="AF205" s="264">
        <v>400</v>
      </c>
      <c r="AG205" s="264">
        <v>150</v>
      </c>
      <c r="AH205" s="264">
        <v>550</v>
      </c>
      <c r="AI205" s="973">
        <v>14</v>
      </c>
      <c r="AJ205" s="263">
        <v>30</v>
      </c>
      <c r="AK205" s="987">
        <v>550</v>
      </c>
      <c r="AL205" s="263">
        <f>VLOOKUP(Tableau1[[#This Row],[Code PAS]],'Facturation PAS RIN5 RUN'!C:F,4,0)</f>
        <v>80</v>
      </c>
      <c r="AM205" s="263"/>
      <c r="AN205" s="263" t="b">
        <f>ROUND(Tableau1[[#This Row],[Montant Options coûts récurrents]],0)=ROUND(Tableau1[[#This Row],[GTRS1 (Coût Plage de support 24h/24 7j/7)]],0)</f>
        <v>0</v>
      </c>
      <c r="AO205" s="265" t="e">
        <f>_xlfn.XLOOKUP(Tableau1[[#This Row],[Code PAS]],'parc SATIN 08012026v'!K:K,'parc SATIN 08012026v'!#REF!,0,0)</f>
        <v>#REF!</v>
      </c>
      <c r="AP205" s="263" t="e">
        <f>VLOOKUP(Tableau1[[#This Row],[Code PAS]],#REF!,3,0)</f>
        <v>#REF!</v>
      </c>
      <c r="AQ205" s="263" t="e">
        <f>VLOOKUP(Tableau1[[#This Row],[Code PAS]],[14]Feuil1!$B:$G,6,0)</f>
        <v>#N/A</v>
      </c>
      <c r="AR205" s="263" t="str">
        <f>_xlfn.XLOOKUP(Tableau1[[#This Row],[Code PAS]],'Facturation PAS RIN5 RUN'!C:C,'Facturation PAS RIN5 RUN'!B:B,0,0)</f>
        <v>Gold_30_30</v>
      </c>
      <c r="AS205" s="263" t="b">
        <f>Tableau1[[#This Row],[Etat facturation]]=Tableau1[[#This Row],[Index offre du fournisseur]]</f>
        <v>1</v>
      </c>
      <c r="AT205" s="250" t="str">
        <f>_xlfn.XLOOKUP(Tableau1[[#This Row],[Code PAS]],'parc SATIN 08012026v'!K:K,'parc SATIN 08012026v'!M:M,0,0)</f>
        <v>PARC</v>
      </c>
      <c r="AU205" s="250" t="str">
        <f>_xlfn.XLOOKUP(Tableau1[[#This Row],[Code PAS]],'parc SATIN 08012026v'!K:K,'parc SATIN 08012026v'!O:O,0,0)</f>
        <v>PARC</v>
      </c>
      <c r="AV205" s="251">
        <f>_xlfn.XLOOKUP(Tableau1[[#This Row],[Code PAS]],'parc SATIN 08012026v'!K:K,'parc SATIN 08012026v'!Q:Q,0,0)</f>
        <v>45100</v>
      </c>
      <c r="AW205" s="251" t="str">
        <f>_xlfn.XLOOKUP(Tableau1[[#This Row],[Code PAS]],'parc SATIN 08012026v'!K:K,'parc SATIN 08012026v'!S:S,0,0)</f>
        <v>change</v>
      </c>
      <c r="AX205" s="250" t="str">
        <f>_xlfn.XLOOKUP(Tableau1[[#This Row],[Code PAS]],'parc SATIN 08012026v'!K:K,'parc SATIN 08012026v'!AF:AF,0,0)</f>
        <v>30 Mb/s</v>
      </c>
      <c r="AY20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206" spans="1:52" s="250" customFormat="1" ht="18" customHeight="1" x14ac:dyDescent="0.3">
      <c r="A206" s="250" t="s">
        <v>2758</v>
      </c>
      <c r="E206" s="250" t="s">
        <v>3143</v>
      </c>
      <c r="F206" s="984" t="s">
        <v>2021</v>
      </c>
      <c r="H206" s="250" t="s">
        <v>3144</v>
      </c>
      <c r="J206" s="248" t="str">
        <f>_xlfn.XLOOKUP(Tableau1[[#This Row],[Code PAS]],'[13]Parc Satin'!$L:$L,'[13]Parc Satin'!$CK:$CK,0,0)</f>
        <v>Nominal C2E Secours C2E</v>
      </c>
      <c r="P206" s="820">
        <v>0</v>
      </c>
      <c r="Q206" s="820">
        <v>0</v>
      </c>
      <c r="R206" s="820">
        <v>0</v>
      </c>
      <c r="S206" s="820">
        <v>0</v>
      </c>
      <c r="T206" s="824">
        <v>701</v>
      </c>
      <c r="U206" s="824">
        <v>54</v>
      </c>
      <c r="V206" s="824">
        <v>0</v>
      </c>
      <c r="W206" s="824">
        <v>0</v>
      </c>
      <c r="X206" s="823">
        <f>Tableau1[[#This Row],[Coût Abonnement offre]]+Tableau1[[#This Row],[Coût Abonnement Chassis]]+Tableau1[[#This Row],[Cout Cartes interface ]]+Tableau1[[#This Row],[Cout canaux voix supplémentaire]]</f>
        <v>755</v>
      </c>
      <c r="Y206" s="824">
        <v>0</v>
      </c>
      <c r="Z206" s="966">
        <v>0</v>
      </c>
      <c r="AA206" s="966">
        <v>0</v>
      </c>
      <c r="AB206" s="969">
        <v>0</v>
      </c>
      <c r="AC206" s="969">
        <v>0</v>
      </c>
      <c r="AD206" s="969">
        <v>0</v>
      </c>
      <c r="AE206" s="264">
        <v>6</v>
      </c>
      <c r="AF206" s="264">
        <v>60</v>
      </c>
      <c r="AG206" s="264">
        <v>40</v>
      </c>
      <c r="AH206" s="264">
        <v>100</v>
      </c>
      <c r="AI206" s="973">
        <v>36</v>
      </c>
      <c r="AJ206" s="263">
        <v>6</v>
      </c>
      <c r="AK206" s="987">
        <v>60</v>
      </c>
      <c r="AL206" s="263">
        <f>VLOOKUP(Tableau1[[#This Row],[Code PAS]],'Facturation PAS RIN5 RUN'!C:F,4,0)</f>
        <v>0</v>
      </c>
      <c r="AM206" s="263"/>
      <c r="AN206" s="263" t="b">
        <f>ROUND(Tableau1[[#This Row],[Montant Options coûts récurrents]],0)=ROUND(Tableau1[[#This Row],[GTRS1 (Coût Plage de support 24h/24 7j/7)]],0)</f>
        <v>1</v>
      </c>
      <c r="AO206" s="265" t="e">
        <f>_xlfn.XLOOKUP(Tableau1[[#This Row],[Code PAS]],'parc SATIN 08012026v'!K:K,'parc SATIN 08012026v'!#REF!,0,0)</f>
        <v>#REF!</v>
      </c>
      <c r="AP206" s="263" t="e">
        <f>VLOOKUP(Tableau1[[#This Row],[Code PAS]],#REF!,3,0)</f>
        <v>#REF!</v>
      </c>
      <c r="AQ206" s="263" t="e">
        <f>VLOOKUP(Tableau1[[#This Row],[Code PAS]],[14]Feuil1!$B:$G,6,0)</f>
        <v>#N/A</v>
      </c>
      <c r="AR206" s="263" t="str">
        <f>_xlfn.XLOOKUP(Tableau1[[#This Row],[Code PAS]],'Facturation PAS RIN5 RUN'!C:C,'Facturation PAS RIN5 RUN'!B:B,0,0)</f>
        <v>Silver_6_6</v>
      </c>
      <c r="AS206" s="263" t="b">
        <f>Tableau1[[#This Row],[Etat facturation]]=Tableau1[[#This Row],[Index offre du fournisseur]]</f>
        <v>1</v>
      </c>
      <c r="AT206" s="250" t="str">
        <f>_xlfn.XLOOKUP(Tableau1[[#This Row],[Code PAS]],'parc SATIN 08012026v'!K:K,'parc SATIN 08012026v'!M:M,0,0)</f>
        <v>PARC</v>
      </c>
      <c r="AU206" s="250" t="str">
        <f>_xlfn.XLOOKUP(Tableau1[[#This Row],[Code PAS]],'parc SATIN 08012026v'!K:K,'parc SATIN 08012026v'!O:O,0,0)</f>
        <v>PARC</v>
      </c>
      <c r="AV206" s="251">
        <f>_xlfn.XLOOKUP(Tableau1[[#This Row],[Code PAS]],'parc SATIN 08012026v'!K:K,'parc SATIN 08012026v'!Q:Q,0,0)</f>
        <v>43880</v>
      </c>
      <c r="AW206" s="251" t="str">
        <f>_xlfn.XLOOKUP(Tableau1[[#This Row],[Code PAS]],'parc SATIN 08012026v'!K:K,'parc SATIN 08012026v'!S:S,0,0)</f>
        <v>change</v>
      </c>
      <c r="AX206" s="250" t="str">
        <f>_xlfn.XLOOKUP(Tableau1[[#This Row],[Code PAS]],'parc SATIN 08012026v'!K:K,'parc SATIN 08012026v'!AF:AF,0,0)</f>
        <v>6 Mb/s</v>
      </c>
      <c r="AY20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</v>
      </c>
      <c r="AZ206" s="250" t="s">
        <v>2868</v>
      </c>
    </row>
    <row r="207" spans="1:52" s="250" customFormat="1" x14ac:dyDescent="0.3">
      <c r="A207" s="248" t="s">
        <v>2743</v>
      </c>
      <c r="B207" s="248"/>
      <c r="C207" s="249"/>
      <c r="D207" s="249"/>
      <c r="E207" s="250" t="s">
        <v>3145</v>
      </c>
      <c r="F207" s="984" t="s">
        <v>1003</v>
      </c>
      <c r="G207" s="250" t="s">
        <v>2909</v>
      </c>
      <c r="H207" s="250" t="s">
        <v>2909</v>
      </c>
      <c r="I207" s="250" t="s">
        <v>78</v>
      </c>
      <c r="J207" s="248" t="str">
        <f>_xlfn.XLOOKUP(Tableau1[[#This Row],[Code PAS]],'[13]Parc Satin'!$L:$L,'[13]Parc Satin'!$CK:$CK,0,0)</f>
        <v>Nominal C2E Fibre Secours C2E Fibre</v>
      </c>
      <c r="K207" s="250" t="s">
        <v>2814</v>
      </c>
      <c r="L207" s="250">
        <v>120</v>
      </c>
      <c r="M207" s="250">
        <v>60</v>
      </c>
      <c r="N207" s="250">
        <v>1</v>
      </c>
      <c r="O207" s="250" t="s">
        <v>74</v>
      </c>
      <c r="P207" s="824">
        <v>0</v>
      </c>
      <c r="Q207" s="824">
        <v>0</v>
      </c>
      <c r="R207" s="824">
        <v>0</v>
      </c>
      <c r="S207" s="824">
        <v>0</v>
      </c>
      <c r="T207" s="824">
        <v>979</v>
      </c>
      <c r="U207" s="824">
        <v>24</v>
      </c>
      <c r="V207" s="824">
        <v>0</v>
      </c>
      <c r="W207" s="824">
        <v>5</v>
      </c>
      <c r="X207" s="824">
        <f>Tableau1[[#This Row],[Coût Abonnement offre]]+Tableau1[[#This Row],[Coût Abonnement Chassis]]+Tableau1[[#This Row],[Cout Cartes interface ]]+Tableau1[[#This Row],[Cout canaux voix supplémentaire]]</f>
        <v>1008</v>
      </c>
      <c r="Y207" s="824">
        <v>0</v>
      </c>
      <c r="Z207" s="966">
        <v>0</v>
      </c>
      <c r="AA207" s="966">
        <v>0</v>
      </c>
      <c r="AB207" s="969">
        <v>0</v>
      </c>
      <c r="AC207" s="969">
        <v>0</v>
      </c>
      <c r="AD207" s="969">
        <v>0</v>
      </c>
      <c r="AE207" s="264">
        <v>10</v>
      </c>
      <c r="AF207" s="264">
        <v>120</v>
      </c>
      <c r="AG207" s="264">
        <v>60</v>
      </c>
      <c r="AH207" s="264">
        <v>180</v>
      </c>
      <c r="AI207" s="973">
        <v>5</v>
      </c>
      <c r="AJ207" s="263">
        <v>10</v>
      </c>
      <c r="AK207" s="987">
        <v>180</v>
      </c>
      <c r="AL207" s="263">
        <f>VLOOKUP(Tableau1[[#This Row],[Code PAS]],'Facturation PAS RIN5 RUN'!C:F,4,0)</f>
        <v>0</v>
      </c>
      <c r="AM207" s="263"/>
      <c r="AN207" s="263" t="b">
        <f>ROUND(Tableau1[[#This Row],[Montant Options coûts récurrents]],0)=ROUND(Tableau1[[#This Row],[GTRS1 (Coût Plage de support 24h/24 7j/7)]],0)</f>
        <v>1</v>
      </c>
      <c r="AO207" s="265" t="e">
        <f>_xlfn.XLOOKUP(Tableau1[[#This Row],[Code PAS]],'parc SATIN 08012026v'!K:K,'parc SATIN 08012026v'!#REF!,0,0)</f>
        <v>#REF!</v>
      </c>
      <c r="AP207" s="263" t="e">
        <f>VLOOKUP(Tableau1[[#This Row],[Code PAS]],#REF!,3,0)</f>
        <v>#REF!</v>
      </c>
      <c r="AQ207" s="263" t="e">
        <f>VLOOKUP(Tableau1[[#This Row],[Code PAS]],[14]Feuil1!$B:$G,6,0)</f>
        <v>#N/A</v>
      </c>
      <c r="AR207" s="263" t="str">
        <f>_xlfn.XLOOKUP(Tableau1[[#This Row],[Code PAS]],'Facturation PAS RIN5 RUN'!C:C,'Facturation PAS RIN5 RUN'!B:B,0,0)</f>
        <v>Silver_10_10</v>
      </c>
      <c r="AS207" s="263" t="b">
        <f>Tableau1[[#This Row],[Etat facturation]]=Tableau1[[#This Row],[Index offre du fournisseur]]</f>
        <v>1</v>
      </c>
      <c r="AT207" s="250" t="str">
        <f>_xlfn.XLOOKUP(Tableau1[[#This Row],[Code PAS]],'parc SATIN 08012026v'!K:K,'parc SATIN 08012026v'!M:M,0,0)</f>
        <v>PARC</v>
      </c>
      <c r="AU207" s="250" t="str">
        <f>_xlfn.XLOOKUP(Tableau1[[#This Row],[Code PAS]],'parc SATIN 08012026v'!K:K,'parc SATIN 08012026v'!O:O,0,0)</f>
        <v>PARC</v>
      </c>
      <c r="AV207" s="251">
        <f>_xlfn.XLOOKUP(Tableau1[[#This Row],[Code PAS]],'parc SATIN 08012026v'!K:K,'parc SATIN 08012026v'!Q:Q,0,0)</f>
        <v>45824</v>
      </c>
      <c r="AW207" s="251" t="str">
        <f>_xlfn.XLOOKUP(Tableau1[[#This Row],[Code PAS]],'parc SATIN 08012026v'!K:K,'parc SATIN 08012026v'!S:S,0,0)</f>
        <v>change</v>
      </c>
      <c r="AX207" s="250" t="str">
        <f>_xlfn.XLOOKUP(Tableau1[[#This Row],[Code PAS]],'parc SATIN 08012026v'!K:K,'parc SATIN 08012026v'!AF:AF,0,0)</f>
        <v>10 Mb/s</v>
      </c>
      <c r="AY20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208" spans="1:52" s="250" customFormat="1" x14ac:dyDescent="0.3">
      <c r="A208" s="248" t="s">
        <v>2743</v>
      </c>
      <c r="B208" s="248"/>
      <c r="C208" s="249">
        <v>45937</v>
      </c>
      <c r="D208" s="249"/>
      <c r="E208" s="250" t="s">
        <v>2780</v>
      </c>
      <c r="F208" s="984" t="s">
        <v>1411</v>
      </c>
      <c r="G208" s="250" t="s">
        <v>2777</v>
      </c>
      <c r="H208" s="250" t="s">
        <v>2777</v>
      </c>
      <c r="I208" s="248" t="s">
        <v>165</v>
      </c>
      <c r="J208" s="248" t="str">
        <f>_xlfn.XLOOKUP(Tableau1[[#This Row],[Code PAS]],'[13]Parc Satin'!$L:$L,'[13]Parc Satin'!$CK:$CK,0,0)</f>
        <v>Nominal C2E Fibre sans Secours</v>
      </c>
      <c r="L208" s="250">
        <v>300</v>
      </c>
      <c r="M208" s="250">
        <v>50</v>
      </c>
      <c r="N208" s="250">
        <v>1</v>
      </c>
      <c r="O208" s="250" t="s">
        <v>74</v>
      </c>
      <c r="P208" s="824"/>
      <c r="Q208" s="824"/>
      <c r="R208" s="824"/>
      <c r="S208" s="824">
        <v>0</v>
      </c>
      <c r="T208" s="824">
        <v>675</v>
      </c>
      <c r="U208" s="824">
        <v>22.2</v>
      </c>
      <c r="V208" s="824">
        <v>16</v>
      </c>
      <c r="W208" s="824">
        <v>4.5</v>
      </c>
      <c r="X208" s="824">
        <v>717.7</v>
      </c>
      <c r="Y208" s="824">
        <v>0</v>
      </c>
      <c r="Z208" s="966">
        <v>0</v>
      </c>
      <c r="AA208" s="966">
        <v>0</v>
      </c>
      <c r="AB208" s="969">
        <v>0</v>
      </c>
      <c r="AC208" s="969">
        <v>0</v>
      </c>
      <c r="AD208" s="969">
        <v>0</v>
      </c>
      <c r="AE208" s="264">
        <v>20</v>
      </c>
      <c r="AF208" s="264">
        <v>300</v>
      </c>
      <c r="AG208" s="264">
        <v>50</v>
      </c>
      <c r="AH208" s="264">
        <v>350</v>
      </c>
      <c r="AI208" s="973">
        <v>5</v>
      </c>
      <c r="AJ208" s="263">
        <v>20</v>
      </c>
      <c r="AK208" s="987">
        <v>350</v>
      </c>
      <c r="AL208" s="263">
        <f>VLOOKUP(Tableau1[[#This Row],[Code PAS]],'Facturation PAS RIN5 RUN'!C:F,4,0)</f>
        <v>16</v>
      </c>
      <c r="AM208" s="263"/>
      <c r="AN208" s="263" t="b">
        <f>ROUND(Tableau1[[#This Row],[Montant Options coûts récurrents]],0)=ROUND(Tableau1[[#This Row],[GTRS1 (Coût Plage de support 24h/24 7j/7)]],0)</f>
        <v>0</v>
      </c>
      <c r="AO208" s="265" t="e">
        <f>_xlfn.XLOOKUP(Tableau1[[#This Row],[Code PAS]],'parc SATIN 08012026v'!K:K,'parc SATIN 08012026v'!#REF!,0,0)</f>
        <v>#REF!</v>
      </c>
      <c r="AP208" s="263" t="e">
        <f>VLOOKUP(Tableau1[[#This Row],[Code PAS]],#REF!,3,0)</f>
        <v>#REF!</v>
      </c>
      <c r="AQ208" s="263" t="e">
        <f>VLOOKUP(Tableau1[[#This Row],[Code PAS]],[14]Feuil1!$B:$G,6,0)</f>
        <v>#N/A</v>
      </c>
      <c r="AR208" s="263" t="str">
        <f>_xlfn.XLOOKUP(Tableau1[[#This Row],[Code PAS]],'Facturation PAS RIN5 RUN'!C:C,'Facturation PAS RIN5 RUN'!B:B,0,0)</f>
        <v>Bronze_20_0</v>
      </c>
      <c r="AS208" s="263" t="b">
        <f>Tableau1[[#This Row],[Etat facturation]]=Tableau1[[#This Row],[Index offre du fournisseur]]</f>
        <v>1</v>
      </c>
      <c r="AT208" s="250" t="str">
        <f>_xlfn.XLOOKUP(Tableau1[[#This Row],[Code PAS]],'parc SATIN 08012026v'!K:K,'parc SATIN 08012026v'!M:M,0,0)</f>
        <v>PARC</v>
      </c>
      <c r="AU208" s="250" t="str">
        <f>_xlfn.XLOOKUP(Tableau1[[#This Row],[Code PAS]],'parc SATIN 08012026v'!K:K,'parc SATIN 08012026v'!O:O,0,0)</f>
        <v>PARC</v>
      </c>
      <c r="AV208" s="251">
        <f>_xlfn.XLOOKUP(Tableau1[[#This Row],[Code PAS]],'parc SATIN 08012026v'!K:K,'parc SATIN 08012026v'!Q:Q,0,0)</f>
        <v>45937</v>
      </c>
      <c r="AW208" s="251" t="str">
        <f>_xlfn.XLOOKUP(Tableau1[[#This Row],[Code PAS]],'parc SATIN 08012026v'!K:K,'parc SATIN 08012026v'!S:S,0,0)</f>
        <v>change</v>
      </c>
      <c r="AX208" s="250" t="str">
        <f>_xlfn.XLOOKUP(Tableau1[[#This Row],[Code PAS]],'parc SATIN 08012026v'!K:K,'parc SATIN 08012026v'!AF:AF,0,0)</f>
        <v>20 Mb/s</v>
      </c>
      <c r="AY20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09" spans="1:52" s="250" customFormat="1" x14ac:dyDescent="0.3">
      <c r="A209" s="250" t="s">
        <v>2743</v>
      </c>
      <c r="C209" s="249"/>
      <c r="D209" s="249"/>
      <c r="E209" s="250" t="s">
        <v>3146</v>
      </c>
      <c r="F209" s="984" t="s">
        <v>1403</v>
      </c>
      <c r="G209" s="250" t="s">
        <v>2765</v>
      </c>
      <c r="H209" s="250" t="s">
        <v>2765</v>
      </c>
      <c r="I209" s="250" t="s">
        <v>78</v>
      </c>
      <c r="J209" s="248" t="str">
        <f>_xlfn.XLOOKUP(Tableau1[[#This Row],[Code PAS]],'[13]Parc Satin'!$L:$L,'[13]Parc Satin'!$CK:$CK,0,0)</f>
        <v>Nominal InterLan 1.0 Secours C2E Fibre</v>
      </c>
      <c r="K209" s="250" t="s">
        <v>2850</v>
      </c>
      <c r="L209" s="250">
        <v>400</v>
      </c>
      <c r="M209" s="250">
        <v>150</v>
      </c>
      <c r="N209" s="250">
        <v>2</v>
      </c>
      <c r="O209" s="250" t="s">
        <v>74</v>
      </c>
      <c r="P209" s="824">
        <v>0</v>
      </c>
      <c r="Q209" s="824">
        <v>0</v>
      </c>
      <c r="R209" s="824">
        <v>0</v>
      </c>
      <c r="S209" s="824">
        <v>0</v>
      </c>
      <c r="T209" s="824">
        <v>1249</v>
      </c>
      <c r="U209" s="824">
        <v>71</v>
      </c>
      <c r="V209" s="824">
        <v>32</v>
      </c>
      <c r="W209" s="824">
        <v>14</v>
      </c>
      <c r="X209" s="824">
        <f>Tableau1[[#This Row],[Coût Abonnement offre]]+Tableau1[[#This Row],[Coût Abonnement Chassis]]+Tableau1[[#This Row],[Cout Cartes interface ]]+Tableau1[[#This Row],[Cout canaux voix supplémentaire]]</f>
        <v>1366</v>
      </c>
      <c r="Y209" s="824">
        <v>0</v>
      </c>
      <c r="Z209" s="966">
        <v>0</v>
      </c>
      <c r="AA209" s="966">
        <v>0</v>
      </c>
      <c r="AB209" s="969">
        <v>0</v>
      </c>
      <c r="AC209" s="969">
        <v>0</v>
      </c>
      <c r="AD209" s="969">
        <v>0</v>
      </c>
      <c r="AE209" s="264">
        <v>30</v>
      </c>
      <c r="AF209" s="264">
        <v>400</v>
      </c>
      <c r="AG209" s="264">
        <v>150</v>
      </c>
      <c r="AH209" s="264">
        <v>550</v>
      </c>
      <c r="AI209" s="973">
        <v>14</v>
      </c>
      <c r="AJ209" s="263">
        <v>30</v>
      </c>
      <c r="AK209" s="987">
        <v>550</v>
      </c>
      <c r="AL209" s="263">
        <f>VLOOKUP(Tableau1[[#This Row],[Code PAS]],'Facturation PAS RIN5 RUN'!C:F,4,0)</f>
        <v>32</v>
      </c>
      <c r="AM209" s="263"/>
      <c r="AN209" s="263" t="b">
        <f>ROUND(Tableau1[[#This Row],[Montant Options coûts récurrents]],0)=ROUND(Tableau1[[#This Row],[GTRS1 (Coût Plage de support 24h/24 7j/7)]],0)</f>
        <v>0</v>
      </c>
      <c r="AO209" s="265" t="e">
        <f>_xlfn.XLOOKUP(Tableau1[[#This Row],[Code PAS]],'parc SATIN 08012026v'!K:K,'parc SATIN 08012026v'!#REF!,0,0)</f>
        <v>#REF!</v>
      </c>
      <c r="AP209" s="263" t="e">
        <f>VLOOKUP(Tableau1[[#This Row],[Code PAS]],#REF!,3,0)</f>
        <v>#REF!</v>
      </c>
      <c r="AQ209" s="263" t="str">
        <f>VLOOKUP(Tableau1[[#This Row],[Code PAS]],[14]Feuil1!$B:$G,6,0)</f>
        <v>Lundi au Samedi 8h-18h</v>
      </c>
      <c r="AR209" s="263" t="str">
        <f>_xlfn.XLOOKUP(Tableau1[[#This Row],[Code PAS]],'Facturation PAS RIN5 RUN'!C:C,'Facturation PAS RIN5 RUN'!B:B,0,0)</f>
        <v>Gold_30_30</v>
      </c>
      <c r="AS209" s="263" t="b">
        <f>Tableau1[[#This Row],[Etat facturation]]=Tableau1[[#This Row],[Index offre du fournisseur]]</f>
        <v>1</v>
      </c>
      <c r="AT209" s="250" t="str">
        <f>_xlfn.XLOOKUP(Tableau1[[#This Row],[Code PAS]],'parc SATIN 08012026v'!K:K,'parc SATIN 08012026v'!M:M,0,0)</f>
        <v>PARC</v>
      </c>
      <c r="AU209" s="250" t="str">
        <f>_xlfn.XLOOKUP(Tableau1[[#This Row],[Code PAS]],'parc SATIN 08012026v'!K:K,'parc SATIN 08012026v'!O:O,0,0)</f>
        <v>PARC</v>
      </c>
      <c r="AV209" s="251">
        <f>_xlfn.XLOOKUP(Tableau1[[#This Row],[Code PAS]],'parc SATIN 08012026v'!K:K,'parc SATIN 08012026v'!Q:Q,0,0)</f>
        <v>44662</v>
      </c>
      <c r="AW209" s="251" t="str">
        <f>_xlfn.XLOOKUP(Tableau1[[#This Row],[Code PAS]],'parc SATIN 08012026v'!K:K,'parc SATIN 08012026v'!S:S,0,0)</f>
        <v>change</v>
      </c>
      <c r="AX209" s="250" t="str">
        <f>_xlfn.XLOOKUP(Tableau1[[#This Row],[Code PAS]],'parc SATIN 08012026v'!K:K,'parc SATIN 08012026v'!AF:AF,0,0)</f>
        <v>30 Mb/s</v>
      </c>
      <c r="AY20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210" spans="1:52" s="250" customFormat="1" x14ac:dyDescent="0.3">
      <c r="A210" s="250" t="s">
        <v>2743</v>
      </c>
      <c r="C210" s="249"/>
      <c r="D210" s="249"/>
      <c r="E210" s="250" t="s">
        <v>3147</v>
      </c>
      <c r="F210" s="984" t="s">
        <v>996</v>
      </c>
      <c r="G210" s="250" t="s">
        <v>2768</v>
      </c>
      <c r="H210" s="250" t="s">
        <v>2768</v>
      </c>
      <c r="I210" s="250" t="s">
        <v>165</v>
      </c>
      <c r="J210" s="248" t="str">
        <f>_xlfn.XLOOKUP(Tableau1[[#This Row],[Code PAS]],'[13]Parc Satin'!$L:$L,'[13]Parc Satin'!$CK:$CK,0,0)</f>
        <v>Nominal InterLan 1.0 Secours C2E Fibre</v>
      </c>
      <c r="K210" s="250" t="s">
        <v>2860</v>
      </c>
      <c r="L210" s="250">
        <v>120</v>
      </c>
      <c r="M210" s="250">
        <v>60</v>
      </c>
      <c r="N210" s="250">
        <v>1</v>
      </c>
      <c r="O210" s="250" t="s">
        <v>74</v>
      </c>
      <c r="P210" s="824">
        <v>0</v>
      </c>
      <c r="Q210" s="824">
        <v>0</v>
      </c>
      <c r="R210" s="824">
        <v>0</v>
      </c>
      <c r="S210" s="824">
        <v>0</v>
      </c>
      <c r="T210" s="824">
        <v>979</v>
      </c>
      <c r="U210" s="824">
        <v>24</v>
      </c>
      <c r="V210" s="824">
        <v>0</v>
      </c>
      <c r="W210" s="824">
        <v>5</v>
      </c>
      <c r="X210" s="824">
        <f>Tableau1[[#This Row],[Coût Abonnement offre]]+Tableau1[[#This Row],[Coût Abonnement Chassis]]+Tableau1[[#This Row],[Cout Cartes interface ]]+Tableau1[[#This Row],[Cout canaux voix supplémentaire]]</f>
        <v>1008</v>
      </c>
      <c r="Y210" s="824">
        <v>0</v>
      </c>
      <c r="Z210" s="966">
        <v>0</v>
      </c>
      <c r="AA210" s="966">
        <v>0</v>
      </c>
      <c r="AB210" s="969">
        <v>0</v>
      </c>
      <c r="AC210" s="969">
        <v>0</v>
      </c>
      <c r="AD210" s="969">
        <v>0</v>
      </c>
      <c r="AE210" s="264">
        <v>10</v>
      </c>
      <c r="AF210" s="264">
        <v>120</v>
      </c>
      <c r="AG210" s="264">
        <v>60</v>
      </c>
      <c r="AH210" s="264">
        <v>180</v>
      </c>
      <c r="AI210" s="973">
        <v>5</v>
      </c>
      <c r="AJ210" s="263">
        <v>10</v>
      </c>
      <c r="AK210" s="987">
        <v>180</v>
      </c>
      <c r="AL210" s="263">
        <f>VLOOKUP(Tableau1[[#This Row],[Code PAS]],'Facturation PAS RIN5 RUN'!C:F,4,0)</f>
        <v>0</v>
      </c>
      <c r="AM210" s="263"/>
      <c r="AN210" s="263" t="b">
        <f>ROUND(Tableau1[[#This Row],[Montant Options coûts récurrents]],0)=ROUND(Tableau1[[#This Row],[GTRS1 (Coût Plage de support 24h/24 7j/7)]],0)</f>
        <v>1</v>
      </c>
      <c r="AO210" s="265" t="e">
        <f>_xlfn.XLOOKUP(Tableau1[[#This Row],[Code PAS]],'parc SATIN 08012026v'!K:K,'parc SATIN 08012026v'!#REF!,0,0)</f>
        <v>#REF!</v>
      </c>
      <c r="AP210" s="263" t="e">
        <f>VLOOKUP(Tableau1[[#This Row],[Code PAS]],#REF!,3,0)</f>
        <v>#REF!</v>
      </c>
      <c r="AQ210" s="263" t="e">
        <f>VLOOKUP(Tableau1[[#This Row],[Code PAS]],[14]Feuil1!$B:$G,6,0)</f>
        <v>#N/A</v>
      </c>
      <c r="AR210" s="263" t="str">
        <f>_xlfn.XLOOKUP(Tableau1[[#This Row],[Code PAS]],'Facturation PAS RIN5 RUN'!C:C,'Facturation PAS RIN5 RUN'!B:B,0,0)</f>
        <v>Gold_10_10</v>
      </c>
      <c r="AS210" s="263" t="b">
        <f>Tableau1[[#This Row],[Etat facturation]]=Tableau1[[#This Row],[Index offre du fournisseur]]</f>
        <v>1</v>
      </c>
      <c r="AT210" s="250" t="str">
        <f>_xlfn.XLOOKUP(Tableau1[[#This Row],[Code PAS]],'parc SATIN 08012026v'!K:K,'parc SATIN 08012026v'!M:M,0,0)</f>
        <v>PARC</v>
      </c>
      <c r="AU210" s="250" t="str">
        <f>_xlfn.XLOOKUP(Tableau1[[#This Row],[Code PAS]],'parc SATIN 08012026v'!K:K,'parc SATIN 08012026v'!O:O,0,0)</f>
        <v>PARC</v>
      </c>
      <c r="AV210" s="251">
        <f>_xlfn.XLOOKUP(Tableau1[[#This Row],[Code PAS]],'parc SATIN 08012026v'!K:K,'parc SATIN 08012026v'!Q:Q,0,0)</f>
        <v>45842</v>
      </c>
      <c r="AW210" s="251" t="str">
        <f>_xlfn.XLOOKUP(Tableau1[[#This Row],[Code PAS]],'parc SATIN 08012026v'!K:K,'parc SATIN 08012026v'!S:S,0,0)</f>
        <v>change</v>
      </c>
      <c r="AX210" s="250" t="str">
        <f>_xlfn.XLOOKUP(Tableau1[[#This Row],[Code PAS]],'parc SATIN 08012026v'!K:K,'parc SATIN 08012026v'!AF:AF,0,0)</f>
        <v>10 Mb/s</v>
      </c>
      <c r="AY21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211" spans="1:52" s="250" customFormat="1" x14ac:dyDescent="0.3">
      <c r="A211" s="248" t="s">
        <v>2735</v>
      </c>
      <c r="B211" s="248"/>
      <c r="C211" s="249"/>
      <c r="D211" s="249"/>
      <c r="E211" s="248" t="s">
        <v>3148</v>
      </c>
      <c r="F211" s="981" t="s">
        <v>557</v>
      </c>
      <c r="G211" s="250" t="s">
        <v>2748</v>
      </c>
      <c r="H211" s="248" t="s">
        <v>2748</v>
      </c>
      <c r="I211" s="248" t="s">
        <v>165</v>
      </c>
      <c r="J211" s="248" t="str">
        <f>_xlfn.XLOOKUP(Tableau1[[#This Row],[Code PAS]],'[13]Parc Satin'!$L:$L,'[13]Parc Satin'!$CK:$CK,0,0)</f>
        <v>Nominal C2E Fibre Secours C2E Fibre</v>
      </c>
      <c r="K211" s="248" t="s">
        <v>2832</v>
      </c>
      <c r="L211" s="248">
        <v>300</v>
      </c>
      <c r="M211" s="248">
        <v>50</v>
      </c>
      <c r="N211" s="248">
        <v>1</v>
      </c>
      <c r="O211" s="248" t="s">
        <v>76</v>
      </c>
      <c r="P211" s="822">
        <v>0</v>
      </c>
      <c r="Q211" s="822">
        <v>0</v>
      </c>
      <c r="R211" s="822">
        <v>0</v>
      </c>
      <c r="S211" s="822">
        <v>0</v>
      </c>
      <c r="T211" s="823">
        <v>1149</v>
      </c>
      <c r="U211" s="823">
        <v>44</v>
      </c>
      <c r="V211" s="823">
        <v>32</v>
      </c>
      <c r="W211" s="823">
        <v>5</v>
      </c>
      <c r="X211" s="823">
        <f>Tableau1[[#This Row],[Coût Abonnement offre]]+Tableau1[[#This Row],[Coût Abonnement Chassis]]+Tableau1[[#This Row],[Cout Cartes interface ]]+Tableau1[[#This Row],[Cout canaux voix supplémentaire]]</f>
        <v>1230</v>
      </c>
      <c r="Y211" s="823">
        <v>0</v>
      </c>
      <c r="Z211" s="966">
        <v>0</v>
      </c>
      <c r="AA211" s="966">
        <v>0</v>
      </c>
      <c r="AB211" s="969">
        <v>0</v>
      </c>
      <c r="AC211" s="969">
        <v>0</v>
      </c>
      <c r="AD211" s="969">
        <v>0</v>
      </c>
      <c r="AE211" s="264">
        <v>20</v>
      </c>
      <c r="AF211" s="264">
        <v>300</v>
      </c>
      <c r="AG211" s="264">
        <v>50</v>
      </c>
      <c r="AH211" s="264">
        <v>350</v>
      </c>
      <c r="AI211" s="973">
        <v>5</v>
      </c>
      <c r="AJ211" s="263">
        <v>20</v>
      </c>
      <c r="AK211" s="987">
        <v>350</v>
      </c>
      <c r="AL211" s="263">
        <f>VLOOKUP(Tableau1[[#This Row],[Code PAS]],'Facturation PAS RIN5 RUN'!C:F,4,0)</f>
        <v>32</v>
      </c>
      <c r="AM211" s="263"/>
      <c r="AN211" s="263" t="b">
        <f>ROUND(Tableau1[[#This Row],[Montant Options coûts récurrents]],0)=ROUND(Tableau1[[#This Row],[GTRS1 (Coût Plage de support 24h/24 7j/7)]],0)</f>
        <v>0</v>
      </c>
      <c r="AO211" s="265" t="e">
        <f>_xlfn.XLOOKUP(Tableau1[[#This Row],[Code PAS]],'parc SATIN 08012026v'!K:K,'parc SATIN 08012026v'!#REF!,0,0)</f>
        <v>#REF!</v>
      </c>
      <c r="AP211" s="263" t="e">
        <f>VLOOKUP(Tableau1[[#This Row],[Code PAS]],#REF!,3,0)</f>
        <v>#REF!</v>
      </c>
      <c r="AQ211" s="263" t="e">
        <f>VLOOKUP(Tableau1[[#This Row],[Code PAS]],[14]Feuil1!$B:$G,6,0)</f>
        <v>#N/A</v>
      </c>
      <c r="AR211" s="263" t="str">
        <f>_xlfn.XLOOKUP(Tableau1[[#This Row],[Code PAS]],'Facturation PAS RIN5 RUN'!C:C,'Facturation PAS RIN5 RUN'!B:B,0,0)</f>
        <v>Gold_20_20</v>
      </c>
      <c r="AS211" s="263" t="b">
        <f>Tableau1[[#This Row],[Etat facturation]]=Tableau1[[#This Row],[Index offre du fournisseur]]</f>
        <v>1</v>
      </c>
      <c r="AT211" s="250" t="str">
        <f>_xlfn.XLOOKUP(Tableau1[[#This Row],[Code PAS]],'parc SATIN 08012026v'!K:K,'parc SATIN 08012026v'!M:M,0,0)</f>
        <v>PARC</v>
      </c>
      <c r="AU211" s="250" t="str">
        <f>_xlfn.XLOOKUP(Tableau1[[#This Row],[Code PAS]],'parc SATIN 08012026v'!K:K,'parc SATIN 08012026v'!O:O,0,0)</f>
        <v>PARC</v>
      </c>
      <c r="AV211" s="251">
        <f>_xlfn.XLOOKUP(Tableau1[[#This Row],[Code PAS]],'parc SATIN 08012026v'!K:K,'parc SATIN 08012026v'!Q:Q,0,0)</f>
        <v>45023</v>
      </c>
      <c r="AW211" s="251" t="str">
        <f>_xlfn.XLOOKUP(Tableau1[[#This Row],[Code PAS]],'parc SATIN 08012026v'!K:K,'parc SATIN 08012026v'!S:S,0,0)</f>
        <v>change</v>
      </c>
      <c r="AX211" s="250" t="str">
        <f>_xlfn.XLOOKUP(Tableau1[[#This Row],[Code PAS]],'parc SATIN 08012026v'!K:K,'parc SATIN 08012026v'!AF:AF,0,0)</f>
        <v>20 Mb/s</v>
      </c>
      <c r="AY21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12" spans="1:52" s="250" customFormat="1" x14ac:dyDescent="0.3">
      <c r="A212" s="250" t="s">
        <v>2758</v>
      </c>
      <c r="C212" s="249"/>
      <c r="D212" s="249"/>
      <c r="E212" s="250" t="s">
        <v>3149</v>
      </c>
      <c r="F212" s="984" t="s">
        <v>1438</v>
      </c>
      <c r="G212" s="250" t="s">
        <v>2909</v>
      </c>
      <c r="H212" s="250" t="s">
        <v>2909</v>
      </c>
      <c r="I212" s="250" t="s">
        <v>78</v>
      </c>
      <c r="J212" s="248" t="str">
        <f>_xlfn.XLOOKUP(Tableau1[[#This Row],[Code PAS]],'[13]Parc Satin'!$L:$L,'[13]Parc Satin'!$CK:$CK,0,0)</f>
        <v>Nominal C2E Fibre Secours C2E Fibre</v>
      </c>
      <c r="K212" s="250" t="s">
        <v>3150</v>
      </c>
      <c r="L212" s="250">
        <v>120</v>
      </c>
      <c r="M212" s="250">
        <v>60</v>
      </c>
      <c r="N212" s="250">
        <v>0</v>
      </c>
      <c r="O212" s="250" t="s">
        <v>74</v>
      </c>
      <c r="P212" s="820">
        <v>0</v>
      </c>
      <c r="Q212" s="820">
        <v>0</v>
      </c>
      <c r="R212" s="820">
        <v>0</v>
      </c>
      <c r="S212" s="820">
        <v>0</v>
      </c>
      <c r="T212" s="824">
        <v>979</v>
      </c>
      <c r="U212" s="824">
        <v>24</v>
      </c>
      <c r="V212" s="824">
        <v>0</v>
      </c>
      <c r="W212" s="824">
        <v>5</v>
      </c>
      <c r="X212" s="823">
        <f>Tableau1[[#This Row],[Coût Abonnement offre]]+Tableau1[[#This Row],[Coût Abonnement Chassis]]+Tableau1[[#This Row],[Cout Cartes interface ]]+Tableau1[[#This Row],[Cout canaux voix supplémentaire]]</f>
        <v>1008</v>
      </c>
      <c r="Y212" s="824">
        <v>0</v>
      </c>
      <c r="Z212" s="966">
        <v>0</v>
      </c>
      <c r="AA212" s="966">
        <v>0</v>
      </c>
      <c r="AB212" s="969">
        <v>0</v>
      </c>
      <c r="AC212" s="969">
        <v>0</v>
      </c>
      <c r="AD212" s="969">
        <v>0</v>
      </c>
      <c r="AE212" s="264">
        <v>10</v>
      </c>
      <c r="AF212" s="264">
        <v>120</v>
      </c>
      <c r="AG212" s="264">
        <v>60</v>
      </c>
      <c r="AH212" s="264">
        <v>180</v>
      </c>
      <c r="AI212" s="973">
        <v>5</v>
      </c>
      <c r="AJ212" s="263">
        <v>10</v>
      </c>
      <c r="AK212" s="987">
        <v>60</v>
      </c>
      <c r="AL212" s="263">
        <f>VLOOKUP(Tableau1[[#This Row],[Code PAS]],'Facturation PAS RIN5 RUN'!C:F,4,0)</f>
        <v>0</v>
      </c>
      <c r="AM212" s="263"/>
      <c r="AN212" s="263" t="b">
        <f>ROUND(Tableau1[[#This Row],[Montant Options coûts récurrents]],0)=ROUND(Tableau1[[#This Row],[GTRS1 (Coût Plage de support 24h/24 7j/7)]],0)</f>
        <v>1</v>
      </c>
      <c r="AO212" s="265" t="e">
        <f>_xlfn.XLOOKUP(Tableau1[[#This Row],[Code PAS]],'parc SATIN 08012026v'!K:K,'parc SATIN 08012026v'!#REF!,0,0)</f>
        <v>#REF!</v>
      </c>
      <c r="AP212" s="263" t="e">
        <f>VLOOKUP(Tableau1[[#This Row],[Code PAS]],#REF!,3,0)</f>
        <v>#REF!</v>
      </c>
      <c r="AQ212" s="263" t="e">
        <f>VLOOKUP(Tableau1[[#This Row],[Code PAS]],[14]Feuil1!$B:$G,6,0)</f>
        <v>#N/A</v>
      </c>
      <c r="AR212" s="263" t="str">
        <f>_xlfn.XLOOKUP(Tableau1[[#This Row],[Code PAS]],'Facturation PAS RIN5 RUN'!C:C,'Facturation PAS RIN5 RUN'!B:B,0,0)</f>
        <v>Silver_10_10</v>
      </c>
      <c r="AS212" s="263" t="b">
        <f>Tableau1[[#This Row],[Etat facturation]]=Tableau1[[#This Row],[Index offre du fournisseur]]</f>
        <v>1</v>
      </c>
      <c r="AT212" s="250" t="str">
        <f>_xlfn.XLOOKUP(Tableau1[[#This Row],[Code PAS]],'parc SATIN 08012026v'!K:K,'parc SATIN 08012026v'!M:M,0,0)</f>
        <v>PARC</v>
      </c>
      <c r="AU212" s="250" t="str">
        <f>_xlfn.XLOOKUP(Tableau1[[#This Row],[Code PAS]],'parc SATIN 08012026v'!K:K,'parc SATIN 08012026v'!O:O,0,0)</f>
        <v>PARC</v>
      </c>
      <c r="AV212" s="251">
        <f>_xlfn.XLOOKUP(Tableau1[[#This Row],[Code PAS]],'parc SATIN 08012026v'!K:K,'parc SATIN 08012026v'!Q:Q,0,0)</f>
        <v>45369</v>
      </c>
      <c r="AW212" s="251" t="str">
        <f>_xlfn.XLOOKUP(Tableau1[[#This Row],[Code PAS]],'parc SATIN 08012026v'!K:K,'parc SATIN 08012026v'!S:S,0,0)</f>
        <v>change</v>
      </c>
      <c r="AX212" s="250" t="str">
        <f>_xlfn.XLOOKUP(Tableau1[[#This Row],[Code PAS]],'parc SATIN 08012026v'!K:K,'parc SATIN 08012026v'!AF:AF,0,0)</f>
        <v>10 Mb/s</v>
      </c>
      <c r="AY21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213" spans="1:52" s="250" customFormat="1" x14ac:dyDescent="0.3">
      <c r="A213" s="248" t="s">
        <v>2752</v>
      </c>
      <c r="B213" s="248"/>
      <c r="C213" s="249"/>
      <c r="D213" s="249"/>
      <c r="E213" s="248" t="s">
        <v>3151</v>
      </c>
      <c r="F213" s="981" t="s">
        <v>91</v>
      </c>
      <c r="G213" s="250" t="s">
        <v>2765</v>
      </c>
      <c r="H213" s="248" t="s">
        <v>2765</v>
      </c>
      <c r="I213" s="248" t="s">
        <v>78</v>
      </c>
      <c r="J213" s="248" t="str">
        <f>_xlfn.XLOOKUP(Tableau1[[#This Row],[Code PAS]],'[13]Parc Satin'!$L:$L,'[13]Parc Satin'!$CK:$CK,0,0)</f>
        <v>Nominal InterLan 1.0 Secours C2E Fibre</v>
      </c>
      <c r="K213" s="248" t="s">
        <v>2860</v>
      </c>
      <c r="L213" s="248">
        <v>400</v>
      </c>
      <c r="M213" s="248">
        <v>150</v>
      </c>
      <c r="N213" s="248">
        <v>1</v>
      </c>
      <c r="O213" s="248" t="s">
        <v>74</v>
      </c>
      <c r="P213" s="822">
        <v>0</v>
      </c>
      <c r="Q213" s="822">
        <v>0</v>
      </c>
      <c r="R213" s="822">
        <v>0</v>
      </c>
      <c r="S213" s="822">
        <v>0</v>
      </c>
      <c r="T213" s="823">
        <v>1249</v>
      </c>
      <c r="U213" s="823">
        <v>71</v>
      </c>
      <c r="V213" s="823">
        <v>48</v>
      </c>
      <c r="W213" s="823">
        <v>14</v>
      </c>
      <c r="X213" s="823">
        <f>Tableau1[[#This Row],[Coût Abonnement offre]]+Tableau1[[#This Row],[Coût Abonnement Chassis]]+Tableau1[[#This Row],[Cout Cartes interface ]]+Tableau1[[#This Row],[Cout canaux voix supplémentaire]]</f>
        <v>1382</v>
      </c>
      <c r="Y213" s="823">
        <v>0</v>
      </c>
      <c r="Z213" s="966">
        <v>0</v>
      </c>
      <c r="AA213" s="966">
        <v>0</v>
      </c>
      <c r="AB213" s="969">
        <v>0</v>
      </c>
      <c r="AC213" s="969">
        <v>0</v>
      </c>
      <c r="AD213" s="969">
        <v>0</v>
      </c>
      <c r="AE213" s="264">
        <v>30</v>
      </c>
      <c r="AF213" s="264">
        <v>400</v>
      </c>
      <c r="AG213" s="264">
        <v>150</v>
      </c>
      <c r="AH213" s="264">
        <v>550</v>
      </c>
      <c r="AI213" s="973">
        <v>14</v>
      </c>
      <c r="AJ213" s="263">
        <v>30</v>
      </c>
      <c r="AK213" s="987">
        <v>550</v>
      </c>
      <c r="AL213" s="263">
        <f>VLOOKUP(Tableau1[[#This Row],[Code PAS]],'Facturation PAS RIN5 RUN'!C:F,4,0)</f>
        <v>48</v>
      </c>
      <c r="AM213" s="263"/>
      <c r="AN213" s="263" t="b">
        <f>ROUND(Tableau1[[#This Row],[Montant Options coûts récurrents]],0)=ROUND(Tableau1[[#This Row],[GTRS1 (Coût Plage de support 24h/24 7j/7)]],0)</f>
        <v>0</v>
      </c>
      <c r="AO213" s="265" t="e">
        <f>_xlfn.XLOOKUP(Tableau1[[#This Row],[Code PAS]],'parc SATIN 08012026v'!K:K,'parc SATIN 08012026v'!#REF!,0,0)</f>
        <v>#REF!</v>
      </c>
      <c r="AP213" s="263" t="e">
        <f>VLOOKUP(Tableau1[[#This Row],[Code PAS]],#REF!,3,0)</f>
        <v>#REF!</v>
      </c>
      <c r="AQ213" s="263" t="e">
        <f>VLOOKUP(Tableau1[[#This Row],[Code PAS]],[14]Feuil1!$B:$G,6,0)</f>
        <v>#N/A</v>
      </c>
      <c r="AR213" s="263" t="str">
        <f>_xlfn.XLOOKUP(Tableau1[[#This Row],[Code PAS]],'Facturation PAS RIN5 RUN'!C:C,'Facturation PAS RIN5 RUN'!B:B,0,0)</f>
        <v>Gold_30_30</v>
      </c>
      <c r="AS213" s="263" t="b">
        <f>Tableau1[[#This Row],[Etat facturation]]=Tableau1[[#This Row],[Index offre du fournisseur]]</f>
        <v>1</v>
      </c>
      <c r="AT213" s="250" t="str">
        <f>_xlfn.XLOOKUP(Tableau1[[#This Row],[Code PAS]],'parc SATIN 08012026v'!K:K,'parc SATIN 08012026v'!M:M,0,0)</f>
        <v>PARC</v>
      </c>
      <c r="AU213" s="250" t="str">
        <f>_xlfn.XLOOKUP(Tableau1[[#This Row],[Code PAS]],'parc SATIN 08012026v'!K:K,'parc SATIN 08012026v'!O:O,0,0)</f>
        <v>PARC</v>
      </c>
      <c r="AV213" s="251">
        <f>_xlfn.XLOOKUP(Tableau1[[#This Row],[Code PAS]],'parc SATIN 08012026v'!K:K,'parc SATIN 08012026v'!Q:Q,0,0)</f>
        <v>45448</v>
      </c>
      <c r="AW213" s="251" t="str">
        <f>_xlfn.XLOOKUP(Tableau1[[#This Row],[Code PAS]],'parc SATIN 08012026v'!K:K,'parc SATIN 08012026v'!S:S,0,0)</f>
        <v>change</v>
      </c>
      <c r="AX213" s="250" t="str">
        <f>_xlfn.XLOOKUP(Tableau1[[#This Row],[Code PAS]],'parc SATIN 08012026v'!K:K,'parc SATIN 08012026v'!AF:AF,0,0)</f>
        <v>30 Mb/s</v>
      </c>
      <c r="AY21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214" spans="1:52" s="250" customFormat="1" x14ac:dyDescent="0.3">
      <c r="A214" s="250" t="s">
        <v>2739</v>
      </c>
      <c r="C214" s="249"/>
      <c r="D214" s="249"/>
      <c r="E214" s="250" t="s">
        <v>3152</v>
      </c>
      <c r="F214" s="984" t="s">
        <v>2590</v>
      </c>
      <c r="H214" s="250" t="s">
        <v>2909</v>
      </c>
      <c r="J214" s="248" t="str">
        <f>_xlfn.XLOOKUP(Tableau1[[#This Row],[Code PAS]],'[13]Parc Satin'!$L:$L,'[13]Parc Satin'!$CK:$CK,0,0)</f>
        <v>Nominal C2E Fibre Secours C2E Fibre</v>
      </c>
      <c r="P214" s="820">
        <v>33374</v>
      </c>
      <c r="Q214" s="820">
        <v>0</v>
      </c>
      <c r="R214" s="820">
        <v>0</v>
      </c>
      <c r="S214" s="820">
        <v>0</v>
      </c>
      <c r="T214" s="824">
        <v>1988</v>
      </c>
      <c r="U214" s="824">
        <v>44</v>
      </c>
      <c r="V214" s="824">
        <v>32</v>
      </c>
      <c r="W214" s="824">
        <v>0</v>
      </c>
      <c r="X214" s="823">
        <f>Tableau1[[#This Row],[Coût Abonnement offre]]+Tableau1[[#This Row],[Coût Abonnement Chassis]]+Tableau1[[#This Row],[Cout Cartes interface ]]+Tableau1[[#This Row],[Cout canaux voix supplémentaire]]</f>
        <v>2064</v>
      </c>
      <c r="Y214" s="824">
        <v>0</v>
      </c>
      <c r="Z214" s="966">
        <v>0</v>
      </c>
      <c r="AA214" s="966">
        <v>0</v>
      </c>
      <c r="AB214" s="969">
        <v>0</v>
      </c>
      <c r="AC214" s="969">
        <v>0</v>
      </c>
      <c r="AD214" s="969">
        <v>0</v>
      </c>
      <c r="AE214" s="264">
        <v>10</v>
      </c>
      <c r="AF214" s="264">
        <v>120</v>
      </c>
      <c r="AG214" s="264">
        <v>60</v>
      </c>
      <c r="AH214" s="264">
        <v>180</v>
      </c>
      <c r="AI214" s="973">
        <v>5</v>
      </c>
      <c r="AJ214" s="263">
        <v>10</v>
      </c>
      <c r="AK214" s="987">
        <v>120</v>
      </c>
      <c r="AL214" s="263">
        <f>VLOOKUP(Tableau1[[#This Row],[Code PAS]],'Facturation PAS RIN5 RUN'!C:F,4,0)</f>
        <v>32</v>
      </c>
      <c r="AM214" s="263"/>
      <c r="AN214" s="263" t="b">
        <f>ROUND(Tableau1[[#This Row],[Montant Options coûts récurrents]],0)=ROUND(Tableau1[[#This Row],[GTRS1 (Coût Plage de support 24h/24 7j/7)]],0)</f>
        <v>0</v>
      </c>
      <c r="AO214" s="265" t="e">
        <f>_xlfn.XLOOKUP(Tableau1[[#This Row],[Code PAS]],'parc SATIN 08012026v'!K:K,'parc SATIN 08012026v'!#REF!,0,0)</f>
        <v>#REF!</v>
      </c>
      <c r="AP214" s="263" t="e">
        <f>VLOOKUP(Tableau1[[#This Row],[Code PAS]],#REF!,3,0)</f>
        <v>#REF!</v>
      </c>
      <c r="AQ214" s="263" t="e">
        <f>VLOOKUP(Tableau1[[#This Row],[Code PAS]],[14]Feuil1!$B:$G,6,0)</f>
        <v>#N/A</v>
      </c>
      <c r="AR214" s="263" t="str">
        <f>_xlfn.XLOOKUP(Tableau1[[#This Row],[Code PAS]],'Facturation PAS RIN5 RUN'!C:C,'Facturation PAS RIN5 RUN'!B:B,0,0)</f>
        <v>Silver_10_10</v>
      </c>
      <c r="AS214" s="263" t="b">
        <f>Tableau1[[#This Row],[Etat facturation]]=Tableau1[[#This Row],[Index offre du fournisseur]]</f>
        <v>1</v>
      </c>
      <c r="AT214" s="250" t="str">
        <f>_xlfn.XLOOKUP(Tableau1[[#This Row],[Code PAS]],'parc SATIN 08012026v'!K:K,'parc SATIN 08012026v'!M:M,0,0)</f>
        <v>PARC</v>
      </c>
      <c r="AU214" s="250" t="str">
        <f>_xlfn.XLOOKUP(Tableau1[[#This Row],[Code PAS]],'parc SATIN 08012026v'!K:K,'parc SATIN 08012026v'!O:O,0,0)</f>
        <v>PARC</v>
      </c>
      <c r="AV214" s="251">
        <f>_xlfn.XLOOKUP(Tableau1[[#This Row],[Code PAS]],'parc SATIN 08012026v'!K:K,'parc SATIN 08012026v'!Q:Q,0,0)</f>
        <v>43917</v>
      </c>
      <c r="AW214" s="251" t="str">
        <f>_xlfn.XLOOKUP(Tableau1[[#This Row],[Code PAS]],'parc SATIN 08012026v'!K:K,'parc SATIN 08012026v'!S:S,0,0)</f>
        <v>change</v>
      </c>
      <c r="AX214" s="250" t="str">
        <f>_xlfn.XLOOKUP(Tableau1[[#This Row],[Code PAS]],'parc SATIN 08012026v'!K:K,'parc SATIN 08012026v'!AF:AF,0,0)</f>
        <v>10 Mb/s</v>
      </c>
      <c r="AY21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214" s="250" t="s">
        <v>2868</v>
      </c>
    </row>
    <row r="215" spans="1:52" s="250" customFormat="1" x14ac:dyDescent="0.3">
      <c r="A215" s="250" t="s">
        <v>2743</v>
      </c>
      <c r="C215" s="249"/>
      <c r="D215" s="249"/>
      <c r="E215" s="250" t="s">
        <v>3153</v>
      </c>
      <c r="F215" s="984" t="s">
        <v>987</v>
      </c>
      <c r="H215" s="250" t="s">
        <v>2813</v>
      </c>
      <c r="J215" s="248" t="str">
        <f>_xlfn.XLOOKUP(Tableau1[[#This Row],[Code PAS]],'[13]Parc Satin'!$L:$L,'[13]Parc Satin'!$CK:$CK,0,0)</f>
        <v>Nominal C2E Fibre Secours C2E Fibre</v>
      </c>
      <c r="P215" s="820">
        <v>0</v>
      </c>
      <c r="Q215" s="820">
        <v>0</v>
      </c>
      <c r="R215" s="820">
        <v>0</v>
      </c>
      <c r="S215" s="820">
        <v>0</v>
      </c>
      <c r="T215" s="824">
        <v>1149</v>
      </c>
      <c r="U215" s="824">
        <v>71</v>
      </c>
      <c r="V215" s="824">
        <v>32</v>
      </c>
      <c r="W215" s="824">
        <v>0</v>
      </c>
      <c r="X215" s="823">
        <f>Tableau1[[#This Row],[Coût Abonnement offre]]+Tableau1[[#This Row],[Coût Abonnement Chassis]]+Tableau1[[#This Row],[Cout Cartes interface ]]+Tableau1[[#This Row],[Cout canaux voix supplémentaire]]</f>
        <v>1252</v>
      </c>
      <c r="Y215" s="824">
        <v>0</v>
      </c>
      <c r="Z215" s="966">
        <v>0</v>
      </c>
      <c r="AA215" s="966">
        <v>0</v>
      </c>
      <c r="AB215" s="969">
        <v>0</v>
      </c>
      <c r="AC215" s="969">
        <v>0</v>
      </c>
      <c r="AD215" s="969">
        <v>0</v>
      </c>
      <c r="AE215" s="264">
        <v>20</v>
      </c>
      <c r="AF215" s="264">
        <v>300</v>
      </c>
      <c r="AG215" s="264">
        <v>50</v>
      </c>
      <c r="AH215" s="264">
        <v>350</v>
      </c>
      <c r="AI215" s="973">
        <v>5</v>
      </c>
      <c r="AJ215" s="263">
        <v>20</v>
      </c>
      <c r="AK215" s="987">
        <v>300</v>
      </c>
      <c r="AL215" s="263">
        <f>VLOOKUP(Tableau1[[#This Row],[Code PAS]],'Facturation PAS RIN5 RUN'!C:F,4,0)</f>
        <v>32</v>
      </c>
      <c r="AM215" s="263"/>
      <c r="AN215" s="263" t="b">
        <f>ROUND(Tableau1[[#This Row],[Montant Options coûts récurrents]],0)=ROUND(Tableau1[[#This Row],[GTRS1 (Coût Plage de support 24h/24 7j/7)]],0)</f>
        <v>0</v>
      </c>
      <c r="AO215" s="265" t="e">
        <f>_xlfn.XLOOKUP(Tableau1[[#This Row],[Code PAS]],'parc SATIN 08012026v'!K:K,'parc SATIN 08012026v'!#REF!,0,0)</f>
        <v>#REF!</v>
      </c>
      <c r="AP215" s="263" t="e">
        <f>VLOOKUP(Tableau1[[#This Row],[Code PAS]],#REF!,3,0)</f>
        <v>#REF!</v>
      </c>
      <c r="AQ215" s="263" t="e">
        <f>VLOOKUP(Tableau1[[#This Row],[Code PAS]],[14]Feuil1!$B:$G,6,0)</f>
        <v>#N/A</v>
      </c>
      <c r="AR215" s="263" t="str">
        <f>_xlfn.XLOOKUP(Tableau1[[#This Row],[Code PAS]],'Facturation PAS RIN5 RUN'!C:C,'Facturation PAS RIN5 RUN'!B:B,0,0)</f>
        <v>Silver_20_20</v>
      </c>
      <c r="AS215" s="263" t="b">
        <f>Tableau1[[#This Row],[Etat facturation]]=Tableau1[[#This Row],[Index offre du fournisseur]]</f>
        <v>1</v>
      </c>
      <c r="AT215" s="250" t="str">
        <f>_xlfn.XLOOKUP(Tableau1[[#This Row],[Code PAS]],'parc SATIN 08012026v'!K:K,'parc SATIN 08012026v'!M:M,0,0)</f>
        <v>PARC</v>
      </c>
      <c r="AU215" s="250" t="str">
        <f>_xlfn.XLOOKUP(Tableau1[[#This Row],[Code PAS]],'parc SATIN 08012026v'!K:K,'parc SATIN 08012026v'!O:O,0,0)</f>
        <v>PARC</v>
      </c>
      <c r="AV215" s="251">
        <f>_xlfn.XLOOKUP(Tableau1[[#This Row],[Code PAS]],'parc SATIN 08012026v'!K:K,'parc SATIN 08012026v'!Q:Q,0,0)</f>
        <v>43913</v>
      </c>
      <c r="AW215" s="251" t="str">
        <f>_xlfn.XLOOKUP(Tableau1[[#This Row],[Code PAS]],'parc SATIN 08012026v'!K:K,'parc SATIN 08012026v'!S:S,0,0)</f>
        <v>change</v>
      </c>
      <c r="AX215" s="250" t="str">
        <f>_xlfn.XLOOKUP(Tableau1[[#This Row],[Code PAS]],'parc SATIN 08012026v'!K:K,'parc SATIN 08012026v'!AF:AF,0,0)</f>
        <v>20 Mb/s</v>
      </c>
      <c r="AY21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215" s="250" t="s">
        <v>2868</v>
      </c>
    </row>
    <row r="216" spans="1:52" s="250" customFormat="1" x14ac:dyDescent="0.3">
      <c r="A216" s="250" t="s">
        <v>2743</v>
      </c>
      <c r="C216" s="249"/>
      <c r="D216" s="249"/>
      <c r="E216" s="250" t="s">
        <v>3154</v>
      </c>
      <c r="F216" s="984" t="s">
        <v>2400</v>
      </c>
      <c r="H216" s="250" t="s">
        <v>2768</v>
      </c>
      <c r="J216" s="248" t="str">
        <f>_xlfn.XLOOKUP(Tableau1[[#This Row],[Code PAS]],'[13]Parc Satin'!$L:$L,'[13]Parc Satin'!$CK:$CK,0,0)</f>
        <v>Nominal C2E Fibre Secours C2E Fibre</v>
      </c>
      <c r="P216" s="820">
        <v>0</v>
      </c>
      <c r="Q216" s="820">
        <v>0</v>
      </c>
      <c r="R216" s="820">
        <v>0</v>
      </c>
      <c r="S216" s="820">
        <v>0</v>
      </c>
      <c r="T216" s="824">
        <v>1988</v>
      </c>
      <c r="U216" s="824">
        <v>44</v>
      </c>
      <c r="V216" s="824">
        <v>16</v>
      </c>
      <c r="W216" s="824">
        <v>0</v>
      </c>
      <c r="X216" s="823">
        <f>Tableau1[[#This Row],[Coût Abonnement offre]]+Tableau1[[#This Row],[Coût Abonnement Chassis]]+Tableau1[[#This Row],[Cout Cartes interface ]]+Tableau1[[#This Row],[Cout canaux voix supplémentaire]]</f>
        <v>2048</v>
      </c>
      <c r="Y216" s="824">
        <v>0</v>
      </c>
      <c r="Z216" s="966">
        <v>0</v>
      </c>
      <c r="AA216" s="966">
        <v>0</v>
      </c>
      <c r="AB216" s="969">
        <v>0</v>
      </c>
      <c r="AC216" s="969">
        <v>0</v>
      </c>
      <c r="AD216" s="969">
        <v>0</v>
      </c>
      <c r="AE216" s="264">
        <v>10</v>
      </c>
      <c r="AF216" s="264">
        <v>120</v>
      </c>
      <c r="AG216" s="264">
        <v>60</v>
      </c>
      <c r="AH216" s="264">
        <v>180</v>
      </c>
      <c r="AI216" s="973">
        <v>5</v>
      </c>
      <c r="AJ216" s="263">
        <v>10</v>
      </c>
      <c r="AK216" s="987">
        <v>120</v>
      </c>
      <c r="AL216" s="263">
        <f>VLOOKUP(Tableau1[[#This Row],[Code PAS]],'Facturation PAS RIN5 RUN'!C:F,4,0)</f>
        <v>16</v>
      </c>
      <c r="AM216" s="263"/>
      <c r="AN216" s="263" t="b">
        <f>ROUND(Tableau1[[#This Row],[Montant Options coûts récurrents]],0)=ROUND(Tableau1[[#This Row],[GTRS1 (Coût Plage de support 24h/24 7j/7)]],0)</f>
        <v>0</v>
      </c>
      <c r="AO216" s="265" t="e">
        <f>_xlfn.XLOOKUP(Tableau1[[#This Row],[Code PAS]],'parc SATIN 08012026v'!K:K,'parc SATIN 08012026v'!#REF!,0,0)</f>
        <v>#REF!</v>
      </c>
      <c r="AP216" s="263" t="e">
        <f>VLOOKUP(Tableau1[[#This Row],[Code PAS]],#REF!,3,0)</f>
        <v>#REF!</v>
      </c>
      <c r="AQ216" s="263" t="e">
        <f>VLOOKUP(Tableau1[[#This Row],[Code PAS]],[14]Feuil1!$B:$G,6,0)</f>
        <v>#N/A</v>
      </c>
      <c r="AR216" s="263" t="str">
        <f>_xlfn.XLOOKUP(Tableau1[[#This Row],[Code PAS]],'Facturation PAS RIN5 RUN'!C:C,'Facturation PAS RIN5 RUN'!B:B,0,0)</f>
        <v>Gold_10_10</v>
      </c>
      <c r="AS216" s="263" t="b">
        <f>Tableau1[[#This Row],[Etat facturation]]=Tableau1[[#This Row],[Index offre du fournisseur]]</f>
        <v>1</v>
      </c>
      <c r="AT216" s="250" t="str">
        <f>_xlfn.XLOOKUP(Tableau1[[#This Row],[Code PAS]],'parc SATIN 08012026v'!K:K,'parc SATIN 08012026v'!M:M,0,0)</f>
        <v>PARC</v>
      </c>
      <c r="AU216" s="250" t="str">
        <f>_xlfn.XLOOKUP(Tableau1[[#This Row],[Code PAS]],'parc SATIN 08012026v'!K:K,'parc SATIN 08012026v'!O:O,0,0)</f>
        <v>PARC</v>
      </c>
      <c r="AV216" s="251">
        <f>_xlfn.XLOOKUP(Tableau1[[#This Row],[Code PAS]],'parc SATIN 08012026v'!K:K,'parc SATIN 08012026v'!Q:Q,0,0)</f>
        <v>43868</v>
      </c>
      <c r="AW216" s="251" t="str">
        <f>_xlfn.XLOOKUP(Tableau1[[#This Row],[Code PAS]],'parc SATIN 08012026v'!K:K,'parc SATIN 08012026v'!S:S,0,0)</f>
        <v>change</v>
      </c>
      <c r="AX216" s="250" t="str">
        <f>_xlfn.XLOOKUP(Tableau1[[#This Row],[Code PAS]],'parc SATIN 08012026v'!K:K,'parc SATIN 08012026v'!AF:AF,0,0)</f>
        <v>10 Mb/s</v>
      </c>
      <c r="AY21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216" s="250" t="s">
        <v>2868</v>
      </c>
    </row>
    <row r="217" spans="1:52" s="250" customFormat="1" x14ac:dyDescent="0.3">
      <c r="A217" s="248" t="s">
        <v>2735</v>
      </c>
      <c r="B217" s="248"/>
      <c r="C217" s="249"/>
      <c r="D217" s="249"/>
      <c r="E217" s="250" t="s">
        <v>3155</v>
      </c>
      <c r="F217" s="984" t="s">
        <v>312</v>
      </c>
      <c r="G217" s="250" t="s">
        <v>2748</v>
      </c>
      <c r="H217" s="250" t="s">
        <v>2748</v>
      </c>
      <c r="I217" s="250" t="s">
        <v>165</v>
      </c>
      <c r="J217" s="248" t="str">
        <f>_xlfn.XLOOKUP(Tableau1[[#This Row],[Code PAS]],'[13]Parc Satin'!$L:$L,'[13]Parc Satin'!$CK:$CK,0,0)</f>
        <v>Nominal C2E Fibre Secours C2E Fibre</v>
      </c>
      <c r="K217" s="248" t="s">
        <v>2814</v>
      </c>
      <c r="L217" s="250">
        <v>300</v>
      </c>
      <c r="M217" s="250">
        <v>50</v>
      </c>
      <c r="N217" s="250">
        <v>1</v>
      </c>
      <c r="O217" s="250" t="s">
        <v>74</v>
      </c>
      <c r="P217" s="824">
        <v>0</v>
      </c>
      <c r="Q217" s="824">
        <v>0</v>
      </c>
      <c r="R217" s="824">
        <v>0</v>
      </c>
      <c r="S217" s="824">
        <v>0</v>
      </c>
      <c r="T217" s="824">
        <v>1149</v>
      </c>
      <c r="U217" s="824">
        <v>71</v>
      </c>
      <c r="V217" s="824">
        <v>48</v>
      </c>
      <c r="W217" s="824">
        <v>5</v>
      </c>
      <c r="X217" s="824">
        <f>Tableau1[[#This Row],[Coût Abonnement offre]]+Tableau1[[#This Row],[Coût Abonnement Chassis]]+Tableau1[[#This Row],[Cout Cartes interface ]]+Tableau1[[#This Row],[Cout canaux voix supplémentaire]]</f>
        <v>1273</v>
      </c>
      <c r="Y217" s="824">
        <v>0</v>
      </c>
      <c r="Z217" s="966">
        <v>0</v>
      </c>
      <c r="AA217" s="966">
        <v>0</v>
      </c>
      <c r="AB217" s="969">
        <v>0</v>
      </c>
      <c r="AC217" s="969">
        <v>0</v>
      </c>
      <c r="AD217" s="969">
        <v>0</v>
      </c>
      <c r="AE217" s="264">
        <v>20</v>
      </c>
      <c r="AF217" s="264">
        <v>300</v>
      </c>
      <c r="AG217" s="264">
        <v>50</v>
      </c>
      <c r="AH217" s="264">
        <v>350</v>
      </c>
      <c r="AI217" s="973">
        <v>5</v>
      </c>
      <c r="AJ217" s="263">
        <v>20</v>
      </c>
      <c r="AK217" s="987">
        <v>350</v>
      </c>
      <c r="AL217" s="263">
        <f>VLOOKUP(Tableau1[[#This Row],[Code PAS]],'Facturation PAS RIN5 RUN'!C:F,4,0)</f>
        <v>48</v>
      </c>
      <c r="AM217" s="263"/>
      <c r="AN217" s="263" t="b">
        <f>ROUND(Tableau1[[#This Row],[Montant Options coûts récurrents]],0)=ROUND(Tableau1[[#This Row],[GTRS1 (Coût Plage de support 24h/24 7j/7)]],0)</f>
        <v>0</v>
      </c>
      <c r="AO217" s="265" t="e">
        <f>_xlfn.XLOOKUP(Tableau1[[#This Row],[Code PAS]],'parc SATIN 08012026v'!K:K,'parc SATIN 08012026v'!#REF!,0,0)</f>
        <v>#REF!</v>
      </c>
      <c r="AP217" s="263" t="e">
        <f>VLOOKUP(Tableau1[[#This Row],[Code PAS]],#REF!,3,0)</f>
        <v>#REF!</v>
      </c>
      <c r="AQ217" s="263" t="e">
        <f>VLOOKUP(Tableau1[[#This Row],[Code PAS]],[14]Feuil1!$B:$G,6,0)</f>
        <v>#N/A</v>
      </c>
      <c r="AR217" s="263" t="str">
        <f>_xlfn.XLOOKUP(Tableau1[[#This Row],[Code PAS]],'Facturation PAS RIN5 RUN'!C:C,'Facturation PAS RIN5 RUN'!B:B,0,0)</f>
        <v>Gold_20_20</v>
      </c>
      <c r="AS217" s="263" t="b">
        <f>Tableau1[[#This Row],[Etat facturation]]=Tableau1[[#This Row],[Index offre du fournisseur]]</f>
        <v>1</v>
      </c>
      <c r="AT217" s="250" t="str">
        <f>_xlfn.XLOOKUP(Tableau1[[#This Row],[Code PAS]],'parc SATIN 08012026v'!K:K,'parc SATIN 08012026v'!M:M,0,0)</f>
        <v>PARC</v>
      </c>
      <c r="AU217" s="250" t="str">
        <f>_xlfn.XLOOKUP(Tableau1[[#This Row],[Code PAS]],'parc SATIN 08012026v'!K:K,'parc SATIN 08012026v'!O:O,0,0)</f>
        <v>PARC</v>
      </c>
      <c r="AV217" s="251">
        <f>_xlfn.XLOOKUP(Tableau1[[#This Row],[Code PAS]],'parc SATIN 08012026v'!K:K,'parc SATIN 08012026v'!Q:Q,0,0)</f>
        <v>45769</v>
      </c>
      <c r="AW217" s="251" t="str">
        <f>_xlfn.XLOOKUP(Tableau1[[#This Row],[Code PAS]],'parc SATIN 08012026v'!K:K,'parc SATIN 08012026v'!S:S,0,0)</f>
        <v>change</v>
      </c>
      <c r="AX217" s="250" t="str">
        <f>_xlfn.XLOOKUP(Tableau1[[#This Row],[Code PAS]],'parc SATIN 08012026v'!K:K,'parc SATIN 08012026v'!AF:AF,0,0)</f>
        <v>20 Mb/s</v>
      </c>
      <c r="AY21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18" spans="1:52" s="250" customFormat="1" x14ac:dyDescent="0.3">
      <c r="A218" s="248"/>
      <c r="B218" s="249">
        <v>45777</v>
      </c>
      <c r="C218" s="249"/>
      <c r="D218" s="249"/>
      <c r="E218" s="250" t="s">
        <v>3156</v>
      </c>
      <c r="F218" s="984" t="s">
        <v>1819</v>
      </c>
      <c r="G218" s="250" t="s">
        <v>2784</v>
      </c>
      <c r="H218" s="250" t="s">
        <v>2784</v>
      </c>
      <c r="I218" s="250" t="s">
        <v>78</v>
      </c>
      <c r="J218" s="248" t="str">
        <f>_xlfn.XLOOKUP(Tableau1[[#This Row],[Code PAS]],'[13]Parc Satin'!$L:$L,'[13]Parc Satin'!$CK:$CK,0,0)</f>
        <v>Nominal InterLan 1.0 Secours InterLan 1.0</v>
      </c>
      <c r="K218" s="250" t="s">
        <v>2860</v>
      </c>
      <c r="L218" s="250">
        <v>500</v>
      </c>
      <c r="M218" s="250">
        <v>400</v>
      </c>
      <c r="N218" s="252"/>
      <c r="O218" s="252" t="s">
        <v>74</v>
      </c>
      <c r="P218" s="824">
        <v>0</v>
      </c>
      <c r="Q218" s="824">
        <v>652</v>
      </c>
      <c r="R218" s="824">
        <v>0</v>
      </c>
      <c r="S218" s="824">
        <v>652</v>
      </c>
      <c r="T218" s="824">
        <v>1454</v>
      </c>
      <c r="U218" s="824">
        <v>142</v>
      </c>
      <c r="V218" s="824">
        <v>16</v>
      </c>
      <c r="W218" s="824">
        <v>36</v>
      </c>
      <c r="X218" s="824">
        <f>Tableau1[[#This Row],[Coût Abonnement offre]]+Tableau1[[#This Row],[Coût Abonnement Chassis]]+Tableau1[[#This Row],[Cout Cartes interface ]]+Tableau1[[#This Row],[Cout canaux voix supplémentaire]]</f>
        <v>1648</v>
      </c>
      <c r="Y218" s="824">
        <v>0</v>
      </c>
      <c r="Z218" s="966">
        <v>0</v>
      </c>
      <c r="AA218" s="966">
        <v>0</v>
      </c>
      <c r="AB218" s="969">
        <v>0</v>
      </c>
      <c r="AC218" s="969">
        <v>0</v>
      </c>
      <c r="AD218" s="969">
        <v>0</v>
      </c>
      <c r="AE218" s="264">
        <v>50</v>
      </c>
      <c r="AF218" s="264">
        <v>500</v>
      </c>
      <c r="AG218" s="264">
        <v>400</v>
      </c>
      <c r="AH218" s="264">
        <v>900</v>
      </c>
      <c r="AI218" s="973">
        <v>36</v>
      </c>
      <c r="AJ218" s="263">
        <v>50</v>
      </c>
      <c r="AK218" s="987">
        <v>900</v>
      </c>
      <c r="AL218" s="263">
        <f>VLOOKUP(Tableau1[[#This Row],[Code PAS]],'Facturation PAS RIN5 RUN'!C:F,4,0)</f>
        <v>16</v>
      </c>
      <c r="AM218" s="263"/>
      <c r="AN218" s="263" t="b">
        <f>ROUND(Tableau1[[#This Row],[Montant Options coûts récurrents]],0)=ROUND(Tableau1[[#This Row],[GTRS1 (Coût Plage de support 24h/24 7j/7)]],0)</f>
        <v>0</v>
      </c>
      <c r="AO218" s="265" t="e">
        <f>_xlfn.XLOOKUP(Tableau1[[#This Row],[Code PAS]],'parc SATIN 08012026v'!K:K,'parc SATIN 08012026v'!#REF!,0,0)</f>
        <v>#REF!</v>
      </c>
      <c r="AP218" s="263" t="e">
        <f>VLOOKUP(Tableau1[[#This Row],[Code PAS]],#REF!,3,0)</f>
        <v>#REF!</v>
      </c>
      <c r="AQ218" s="263" t="e">
        <f>VLOOKUP(Tableau1[[#This Row],[Code PAS]],[14]Feuil1!$B:$G,6,0)</f>
        <v>#N/A</v>
      </c>
      <c r="AR218" s="263" t="str">
        <f>_xlfn.XLOOKUP(Tableau1[[#This Row],[Code PAS]],'Facturation PAS RIN5 RUN'!C:C,'Facturation PAS RIN5 RUN'!B:B,0,0)</f>
        <v>Gold_50_50</v>
      </c>
      <c r="AS218" s="263" t="b">
        <f>Tableau1[[#This Row],[Etat facturation]]=Tableau1[[#This Row],[Index offre du fournisseur]]</f>
        <v>1</v>
      </c>
      <c r="AT218" s="250" t="str">
        <f>_xlfn.XLOOKUP(Tableau1[[#This Row],[Code PAS]],'parc SATIN 08012026v'!K:K,'parc SATIN 08012026v'!M:M,0,0)</f>
        <v>PARC</v>
      </c>
      <c r="AU218" s="250" t="str">
        <f>_xlfn.XLOOKUP(Tableau1[[#This Row],[Code PAS]],'parc SATIN 08012026v'!K:K,'parc SATIN 08012026v'!O:O,0,0)</f>
        <v>PARC</v>
      </c>
      <c r="AV218" s="251">
        <f>_xlfn.XLOOKUP(Tableau1[[#This Row],[Code PAS]],'parc SATIN 08012026v'!K:K,'parc SATIN 08012026v'!Q:Q,0,0)</f>
        <v>45777</v>
      </c>
      <c r="AW218" s="251" t="str">
        <f>_xlfn.XLOOKUP(Tableau1[[#This Row],[Code PAS]],'parc SATIN 08012026v'!K:K,'parc SATIN 08012026v'!S:S,0,0)</f>
        <v>création</v>
      </c>
      <c r="AX218" s="250" t="str">
        <f>_xlfn.XLOOKUP(Tableau1[[#This Row],[Code PAS]],'parc SATIN 08012026v'!K:K,'parc SATIN 08012026v'!AF:AF,0,0)</f>
        <v>50 Mb/s</v>
      </c>
      <c r="AY21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219" spans="1:52" s="250" customFormat="1" x14ac:dyDescent="0.3">
      <c r="A219" s="248" t="s">
        <v>2735</v>
      </c>
      <c r="B219" s="248"/>
      <c r="C219" s="249">
        <v>45168</v>
      </c>
      <c r="D219" s="249"/>
      <c r="E219" s="250" t="s">
        <v>3157</v>
      </c>
      <c r="F219" s="984" t="s">
        <v>183</v>
      </c>
      <c r="G219" s="250" t="s">
        <v>2765</v>
      </c>
      <c r="H219" s="250" t="s">
        <v>2765</v>
      </c>
      <c r="I219" s="250" t="s">
        <v>78</v>
      </c>
      <c r="J219" s="248" t="str">
        <f>_xlfn.XLOOKUP(Tableau1[[#This Row],[Code PAS]],'[13]Parc Satin'!$L:$L,'[13]Parc Satin'!$CK:$CK,0,0)</f>
        <v>Nominal InterLan 1.0 Secours InterLan 1.0</v>
      </c>
      <c r="K219" s="250" t="s">
        <v>2829</v>
      </c>
      <c r="L219" s="250">
        <v>400</v>
      </c>
      <c r="M219" s="250">
        <v>150</v>
      </c>
      <c r="N219" s="250">
        <v>2</v>
      </c>
      <c r="O219" s="250" t="s">
        <v>74</v>
      </c>
      <c r="P219" s="824">
        <v>0</v>
      </c>
      <c r="Q219" s="824">
        <v>0</v>
      </c>
      <c r="R219" s="824">
        <v>0</v>
      </c>
      <c r="S219" s="824">
        <v>0</v>
      </c>
      <c r="T219" s="824">
        <v>1249</v>
      </c>
      <c r="U219" s="824">
        <v>71</v>
      </c>
      <c r="V219" s="824">
        <v>96</v>
      </c>
      <c r="W219" s="824">
        <v>14</v>
      </c>
      <c r="X219" s="824">
        <f>Tableau1[[#This Row],[Coût Abonnement offre]]+Tableau1[[#This Row],[Coût Abonnement Chassis]]+Tableau1[[#This Row],[Cout Cartes interface ]]+Tableau1[[#This Row],[Cout canaux voix supplémentaire]]</f>
        <v>1430</v>
      </c>
      <c r="Y219" s="824">
        <v>0</v>
      </c>
      <c r="Z219" s="966">
        <v>0</v>
      </c>
      <c r="AA219" s="966">
        <v>0</v>
      </c>
      <c r="AB219" s="969">
        <v>0</v>
      </c>
      <c r="AC219" s="969">
        <v>0</v>
      </c>
      <c r="AD219" s="969">
        <v>0</v>
      </c>
      <c r="AE219" s="264">
        <v>30</v>
      </c>
      <c r="AF219" s="264">
        <v>400</v>
      </c>
      <c r="AG219" s="264">
        <v>150</v>
      </c>
      <c r="AH219" s="264">
        <v>550</v>
      </c>
      <c r="AI219" s="973">
        <v>14</v>
      </c>
      <c r="AJ219" s="263">
        <v>30</v>
      </c>
      <c r="AK219" s="987">
        <v>600</v>
      </c>
      <c r="AL219" s="263">
        <f>VLOOKUP(Tableau1[[#This Row],[Code PAS]],'Facturation PAS RIN5 RUN'!C:F,4,0)</f>
        <v>96</v>
      </c>
      <c r="AM219" s="263"/>
      <c r="AN219" s="263" t="b">
        <f>ROUND(Tableau1[[#This Row],[Montant Options coûts récurrents]],0)=ROUND(Tableau1[[#This Row],[GTRS1 (Coût Plage de support 24h/24 7j/7)]],0)</f>
        <v>0</v>
      </c>
      <c r="AO219" s="265" t="e">
        <f>_xlfn.XLOOKUP(Tableau1[[#This Row],[Code PAS]],'parc SATIN 08012026v'!K:K,'parc SATIN 08012026v'!#REF!,0,0)</f>
        <v>#REF!</v>
      </c>
      <c r="AP219" s="263" t="e">
        <f>VLOOKUP(Tableau1[[#This Row],[Code PAS]],#REF!,3,0)</f>
        <v>#REF!</v>
      </c>
      <c r="AQ219" s="263" t="e">
        <f>VLOOKUP(Tableau1[[#This Row],[Code PAS]],[14]Feuil1!$B:$G,6,0)</f>
        <v>#N/A</v>
      </c>
      <c r="AR219" s="263" t="str">
        <f>_xlfn.XLOOKUP(Tableau1[[#This Row],[Code PAS]],'Facturation PAS RIN5 RUN'!C:C,'Facturation PAS RIN5 RUN'!B:B,0,0)</f>
        <v>Gold_30_30</v>
      </c>
      <c r="AS219" s="263" t="b">
        <f>Tableau1[[#This Row],[Etat facturation]]=Tableau1[[#This Row],[Index offre du fournisseur]]</f>
        <v>1</v>
      </c>
      <c r="AT219" s="250" t="str">
        <f>_xlfn.XLOOKUP(Tableau1[[#This Row],[Code PAS]],'parc SATIN 08012026v'!K:K,'parc SATIN 08012026v'!M:M,0,0)</f>
        <v>PARC</v>
      </c>
      <c r="AU219" s="250" t="str">
        <f>_xlfn.XLOOKUP(Tableau1[[#This Row],[Code PAS]],'parc SATIN 08012026v'!K:K,'parc SATIN 08012026v'!O:O,0,0)</f>
        <v>PARC</v>
      </c>
      <c r="AV219" s="251">
        <f>_xlfn.XLOOKUP(Tableau1[[#This Row],[Code PAS]],'parc SATIN 08012026v'!K:K,'parc SATIN 08012026v'!Q:Q,0,0)</f>
        <v>45631</v>
      </c>
      <c r="AW219" s="251" t="str">
        <f>_xlfn.XLOOKUP(Tableau1[[#This Row],[Code PAS]],'parc SATIN 08012026v'!K:K,'parc SATIN 08012026v'!S:S,0,0)</f>
        <v>change</v>
      </c>
      <c r="AX219" s="250" t="str">
        <f>_xlfn.XLOOKUP(Tableau1[[#This Row],[Code PAS]],'parc SATIN 08012026v'!K:K,'parc SATIN 08012026v'!AF:AF,0,0)</f>
        <v>30 Mb/s</v>
      </c>
      <c r="AY21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220" spans="1:52" s="250" customFormat="1" x14ac:dyDescent="0.3">
      <c r="A220" s="250" t="s">
        <v>2743</v>
      </c>
      <c r="C220" s="249"/>
      <c r="D220" s="249"/>
      <c r="E220" s="250" t="s">
        <v>3158</v>
      </c>
      <c r="F220" s="984" t="s">
        <v>2486</v>
      </c>
      <c r="H220" s="250" t="s">
        <v>2909</v>
      </c>
      <c r="J220" s="248" t="str">
        <f>_xlfn.XLOOKUP(Tableau1[[#This Row],[Code PAS]],'[13]Parc Satin'!$L:$L,'[13]Parc Satin'!$CK:$CK,0,0)</f>
        <v>Nominal C2E Fibre Secours C2E Fibre</v>
      </c>
      <c r="P220" s="820">
        <v>7132</v>
      </c>
      <c r="Q220" s="820">
        <v>0</v>
      </c>
      <c r="R220" s="820">
        <v>0</v>
      </c>
      <c r="S220" s="820">
        <v>0</v>
      </c>
      <c r="T220" s="824">
        <v>1988</v>
      </c>
      <c r="U220" s="824">
        <v>44</v>
      </c>
      <c r="V220" s="824">
        <v>32</v>
      </c>
      <c r="W220" s="824">
        <v>0</v>
      </c>
      <c r="X220" s="823">
        <f>Tableau1[[#This Row],[Coût Abonnement offre]]+Tableau1[[#This Row],[Coût Abonnement Chassis]]+Tableau1[[#This Row],[Cout Cartes interface ]]+Tableau1[[#This Row],[Cout canaux voix supplémentaire]]</f>
        <v>2064</v>
      </c>
      <c r="Y220" s="824">
        <v>0</v>
      </c>
      <c r="Z220" s="966">
        <v>0</v>
      </c>
      <c r="AA220" s="966">
        <v>0</v>
      </c>
      <c r="AB220" s="969">
        <v>0</v>
      </c>
      <c r="AC220" s="969">
        <v>0</v>
      </c>
      <c r="AD220" s="969">
        <v>0</v>
      </c>
      <c r="AE220" s="264">
        <v>10</v>
      </c>
      <c r="AF220" s="264">
        <v>120</v>
      </c>
      <c r="AG220" s="264">
        <v>60</v>
      </c>
      <c r="AH220" s="264">
        <v>180</v>
      </c>
      <c r="AI220" s="973">
        <v>5</v>
      </c>
      <c r="AJ220" s="263">
        <v>10</v>
      </c>
      <c r="AK220" s="987">
        <v>120</v>
      </c>
      <c r="AL220" s="263">
        <f>VLOOKUP(Tableau1[[#This Row],[Code PAS]],'Facturation PAS RIN5 RUN'!C:F,4,0)</f>
        <v>32</v>
      </c>
      <c r="AM220" s="263"/>
      <c r="AN220" s="263" t="b">
        <f>ROUND(Tableau1[[#This Row],[Montant Options coûts récurrents]],0)=ROUND(Tableau1[[#This Row],[GTRS1 (Coût Plage de support 24h/24 7j/7)]],0)</f>
        <v>0</v>
      </c>
      <c r="AO220" s="265" t="e">
        <f>_xlfn.XLOOKUP(Tableau1[[#This Row],[Code PAS]],'parc SATIN 08012026v'!K:K,'parc SATIN 08012026v'!#REF!,0,0)</f>
        <v>#REF!</v>
      </c>
      <c r="AP220" s="263" t="e">
        <f>VLOOKUP(Tableau1[[#This Row],[Code PAS]],#REF!,3,0)</f>
        <v>#REF!</v>
      </c>
      <c r="AQ220" s="263" t="e">
        <f>VLOOKUP(Tableau1[[#This Row],[Code PAS]],[14]Feuil1!$B:$G,6,0)</f>
        <v>#N/A</v>
      </c>
      <c r="AR220" s="263" t="str">
        <f>_xlfn.XLOOKUP(Tableau1[[#This Row],[Code PAS]],'Facturation PAS RIN5 RUN'!C:C,'Facturation PAS RIN5 RUN'!B:B,0,0)</f>
        <v>Silver_10_10</v>
      </c>
      <c r="AS220" s="263" t="b">
        <f>Tableau1[[#This Row],[Etat facturation]]=Tableau1[[#This Row],[Index offre du fournisseur]]</f>
        <v>1</v>
      </c>
      <c r="AT220" s="250" t="str">
        <f>_xlfn.XLOOKUP(Tableau1[[#This Row],[Code PAS]],'parc SATIN 08012026v'!K:K,'parc SATIN 08012026v'!M:M,0,0)</f>
        <v>PARC</v>
      </c>
      <c r="AU220" s="250" t="str">
        <f>_xlfn.XLOOKUP(Tableau1[[#This Row],[Code PAS]],'parc SATIN 08012026v'!K:K,'parc SATIN 08012026v'!O:O,0,0)</f>
        <v>PARC</v>
      </c>
      <c r="AV220" s="251">
        <f>_xlfn.XLOOKUP(Tableau1[[#This Row],[Code PAS]],'parc SATIN 08012026v'!K:K,'parc SATIN 08012026v'!Q:Q,0,0)</f>
        <v>43823</v>
      </c>
      <c r="AW220" s="251" t="str">
        <f>_xlfn.XLOOKUP(Tableau1[[#This Row],[Code PAS]],'parc SATIN 08012026v'!K:K,'parc SATIN 08012026v'!S:S,0,0)</f>
        <v>change</v>
      </c>
      <c r="AX220" s="250" t="str">
        <f>_xlfn.XLOOKUP(Tableau1[[#This Row],[Code PAS]],'parc SATIN 08012026v'!K:K,'parc SATIN 08012026v'!AF:AF,0,0)</f>
        <v>10 Mb/s</v>
      </c>
      <c r="AY22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  <c r="AZ220" s="250" t="s">
        <v>2868</v>
      </c>
    </row>
    <row r="221" spans="1:52" s="250" customFormat="1" x14ac:dyDescent="0.3">
      <c r="A221" s="250" t="s">
        <v>2743</v>
      </c>
      <c r="C221" s="249"/>
      <c r="D221" s="249"/>
      <c r="E221" s="250" t="s">
        <v>3159</v>
      </c>
      <c r="F221" s="984" t="s">
        <v>2614</v>
      </c>
      <c r="H221" s="250" t="s">
        <v>2813</v>
      </c>
      <c r="J221" s="248" t="str">
        <f>_xlfn.XLOOKUP(Tableau1[[#This Row],[Code PAS]],'[13]Parc Satin'!$L:$L,'[13]Parc Satin'!$CK:$CK,0,0)</f>
        <v>Nominal C2E Fibre Secours C2E Fibre</v>
      </c>
      <c r="P221" s="820">
        <v>0</v>
      </c>
      <c r="Q221" s="820">
        <v>0</v>
      </c>
      <c r="R221" s="820">
        <v>0</v>
      </c>
      <c r="S221" s="820">
        <v>0</v>
      </c>
      <c r="T221" s="824">
        <v>2384</v>
      </c>
      <c r="U221" s="824">
        <v>44</v>
      </c>
      <c r="V221" s="824">
        <v>32</v>
      </c>
      <c r="W221" s="824">
        <v>0</v>
      </c>
      <c r="X221" s="823">
        <f>Tableau1[[#This Row],[Coût Abonnement offre]]+Tableau1[[#This Row],[Coût Abonnement Chassis]]+Tableau1[[#This Row],[Cout Cartes interface ]]+Tableau1[[#This Row],[Cout canaux voix supplémentaire]]</f>
        <v>2460</v>
      </c>
      <c r="Y221" s="824">
        <v>0</v>
      </c>
      <c r="Z221" s="966">
        <v>0</v>
      </c>
      <c r="AA221" s="966">
        <v>0</v>
      </c>
      <c r="AB221" s="969">
        <v>0</v>
      </c>
      <c r="AC221" s="969">
        <v>0</v>
      </c>
      <c r="AD221" s="969">
        <v>0</v>
      </c>
      <c r="AE221" s="264">
        <v>20</v>
      </c>
      <c r="AF221" s="264">
        <v>300</v>
      </c>
      <c r="AG221" s="264">
        <v>50</v>
      </c>
      <c r="AH221" s="264">
        <v>350</v>
      </c>
      <c r="AI221" s="973">
        <v>5</v>
      </c>
      <c r="AJ221" s="263">
        <v>20</v>
      </c>
      <c r="AK221" s="987">
        <v>300</v>
      </c>
      <c r="AL221" s="263">
        <f>VLOOKUP(Tableau1[[#This Row],[Code PAS]],'Facturation PAS RIN5 RUN'!C:F,4,0)</f>
        <v>32</v>
      </c>
      <c r="AM221" s="263"/>
      <c r="AN221" s="263" t="b">
        <f>ROUND(Tableau1[[#This Row],[Montant Options coûts récurrents]],0)=ROUND(Tableau1[[#This Row],[GTRS1 (Coût Plage de support 24h/24 7j/7)]],0)</f>
        <v>0</v>
      </c>
      <c r="AO221" s="265" t="e">
        <f>_xlfn.XLOOKUP(Tableau1[[#This Row],[Code PAS]],'parc SATIN 08012026v'!K:K,'parc SATIN 08012026v'!#REF!,0,0)</f>
        <v>#REF!</v>
      </c>
      <c r="AP221" s="263" t="e">
        <f>VLOOKUP(Tableau1[[#This Row],[Code PAS]],#REF!,3,0)</f>
        <v>#REF!</v>
      </c>
      <c r="AQ221" s="263" t="e">
        <f>VLOOKUP(Tableau1[[#This Row],[Code PAS]],[14]Feuil1!$B:$G,6,0)</f>
        <v>#N/A</v>
      </c>
      <c r="AR221" s="263" t="str">
        <f>_xlfn.XLOOKUP(Tableau1[[#This Row],[Code PAS]],'Facturation PAS RIN5 RUN'!C:C,'Facturation PAS RIN5 RUN'!B:B,0,0)</f>
        <v>Silver_20_20</v>
      </c>
      <c r="AS221" s="263" t="b">
        <f>Tableau1[[#This Row],[Etat facturation]]=Tableau1[[#This Row],[Index offre du fournisseur]]</f>
        <v>1</v>
      </c>
      <c r="AT221" s="250" t="str">
        <f>_xlfn.XLOOKUP(Tableau1[[#This Row],[Code PAS]],'parc SATIN 08012026v'!K:K,'parc SATIN 08012026v'!M:M,0,0)</f>
        <v>PARC</v>
      </c>
      <c r="AU221" s="250" t="str">
        <f>_xlfn.XLOOKUP(Tableau1[[#This Row],[Code PAS]],'parc SATIN 08012026v'!K:K,'parc SATIN 08012026v'!O:O,0,0)</f>
        <v>PARC</v>
      </c>
      <c r="AV221" s="251">
        <f>_xlfn.XLOOKUP(Tableau1[[#This Row],[Code PAS]],'parc SATIN 08012026v'!K:K,'parc SATIN 08012026v'!Q:Q,0,0)</f>
        <v>43964</v>
      </c>
      <c r="AW221" s="251" t="str">
        <f>_xlfn.XLOOKUP(Tableau1[[#This Row],[Code PAS]],'parc SATIN 08012026v'!K:K,'parc SATIN 08012026v'!S:S,0,0)</f>
        <v>change</v>
      </c>
      <c r="AX221" s="250" t="str">
        <f>_xlfn.XLOOKUP(Tableau1[[#This Row],[Code PAS]],'parc SATIN 08012026v'!K:K,'parc SATIN 08012026v'!AF:AF,0,0)</f>
        <v>20 Mb/s</v>
      </c>
      <c r="AY22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221" s="250" t="s">
        <v>2868</v>
      </c>
    </row>
    <row r="222" spans="1:52" s="250" customFormat="1" x14ac:dyDescent="0.3">
      <c r="A222" s="248" t="s">
        <v>2735</v>
      </c>
      <c r="B222" s="248"/>
      <c r="C222" s="249"/>
      <c r="D222" s="249"/>
      <c r="E222" s="248" t="s">
        <v>3160</v>
      </c>
      <c r="F222" s="981" t="s">
        <v>705</v>
      </c>
      <c r="G222" s="250" t="s">
        <v>2748</v>
      </c>
      <c r="H222" s="248" t="s">
        <v>2748</v>
      </c>
      <c r="I222" s="248" t="s">
        <v>165</v>
      </c>
      <c r="J222" s="248" t="str">
        <f>_xlfn.XLOOKUP(Tableau1[[#This Row],[Code PAS]],'[13]Parc Satin'!$L:$L,'[13]Parc Satin'!$CK:$CK,0,0)</f>
        <v>Nominal C2E Fibre Secours C2E Fibre</v>
      </c>
      <c r="K222" s="248" t="s">
        <v>2820</v>
      </c>
      <c r="L222" s="248">
        <v>300</v>
      </c>
      <c r="M222" s="248">
        <v>50</v>
      </c>
      <c r="N222" s="248">
        <v>1</v>
      </c>
      <c r="O222" s="248" t="s">
        <v>77</v>
      </c>
      <c r="P222" s="822">
        <v>0</v>
      </c>
      <c r="Q222" s="822">
        <v>0</v>
      </c>
      <c r="R222" s="822">
        <v>0</v>
      </c>
      <c r="S222" s="822">
        <v>0</v>
      </c>
      <c r="T222" s="823">
        <v>1149</v>
      </c>
      <c r="U222" s="823">
        <v>71</v>
      </c>
      <c r="V222" s="823">
        <v>48</v>
      </c>
      <c r="W222" s="823">
        <v>5</v>
      </c>
      <c r="X222" s="823">
        <f>Tableau1[[#This Row],[Coût Abonnement offre]]+Tableau1[[#This Row],[Coût Abonnement Chassis]]+Tableau1[[#This Row],[Cout Cartes interface ]]+Tableau1[[#This Row],[Cout canaux voix supplémentaire]]</f>
        <v>1273</v>
      </c>
      <c r="Y222" s="823">
        <v>0</v>
      </c>
      <c r="Z222" s="966">
        <v>0</v>
      </c>
      <c r="AA222" s="966">
        <v>0</v>
      </c>
      <c r="AB222" s="969">
        <v>0</v>
      </c>
      <c r="AC222" s="969">
        <v>0</v>
      </c>
      <c r="AD222" s="969">
        <v>0</v>
      </c>
      <c r="AE222" s="264">
        <v>20</v>
      </c>
      <c r="AF222" s="264">
        <v>300</v>
      </c>
      <c r="AG222" s="264">
        <v>50</v>
      </c>
      <c r="AH222" s="264">
        <v>350</v>
      </c>
      <c r="AI222" s="973">
        <v>5</v>
      </c>
      <c r="AJ222" s="263">
        <v>20</v>
      </c>
      <c r="AK222" s="987">
        <v>350</v>
      </c>
      <c r="AL222" s="263">
        <f>VLOOKUP(Tableau1[[#This Row],[Code PAS]],'Facturation PAS RIN5 RUN'!C:F,4,0)</f>
        <v>48</v>
      </c>
      <c r="AM222" s="263"/>
      <c r="AN222" s="263" t="b">
        <f>ROUND(Tableau1[[#This Row],[Montant Options coûts récurrents]],0)=ROUND(Tableau1[[#This Row],[GTRS1 (Coût Plage de support 24h/24 7j/7)]],0)</f>
        <v>0</v>
      </c>
      <c r="AO222" s="265" t="e">
        <f>_xlfn.XLOOKUP(Tableau1[[#This Row],[Code PAS]],'parc SATIN 08012026v'!K:K,'parc SATIN 08012026v'!#REF!,0,0)</f>
        <v>#REF!</v>
      </c>
      <c r="AP222" s="263" t="e">
        <f>VLOOKUP(Tableau1[[#This Row],[Code PAS]],#REF!,3,0)</f>
        <v>#REF!</v>
      </c>
      <c r="AQ222" s="263" t="e">
        <f>VLOOKUP(Tableau1[[#This Row],[Code PAS]],[14]Feuil1!$B:$G,6,0)</f>
        <v>#N/A</v>
      </c>
      <c r="AR222" s="263" t="str">
        <f>_xlfn.XLOOKUP(Tableau1[[#This Row],[Code PAS]],'Facturation PAS RIN5 RUN'!C:C,'Facturation PAS RIN5 RUN'!B:B,0,0)</f>
        <v>Gold_20_20</v>
      </c>
      <c r="AS222" s="263" t="b">
        <f>Tableau1[[#This Row],[Etat facturation]]=Tableau1[[#This Row],[Index offre du fournisseur]]</f>
        <v>1</v>
      </c>
      <c r="AT222" s="250" t="str">
        <f>_xlfn.XLOOKUP(Tableau1[[#This Row],[Code PAS]],'parc SATIN 08012026v'!K:K,'parc SATIN 08012026v'!M:M,0,0)</f>
        <v>PARC</v>
      </c>
      <c r="AU222" s="250" t="str">
        <f>_xlfn.XLOOKUP(Tableau1[[#This Row],[Code PAS]],'parc SATIN 08012026v'!K:K,'parc SATIN 08012026v'!O:O,0,0)</f>
        <v>PARC</v>
      </c>
      <c r="AV222" s="251">
        <f>_xlfn.XLOOKUP(Tableau1[[#This Row],[Code PAS]],'parc SATIN 08012026v'!K:K,'parc SATIN 08012026v'!Q:Q,0,0)</f>
        <v>45343</v>
      </c>
      <c r="AW222" s="251" t="str">
        <f>_xlfn.XLOOKUP(Tableau1[[#This Row],[Code PAS]],'parc SATIN 08012026v'!K:K,'parc SATIN 08012026v'!S:S,0,0)</f>
        <v>change</v>
      </c>
      <c r="AX222" s="250" t="str">
        <f>_xlfn.XLOOKUP(Tableau1[[#This Row],[Code PAS]],'parc SATIN 08012026v'!K:K,'parc SATIN 08012026v'!AF:AF,0,0)</f>
        <v>20 Mb/s</v>
      </c>
      <c r="AY22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23" spans="1:52" s="250" customFormat="1" x14ac:dyDescent="0.3">
      <c r="A223" s="250" t="s">
        <v>2743</v>
      </c>
      <c r="C223" s="249"/>
      <c r="D223" s="249"/>
      <c r="E223" s="250" t="s">
        <v>3161</v>
      </c>
      <c r="F223" s="984" t="s">
        <v>978</v>
      </c>
      <c r="H223" s="250" t="s">
        <v>2738</v>
      </c>
      <c r="J223" s="248" t="str">
        <f>_xlfn.XLOOKUP(Tableau1[[#This Row],[Code PAS]],'[13]Parc Satin'!$L:$L,'[13]Parc Satin'!$CK:$CK,0,0)</f>
        <v>Nominal InterLan 1.0 Secours InterLan 1.0</v>
      </c>
      <c r="P223" s="820">
        <v>0</v>
      </c>
      <c r="Q223" s="820">
        <v>0</v>
      </c>
      <c r="R223" s="820">
        <v>0</v>
      </c>
      <c r="S223" s="820">
        <v>0</v>
      </c>
      <c r="T223" s="824">
        <v>1821</v>
      </c>
      <c r="U223" s="824">
        <v>95</v>
      </c>
      <c r="V223" s="824">
        <v>32</v>
      </c>
      <c r="W223" s="824">
        <v>36</v>
      </c>
      <c r="X223" s="823">
        <f>Tableau1[[#This Row],[Coût Abonnement offre]]+Tableau1[[#This Row],[Coût Abonnement Chassis]]+Tableau1[[#This Row],[Cout Cartes interface ]]+Tableau1[[#This Row],[Cout canaux voix supplémentaire]]</f>
        <v>1984</v>
      </c>
      <c r="Y223" s="824"/>
      <c r="Z223" s="966">
        <v>0</v>
      </c>
      <c r="AA223" s="966">
        <v>0</v>
      </c>
      <c r="AB223" s="969">
        <v>0</v>
      </c>
      <c r="AC223" s="969">
        <v>0</v>
      </c>
      <c r="AD223" s="969">
        <v>0</v>
      </c>
      <c r="AE223" s="264">
        <v>50</v>
      </c>
      <c r="AF223" s="264">
        <v>500</v>
      </c>
      <c r="AG223" s="264">
        <v>400</v>
      </c>
      <c r="AH223" s="264">
        <v>900</v>
      </c>
      <c r="AI223" s="973">
        <v>36</v>
      </c>
      <c r="AJ223" s="263">
        <v>50</v>
      </c>
      <c r="AK223" s="987">
        <v>900</v>
      </c>
      <c r="AL223" s="263">
        <f>VLOOKUP(Tableau1[[#This Row],[Code PAS]],'Facturation PAS RIN5 RUN'!C:F,4,0)</f>
        <v>32</v>
      </c>
      <c r="AM223" s="263"/>
      <c r="AN223" s="263" t="b">
        <f>ROUND(Tableau1[[#This Row],[Montant Options coûts récurrents]],0)=ROUND(Tableau1[[#This Row],[GTRS1 (Coût Plage de support 24h/24 7j/7)]],0)</f>
        <v>0</v>
      </c>
      <c r="AO223" s="265" t="e">
        <f>_xlfn.XLOOKUP(Tableau1[[#This Row],[Code PAS]],'parc SATIN 08012026v'!K:K,'parc SATIN 08012026v'!#REF!,0,0)</f>
        <v>#REF!</v>
      </c>
      <c r="AP223" s="263" t="e">
        <f>VLOOKUP(Tableau1[[#This Row],[Code PAS]],#REF!,3,0)</f>
        <v>#REF!</v>
      </c>
      <c r="AQ223" s="263" t="str">
        <f>VLOOKUP(Tableau1[[#This Row],[Code PAS]],[14]Feuil1!$B:$G,6,0)</f>
        <v>Lundi au Samedi 8h-18h</v>
      </c>
      <c r="AR223" s="263" t="str">
        <f>_xlfn.XLOOKUP(Tableau1[[#This Row],[Code PAS]],'Facturation PAS RIN5 RUN'!C:C,'Facturation PAS RIN5 RUN'!B:B,0,0)</f>
        <v>Platinum_50_50</v>
      </c>
      <c r="AS223" s="263" t="b">
        <f>Tableau1[[#This Row],[Etat facturation]]=Tableau1[[#This Row],[Index offre du fournisseur]]</f>
        <v>1</v>
      </c>
      <c r="AT223" s="250" t="str">
        <f>_xlfn.XLOOKUP(Tableau1[[#This Row],[Code PAS]],'parc SATIN 08012026v'!K:K,'parc SATIN 08012026v'!M:M,0,0)</f>
        <v>PARC</v>
      </c>
      <c r="AU223" s="250" t="str">
        <f>_xlfn.XLOOKUP(Tableau1[[#This Row],[Code PAS]],'parc SATIN 08012026v'!K:K,'parc SATIN 08012026v'!O:O,0,0)</f>
        <v>PARC</v>
      </c>
      <c r="AV223" s="251">
        <f>_xlfn.XLOOKUP(Tableau1[[#This Row],[Code PAS]],'parc SATIN 08012026v'!K:K,'parc SATIN 08012026v'!Q:Q,0,0)</f>
        <v>44077</v>
      </c>
      <c r="AW223" s="251" t="str">
        <f>_xlfn.XLOOKUP(Tableau1[[#This Row],[Code PAS]],'parc SATIN 08012026v'!K:K,'parc SATIN 08012026v'!S:S,0,0)</f>
        <v>change</v>
      </c>
      <c r="AX223" s="250" t="str">
        <f>_xlfn.XLOOKUP(Tableau1[[#This Row],[Code PAS]],'parc SATIN 08012026v'!K:K,'parc SATIN 08012026v'!AF:AF,0,0)</f>
        <v>50 Mb/s</v>
      </c>
      <c r="AY22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224" spans="1:52" s="250" customFormat="1" x14ac:dyDescent="0.3">
      <c r="A224" s="250" t="s">
        <v>2743</v>
      </c>
      <c r="C224" s="249"/>
      <c r="D224" s="249"/>
      <c r="E224" s="250" t="s">
        <v>3162</v>
      </c>
      <c r="F224" s="984" t="s">
        <v>1944</v>
      </c>
      <c r="H224" s="250" t="s">
        <v>2745</v>
      </c>
      <c r="J224" s="248" t="str">
        <f>_xlfn.XLOOKUP(Tableau1[[#This Row],[Code PAS]],'[13]Parc Satin'!$L:$L,'[13]Parc Satin'!$CK:$CK,0,0)</f>
        <v>Nominal InterLan 1.0 Secours InterLan 1.0</v>
      </c>
      <c r="P224" s="820">
        <v>0</v>
      </c>
      <c r="Q224" s="820">
        <v>0</v>
      </c>
      <c r="R224" s="820">
        <v>0</v>
      </c>
      <c r="S224" s="820">
        <v>0</v>
      </c>
      <c r="T224" s="824">
        <v>1628</v>
      </c>
      <c r="U224" s="824">
        <v>239</v>
      </c>
      <c r="V224" s="824">
        <v>32</v>
      </c>
      <c r="W224" s="824">
        <v>108</v>
      </c>
      <c r="X224" s="823">
        <f>Tableau1[[#This Row],[Coût Abonnement offre]]+Tableau1[[#This Row],[Coût Abonnement Chassis]]+Tableau1[[#This Row],[Cout Cartes interface ]]+Tableau1[[#This Row],[Cout canaux voix supplémentaire]]</f>
        <v>2007</v>
      </c>
      <c r="Y224" s="824">
        <v>66</v>
      </c>
      <c r="Z224" s="966">
        <v>0</v>
      </c>
      <c r="AA224" s="966">
        <v>0</v>
      </c>
      <c r="AB224" s="969">
        <v>0</v>
      </c>
      <c r="AC224" s="969">
        <v>0</v>
      </c>
      <c r="AD224" s="969">
        <v>0</v>
      </c>
      <c r="AE224" s="264">
        <v>100</v>
      </c>
      <c r="AF224" s="264">
        <v>600</v>
      </c>
      <c r="AG224" s="264">
        <v>1200</v>
      </c>
      <c r="AH224" s="264">
        <v>1800</v>
      </c>
      <c r="AI224" s="973">
        <v>108</v>
      </c>
      <c r="AJ224" s="263">
        <v>100</v>
      </c>
      <c r="AK224" s="987">
        <v>1800</v>
      </c>
      <c r="AL224" s="263">
        <f>VLOOKUP(Tableau1[[#This Row],[Code PAS]],'Facturation PAS RIN5 RUN'!C:F,4,0)</f>
        <v>32</v>
      </c>
      <c r="AM224" s="263"/>
      <c r="AN224" s="263" t="b">
        <f>ROUND(Tableau1[[#This Row],[Montant Options coûts récurrents]],0)=ROUND(Tableau1[[#This Row],[GTRS1 (Coût Plage de support 24h/24 7j/7)]],0)</f>
        <v>0</v>
      </c>
      <c r="AO224" s="265" t="e">
        <f>_xlfn.XLOOKUP(Tableau1[[#This Row],[Code PAS]],'parc SATIN 08012026v'!K:K,'parc SATIN 08012026v'!#REF!,0,0)</f>
        <v>#REF!</v>
      </c>
      <c r="AP224" s="263" t="e">
        <f>VLOOKUP(Tableau1[[#This Row],[Code PAS]],#REF!,3,0)</f>
        <v>#REF!</v>
      </c>
      <c r="AQ224" s="263" t="e">
        <f>VLOOKUP(Tableau1[[#This Row],[Code PAS]],[14]Feuil1!$B:$G,6,0)</f>
        <v>#N/A</v>
      </c>
      <c r="AR224" s="263" t="str">
        <f>_xlfn.XLOOKUP(Tableau1[[#This Row],[Code PAS]],'Facturation PAS RIN5 RUN'!C:C,'Facturation PAS RIN5 RUN'!B:B,0,0)</f>
        <v>Gold_100_100</v>
      </c>
      <c r="AS224" s="263" t="b">
        <f>Tableau1[[#This Row],[Etat facturation]]=Tableau1[[#This Row],[Index offre du fournisseur]]</f>
        <v>1</v>
      </c>
      <c r="AT224" s="250" t="str">
        <f>_xlfn.XLOOKUP(Tableau1[[#This Row],[Code PAS]],'parc SATIN 08012026v'!K:K,'parc SATIN 08012026v'!M:M,0,0)</f>
        <v>PARC</v>
      </c>
      <c r="AU224" s="250" t="str">
        <f>_xlfn.XLOOKUP(Tableau1[[#This Row],[Code PAS]],'parc SATIN 08012026v'!K:K,'parc SATIN 08012026v'!O:O,0,0)</f>
        <v>PARC</v>
      </c>
      <c r="AV224" s="251">
        <f>_xlfn.XLOOKUP(Tableau1[[#This Row],[Code PAS]],'parc SATIN 08012026v'!K:K,'parc SATIN 08012026v'!Q:Q,0,0)</f>
        <v>43650</v>
      </c>
      <c r="AW224" s="251" t="str">
        <f>_xlfn.XLOOKUP(Tableau1[[#This Row],[Code PAS]],'parc SATIN 08012026v'!K:K,'parc SATIN 08012026v'!S:S,0,0)</f>
        <v>création</v>
      </c>
      <c r="AX224" s="250" t="str">
        <f>_xlfn.XLOOKUP(Tableau1[[#This Row],[Code PAS]],'parc SATIN 08012026v'!K:K,'parc SATIN 08012026v'!AF:AF,0,0)</f>
        <v>100 Mb/s</v>
      </c>
      <c r="AY22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225" spans="1:52" s="250" customFormat="1" x14ac:dyDescent="0.3">
      <c r="A225" s="248" t="s">
        <v>2739</v>
      </c>
      <c r="B225" s="249">
        <v>45741</v>
      </c>
      <c r="C225" s="249"/>
      <c r="D225" s="249"/>
      <c r="E225" s="250" t="s">
        <v>3163</v>
      </c>
      <c r="F225" s="984" t="s">
        <v>1868</v>
      </c>
      <c r="G225" s="250" t="s">
        <v>2742</v>
      </c>
      <c r="H225" s="250" t="s">
        <v>2742</v>
      </c>
      <c r="I225" s="250" t="s">
        <v>78</v>
      </c>
      <c r="J225" s="248" t="str">
        <f>_xlfn.XLOOKUP(Tableau1[[#This Row],[Code PAS]],'[13]Parc Satin'!$L:$L,'[13]Parc Satin'!$CK:$CK,0,0)</f>
        <v>Nominal InterLan 1.0 Secours InterLan 1.0</v>
      </c>
      <c r="K225" s="248" t="s">
        <v>2829</v>
      </c>
      <c r="L225" s="250">
        <v>800</v>
      </c>
      <c r="M225" s="250">
        <v>2800</v>
      </c>
      <c r="N225" s="250">
        <v>1</v>
      </c>
      <c r="O225" s="250" t="s">
        <v>74</v>
      </c>
      <c r="P225" s="824">
        <v>0</v>
      </c>
      <c r="Q225" s="824">
        <v>652</v>
      </c>
      <c r="R225" s="824">
        <v>0</v>
      </c>
      <c r="S225" s="824">
        <v>652</v>
      </c>
      <c r="T225" s="824">
        <v>1842</v>
      </c>
      <c r="U225" s="824">
        <v>142</v>
      </c>
      <c r="V225" s="824">
        <v>0</v>
      </c>
      <c r="W225" s="824">
        <v>252</v>
      </c>
      <c r="X225" s="824">
        <f>Tableau1[[#This Row],[Coût Abonnement offre]]+Tableau1[[#This Row],[Coût Abonnement Chassis]]+Tableau1[[#This Row],[Cout Cartes interface ]]+Tableau1[[#This Row],[Cout canaux voix supplémentaire]]</f>
        <v>2236</v>
      </c>
      <c r="Y225" s="824">
        <v>0</v>
      </c>
      <c r="Z225" s="966">
        <v>0</v>
      </c>
      <c r="AA225" s="966">
        <v>0</v>
      </c>
      <c r="AB225" s="969">
        <v>0</v>
      </c>
      <c r="AC225" s="969">
        <v>0</v>
      </c>
      <c r="AD225" s="969">
        <v>0</v>
      </c>
      <c r="AE225" s="264">
        <v>200</v>
      </c>
      <c r="AF225" s="264">
        <v>800</v>
      </c>
      <c r="AG225" s="264">
        <v>2800</v>
      </c>
      <c r="AH225" s="264">
        <v>3600</v>
      </c>
      <c r="AI225" s="973">
        <v>252</v>
      </c>
      <c r="AJ225" s="263">
        <v>200</v>
      </c>
      <c r="AK225" s="987">
        <v>3600</v>
      </c>
      <c r="AL225" s="263">
        <f>VLOOKUP(Tableau1[[#This Row],[Code PAS]],'Facturation PAS RIN5 RUN'!C:F,4,0)</f>
        <v>0</v>
      </c>
      <c r="AM225" s="263"/>
      <c r="AN225" s="263" t="b">
        <f>ROUND(Tableau1[[#This Row],[Montant Options coûts récurrents]],0)=ROUND(Tableau1[[#This Row],[GTRS1 (Coût Plage de support 24h/24 7j/7)]],0)</f>
        <v>1</v>
      </c>
      <c r="AO225" s="265" t="e">
        <f>_xlfn.XLOOKUP(Tableau1[[#This Row],[Code PAS]],'parc SATIN 08012026v'!K:K,'parc SATIN 08012026v'!#REF!,0,0)</f>
        <v>#REF!</v>
      </c>
      <c r="AP225" s="263" t="e">
        <f>VLOOKUP(Tableau1[[#This Row],[Code PAS]],#REF!,3,0)</f>
        <v>#REF!</v>
      </c>
      <c r="AQ225" s="263" t="e">
        <f>VLOOKUP(Tableau1[[#This Row],[Code PAS]],[14]Feuil1!$B:$G,6,0)</f>
        <v>#N/A</v>
      </c>
      <c r="AR225" s="263" t="str">
        <f>_xlfn.XLOOKUP(Tableau1[[#This Row],[Code PAS]],'Facturation PAS RIN5 RUN'!C:C,'Facturation PAS RIN5 RUN'!B:B,0,0)</f>
        <v>Gold_200_200</v>
      </c>
      <c r="AS225" s="263" t="b">
        <f>Tableau1[[#This Row],[Etat facturation]]=Tableau1[[#This Row],[Index offre du fournisseur]]</f>
        <v>1</v>
      </c>
      <c r="AT225" s="250" t="str">
        <f>_xlfn.XLOOKUP(Tableau1[[#This Row],[Code PAS]],'parc SATIN 08012026v'!K:K,'parc SATIN 08012026v'!M:M,0,0)</f>
        <v>PARC</v>
      </c>
      <c r="AU225" s="250" t="str">
        <f>_xlfn.XLOOKUP(Tableau1[[#This Row],[Code PAS]],'parc SATIN 08012026v'!K:K,'parc SATIN 08012026v'!O:O,0,0)</f>
        <v>PARC</v>
      </c>
      <c r="AV225" s="251">
        <f>_xlfn.XLOOKUP(Tableau1[[#This Row],[Code PAS]],'parc SATIN 08012026v'!K:K,'parc SATIN 08012026v'!Q:Q,0,0)</f>
        <v>45741</v>
      </c>
      <c r="AW225" s="251" t="str">
        <f>_xlfn.XLOOKUP(Tableau1[[#This Row],[Code PAS]],'parc SATIN 08012026v'!K:K,'parc SATIN 08012026v'!S:S,0,0)</f>
        <v>création</v>
      </c>
      <c r="AX225" s="250" t="str">
        <f>_xlfn.XLOOKUP(Tableau1[[#This Row],[Code PAS]],'parc SATIN 08012026v'!K:K,'parc SATIN 08012026v'!AF:AF,0,0)</f>
        <v>200 Mb/s</v>
      </c>
      <c r="AY22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200</v>
      </c>
    </row>
    <row r="226" spans="1:52" s="250" customFormat="1" x14ac:dyDescent="0.3">
      <c r="A226" s="248" t="s">
        <v>2739</v>
      </c>
      <c r="B226" s="249">
        <v>45352</v>
      </c>
      <c r="C226" s="249"/>
      <c r="D226" s="249"/>
      <c r="E226" s="248" t="s">
        <v>3164</v>
      </c>
      <c r="F226" s="981" t="s">
        <v>1740</v>
      </c>
      <c r="G226" s="250" t="s">
        <v>3165</v>
      </c>
      <c r="H226" s="248" t="s">
        <v>3165</v>
      </c>
      <c r="I226" s="248" t="s">
        <v>78</v>
      </c>
      <c r="J226" s="248" t="str">
        <f>_xlfn.XLOOKUP(Tableau1[[#This Row],[Code PAS]],'[13]Parc Satin'!$L:$L,'[13]Parc Satin'!$CK:$CK,0,0)</f>
        <v>Nominal InterLan 1.0 Secours InterLan 1.0</v>
      </c>
      <c r="K226" s="248" t="s">
        <v>2832</v>
      </c>
      <c r="L226" s="248">
        <v>800</v>
      </c>
      <c r="M226" s="248">
        <v>2800</v>
      </c>
      <c r="N226" s="248">
        <v>1</v>
      </c>
      <c r="O226" s="248" t="s">
        <v>74</v>
      </c>
      <c r="P226" s="822">
        <v>0</v>
      </c>
      <c r="Q226" s="822">
        <v>652</v>
      </c>
      <c r="R226" s="822">
        <v>0</v>
      </c>
      <c r="S226" s="822">
        <v>652</v>
      </c>
      <c r="T226" s="823">
        <v>1842</v>
      </c>
      <c r="U226" s="823">
        <v>142</v>
      </c>
      <c r="V226" s="823">
        <v>16</v>
      </c>
      <c r="W226" s="823">
        <v>252</v>
      </c>
      <c r="X226" s="823">
        <f>Tableau1[[#This Row],[Coût Abonnement offre]]+Tableau1[[#This Row],[Coût Abonnement Chassis]]+Tableau1[[#This Row],[Cout Cartes interface ]]+Tableau1[[#This Row],[Cout canaux voix supplémentaire]]</f>
        <v>2252</v>
      </c>
      <c r="Y226" s="823">
        <v>0</v>
      </c>
      <c r="Z226" s="966">
        <v>0</v>
      </c>
      <c r="AA226" s="966">
        <v>0</v>
      </c>
      <c r="AB226" s="969">
        <v>0</v>
      </c>
      <c r="AC226" s="969">
        <v>0</v>
      </c>
      <c r="AD226" s="969">
        <v>0</v>
      </c>
      <c r="AE226" s="264">
        <v>200</v>
      </c>
      <c r="AF226" s="264">
        <v>800</v>
      </c>
      <c r="AG226" s="264">
        <v>2800</v>
      </c>
      <c r="AH226" s="264">
        <v>3600</v>
      </c>
      <c r="AI226" s="973">
        <v>252</v>
      </c>
      <c r="AJ226" s="263">
        <v>200</v>
      </c>
      <c r="AK226" s="987">
        <v>3600</v>
      </c>
      <c r="AL226" s="263">
        <f>VLOOKUP(Tableau1[[#This Row],[Code PAS]],'Facturation PAS RIN5 RUN'!C:F,4,0)</f>
        <v>16</v>
      </c>
      <c r="AM226" s="263"/>
      <c r="AN226" s="263" t="b">
        <f>ROUND(Tableau1[[#This Row],[Montant Options coûts récurrents]],0)=ROUND(Tableau1[[#This Row],[GTRS1 (Coût Plage de support 24h/24 7j/7)]],0)</f>
        <v>0</v>
      </c>
      <c r="AO226" s="265" t="e">
        <f>_xlfn.XLOOKUP(Tableau1[[#This Row],[Code PAS]],'parc SATIN 08012026v'!K:K,'parc SATIN 08012026v'!#REF!,0,0)</f>
        <v>#REF!</v>
      </c>
      <c r="AP226" s="263" t="e">
        <f>VLOOKUP(Tableau1[[#This Row],[Code PAS]],#REF!,3,0)</f>
        <v>#REF!</v>
      </c>
      <c r="AQ226" s="263" t="e">
        <f>VLOOKUP(Tableau1[[#This Row],[Code PAS]],[14]Feuil1!$B:$G,6,0)</f>
        <v>#N/A</v>
      </c>
      <c r="AR226" s="263" t="str">
        <f>_xlfn.XLOOKUP(Tableau1[[#This Row],[Code PAS]],'Facturation PAS RIN5 RUN'!C:C,'Facturation PAS RIN5 RUN'!B:B,0,0)</f>
        <v>Silver_200_200</v>
      </c>
      <c r="AS226" s="263" t="b">
        <f>Tableau1[[#This Row],[Etat facturation]]=Tableau1[[#This Row],[Index offre du fournisseur]]</f>
        <v>1</v>
      </c>
      <c r="AT226" s="250" t="str">
        <f>_xlfn.XLOOKUP(Tableau1[[#This Row],[Code PAS]],'parc SATIN 08012026v'!K:K,'parc SATIN 08012026v'!M:M,0,0)</f>
        <v>PARC</v>
      </c>
      <c r="AU226" s="250" t="str">
        <f>_xlfn.XLOOKUP(Tableau1[[#This Row],[Code PAS]],'parc SATIN 08012026v'!K:K,'parc SATIN 08012026v'!O:O,0,0)</f>
        <v>PARC</v>
      </c>
      <c r="AV226" s="251">
        <f>_xlfn.XLOOKUP(Tableau1[[#This Row],[Code PAS]],'parc SATIN 08012026v'!K:K,'parc SATIN 08012026v'!Q:Q,0,0)</f>
        <v>45352</v>
      </c>
      <c r="AW226" s="251" t="str">
        <f>_xlfn.XLOOKUP(Tableau1[[#This Row],[Code PAS]],'parc SATIN 08012026v'!K:K,'parc SATIN 08012026v'!S:S,0,0)</f>
        <v>création</v>
      </c>
      <c r="AX226" s="250" t="str">
        <f>_xlfn.XLOOKUP(Tableau1[[#This Row],[Code PAS]],'parc SATIN 08012026v'!K:K,'parc SATIN 08012026v'!AF:AF,0,0)</f>
        <v>200 Mb/s</v>
      </c>
      <c r="AY22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200</v>
      </c>
    </row>
    <row r="227" spans="1:52" s="250" customFormat="1" x14ac:dyDescent="0.3">
      <c r="A227" s="248" t="s">
        <v>2735</v>
      </c>
      <c r="B227" s="248"/>
      <c r="C227" s="249"/>
      <c r="D227" s="249"/>
      <c r="E227" s="248" t="s">
        <v>3166</v>
      </c>
      <c r="F227" s="981" t="s">
        <v>302</v>
      </c>
      <c r="H227" s="248" t="s">
        <v>2953</v>
      </c>
      <c r="I227" s="248"/>
      <c r="J227" s="248" t="str">
        <f>_xlfn.XLOOKUP(Tableau1[[#This Row],[Code PAS]],'[13]Parc Satin'!$L:$L,'[13]Parc Satin'!$CK:$CK,0,0)</f>
        <v>Nominal InterLan 1.0 Secours InterLan 1.0</v>
      </c>
      <c r="K227" s="248"/>
      <c r="L227" s="248"/>
      <c r="M227" s="248"/>
      <c r="N227" s="248"/>
      <c r="O227" s="248"/>
      <c r="P227" s="822">
        <v>0</v>
      </c>
      <c r="Q227" s="822">
        <v>0</v>
      </c>
      <c r="R227" s="822">
        <v>0</v>
      </c>
      <c r="S227" s="822">
        <v>0</v>
      </c>
      <c r="T227" s="823">
        <v>2266</v>
      </c>
      <c r="U227" s="823">
        <v>299</v>
      </c>
      <c r="V227" s="823">
        <v>32</v>
      </c>
      <c r="W227" s="823">
        <v>414</v>
      </c>
      <c r="X227" s="823">
        <f>Tableau1[[#This Row],[Coût Abonnement offre]]+Tableau1[[#This Row],[Coût Abonnement Chassis]]+Tableau1[[#This Row],[Cout Cartes interface ]]+Tableau1[[#This Row],[Cout canaux voix supplémentaire]]</f>
        <v>3011</v>
      </c>
      <c r="Y227" s="823"/>
      <c r="Z227" s="966">
        <v>0</v>
      </c>
      <c r="AA227" s="966">
        <v>0</v>
      </c>
      <c r="AB227" s="969">
        <v>0</v>
      </c>
      <c r="AC227" s="969">
        <v>0</v>
      </c>
      <c r="AD227" s="969">
        <v>0</v>
      </c>
      <c r="AE227" s="264">
        <v>300</v>
      </c>
      <c r="AF227" s="264">
        <v>900</v>
      </c>
      <c r="AG227" s="264">
        <v>4600</v>
      </c>
      <c r="AH227" s="264">
        <v>5500</v>
      </c>
      <c r="AI227" s="973">
        <v>414</v>
      </c>
      <c r="AJ227" s="263">
        <v>300</v>
      </c>
      <c r="AK227" s="987">
        <v>2000</v>
      </c>
      <c r="AL227" s="263">
        <f>VLOOKUP(Tableau1[[#This Row],[Code PAS]],'Facturation PAS RIN5 RUN'!C:F,4,0)</f>
        <v>32</v>
      </c>
      <c r="AM227" s="263"/>
      <c r="AN227" s="263" t="b">
        <f>ROUND(Tableau1[[#This Row],[Montant Options coûts récurrents]],0)=ROUND(Tableau1[[#This Row],[GTRS1 (Coût Plage de support 24h/24 7j/7)]],0)</f>
        <v>0</v>
      </c>
      <c r="AO227" s="265" t="e">
        <f>_xlfn.XLOOKUP(Tableau1[[#This Row],[Code PAS]],'parc SATIN 08012026v'!K:K,'parc SATIN 08012026v'!#REF!,0,0)</f>
        <v>#REF!</v>
      </c>
      <c r="AP227" s="263" t="e">
        <f>VLOOKUP(Tableau1[[#This Row],[Code PAS]],#REF!,3,0)</f>
        <v>#REF!</v>
      </c>
      <c r="AQ227" s="263" t="str">
        <f>VLOOKUP(Tableau1[[#This Row],[Code PAS]],[14]Feuil1!$B:$G,6,0)</f>
        <v>Lundi au Samedi 8h-18h</v>
      </c>
      <c r="AR227" s="263" t="str">
        <f>_xlfn.XLOOKUP(Tableau1[[#This Row],[Code PAS]],'Facturation PAS RIN5 RUN'!C:C,'Facturation PAS RIN5 RUN'!B:B,0,0)</f>
        <v>Platinum_300_300</v>
      </c>
      <c r="AS227" s="263" t="b">
        <f>Tableau1[[#This Row],[Etat facturation]]=Tableau1[[#This Row],[Index offre du fournisseur]]</f>
        <v>1</v>
      </c>
      <c r="AT227" s="250" t="str">
        <f>_xlfn.XLOOKUP(Tableau1[[#This Row],[Code PAS]],'parc SATIN 08012026v'!K:K,'parc SATIN 08012026v'!M:M,0,0)</f>
        <v>PARC</v>
      </c>
      <c r="AU227" s="250" t="str">
        <f>_xlfn.XLOOKUP(Tableau1[[#This Row],[Code PAS]],'parc SATIN 08012026v'!K:K,'parc SATIN 08012026v'!O:O,0,0)</f>
        <v>PARC</v>
      </c>
      <c r="AV227" s="251">
        <f>_xlfn.XLOOKUP(Tableau1[[#This Row],[Code PAS]],'parc SATIN 08012026v'!K:K,'parc SATIN 08012026v'!Q:Q,0,0)</f>
        <v>44088</v>
      </c>
      <c r="AW227" s="251" t="str">
        <f>_xlfn.XLOOKUP(Tableau1[[#This Row],[Code PAS]],'parc SATIN 08012026v'!K:K,'parc SATIN 08012026v'!S:S,0,0)</f>
        <v>change</v>
      </c>
      <c r="AX227" s="250" t="str">
        <f>_xlfn.XLOOKUP(Tableau1[[#This Row],[Code PAS]],'parc SATIN 08012026v'!K:K,'parc SATIN 08012026v'!AF:AF,0,0)</f>
        <v>300 Mbits/s</v>
      </c>
      <c r="AY22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300</v>
      </c>
    </row>
    <row r="228" spans="1:52" s="250" customFormat="1" x14ac:dyDescent="0.3">
      <c r="A228" s="250" t="s">
        <v>2739</v>
      </c>
      <c r="C228" s="249"/>
      <c r="D228" s="249"/>
      <c r="E228" s="250" t="s">
        <v>3167</v>
      </c>
      <c r="F228" s="984" t="s">
        <v>1618</v>
      </c>
      <c r="H228" s="250" t="s">
        <v>2742</v>
      </c>
      <c r="J228" s="248" t="str">
        <f>_xlfn.XLOOKUP(Tableau1[[#This Row],[Code PAS]],'[13]Parc Satin'!$L:$L,'[13]Parc Satin'!$CK:$CK,0,0)</f>
        <v>Nominal InterLan 1.0 Secours InterLan 1.0</v>
      </c>
      <c r="P228" s="824">
        <v>0</v>
      </c>
      <c r="Q228" s="824">
        <v>0</v>
      </c>
      <c r="R228" s="824">
        <v>0</v>
      </c>
      <c r="S228" s="824">
        <v>0</v>
      </c>
      <c r="T228" s="823">
        <v>1842</v>
      </c>
      <c r="U228" s="824">
        <v>299</v>
      </c>
      <c r="V228" s="823">
        <v>56</v>
      </c>
      <c r="W228" s="823">
        <v>252</v>
      </c>
      <c r="X228" s="823">
        <f>Tableau1[[#This Row],[Coût Abonnement offre]]+Tableau1[[#This Row],[Coût Abonnement Chassis]]+Tableau1[[#This Row],[Cout Cartes interface ]]+Tableau1[[#This Row],[Cout canaux voix supplémentaire]]</f>
        <v>2449</v>
      </c>
      <c r="Y228" s="824">
        <v>0</v>
      </c>
      <c r="Z228" s="966">
        <v>0</v>
      </c>
      <c r="AA228" s="966">
        <v>0</v>
      </c>
      <c r="AB228" s="969">
        <v>0</v>
      </c>
      <c r="AC228" s="969">
        <v>0</v>
      </c>
      <c r="AD228" s="969">
        <v>0</v>
      </c>
      <c r="AE228" s="264">
        <v>200</v>
      </c>
      <c r="AF228" s="264">
        <v>800</v>
      </c>
      <c r="AG228" s="264">
        <v>2800</v>
      </c>
      <c r="AH228" s="264">
        <v>3600</v>
      </c>
      <c r="AI228" s="973">
        <v>252</v>
      </c>
      <c r="AJ228" s="263">
        <v>200</v>
      </c>
      <c r="AK228" s="987">
        <v>3600</v>
      </c>
      <c r="AL228" s="263">
        <f>VLOOKUP(Tableau1[[#This Row],[Code PAS]],'Facturation PAS RIN5 RUN'!C:F,4,0)</f>
        <v>56</v>
      </c>
      <c r="AM228" s="263"/>
      <c r="AN228" s="263" t="b">
        <f>ROUND(Tableau1[[#This Row],[Montant Options coûts récurrents]],0)=ROUND(Tableau1[[#This Row],[GTRS1 (Coût Plage de support 24h/24 7j/7)]],0)</f>
        <v>0</v>
      </c>
      <c r="AO228" s="265" t="e">
        <f>_xlfn.XLOOKUP(Tableau1[[#This Row],[Code PAS]],'parc SATIN 08012026v'!K:K,'parc SATIN 08012026v'!#REF!,0,0)</f>
        <v>#REF!</v>
      </c>
      <c r="AP228" s="263" t="e">
        <f>VLOOKUP(Tableau1[[#This Row],[Code PAS]],#REF!,3,0)</f>
        <v>#REF!</v>
      </c>
      <c r="AQ228" s="263" t="e">
        <f>VLOOKUP(Tableau1[[#This Row],[Code PAS]],[14]Feuil1!$B:$G,6,0)</f>
        <v>#N/A</v>
      </c>
      <c r="AR228" s="263" t="str">
        <f>_xlfn.XLOOKUP(Tableau1[[#This Row],[Code PAS]],'Facturation PAS RIN5 RUN'!C:C,'Facturation PAS RIN5 RUN'!B:B,0,0)</f>
        <v>Gold_200_200</v>
      </c>
      <c r="AS228" s="263" t="b">
        <f>Tableau1[[#This Row],[Etat facturation]]=Tableau1[[#This Row],[Index offre du fournisseur]]</f>
        <v>1</v>
      </c>
      <c r="AT228" s="250" t="str">
        <f>_xlfn.XLOOKUP(Tableau1[[#This Row],[Code PAS]],'parc SATIN 08012026v'!K:K,'parc SATIN 08012026v'!M:M,0,0)</f>
        <v>PARC</v>
      </c>
      <c r="AU228" s="250" t="str">
        <f>_xlfn.XLOOKUP(Tableau1[[#This Row],[Code PAS]],'parc SATIN 08012026v'!K:K,'parc SATIN 08012026v'!O:O,0,0)</f>
        <v>PARC</v>
      </c>
      <c r="AV228" s="251">
        <f>_xlfn.XLOOKUP(Tableau1[[#This Row],[Code PAS]],'parc SATIN 08012026v'!K:K,'parc SATIN 08012026v'!Q:Q,0,0)</f>
        <v>44386</v>
      </c>
      <c r="AW228" s="251" t="str">
        <f>_xlfn.XLOOKUP(Tableau1[[#This Row],[Code PAS]],'parc SATIN 08012026v'!K:K,'parc SATIN 08012026v'!S:S,0,0)</f>
        <v>création</v>
      </c>
      <c r="AX228" s="250" t="str">
        <f>_xlfn.XLOOKUP(Tableau1[[#This Row],[Code PAS]],'parc SATIN 08012026v'!K:K,'parc SATIN 08012026v'!AF:AF,0,0)</f>
        <v>200 Mb/s</v>
      </c>
      <c r="AY22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200</v>
      </c>
    </row>
    <row r="229" spans="1:52" s="250" customFormat="1" x14ac:dyDescent="0.3">
      <c r="A229" s="250" t="s">
        <v>2743</v>
      </c>
      <c r="C229" s="249"/>
      <c r="D229" s="249"/>
      <c r="E229" s="250" t="s">
        <v>3168</v>
      </c>
      <c r="F229" s="984" t="s">
        <v>2607</v>
      </c>
      <c r="G229" s="250" t="s">
        <v>2800</v>
      </c>
      <c r="H229" s="250" t="s">
        <v>3169</v>
      </c>
      <c r="J229" s="248" t="str">
        <f>_xlfn.XLOOKUP(Tableau1[[#This Row],[Code PAS]],'[13]Parc Satin'!$L:$L,'[13]Parc Satin'!$CK:$CK,0,0)</f>
        <v>Nominal C2E CN2 sans Secours</v>
      </c>
      <c r="P229" s="820">
        <v>0</v>
      </c>
      <c r="Q229" s="820">
        <v>0</v>
      </c>
      <c r="R229" s="820">
        <v>0</v>
      </c>
      <c r="S229" s="820">
        <v>0</v>
      </c>
      <c r="T229" s="824">
        <v>290</v>
      </c>
      <c r="U229" s="824">
        <v>30</v>
      </c>
      <c r="V229" s="824">
        <v>0</v>
      </c>
      <c r="W229" s="824">
        <v>0</v>
      </c>
      <c r="X229" s="823">
        <f>Tableau1[[#This Row],[Coût Abonnement offre]]+Tableau1[[#This Row],[Coût Abonnement Chassis]]+Tableau1[[#This Row],[Cout Cartes interface ]]+Tableau1[[#This Row],[Cout canaux voix supplémentaire]]</f>
        <v>320</v>
      </c>
      <c r="Y229" s="824">
        <v>0</v>
      </c>
      <c r="Z229" s="966">
        <v>0</v>
      </c>
      <c r="AA229" s="966">
        <v>0</v>
      </c>
      <c r="AB229" s="969">
        <v>0</v>
      </c>
      <c r="AC229" s="969">
        <v>0</v>
      </c>
      <c r="AD229" s="969">
        <v>0</v>
      </c>
      <c r="AE229" s="264">
        <v>2</v>
      </c>
      <c r="AF229" s="264">
        <v>20</v>
      </c>
      <c r="AG229" s="264">
        <v>10</v>
      </c>
      <c r="AH229" s="264">
        <v>30</v>
      </c>
      <c r="AI229" s="973">
        <v>9</v>
      </c>
      <c r="AJ229" s="263">
        <v>2</v>
      </c>
      <c r="AK229" s="987">
        <v>20</v>
      </c>
      <c r="AL229" s="263">
        <f>VLOOKUP(Tableau1[[#This Row],[Code PAS]],'Facturation PAS RIN5 RUN'!C:F,4,0)</f>
        <v>0</v>
      </c>
      <c r="AM229" s="263"/>
      <c r="AN229" s="263" t="b">
        <f>ROUND(Tableau1[[#This Row],[Montant Options coûts récurrents]],0)=ROUND(Tableau1[[#This Row],[GTRS1 (Coût Plage de support 24h/24 7j/7)]],0)</f>
        <v>1</v>
      </c>
      <c r="AO229" s="265" t="e">
        <f>_xlfn.XLOOKUP(Tableau1[[#This Row],[Code PAS]],'parc SATIN 08012026v'!K:K,'parc SATIN 08012026v'!#REF!,0,0)</f>
        <v>#REF!</v>
      </c>
      <c r="AP229" s="263" t="e">
        <f>VLOOKUP(Tableau1[[#This Row],[Code PAS]],#REF!,3,0)</f>
        <v>#REF!</v>
      </c>
      <c r="AQ229" s="263" t="e">
        <f>VLOOKUP(Tableau1[[#This Row],[Code PAS]],[14]Feuil1!$B:$G,6,0)</f>
        <v>#N/A</v>
      </c>
      <c r="AR229" s="263" t="str">
        <f>_xlfn.XLOOKUP(Tableau1[[#This Row],[Code PAS]],'Facturation PAS RIN5 RUN'!C:C,'Facturation PAS RIN5 RUN'!B:B,0,0)</f>
        <v>Platinum_Man_2_0</v>
      </c>
      <c r="AS229" s="263" t="b">
        <f>Tableau1[[#This Row],[Etat facturation]]=Tableau1[[#This Row],[Index offre du fournisseur]]</f>
        <v>1</v>
      </c>
      <c r="AT229" s="250" t="str">
        <f>_xlfn.XLOOKUP(Tableau1[[#This Row],[Code PAS]],'parc SATIN 08012026v'!K:K,'parc SATIN 08012026v'!M:M,0,0)</f>
        <v>PARC</v>
      </c>
      <c r="AU229" s="250" t="str">
        <f>_xlfn.XLOOKUP(Tableau1[[#This Row],[Code PAS]],'parc SATIN 08012026v'!K:K,'parc SATIN 08012026v'!O:O,0,0)</f>
        <v>PARC</v>
      </c>
      <c r="AV229" s="251">
        <f>_xlfn.XLOOKUP(Tableau1[[#This Row],[Code PAS]],'parc SATIN 08012026v'!K:K,'parc SATIN 08012026v'!Q:Q,0,0)</f>
        <v>44200</v>
      </c>
      <c r="AW229" s="251" t="str">
        <f>_xlfn.XLOOKUP(Tableau1[[#This Row],[Code PAS]],'parc SATIN 08012026v'!K:K,'parc SATIN 08012026v'!S:S,0,0)</f>
        <v>change</v>
      </c>
      <c r="AX229" s="250" t="str">
        <f>_xlfn.XLOOKUP(Tableau1[[#This Row],[Code PAS]],'parc SATIN 08012026v'!K:K,'parc SATIN 08012026v'!AF:AF,0,0)</f>
        <v>2 Mb/s</v>
      </c>
      <c r="AY229" s="254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2</v>
      </c>
      <c r="AZ229" s="250" t="s">
        <v>2868</v>
      </c>
    </row>
    <row r="230" spans="1:52" s="250" customFormat="1" ht="15" customHeight="1" x14ac:dyDescent="0.3">
      <c r="A230" s="248" t="s">
        <v>2735</v>
      </c>
      <c r="B230" s="248"/>
      <c r="C230" s="249"/>
      <c r="D230" s="249"/>
      <c r="E230" s="250" t="s">
        <v>3170</v>
      </c>
      <c r="F230" s="984" t="s">
        <v>548</v>
      </c>
      <c r="G230" s="250" t="s">
        <v>2748</v>
      </c>
      <c r="H230" s="250" t="s">
        <v>2748</v>
      </c>
      <c r="I230" s="250" t="s">
        <v>2817</v>
      </c>
      <c r="J230" s="248" t="str">
        <f>_xlfn.XLOOKUP(Tableau1[[#This Row],[Code PAS]],'[13]Parc Satin'!$L:$L,'[13]Parc Satin'!$CK:$CK,0,0)</f>
        <v>Nominal C2E Fibre Secours C2E Fibre</v>
      </c>
      <c r="K230" s="250" t="s">
        <v>2820</v>
      </c>
      <c r="L230" s="250">
        <v>300</v>
      </c>
      <c r="M230" s="250">
        <v>50</v>
      </c>
      <c r="N230" s="250">
        <v>1</v>
      </c>
      <c r="O230" s="250" t="s">
        <v>74</v>
      </c>
      <c r="P230" s="824">
        <v>0</v>
      </c>
      <c r="Q230" s="824">
        <v>0</v>
      </c>
      <c r="R230" s="824">
        <v>0</v>
      </c>
      <c r="S230" s="824">
        <v>0</v>
      </c>
      <c r="T230" s="824">
        <v>2384</v>
      </c>
      <c r="U230" s="824">
        <v>71</v>
      </c>
      <c r="V230" s="824">
        <v>48</v>
      </c>
      <c r="W230" s="824">
        <v>5</v>
      </c>
      <c r="X230" s="824">
        <f>Tableau1[[#This Row],[Coût Abonnement offre]]+Tableau1[[#This Row],[Coût Abonnement Chassis]]+Tableau1[[#This Row],[Cout Cartes interface ]]+Tableau1[[#This Row],[Cout canaux voix supplémentaire]]</f>
        <v>2508</v>
      </c>
      <c r="Y230" s="824">
        <v>0</v>
      </c>
      <c r="Z230" s="966">
        <v>0</v>
      </c>
      <c r="AA230" s="966">
        <v>0</v>
      </c>
      <c r="AB230" s="969">
        <v>0</v>
      </c>
      <c r="AC230" s="969">
        <v>0</v>
      </c>
      <c r="AD230" s="969">
        <v>0</v>
      </c>
      <c r="AE230" s="264">
        <v>20</v>
      </c>
      <c r="AF230" s="264">
        <v>300</v>
      </c>
      <c r="AG230" s="264">
        <v>50</v>
      </c>
      <c r="AH230" s="264">
        <v>350</v>
      </c>
      <c r="AI230" s="973">
        <v>5</v>
      </c>
      <c r="AJ230" s="263">
        <v>20</v>
      </c>
      <c r="AK230" s="987">
        <v>350</v>
      </c>
      <c r="AL230" s="263">
        <f>VLOOKUP(Tableau1[[#This Row],[Code PAS]],'Facturation PAS RIN5 RUN'!C:F,4,0)</f>
        <v>48</v>
      </c>
      <c r="AM230" s="263"/>
      <c r="AN230" s="263" t="b">
        <f>ROUND(Tableau1[[#This Row],[Montant Options coûts récurrents]],0)=ROUND(Tableau1[[#This Row],[GTRS1 (Coût Plage de support 24h/24 7j/7)]],0)</f>
        <v>0</v>
      </c>
      <c r="AO230" s="265" t="e">
        <f>_xlfn.XLOOKUP(Tableau1[[#This Row],[Code PAS]],'parc SATIN 08012026v'!K:K,'parc SATIN 08012026v'!#REF!,0,0)</f>
        <v>#REF!</v>
      </c>
      <c r="AP230" s="263" t="e">
        <f>VLOOKUP(Tableau1[[#This Row],[Code PAS]],#REF!,3,0)</f>
        <v>#REF!</v>
      </c>
      <c r="AQ230" s="263" t="e">
        <f>VLOOKUP(Tableau1[[#This Row],[Code PAS]],[14]Feuil1!$B:$G,6,0)</f>
        <v>#N/A</v>
      </c>
      <c r="AR230" s="263" t="str">
        <f>_xlfn.XLOOKUP(Tableau1[[#This Row],[Code PAS]],'Facturation PAS RIN5 RUN'!C:C,'Facturation PAS RIN5 RUN'!B:B,0,0)</f>
        <v>Gold_20_20</v>
      </c>
      <c r="AS230" s="263" t="b">
        <f>Tableau1[[#This Row],[Etat facturation]]=Tableau1[[#This Row],[Index offre du fournisseur]]</f>
        <v>1</v>
      </c>
      <c r="AT230" s="250" t="str">
        <f>_xlfn.XLOOKUP(Tableau1[[#This Row],[Code PAS]],'parc SATIN 08012026v'!K:K,'parc SATIN 08012026v'!M:M,0,0)</f>
        <v>PARC</v>
      </c>
      <c r="AU230" s="250" t="str">
        <f>_xlfn.XLOOKUP(Tableau1[[#This Row],[Code PAS]],'parc SATIN 08012026v'!K:K,'parc SATIN 08012026v'!O:O,0,0)</f>
        <v>PARC</v>
      </c>
      <c r="AV230" s="251">
        <f>_xlfn.XLOOKUP(Tableau1[[#This Row],[Code PAS]],'parc SATIN 08012026v'!K:K,'parc SATIN 08012026v'!Q:Q,0,0)</f>
        <v>45630</v>
      </c>
      <c r="AW230" s="251" t="str">
        <f>_xlfn.XLOOKUP(Tableau1[[#This Row],[Code PAS]],'parc SATIN 08012026v'!K:K,'parc SATIN 08012026v'!S:S,0,0)</f>
        <v>change</v>
      </c>
      <c r="AX230" s="250" t="str">
        <f>_xlfn.XLOOKUP(Tableau1[[#This Row],[Code PAS]],'parc SATIN 08012026v'!K:K,'parc SATIN 08012026v'!AF:AF,0,0)</f>
        <v>20 Mb/s</v>
      </c>
      <c r="AY23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31" spans="1:52" s="250" customFormat="1" ht="15" customHeight="1" x14ac:dyDescent="0.3">
      <c r="A231" s="250" t="s">
        <v>2743</v>
      </c>
      <c r="C231" s="249"/>
      <c r="D231" s="249"/>
      <c r="E231" s="250" t="s">
        <v>3171</v>
      </c>
      <c r="F231" s="984" t="s">
        <v>2427</v>
      </c>
      <c r="G231" s="250" t="s">
        <v>2871</v>
      </c>
      <c r="H231" s="250" t="s">
        <v>2871</v>
      </c>
      <c r="I231" s="250" t="s">
        <v>2817</v>
      </c>
      <c r="J231" s="248" t="str">
        <f>_xlfn.XLOOKUP(Tableau1[[#This Row],[Code PAS]],'[13]Parc Satin'!$L:$L,'[13]Parc Satin'!$CK:$CK,0,0)</f>
        <v>Nominal C2E Fibre sans Secours</v>
      </c>
      <c r="L231" s="250">
        <v>500</v>
      </c>
      <c r="M231" s="250">
        <v>400</v>
      </c>
      <c r="O231" s="250" t="s">
        <v>74</v>
      </c>
      <c r="P231" s="824">
        <v>0</v>
      </c>
      <c r="Q231" s="824">
        <v>0</v>
      </c>
      <c r="R231" s="824">
        <v>0</v>
      </c>
      <c r="S231" s="824">
        <v>0</v>
      </c>
      <c r="T231" s="824">
        <v>1716</v>
      </c>
      <c r="U231" s="824">
        <v>47</v>
      </c>
      <c r="V231" s="824">
        <v>8</v>
      </c>
      <c r="W231" s="824">
        <v>36</v>
      </c>
      <c r="X231" s="824">
        <f>Tableau1[[#This Row],[Coût Abonnement offre]]+Tableau1[[#This Row],[Coût Abonnement Chassis]]+Tableau1[[#This Row],[Cout Cartes interface ]]+Tableau1[[#This Row],[Cout canaux voix supplémentaire]]</f>
        <v>1807</v>
      </c>
      <c r="Y231" s="824">
        <v>0</v>
      </c>
      <c r="Z231" s="966">
        <v>0</v>
      </c>
      <c r="AA231" s="966">
        <v>0</v>
      </c>
      <c r="AB231" s="969">
        <v>0</v>
      </c>
      <c r="AC231" s="969">
        <v>0</v>
      </c>
      <c r="AD231" s="969">
        <v>0</v>
      </c>
      <c r="AE231" s="264">
        <v>50</v>
      </c>
      <c r="AF231" s="264">
        <v>500</v>
      </c>
      <c r="AG231" s="264">
        <v>400</v>
      </c>
      <c r="AH231" s="264">
        <v>900</v>
      </c>
      <c r="AI231" s="973">
        <v>36</v>
      </c>
      <c r="AJ231" s="263">
        <v>50</v>
      </c>
      <c r="AK231" s="987">
        <v>900</v>
      </c>
      <c r="AL231" s="263">
        <f>VLOOKUP(Tableau1[[#This Row],[Code PAS]],'Facturation PAS RIN5 RUN'!C:F,4,0)</f>
        <v>8</v>
      </c>
      <c r="AM231" s="263"/>
      <c r="AN231" s="263" t="b">
        <f>ROUND(Tableau1[[#This Row],[Montant Options coûts récurrents]],0)=ROUND(Tableau1[[#This Row],[GTRS1 (Coût Plage de support 24h/24 7j/7)]],0)</f>
        <v>0</v>
      </c>
      <c r="AO231" s="265" t="e">
        <f>_xlfn.XLOOKUP(Tableau1[[#This Row],[Code PAS]],'parc SATIN 08012026v'!K:K,'parc SATIN 08012026v'!#REF!,0,0)</f>
        <v>#REF!</v>
      </c>
      <c r="AP231" s="263" t="e">
        <f>VLOOKUP(Tableau1[[#This Row],[Code PAS]],#REF!,3,0)</f>
        <v>#REF!</v>
      </c>
      <c r="AQ231" s="263" t="e">
        <f>VLOOKUP(Tableau1[[#This Row],[Code PAS]],[14]Feuil1!$B:$G,6,0)</f>
        <v>#N/A</v>
      </c>
      <c r="AR231" s="263" t="str">
        <f>_xlfn.XLOOKUP(Tableau1[[#This Row],[Code PAS]],'Facturation PAS RIN5 RUN'!C:C,'Facturation PAS RIN5 RUN'!B:B,0,0)</f>
        <v>Platinum_Man_50_0</v>
      </c>
      <c r="AS231" s="263" t="b">
        <f>Tableau1[[#This Row],[Etat facturation]]=Tableau1[[#This Row],[Index offre du fournisseur]]</f>
        <v>1</v>
      </c>
      <c r="AT231" s="250" t="str">
        <f>_xlfn.XLOOKUP(Tableau1[[#This Row],[Code PAS]],'parc SATIN 08012026v'!K:K,'parc SATIN 08012026v'!M:M,0,0)</f>
        <v>PARC</v>
      </c>
      <c r="AU231" s="250" t="str">
        <f>_xlfn.XLOOKUP(Tableau1[[#This Row],[Code PAS]],'parc SATIN 08012026v'!K:K,'parc SATIN 08012026v'!O:O,0,0)</f>
        <v>PARC</v>
      </c>
      <c r="AV231" s="251">
        <f>_xlfn.XLOOKUP(Tableau1[[#This Row],[Code PAS]],'parc SATIN 08012026v'!K:K,'parc SATIN 08012026v'!Q:Q,0,0)</f>
        <v>45208</v>
      </c>
      <c r="AW231" s="251" t="str">
        <f>_xlfn.XLOOKUP(Tableau1[[#This Row],[Code PAS]],'parc SATIN 08012026v'!K:K,'parc SATIN 08012026v'!S:S,0,0)</f>
        <v>change</v>
      </c>
      <c r="AX231" s="250" t="str">
        <f>_xlfn.XLOOKUP(Tableau1[[#This Row],[Code PAS]],'parc SATIN 08012026v'!K:K,'parc SATIN 08012026v'!AF:AF,0,0)</f>
        <v>50 Mb/s</v>
      </c>
      <c r="AY231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50</v>
      </c>
    </row>
    <row r="232" spans="1:52" s="250" customFormat="1" ht="15" customHeight="1" x14ac:dyDescent="0.3">
      <c r="A232" s="250" t="s">
        <v>2739</v>
      </c>
      <c r="C232" s="249"/>
      <c r="D232" s="249"/>
      <c r="E232" s="250" t="s">
        <v>3173</v>
      </c>
      <c r="F232" s="984" t="s">
        <v>1502</v>
      </c>
      <c r="G232" s="250" t="s">
        <v>2800</v>
      </c>
      <c r="H232" s="250" t="s">
        <v>2867</v>
      </c>
      <c r="J232" s="248" t="str">
        <f>_xlfn.XLOOKUP(Tableau1[[#This Row],[Code PAS]],'[13]Parc Satin'!$L:$L,'[13]Parc Satin'!$CK:$CK,0,0)</f>
        <v>Nominal C2E CN2 sans Secours</v>
      </c>
      <c r="P232" s="820">
        <v>0</v>
      </c>
      <c r="Q232" s="820">
        <v>0</v>
      </c>
      <c r="R232" s="820">
        <v>0</v>
      </c>
      <c r="S232" s="820">
        <v>0</v>
      </c>
      <c r="T232" s="824">
        <v>290</v>
      </c>
      <c r="U232" s="824">
        <v>12</v>
      </c>
      <c r="V232" s="824">
        <v>18</v>
      </c>
      <c r="W232" s="824">
        <v>0</v>
      </c>
      <c r="X232" s="823">
        <f>Tableau1[[#This Row],[Coût Abonnement offre]]+Tableau1[[#This Row],[Coût Abonnement Chassis]]+Tableau1[[#This Row],[Cout Cartes interface ]]+Tableau1[[#This Row],[Cout canaux voix supplémentaire]]</f>
        <v>320</v>
      </c>
      <c r="Y232" s="824">
        <v>0</v>
      </c>
      <c r="Z232" s="966">
        <v>0</v>
      </c>
      <c r="AA232" s="966">
        <v>0</v>
      </c>
      <c r="AB232" s="969">
        <v>0</v>
      </c>
      <c r="AC232" s="969">
        <v>0</v>
      </c>
      <c r="AD232" s="969">
        <v>0</v>
      </c>
      <c r="AE232" s="264">
        <v>2</v>
      </c>
      <c r="AF232" s="264">
        <v>20</v>
      </c>
      <c r="AG232" s="264">
        <v>10</v>
      </c>
      <c r="AH232" s="264">
        <v>30</v>
      </c>
      <c r="AI232" s="973">
        <v>9</v>
      </c>
      <c r="AJ232" s="263">
        <v>2</v>
      </c>
      <c r="AK232" s="987">
        <v>20</v>
      </c>
      <c r="AL232" s="263">
        <f>VLOOKUP(Tableau1[[#This Row],[Code PAS]],'Facturation PAS RIN5 RUN'!C:F,4,0)</f>
        <v>18</v>
      </c>
      <c r="AM232" s="263"/>
      <c r="AN232" s="263" t="b">
        <f>ROUND(Tableau1[[#This Row],[Montant Options coûts récurrents]],0)=ROUND(Tableau1[[#This Row],[GTRS1 (Coût Plage de support 24h/24 7j/7)]],0)</f>
        <v>0</v>
      </c>
      <c r="AO232" s="265" t="e">
        <f>_xlfn.XLOOKUP(Tableau1[[#This Row],[Code PAS]],'parc SATIN 08012026v'!K:K,'parc SATIN 08012026v'!#REF!,0,0)</f>
        <v>#REF!</v>
      </c>
      <c r="AP232" s="263" t="e">
        <f>VLOOKUP(Tableau1[[#This Row],[Code PAS]],#REF!,3,0)</f>
        <v>#REF!</v>
      </c>
      <c r="AQ232" s="263" t="e">
        <f>VLOOKUP(Tableau1[[#This Row],[Code PAS]],[14]Feuil1!$B:$G,6,0)</f>
        <v>#N/A</v>
      </c>
      <c r="AR232" s="263" t="str">
        <f>_xlfn.XLOOKUP(Tableau1[[#This Row],[Code PAS]],'Facturation PAS RIN5 RUN'!C:C,'Facturation PAS RIN5 RUN'!B:B,0,0)</f>
        <v>Bronze_2_0</v>
      </c>
      <c r="AS232" s="263" t="b">
        <f>Tableau1[[#This Row],[Etat facturation]]=Tableau1[[#This Row],[Index offre du fournisseur]]</f>
        <v>1</v>
      </c>
      <c r="AT232" s="250" t="str">
        <f>_xlfn.XLOOKUP(Tableau1[[#This Row],[Code PAS]],'parc SATIN 08012026v'!K:K,'parc SATIN 08012026v'!M:M,0,0)</f>
        <v>PARC</v>
      </c>
      <c r="AU232" s="250" t="str">
        <f>_xlfn.XLOOKUP(Tableau1[[#This Row],[Code PAS]],'parc SATIN 08012026v'!K:K,'parc SATIN 08012026v'!O:O,0,0)</f>
        <v>PARC</v>
      </c>
      <c r="AV232" s="251">
        <f>_xlfn.XLOOKUP(Tableau1[[#This Row],[Code PAS]],'parc SATIN 08012026v'!K:K,'parc SATIN 08012026v'!Q:Q,0,0)</f>
        <v>43986</v>
      </c>
      <c r="AW232" s="251" t="str">
        <f>_xlfn.XLOOKUP(Tableau1[[#This Row],[Code PAS]],'parc SATIN 08012026v'!K:K,'parc SATIN 08012026v'!S:S,0,0)</f>
        <v>création</v>
      </c>
      <c r="AX232" s="250" t="str">
        <f>_xlfn.XLOOKUP(Tableau1[[#This Row],[Code PAS]],'parc SATIN 08012026v'!K:K,'parc SATIN 08012026v'!AF:AF,0,0)</f>
        <v>2 Mb/s</v>
      </c>
      <c r="AY23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232" s="250" t="s">
        <v>2868</v>
      </c>
    </row>
    <row r="233" spans="1:52" s="250" customFormat="1" ht="15" customHeight="1" x14ac:dyDescent="0.3">
      <c r="A233" s="250" t="s">
        <v>2758</v>
      </c>
      <c r="C233" s="249"/>
      <c r="D233" s="249"/>
      <c r="E233" s="250" t="s">
        <v>3174</v>
      </c>
      <c r="F233" s="984" t="s">
        <v>2340</v>
      </c>
      <c r="H233" s="250" t="s">
        <v>2991</v>
      </c>
      <c r="J233" s="248" t="str">
        <f>_xlfn.XLOOKUP(Tableau1[[#This Row],[Code PAS]],'[13]Parc Satin'!$L:$L,'[13]Parc Satin'!$CK:$CK,0,0)</f>
        <v>Nominal C2E Fibre sans Secours</v>
      </c>
      <c r="P233" s="820">
        <v>0</v>
      </c>
      <c r="Q233" s="820">
        <v>0</v>
      </c>
      <c r="R233" s="820">
        <v>0</v>
      </c>
      <c r="S233" s="820">
        <v>0</v>
      </c>
      <c r="T233" s="824">
        <v>675</v>
      </c>
      <c r="U233" s="824">
        <v>30</v>
      </c>
      <c r="V233" s="824">
        <v>8</v>
      </c>
      <c r="W233" s="825">
        <v>0</v>
      </c>
      <c r="X233" s="823">
        <f>Tableau1[[#This Row],[Coût Abonnement offre]]+Tableau1[[#This Row],[Coût Abonnement Chassis]]+Tableau1[[#This Row],[Cout Cartes interface ]]+Tableau1[[#This Row],[Cout canaux voix supplémentaire]]</f>
        <v>713</v>
      </c>
      <c r="Y233" s="824">
        <v>0</v>
      </c>
      <c r="Z233" s="966">
        <v>0</v>
      </c>
      <c r="AA233" s="966">
        <v>0</v>
      </c>
      <c r="AB233" s="969">
        <v>0</v>
      </c>
      <c r="AC233" s="969">
        <v>0</v>
      </c>
      <c r="AD233" s="969">
        <v>0</v>
      </c>
      <c r="AE233" s="264">
        <v>20</v>
      </c>
      <c r="AF233" s="264">
        <v>300</v>
      </c>
      <c r="AG233" s="264">
        <v>50</v>
      </c>
      <c r="AH233" s="264">
        <v>350</v>
      </c>
      <c r="AI233" s="973">
        <v>5</v>
      </c>
      <c r="AJ233" s="263">
        <v>50</v>
      </c>
      <c r="AK233" s="987">
        <v>900</v>
      </c>
      <c r="AL233" s="263">
        <f>VLOOKUP(Tableau1[[#This Row],[Code PAS]],'Facturation PAS RIN5 RUN'!C:F,4,0)</f>
        <v>8</v>
      </c>
      <c r="AM233" s="263"/>
      <c r="AN233" s="263" t="b">
        <f>ROUND(Tableau1[[#This Row],[Montant Options coûts récurrents]],0)=ROUND(Tableau1[[#This Row],[GTRS1 (Coût Plage de support 24h/24 7j/7)]],0)</f>
        <v>0</v>
      </c>
      <c r="AO233" s="265" t="e">
        <f>_xlfn.XLOOKUP(Tableau1[[#This Row],[Code PAS]],'parc SATIN 08012026v'!K:K,'parc SATIN 08012026v'!#REF!,0,0)</f>
        <v>#REF!</v>
      </c>
      <c r="AP233" s="263" t="e">
        <f>VLOOKUP(Tableau1[[#This Row],[Code PAS]],#REF!,3,0)</f>
        <v>#REF!</v>
      </c>
      <c r="AQ233" s="263" t="e">
        <f>VLOOKUP(Tableau1[[#This Row],[Code PAS]],[14]Feuil1!$B:$G,6,0)</f>
        <v>#N/A</v>
      </c>
      <c r="AR233" s="263" t="str">
        <f>_xlfn.XLOOKUP(Tableau1[[#This Row],[Code PAS]],'Facturation PAS RIN5 RUN'!C:C,'Facturation PAS RIN5 RUN'!B:B,0,0)</f>
        <v>Platinum_Man_20_0</v>
      </c>
      <c r="AS233" s="263" t="b">
        <f>Tableau1[[#This Row],[Etat facturation]]=Tableau1[[#This Row],[Index offre du fournisseur]]</f>
        <v>1</v>
      </c>
      <c r="AT233" s="250" t="str">
        <f>_xlfn.XLOOKUP(Tableau1[[#This Row],[Code PAS]],'parc SATIN 08012026v'!K:K,'parc SATIN 08012026v'!M:M,0,0)</f>
        <v>PARC</v>
      </c>
      <c r="AU233" s="250" t="str">
        <f>_xlfn.XLOOKUP(Tableau1[[#This Row],[Code PAS]],'parc SATIN 08012026v'!K:K,'parc SATIN 08012026v'!O:O,0,0)</f>
        <v>EN COURS</v>
      </c>
      <c r="AV233" s="251">
        <f>_xlfn.XLOOKUP(Tableau1[[#This Row],[Code PAS]],'parc SATIN 08012026v'!K:K,'parc SATIN 08012026v'!Q:Q,0,0)</f>
        <v>0</v>
      </c>
      <c r="AW233" s="251" t="str">
        <f>_xlfn.XLOOKUP(Tableau1[[#This Row],[Code PAS]],'parc SATIN 08012026v'!K:K,'parc SATIN 08012026v'!S:S,0,0)</f>
        <v>change</v>
      </c>
      <c r="AX233" s="250" t="str">
        <f>_xlfn.XLOOKUP(Tableau1[[#This Row],[Code PAS]],'parc SATIN 08012026v'!K:K,'parc SATIN 08012026v'!AF:AF,0,0)</f>
        <v>50 Mb/s</v>
      </c>
      <c r="AY233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20</v>
      </c>
      <c r="AZ233" s="250" t="s">
        <v>2868</v>
      </c>
    </row>
    <row r="234" spans="1:52" s="250" customFormat="1" ht="15" customHeight="1" x14ac:dyDescent="0.3">
      <c r="A234" s="250" t="s">
        <v>2743</v>
      </c>
      <c r="C234" s="249"/>
      <c r="D234" s="249">
        <v>45735</v>
      </c>
      <c r="E234" s="250" t="s">
        <v>3175</v>
      </c>
      <c r="F234" s="984" t="s">
        <v>1242</v>
      </c>
      <c r="G234" s="250" t="s">
        <v>2748</v>
      </c>
      <c r="H234" s="250" t="s">
        <v>2748</v>
      </c>
      <c r="I234" s="250" t="s">
        <v>78</v>
      </c>
      <c r="J234" s="248"/>
      <c r="L234" s="259">
        <v>300</v>
      </c>
      <c r="M234" s="250">
        <v>50</v>
      </c>
      <c r="P234" s="820">
        <v>0</v>
      </c>
      <c r="Q234" s="820">
        <v>0</v>
      </c>
      <c r="R234" s="820">
        <v>0</v>
      </c>
      <c r="S234" s="820">
        <v>0</v>
      </c>
      <c r="T234" s="824">
        <v>1149</v>
      </c>
      <c r="U234" s="824">
        <v>44</v>
      </c>
      <c r="V234" s="824">
        <v>32</v>
      </c>
      <c r="W234" s="824">
        <v>5</v>
      </c>
      <c r="X234" s="823">
        <v>1229.7564263010347</v>
      </c>
      <c r="Y234" s="824">
        <v>0</v>
      </c>
      <c r="Z234" s="966">
        <v>0</v>
      </c>
      <c r="AA234" s="966">
        <v>0</v>
      </c>
      <c r="AB234" s="969">
        <v>0</v>
      </c>
      <c r="AC234" s="969">
        <v>0</v>
      </c>
      <c r="AD234" s="969">
        <v>0</v>
      </c>
      <c r="AE234" s="264">
        <v>20</v>
      </c>
      <c r="AF234" s="264">
        <v>300</v>
      </c>
      <c r="AG234" s="264">
        <v>50</v>
      </c>
      <c r="AH234" s="264">
        <v>350</v>
      </c>
      <c r="AI234" s="973">
        <v>5</v>
      </c>
      <c r="AJ234" s="263">
        <v>20</v>
      </c>
      <c r="AK234" s="987">
        <v>350</v>
      </c>
      <c r="AL234" s="263">
        <f>VLOOKUP(Tableau1[[#This Row],[Code PAS]],'Facturation PAS RIN5 RUN'!C:F,4,0)</f>
        <v>32</v>
      </c>
      <c r="AM234" s="263"/>
      <c r="AN234" s="263" t="b">
        <f>ROUND(Tableau1[[#This Row],[Montant Options coûts récurrents]],0)=ROUND(Tableau1[[#This Row],[GTRS1 (Coût Plage de support 24h/24 7j/7)]],0)</f>
        <v>0</v>
      </c>
      <c r="AO234" s="265" t="e">
        <f>_xlfn.XLOOKUP(Tableau1[[#This Row],[Code PAS]],'parc SATIN 08012026v'!K:K,'parc SATIN 08012026v'!#REF!,0,0)</f>
        <v>#REF!</v>
      </c>
      <c r="AP234" s="263" t="e">
        <f>VLOOKUP(Tableau1[[#This Row],[Code PAS]],#REF!,3,0)</f>
        <v>#REF!</v>
      </c>
      <c r="AQ234" s="263" t="e">
        <f>VLOOKUP(Tableau1[[#This Row],[Code PAS]],[14]Feuil1!$B:$G,6,0)</f>
        <v>#N/A</v>
      </c>
      <c r="AR234" s="263" t="str">
        <f>_xlfn.XLOOKUP(Tableau1[[#This Row],[Code PAS]],'Facturation PAS RIN5 RUN'!C:C,'Facturation PAS RIN5 RUN'!B:B,0,0)</f>
        <v>Gold_20_20</v>
      </c>
      <c r="AS234" s="263" t="b">
        <f>Tableau1[[#This Row],[Etat facturation]]=Tableau1[[#This Row],[Index offre du fournisseur]]</f>
        <v>1</v>
      </c>
      <c r="AT234" s="250" t="str">
        <f>_xlfn.XLOOKUP(Tableau1[[#This Row],[Code PAS]],'parc SATIN 08012026v'!K:K,'parc SATIN 08012026v'!M:M,0,0)</f>
        <v>PARC</v>
      </c>
      <c r="AU234" s="250" t="str">
        <f>_xlfn.XLOOKUP(Tableau1[[#This Row],[Code PAS]],'parc SATIN 08012026v'!K:K,'parc SATIN 08012026v'!O:O,0,0)</f>
        <v>PARC</v>
      </c>
      <c r="AV234" s="251">
        <f>_xlfn.XLOOKUP(Tableau1[[#This Row],[Code PAS]],'parc SATIN 08012026v'!K:K,'parc SATIN 08012026v'!Q:Q,0,0)</f>
        <v>45735</v>
      </c>
      <c r="AW234" s="251" t="str">
        <f>_xlfn.XLOOKUP(Tableau1[[#This Row],[Code PAS]],'parc SATIN 08012026v'!K:K,'parc SATIN 08012026v'!S:S,0,0)</f>
        <v>change</v>
      </c>
      <c r="AX234" s="250" t="str">
        <f>_xlfn.XLOOKUP(Tableau1[[#This Row],[Code PAS]],'parc SATIN 08012026v'!K:K,'parc SATIN 08012026v'!AF:AF,0,0)</f>
        <v>20 Mb/s</v>
      </c>
      <c r="AY23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234" s="250" t="s">
        <v>2842</v>
      </c>
    </row>
    <row r="235" spans="1:52" s="250" customFormat="1" ht="15" customHeight="1" x14ac:dyDescent="0.3">
      <c r="A235" s="250" t="s">
        <v>2743</v>
      </c>
      <c r="C235" s="249"/>
      <c r="D235" s="249"/>
      <c r="E235" s="250" t="s">
        <v>3176</v>
      </c>
      <c r="F235" s="984" t="s">
        <v>961</v>
      </c>
      <c r="H235" s="250" t="s">
        <v>2926</v>
      </c>
      <c r="J235" s="248" t="str">
        <f>_xlfn.XLOOKUP(Tableau1[[#This Row],[Code PAS]],'[13]Parc Satin'!$L:$L,'[13]Parc Satin'!$CK:$CK,0,0)</f>
        <v>Nominal InterLan 1.0 Secours C2E Fibre</v>
      </c>
      <c r="P235" s="820">
        <v>0</v>
      </c>
      <c r="Q235" s="820">
        <v>0</v>
      </c>
      <c r="R235" s="820">
        <v>0</v>
      </c>
      <c r="S235" s="820">
        <v>0</v>
      </c>
      <c r="T235" s="824">
        <v>1665</v>
      </c>
      <c r="U235" s="824">
        <v>239</v>
      </c>
      <c r="V235" s="824">
        <v>16</v>
      </c>
      <c r="W235" s="824">
        <v>171</v>
      </c>
      <c r="X235" s="823">
        <f>Tableau1[[#This Row],[Coût Abonnement offre]]+Tableau1[[#This Row],[Coût Abonnement Chassis]]+Tableau1[[#This Row],[Cout Cartes interface ]]+Tableau1[[#This Row],[Cout canaux voix supplémentaire]]</f>
        <v>2091</v>
      </c>
      <c r="Y235" s="824">
        <v>66</v>
      </c>
      <c r="Z235" s="966">
        <v>0</v>
      </c>
      <c r="AA235" s="966">
        <v>0</v>
      </c>
      <c r="AB235" s="969">
        <v>0</v>
      </c>
      <c r="AC235" s="969">
        <v>0</v>
      </c>
      <c r="AD235" s="969">
        <v>0</v>
      </c>
      <c r="AE235" s="264">
        <v>150</v>
      </c>
      <c r="AF235" s="264">
        <v>700</v>
      </c>
      <c r="AG235" s="264">
        <v>1900</v>
      </c>
      <c r="AH235" s="264">
        <v>2600</v>
      </c>
      <c r="AI235" s="973">
        <v>171</v>
      </c>
      <c r="AJ235" s="263">
        <v>150</v>
      </c>
      <c r="AK235" s="987">
        <v>2600</v>
      </c>
      <c r="AL235" s="263">
        <f>VLOOKUP(Tableau1[[#This Row],[Code PAS]],'Facturation PAS RIN5 RUN'!C:F,4,0)</f>
        <v>16</v>
      </c>
      <c r="AM235" s="263"/>
      <c r="AN235" s="263" t="b">
        <f>ROUND(Tableau1[[#This Row],[Montant Options coûts récurrents]],0)=ROUND(Tableau1[[#This Row],[GTRS1 (Coût Plage de support 24h/24 7j/7)]],0)</f>
        <v>0</v>
      </c>
      <c r="AO235" s="265" t="e">
        <f>_xlfn.XLOOKUP(Tableau1[[#This Row],[Code PAS]],'parc SATIN 08012026v'!K:K,'parc SATIN 08012026v'!#REF!,0,0)</f>
        <v>#REF!</v>
      </c>
      <c r="AP235" s="263" t="e">
        <f>VLOOKUP(Tableau1[[#This Row],[Code PAS]],#REF!,3,0)</f>
        <v>#REF!</v>
      </c>
      <c r="AQ235" s="263" t="e">
        <f>VLOOKUP(Tableau1[[#This Row],[Code PAS]],[14]Feuil1!$B:$G,6,0)</f>
        <v>#N/A</v>
      </c>
      <c r="AR235" s="263" t="str">
        <f>_xlfn.XLOOKUP(Tableau1[[#This Row],[Code PAS]],'Facturation PAS RIN5 RUN'!C:C,'Facturation PAS RIN5 RUN'!B:B,0,0)</f>
        <v>Gold_150_150</v>
      </c>
      <c r="AS235" s="263" t="b">
        <f>Tableau1[[#This Row],[Etat facturation]]=Tableau1[[#This Row],[Index offre du fournisseur]]</f>
        <v>1</v>
      </c>
      <c r="AT235" s="250" t="str">
        <f>_xlfn.XLOOKUP(Tableau1[[#This Row],[Code PAS]],'parc SATIN 08012026v'!K:K,'parc SATIN 08012026v'!M:M,0,0)</f>
        <v>PARC</v>
      </c>
      <c r="AU235" s="250" t="str">
        <f>_xlfn.XLOOKUP(Tableau1[[#This Row],[Code PAS]],'parc SATIN 08012026v'!K:K,'parc SATIN 08012026v'!O:O,0,0)</f>
        <v>CARNET</v>
      </c>
      <c r="AV235" s="251">
        <f>_xlfn.XLOOKUP(Tableau1[[#This Row],[Code PAS]],'parc SATIN 08012026v'!K:K,'parc SATIN 08012026v'!Q:Q,0,0)</f>
        <v>0</v>
      </c>
      <c r="AW235" s="251" t="str">
        <f>_xlfn.XLOOKUP(Tableau1[[#This Row],[Code PAS]],'parc SATIN 08012026v'!K:K,'parc SATIN 08012026v'!S:S,0,0)</f>
        <v>change</v>
      </c>
      <c r="AX235" s="250" t="str">
        <f>_xlfn.XLOOKUP(Tableau1[[#This Row],[Code PAS]],'parc SATIN 08012026v'!K:K,'parc SATIN 08012026v'!AF:AF,0,0)</f>
        <v>150 Mb/s</v>
      </c>
      <c r="AY23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150</v>
      </c>
    </row>
    <row r="236" spans="1:52" s="250" customFormat="1" ht="15" customHeight="1" x14ac:dyDescent="0.3">
      <c r="A236" s="250" t="s">
        <v>2743</v>
      </c>
      <c r="C236" s="249"/>
      <c r="D236" s="249"/>
      <c r="E236" s="250" t="s">
        <v>3177</v>
      </c>
      <c r="F236" s="984" t="s">
        <v>952</v>
      </c>
      <c r="G236" s="250" t="s">
        <v>2813</v>
      </c>
      <c r="H236" s="250" t="s">
        <v>2813</v>
      </c>
      <c r="I236" s="250" t="s">
        <v>78</v>
      </c>
      <c r="J236" s="248" t="s">
        <v>2832</v>
      </c>
      <c r="L236" s="250">
        <v>300</v>
      </c>
      <c r="M236" s="250">
        <v>50</v>
      </c>
      <c r="N236" s="250">
        <v>1</v>
      </c>
      <c r="O236" s="250" t="s">
        <v>74</v>
      </c>
      <c r="P236" s="824"/>
      <c r="Q236" s="824"/>
      <c r="R236" s="824"/>
      <c r="S236" s="824">
        <v>0</v>
      </c>
      <c r="T236" s="824">
        <v>1148.8564263010346</v>
      </c>
      <c r="U236" s="824">
        <v>70.599999999999994</v>
      </c>
      <c r="V236" s="824">
        <v>38.481784972227125</v>
      </c>
      <c r="W236" s="824">
        <v>4.5</v>
      </c>
      <c r="X236" s="824">
        <v>1262.4382112732617</v>
      </c>
      <c r="Y236" s="824"/>
      <c r="Z236" s="966">
        <v>0</v>
      </c>
      <c r="AA236" s="966">
        <v>0</v>
      </c>
      <c r="AB236" s="969">
        <v>0</v>
      </c>
      <c r="AC236" s="969">
        <v>0</v>
      </c>
      <c r="AD236" s="969">
        <v>0</v>
      </c>
      <c r="AE236" s="264">
        <v>20</v>
      </c>
      <c r="AF236" s="264">
        <v>300</v>
      </c>
      <c r="AG236" s="264">
        <v>50</v>
      </c>
      <c r="AH236" s="264">
        <v>350</v>
      </c>
      <c r="AI236" s="973">
        <v>5</v>
      </c>
      <c r="AJ236" s="263">
        <v>20</v>
      </c>
      <c r="AK236" s="987">
        <v>120</v>
      </c>
      <c r="AL236" s="263">
        <f>VLOOKUP(Tableau1[[#This Row],[Code PAS]],'Facturation PAS RIN5 RUN'!C:F,4,0)</f>
        <v>38.481784972227125</v>
      </c>
      <c r="AM236" s="263"/>
      <c r="AN236" s="263" t="b">
        <f>ROUND(Tableau1[[#This Row],[Montant Options coûts récurrents]],0)=ROUND(Tableau1[[#This Row],[GTRS1 (Coût Plage de support 24h/24 7j/7)]],0)</f>
        <v>0</v>
      </c>
      <c r="AO236" s="265" t="e">
        <f>_xlfn.XLOOKUP(Tableau1[[#This Row],[Code PAS]],'parc SATIN 08012026v'!K:K,'parc SATIN 08012026v'!#REF!,0,0)</f>
        <v>#REF!</v>
      </c>
      <c r="AP236" s="263" t="e">
        <f>VLOOKUP(Tableau1[[#This Row],[Code PAS]],#REF!,3,0)</f>
        <v>#REF!</v>
      </c>
      <c r="AQ236" s="263" t="e">
        <f>VLOOKUP(Tableau1[[#This Row],[Code PAS]],[14]Feuil1!$B:$G,6,0)</f>
        <v>#N/A</v>
      </c>
      <c r="AR236" s="263" t="str">
        <f>_xlfn.XLOOKUP(Tableau1[[#This Row],[Code PAS]],'Facturation PAS RIN5 RUN'!C:C,'Facturation PAS RIN5 RUN'!B:B,0,0)</f>
        <v>Silver_20_20</v>
      </c>
      <c r="AS236" s="263" t="b">
        <f>Tableau1[[#This Row],[Etat facturation]]=Tableau1[[#This Row],[Index offre du fournisseur]]</f>
        <v>1</v>
      </c>
      <c r="AT236" s="250" t="str">
        <f>_xlfn.XLOOKUP(Tableau1[[#This Row],[Code PAS]],'parc SATIN 08012026v'!K:K,'parc SATIN 08012026v'!M:M,0,0)</f>
        <v>PARC</v>
      </c>
      <c r="AU236" s="250" t="str">
        <f>_xlfn.XLOOKUP(Tableau1[[#This Row],[Code PAS]],'parc SATIN 08012026v'!K:K,'parc SATIN 08012026v'!O:O,0,0)</f>
        <v>PARC</v>
      </c>
      <c r="AV236" s="251">
        <f>_xlfn.XLOOKUP(Tableau1[[#This Row],[Code PAS]],'parc SATIN 08012026v'!K:K,'parc SATIN 08012026v'!Q:Q,0,0)</f>
        <v>45386</v>
      </c>
      <c r="AW236" s="251" t="str">
        <f>_xlfn.XLOOKUP(Tableau1[[#This Row],[Code PAS]],'parc SATIN 08012026v'!K:K,'parc SATIN 08012026v'!S:S,0,0)</f>
        <v>change</v>
      </c>
      <c r="AX236" s="250" t="str">
        <f>_xlfn.XLOOKUP(Tableau1[[#This Row],[Code PAS]],'parc SATIN 08012026v'!K:K,'parc SATIN 08012026v'!AF:AF,0,0)</f>
        <v>20 Mb/s</v>
      </c>
      <c r="AY23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37" spans="1:52" s="250" customFormat="1" ht="15" customHeight="1" x14ac:dyDescent="0.3">
      <c r="A237" s="250" t="s">
        <v>2758</v>
      </c>
      <c r="C237" s="249"/>
      <c r="D237" s="249"/>
      <c r="E237" s="250" t="s">
        <v>3178</v>
      </c>
      <c r="F237" s="984" t="s">
        <v>2631</v>
      </c>
      <c r="H237" s="250" t="s">
        <v>2991</v>
      </c>
      <c r="J237" s="248" t="str">
        <f>_xlfn.XLOOKUP(Tableau1[[#This Row],[Code PAS]],'[13]Parc Satin'!$L:$L,'[13]Parc Satin'!$CK:$CK,0,0)</f>
        <v>Nominal C2E Fibre sans Secours</v>
      </c>
      <c r="P237" s="820">
        <v>0</v>
      </c>
      <c r="Q237" s="820">
        <v>0</v>
      </c>
      <c r="R237" s="820">
        <v>0</v>
      </c>
      <c r="S237" s="820">
        <v>0</v>
      </c>
      <c r="T237" s="824">
        <v>1288</v>
      </c>
      <c r="U237" s="824">
        <v>30</v>
      </c>
      <c r="V237" s="824">
        <v>8</v>
      </c>
      <c r="W237" s="825">
        <v>0</v>
      </c>
      <c r="X237" s="823">
        <f>Tableau1[[#This Row],[Coût Abonnement offre]]+Tableau1[[#This Row],[Coût Abonnement Chassis]]+Tableau1[[#This Row],[Cout Cartes interface ]]+Tableau1[[#This Row],[Cout canaux voix supplémentaire]]</f>
        <v>1326</v>
      </c>
      <c r="Y237" s="824">
        <v>0</v>
      </c>
      <c r="Z237" s="966">
        <v>0</v>
      </c>
      <c r="AA237" s="966">
        <v>0</v>
      </c>
      <c r="AB237" s="969">
        <v>0</v>
      </c>
      <c r="AC237" s="969">
        <v>0</v>
      </c>
      <c r="AD237" s="969">
        <v>0</v>
      </c>
      <c r="AE237" s="264">
        <v>20</v>
      </c>
      <c r="AF237" s="264">
        <v>300</v>
      </c>
      <c r="AG237" s="264">
        <v>50</v>
      </c>
      <c r="AH237" s="264">
        <v>350</v>
      </c>
      <c r="AI237" s="973">
        <v>5</v>
      </c>
      <c r="AJ237" s="263">
        <v>20</v>
      </c>
      <c r="AK237" s="987">
        <v>300</v>
      </c>
      <c r="AL237" s="263">
        <f>VLOOKUP(Tableau1[[#This Row],[Code PAS]],'Facturation PAS RIN5 RUN'!C:F,4,0)</f>
        <v>8</v>
      </c>
      <c r="AM237" s="263"/>
      <c r="AN237" s="263" t="b">
        <f>ROUND(Tableau1[[#This Row],[Montant Options coûts récurrents]],0)=ROUND(Tableau1[[#This Row],[GTRS1 (Coût Plage de support 24h/24 7j/7)]],0)</f>
        <v>0</v>
      </c>
      <c r="AO237" s="265" t="e">
        <f>_xlfn.XLOOKUP(Tableau1[[#This Row],[Code PAS]],'parc SATIN 08012026v'!K:K,'parc SATIN 08012026v'!#REF!,0,0)</f>
        <v>#REF!</v>
      </c>
      <c r="AP237" s="263" t="e">
        <f>VLOOKUP(Tableau1[[#This Row],[Code PAS]],#REF!,3,0)</f>
        <v>#REF!</v>
      </c>
      <c r="AQ237" s="263" t="e">
        <f>VLOOKUP(Tableau1[[#This Row],[Code PAS]],[14]Feuil1!$B:$G,6,0)</f>
        <v>#N/A</v>
      </c>
      <c r="AR237" s="263" t="str">
        <f>_xlfn.XLOOKUP(Tableau1[[#This Row],[Code PAS]],'Facturation PAS RIN5 RUN'!C:C,'Facturation PAS RIN5 RUN'!B:B,0,0)</f>
        <v>Platinum_Man_20_0</v>
      </c>
      <c r="AS237" s="263" t="b">
        <f>Tableau1[[#This Row],[Etat facturation]]=Tableau1[[#This Row],[Index offre du fournisseur]]</f>
        <v>1</v>
      </c>
      <c r="AT237" s="250" t="str">
        <f>_xlfn.XLOOKUP(Tableau1[[#This Row],[Code PAS]],'parc SATIN 08012026v'!K:K,'parc SATIN 08012026v'!M:M,0,0)</f>
        <v>PARC</v>
      </c>
      <c r="AU237" s="250" t="str">
        <f>_xlfn.XLOOKUP(Tableau1[[#This Row],[Code PAS]],'parc SATIN 08012026v'!K:K,'parc SATIN 08012026v'!O:O,0,0)</f>
        <v>PARC</v>
      </c>
      <c r="AV237" s="251">
        <f>_xlfn.XLOOKUP(Tableau1[[#This Row],[Code PAS]],'parc SATIN 08012026v'!K:K,'parc SATIN 08012026v'!Q:Q,0,0)</f>
        <v>43931</v>
      </c>
      <c r="AW237" s="251" t="str">
        <f>_xlfn.XLOOKUP(Tableau1[[#This Row],[Code PAS]],'parc SATIN 08012026v'!K:K,'parc SATIN 08012026v'!S:S,0,0)</f>
        <v>change</v>
      </c>
      <c r="AX237" s="250" t="str">
        <f>_xlfn.XLOOKUP(Tableau1[[#This Row],[Code PAS]],'parc SATIN 08012026v'!K:K,'parc SATIN 08012026v'!AF:AF,0,0)</f>
        <v>20 Mb/s</v>
      </c>
      <c r="AY237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20</v>
      </c>
      <c r="AZ237" s="250" t="s">
        <v>2868</v>
      </c>
    </row>
    <row r="238" spans="1:52" s="250" customFormat="1" ht="15" customHeight="1" x14ac:dyDescent="0.3">
      <c r="A238" s="248" t="s">
        <v>2735</v>
      </c>
      <c r="B238" s="248"/>
      <c r="C238" s="249">
        <v>44005</v>
      </c>
      <c r="D238" s="249"/>
      <c r="E238" s="248" t="s">
        <v>3179</v>
      </c>
      <c r="F238" s="984" t="s">
        <v>530</v>
      </c>
      <c r="G238" s="250" t="s">
        <v>2748</v>
      </c>
      <c r="H238" s="250" t="s">
        <v>2748</v>
      </c>
      <c r="I238" s="250" t="s">
        <v>165</v>
      </c>
      <c r="J238" s="248" t="str">
        <f>_xlfn.XLOOKUP(Tableau1[[#This Row],[Code PAS]],'[13]Parc Satin'!$L:$L,'[13]Parc Satin'!$CK:$CK,0,0)</f>
        <v>Nominal C2E Fibre Secours C2E Fibre</v>
      </c>
      <c r="K238" s="250" t="s">
        <v>2820</v>
      </c>
      <c r="L238" s="250">
        <v>300</v>
      </c>
      <c r="M238" s="250">
        <v>50</v>
      </c>
      <c r="N238" s="250">
        <v>1</v>
      </c>
      <c r="O238" s="250" t="s">
        <v>74</v>
      </c>
      <c r="P238" s="824">
        <v>0</v>
      </c>
      <c r="Q238" s="824">
        <v>228</v>
      </c>
      <c r="R238" s="824">
        <v>0</v>
      </c>
      <c r="S238" s="824">
        <v>228</v>
      </c>
      <c r="T238" s="824">
        <v>1149</v>
      </c>
      <c r="U238" s="824">
        <v>44</v>
      </c>
      <c r="V238" s="824">
        <v>80</v>
      </c>
      <c r="W238" s="824">
        <v>5</v>
      </c>
      <c r="X238" s="824">
        <f>Tableau1[[#This Row],[Coût Abonnement offre]]+Tableau1[[#This Row],[Coût Abonnement Chassis]]+Tableau1[[#This Row],[Cout Cartes interface ]]+Tableau1[[#This Row],[Cout canaux voix supplémentaire]]</f>
        <v>1278</v>
      </c>
      <c r="Y238" s="824">
        <v>0</v>
      </c>
      <c r="Z238" s="966">
        <v>0</v>
      </c>
      <c r="AA238" s="966">
        <v>0</v>
      </c>
      <c r="AB238" s="969">
        <v>0</v>
      </c>
      <c r="AC238" s="969">
        <v>0</v>
      </c>
      <c r="AD238" s="969">
        <v>0</v>
      </c>
      <c r="AE238" s="264">
        <v>20</v>
      </c>
      <c r="AF238" s="264">
        <v>300</v>
      </c>
      <c r="AG238" s="264">
        <v>50</v>
      </c>
      <c r="AH238" s="264">
        <v>350</v>
      </c>
      <c r="AI238" s="973">
        <v>5</v>
      </c>
      <c r="AJ238" s="263">
        <v>20</v>
      </c>
      <c r="AK238" s="987">
        <v>350</v>
      </c>
      <c r="AL238" s="263">
        <f>VLOOKUP(Tableau1[[#This Row],[Code PAS]],'Facturation PAS RIN5 RUN'!C:F,4,0)</f>
        <v>80</v>
      </c>
      <c r="AM238" s="263"/>
      <c r="AN238" s="263" t="b">
        <f>ROUND(Tableau1[[#This Row],[Montant Options coûts récurrents]],0)=ROUND(Tableau1[[#This Row],[GTRS1 (Coût Plage de support 24h/24 7j/7)]],0)</f>
        <v>0</v>
      </c>
      <c r="AO238" s="265" t="e">
        <f>_xlfn.XLOOKUP(Tableau1[[#This Row],[Code PAS]],'parc SATIN 08012026v'!K:K,'parc SATIN 08012026v'!#REF!,0,0)</f>
        <v>#REF!</v>
      </c>
      <c r="AP238" s="263" t="e">
        <f>VLOOKUP(Tableau1[[#This Row],[Code PAS]],#REF!,3,0)</f>
        <v>#REF!</v>
      </c>
      <c r="AQ238" s="263" t="e">
        <f>VLOOKUP(Tableau1[[#This Row],[Code PAS]],[14]Feuil1!$B:$G,6,0)</f>
        <v>#N/A</v>
      </c>
      <c r="AR238" s="263" t="str">
        <f>_xlfn.XLOOKUP(Tableau1[[#This Row],[Code PAS]],'Facturation PAS RIN5 RUN'!C:C,'Facturation PAS RIN5 RUN'!B:B,0,0)</f>
        <v>Gold_20_20</v>
      </c>
      <c r="AS238" s="263" t="b">
        <f>Tableau1[[#This Row],[Etat facturation]]=Tableau1[[#This Row],[Index offre du fournisseur]]</f>
        <v>1</v>
      </c>
      <c r="AT238" s="250" t="str">
        <f>_xlfn.XLOOKUP(Tableau1[[#This Row],[Code PAS]],'parc SATIN 08012026v'!K:K,'parc SATIN 08012026v'!M:M,0,0)</f>
        <v>PARC</v>
      </c>
      <c r="AU238" s="250" t="str">
        <f>_xlfn.XLOOKUP(Tableau1[[#This Row],[Code PAS]],'parc SATIN 08012026v'!K:K,'parc SATIN 08012026v'!O:O,0,0)</f>
        <v>PARC</v>
      </c>
      <c r="AV238" s="251">
        <f>_xlfn.XLOOKUP(Tableau1[[#This Row],[Code PAS]],'parc SATIN 08012026v'!K:K,'parc SATIN 08012026v'!Q:Q,0,0)</f>
        <v>44113</v>
      </c>
      <c r="AW238" s="251" t="str">
        <f>_xlfn.XLOOKUP(Tableau1[[#This Row],[Code PAS]],'parc SATIN 08012026v'!K:K,'parc SATIN 08012026v'!S:S,0,0)</f>
        <v>change</v>
      </c>
      <c r="AX238" s="250" t="str">
        <f>_xlfn.XLOOKUP(Tableau1[[#This Row],[Code PAS]],'parc SATIN 08012026v'!K:K,'parc SATIN 08012026v'!AF:AF,0,0)</f>
        <v>20 Mb/s</v>
      </c>
      <c r="AY23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39" spans="1:52" s="250" customFormat="1" ht="15" customHeight="1" x14ac:dyDescent="0.3">
      <c r="A239" s="250" t="s">
        <v>2743</v>
      </c>
      <c r="C239" s="249"/>
      <c r="D239" s="249"/>
      <c r="E239" s="250" t="s">
        <v>3180</v>
      </c>
      <c r="F239" s="984" t="s">
        <v>942</v>
      </c>
      <c r="G239" s="250" t="s">
        <v>2884</v>
      </c>
      <c r="H239" s="250" t="s">
        <v>2884</v>
      </c>
      <c r="I239" s="250" t="s">
        <v>165</v>
      </c>
      <c r="J239" s="248" t="str">
        <f>_xlfn.XLOOKUP(Tableau1[[#This Row],[Code PAS]],'[13]Parc Satin'!$L:$L,'[13]Parc Satin'!$CK:$CK,0,0)</f>
        <v>Nominal C2E Fibre Secours C2E Fibre</v>
      </c>
      <c r="K239" s="250" t="s">
        <v>2814</v>
      </c>
      <c r="L239" s="250">
        <v>200</v>
      </c>
      <c r="M239" s="250">
        <v>60</v>
      </c>
      <c r="N239" s="250">
        <v>1</v>
      </c>
      <c r="O239" s="250" t="s">
        <v>77</v>
      </c>
      <c r="P239" s="820">
        <v>0</v>
      </c>
      <c r="Q239" s="820">
        <v>0</v>
      </c>
      <c r="R239" s="820">
        <v>0</v>
      </c>
      <c r="S239" s="820">
        <v>0</v>
      </c>
      <c r="T239" s="824">
        <v>1027</v>
      </c>
      <c r="U239" s="824">
        <v>44</v>
      </c>
      <c r="V239" s="824">
        <v>32</v>
      </c>
      <c r="W239" s="824">
        <v>5</v>
      </c>
      <c r="X239" s="823">
        <f>Tableau1[[#This Row],[Coût Abonnement offre]]+Tableau1[[#This Row],[Coût Abonnement Chassis]]+Tableau1[[#This Row],[Cout Cartes interface ]]+Tableau1[[#This Row],[Cout canaux voix supplémentaire]]</f>
        <v>1108</v>
      </c>
      <c r="Y239" s="824">
        <v>0</v>
      </c>
      <c r="Z239" s="966">
        <v>0</v>
      </c>
      <c r="AA239" s="966">
        <v>0</v>
      </c>
      <c r="AB239" s="969">
        <v>0</v>
      </c>
      <c r="AC239" s="969">
        <v>0</v>
      </c>
      <c r="AD239" s="969">
        <v>0</v>
      </c>
      <c r="AE239" s="264">
        <v>15</v>
      </c>
      <c r="AF239" s="264">
        <v>200</v>
      </c>
      <c r="AG239" s="264">
        <v>60</v>
      </c>
      <c r="AH239" s="264">
        <v>260</v>
      </c>
      <c r="AI239" s="973">
        <v>5</v>
      </c>
      <c r="AJ239" s="263">
        <v>15</v>
      </c>
      <c r="AK239" s="987">
        <v>260</v>
      </c>
      <c r="AL239" s="263">
        <f>VLOOKUP(Tableau1[[#This Row],[Code PAS]],'Facturation PAS RIN5 RUN'!C:F,4,0)</f>
        <v>32</v>
      </c>
      <c r="AM239" s="263"/>
      <c r="AN239" s="263" t="b">
        <f>ROUND(Tableau1[[#This Row],[Montant Options coûts récurrents]],0)=ROUND(Tableau1[[#This Row],[GTRS1 (Coût Plage de support 24h/24 7j/7)]],0)</f>
        <v>0</v>
      </c>
      <c r="AO239" s="265" t="e">
        <f>_xlfn.XLOOKUP(Tableau1[[#This Row],[Code PAS]],'parc SATIN 08012026v'!K:K,'parc SATIN 08012026v'!#REF!,0,0)</f>
        <v>#REF!</v>
      </c>
      <c r="AP239" s="263" t="e">
        <f>VLOOKUP(Tableau1[[#This Row],[Code PAS]],#REF!,3,0)</f>
        <v>#REF!</v>
      </c>
      <c r="AQ239" s="263" t="e">
        <f>VLOOKUP(Tableau1[[#This Row],[Code PAS]],[14]Feuil1!$B:$G,6,0)</f>
        <v>#N/A</v>
      </c>
      <c r="AR239" s="263" t="str">
        <f>_xlfn.XLOOKUP(Tableau1[[#This Row],[Code PAS]],'Facturation PAS RIN5 RUN'!C:C,'Facturation PAS RIN5 RUN'!B:B,0,0)</f>
        <v>Gold_15_15</v>
      </c>
      <c r="AS239" s="263" t="b">
        <f>Tableau1[[#This Row],[Etat facturation]]=Tableau1[[#This Row],[Index offre du fournisseur]]</f>
        <v>1</v>
      </c>
      <c r="AT239" s="250" t="str">
        <f>_xlfn.XLOOKUP(Tableau1[[#This Row],[Code PAS]],'parc SATIN 08012026v'!K:K,'parc SATIN 08012026v'!M:M,0,0)</f>
        <v>PARC</v>
      </c>
      <c r="AU239" s="250" t="str">
        <f>_xlfn.XLOOKUP(Tableau1[[#This Row],[Code PAS]],'parc SATIN 08012026v'!K:K,'parc SATIN 08012026v'!O:O,0,0)</f>
        <v>PARC</v>
      </c>
      <c r="AV239" s="251">
        <f>_xlfn.XLOOKUP(Tableau1[[#This Row],[Code PAS]],'parc SATIN 08012026v'!K:K,'parc SATIN 08012026v'!Q:Q,0,0)</f>
        <v>45334</v>
      </c>
      <c r="AW239" s="251" t="str">
        <f>_xlfn.XLOOKUP(Tableau1[[#This Row],[Code PAS]],'parc SATIN 08012026v'!K:K,'parc SATIN 08012026v'!S:S,0,0)</f>
        <v>change</v>
      </c>
      <c r="AX239" s="250" t="str">
        <f>_xlfn.XLOOKUP(Tableau1[[#This Row],[Code PAS]],'parc SATIN 08012026v'!K:K,'parc SATIN 08012026v'!AF:AF,0,0)</f>
        <v>15 Mb/s</v>
      </c>
      <c r="AY23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15</v>
      </c>
    </row>
    <row r="240" spans="1:52" s="250" customFormat="1" ht="15" customHeight="1" x14ac:dyDescent="0.3">
      <c r="A240" s="250" t="s">
        <v>2743</v>
      </c>
      <c r="C240" s="249"/>
      <c r="D240" s="249"/>
      <c r="E240" s="250" t="s">
        <v>3181</v>
      </c>
      <c r="F240" s="984" t="s">
        <v>2477</v>
      </c>
      <c r="G240" s="250" t="s">
        <v>2800</v>
      </c>
      <c r="H240" s="250" t="s">
        <v>2867</v>
      </c>
      <c r="J240" s="248" t="str">
        <f>_xlfn.XLOOKUP(Tableau1[[#This Row],[Code PAS]],'[13]Parc Satin'!$L:$L,'[13]Parc Satin'!$CK:$CK,0,0)</f>
        <v>Nominal C2E sans Secours</v>
      </c>
      <c r="P240" s="820">
        <v>0</v>
      </c>
      <c r="Q240" s="820">
        <v>0</v>
      </c>
      <c r="R240" s="820">
        <v>0</v>
      </c>
      <c r="S240" s="820">
        <v>0</v>
      </c>
      <c r="T240" s="824">
        <v>290</v>
      </c>
      <c r="U240" s="824">
        <v>12</v>
      </c>
      <c r="V240" s="824">
        <v>0</v>
      </c>
      <c r="W240" s="824">
        <v>0</v>
      </c>
      <c r="X240" s="823">
        <f>Tableau1[[#This Row],[Coût Abonnement offre]]+Tableau1[[#This Row],[Coût Abonnement Chassis]]+Tableau1[[#This Row],[Cout Cartes interface ]]+Tableau1[[#This Row],[Cout canaux voix supplémentaire]]</f>
        <v>302</v>
      </c>
      <c r="Y240" s="824">
        <v>0</v>
      </c>
      <c r="Z240" s="966">
        <v>0</v>
      </c>
      <c r="AA240" s="966">
        <v>0</v>
      </c>
      <c r="AB240" s="969">
        <v>0</v>
      </c>
      <c r="AC240" s="969">
        <v>0</v>
      </c>
      <c r="AD240" s="969">
        <v>0</v>
      </c>
      <c r="AE240" s="264">
        <v>2</v>
      </c>
      <c r="AF240" s="264">
        <v>20</v>
      </c>
      <c r="AG240" s="264">
        <v>10</v>
      </c>
      <c r="AH240" s="264">
        <v>30</v>
      </c>
      <c r="AI240" s="973">
        <v>9</v>
      </c>
      <c r="AJ240" s="263">
        <v>2</v>
      </c>
      <c r="AK240" s="987">
        <v>20</v>
      </c>
      <c r="AL240" s="263">
        <f>VLOOKUP(Tableau1[[#This Row],[Code PAS]],'Facturation PAS RIN5 RUN'!C:F,4,0)</f>
        <v>0</v>
      </c>
      <c r="AM240" s="263"/>
      <c r="AN240" s="263" t="b">
        <f>ROUND(Tableau1[[#This Row],[Montant Options coûts récurrents]],0)=ROUND(Tableau1[[#This Row],[GTRS1 (Coût Plage de support 24h/24 7j/7)]],0)</f>
        <v>1</v>
      </c>
      <c r="AO240" s="265" t="e">
        <f>_xlfn.XLOOKUP(Tableau1[[#This Row],[Code PAS]],'parc SATIN 08012026v'!K:K,'parc SATIN 08012026v'!#REF!,0,0)</f>
        <v>#REF!</v>
      </c>
      <c r="AP240" s="263" t="e">
        <f>VLOOKUP(Tableau1[[#This Row],[Code PAS]],#REF!,3,0)</f>
        <v>#REF!</v>
      </c>
      <c r="AQ240" s="263" t="e">
        <f>VLOOKUP(Tableau1[[#This Row],[Code PAS]],[14]Feuil1!$B:$G,6,0)</f>
        <v>#N/A</v>
      </c>
      <c r="AR240" s="263" t="str">
        <f>_xlfn.XLOOKUP(Tableau1[[#This Row],[Code PAS]],'Facturation PAS RIN5 RUN'!C:C,'Facturation PAS RIN5 RUN'!B:B,0,0)</f>
        <v>Bronze_2_0</v>
      </c>
      <c r="AS240" s="263" t="b">
        <f>Tableau1[[#This Row],[Etat facturation]]=Tableau1[[#This Row],[Index offre du fournisseur]]</f>
        <v>1</v>
      </c>
      <c r="AT240" s="250" t="str">
        <f>_xlfn.XLOOKUP(Tableau1[[#This Row],[Code PAS]],'parc SATIN 08012026v'!K:K,'parc SATIN 08012026v'!M:M,0,0)</f>
        <v>PARC</v>
      </c>
      <c r="AU240" s="250" t="str">
        <f>_xlfn.XLOOKUP(Tableau1[[#This Row],[Code PAS]],'parc SATIN 08012026v'!K:K,'parc SATIN 08012026v'!O:O,0,0)</f>
        <v>PARC</v>
      </c>
      <c r="AV240" s="251">
        <f>_xlfn.XLOOKUP(Tableau1[[#This Row],[Code PAS]],'parc SATIN 08012026v'!K:K,'parc SATIN 08012026v'!Q:Q,0,0)</f>
        <v>43754</v>
      </c>
      <c r="AW240" s="251" t="str">
        <f>_xlfn.XLOOKUP(Tableau1[[#This Row],[Code PAS]],'parc SATIN 08012026v'!K:K,'parc SATIN 08012026v'!S:S,0,0)</f>
        <v>change</v>
      </c>
      <c r="AX240" s="250" t="str">
        <f>_xlfn.XLOOKUP(Tableau1[[#This Row],[Code PAS]],'parc SATIN 08012026v'!K:K,'parc SATIN 08012026v'!AF:AF,0,0)</f>
        <v>2 Mb/s</v>
      </c>
      <c r="AY24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240" s="250" t="s">
        <v>2868</v>
      </c>
    </row>
    <row r="241" spans="1:52" s="250" customFormat="1" ht="15" customHeight="1" x14ac:dyDescent="0.3">
      <c r="A241" s="248" t="s">
        <v>2735</v>
      </c>
      <c r="B241" s="248"/>
      <c r="C241" s="249"/>
      <c r="D241" s="249"/>
      <c r="E241" s="248" t="s">
        <v>3182</v>
      </c>
      <c r="F241" s="981" t="s">
        <v>521</v>
      </c>
      <c r="H241" s="248" t="s">
        <v>2748</v>
      </c>
      <c r="I241" s="248"/>
      <c r="J241" s="248" t="str">
        <f>_xlfn.XLOOKUP(Tableau1[[#This Row],[Code PAS]],'[13]Parc Satin'!$L:$L,'[13]Parc Satin'!$CK:$CK,0,0)</f>
        <v>Nominal C2E Fibre Secours C2E Fibre</v>
      </c>
      <c r="K241" s="248"/>
      <c r="L241" s="248"/>
      <c r="M241" s="248"/>
      <c r="N241" s="248"/>
      <c r="O241" s="248"/>
      <c r="P241" s="822">
        <v>0</v>
      </c>
      <c r="Q241" s="822">
        <v>0</v>
      </c>
      <c r="R241" s="822">
        <v>0</v>
      </c>
      <c r="S241" s="822">
        <v>0</v>
      </c>
      <c r="T241" s="823">
        <v>1149</v>
      </c>
      <c r="U241" s="823">
        <v>71</v>
      </c>
      <c r="V241" s="823">
        <v>16</v>
      </c>
      <c r="W241" s="823">
        <v>5</v>
      </c>
      <c r="X241" s="823">
        <f>Tableau1[[#This Row],[Coût Abonnement offre]]+Tableau1[[#This Row],[Coût Abonnement Chassis]]+Tableau1[[#This Row],[Cout Cartes interface ]]+Tableau1[[#This Row],[Cout canaux voix supplémentaire]]</f>
        <v>1241</v>
      </c>
      <c r="Y241" s="823">
        <v>0</v>
      </c>
      <c r="Z241" s="966">
        <v>0</v>
      </c>
      <c r="AA241" s="966">
        <v>0</v>
      </c>
      <c r="AB241" s="969">
        <v>0</v>
      </c>
      <c r="AC241" s="969">
        <v>0</v>
      </c>
      <c r="AD241" s="969">
        <v>0</v>
      </c>
      <c r="AE241" s="264">
        <v>20</v>
      </c>
      <c r="AF241" s="264">
        <v>300</v>
      </c>
      <c r="AG241" s="264">
        <v>50</v>
      </c>
      <c r="AH241" s="264">
        <v>350</v>
      </c>
      <c r="AI241" s="973">
        <v>5</v>
      </c>
      <c r="AJ241" s="263">
        <v>20</v>
      </c>
      <c r="AK241" s="987">
        <v>350</v>
      </c>
      <c r="AL241" s="263">
        <f>VLOOKUP(Tableau1[[#This Row],[Code PAS]],'Facturation PAS RIN5 RUN'!C:F,4,0)</f>
        <v>16</v>
      </c>
      <c r="AM241" s="263"/>
      <c r="AN241" s="263" t="b">
        <f>ROUND(Tableau1[[#This Row],[Montant Options coûts récurrents]],0)=ROUND(Tableau1[[#This Row],[GTRS1 (Coût Plage de support 24h/24 7j/7)]],0)</f>
        <v>0</v>
      </c>
      <c r="AO241" s="265" t="e">
        <f>_xlfn.XLOOKUP(Tableau1[[#This Row],[Code PAS]],'parc SATIN 08012026v'!K:K,'parc SATIN 08012026v'!#REF!,0,0)</f>
        <v>#REF!</v>
      </c>
      <c r="AP241" s="263" t="e">
        <f>VLOOKUP(Tableau1[[#This Row],[Code PAS]],#REF!,3,0)</f>
        <v>#REF!</v>
      </c>
      <c r="AQ241" s="263" t="e">
        <f>VLOOKUP(Tableau1[[#This Row],[Code PAS]],[14]Feuil1!$B:$G,6,0)</f>
        <v>#N/A</v>
      </c>
      <c r="AR241" s="263" t="str">
        <f>_xlfn.XLOOKUP(Tableau1[[#This Row],[Code PAS]],'Facturation PAS RIN5 RUN'!C:C,'Facturation PAS RIN5 RUN'!B:B,0,0)</f>
        <v>Gold_20_20</v>
      </c>
      <c r="AS241" s="263" t="b">
        <f>Tableau1[[#This Row],[Etat facturation]]=Tableau1[[#This Row],[Index offre du fournisseur]]</f>
        <v>1</v>
      </c>
      <c r="AT241" s="250" t="str">
        <f>_xlfn.XLOOKUP(Tableau1[[#This Row],[Code PAS]],'parc SATIN 08012026v'!K:K,'parc SATIN 08012026v'!M:M,0,0)</f>
        <v>PARC</v>
      </c>
      <c r="AU241" s="250" t="str">
        <f>_xlfn.XLOOKUP(Tableau1[[#This Row],[Code PAS]],'parc SATIN 08012026v'!K:K,'parc SATIN 08012026v'!O:O,0,0)</f>
        <v>PARC</v>
      </c>
      <c r="AV241" s="251">
        <f>_xlfn.XLOOKUP(Tableau1[[#This Row],[Code PAS]],'parc SATIN 08012026v'!K:K,'parc SATIN 08012026v'!Q:Q,0,0)</f>
        <v>43802</v>
      </c>
      <c r="AW241" s="251" t="str">
        <f>_xlfn.XLOOKUP(Tableau1[[#This Row],[Code PAS]],'parc SATIN 08012026v'!K:K,'parc SATIN 08012026v'!S:S,0,0)</f>
        <v>change</v>
      </c>
      <c r="AX241" s="250" t="str">
        <f>_xlfn.XLOOKUP(Tableau1[[#This Row],[Code PAS]],'parc SATIN 08012026v'!K:K,'parc SATIN 08012026v'!AF:AF,0,0)</f>
        <v>20 Mb/s</v>
      </c>
      <c r="AY24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42" spans="1:52" s="250" customFormat="1" ht="15" customHeight="1" x14ac:dyDescent="0.3">
      <c r="A242" s="250" t="s">
        <v>2758</v>
      </c>
      <c r="C242" s="249"/>
      <c r="D242" s="249"/>
      <c r="E242" s="250" t="s">
        <v>3183</v>
      </c>
      <c r="F242" s="984" t="s">
        <v>2283</v>
      </c>
      <c r="H242" s="250" t="s">
        <v>2757</v>
      </c>
      <c r="J242" s="248" t="str">
        <f>_xlfn.XLOOKUP(Tableau1[[#This Row],[Code PAS]],'[13]Parc Satin'!$L:$L,'[13]Parc Satin'!$CK:$CK,0,0)</f>
        <v>Nominal C2E sans Secours</v>
      </c>
      <c r="P242" s="820">
        <v>0</v>
      </c>
      <c r="Q242" s="820">
        <v>0</v>
      </c>
      <c r="R242" s="820">
        <v>0</v>
      </c>
      <c r="S242" s="820">
        <v>0</v>
      </c>
      <c r="T242" s="824">
        <v>356</v>
      </c>
      <c r="U242" s="824">
        <v>12</v>
      </c>
      <c r="V242" s="824">
        <v>0</v>
      </c>
      <c r="W242" s="825">
        <v>0</v>
      </c>
      <c r="X242" s="823">
        <f>Tableau1[[#This Row],[Coût Abonnement offre]]+Tableau1[[#This Row],[Coût Abonnement Chassis]]+Tableau1[[#This Row],[Cout Cartes interface ]]+Tableau1[[#This Row],[Cout canaux voix supplémentaire]]</f>
        <v>368</v>
      </c>
      <c r="Y242" s="824">
        <v>0</v>
      </c>
      <c r="Z242" s="966">
        <v>0</v>
      </c>
      <c r="AA242" s="966">
        <v>0</v>
      </c>
      <c r="AB242" s="969">
        <v>0</v>
      </c>
      <c r="AC242" s="969">
        <v>0</v>
      </c>
      <c r="AD242" s="969">
        <v>0</v>
      </c>
      <c r="AE242" s="264">
        <v>4</v>
      </c>
      <c r="AF242" s="264">
        <v>40</v>
      </c>
      <c r="AG242" s="264">
        <v>30</v>
      </c>
      <c r="AH242" s="264">
        <v>70</v>
      </c>
      <c r="AI242" s="973">
        <v>27</v>
      </c>
      <c r="AJ242" s="263">
        <v>4</v>
      </c>
      <c r="AK242" s="987">
        <v>40</v>
      </c>
      <c r="AL242" s="263">
        <f>VLOOKUP(Tableau1[[#This Row],[Code PAS]],'Facturation PAS RIN5 RUN'!C:F,4,0)</f>
        <v>0</v>
      </c>
      <c r="AM242" s="263"/>
      <c r="AN242" s="263" t="b">
        <f>ROUND(Tableau1[[#This Row],[Montant Options coûts récurrents]],0)=ROUND(Tableau1[[#This Row],[GTRS1 (Coût Plage de support 24h/24 7j/7)]],0)</f>
        <v>1</v>
      </c>
      <c r="AO242" s="265" t="e">
        <f>_xlfn.XLOOKUP(Tableau1[[#This Row],[Code PAS]],'parc SATIN 08012026v'!K:K,'parc SATIN 08012026v'!#REF!,0,0)</f>
        <v>#REF!</v>
      </c>
      <c r="AP242" s="263" t="e">
        <f>VLOOKUP(Tableau1[[#This Row],[Code PAS]],#REF!,3,0)</f>
        <v>#REF!</v>
      </c>
      <c r="AQ242" s="263" t="e">
        <f>VLOOKUP(Tableau1[[#This Row],[Code PAS]],[14]Feuil1!$B:$G,6,0)</f>
        <v>#N/A</v>
      </c>
      <c r="AR242" s="263" t="str">
        <f>_xlfn.XLOOKUP(Tableau1[[#This Row],[Code PAS]],'Facturation PAS RIN5 RUN'!C:C,'Facturation PAS RIN5 RUN'!B:B,0,0)</f>
        <v>Bronze_4_0</v>
      </c>
      <c r="AS242" s="263" t="b">
        <f>Tableau1[[#This Row],[Etat facturation]]=Tableau1[[#This Row],[Index offre du fournisseur]]</f>
        <v>1</v>
      </c>
      <c r="AT242" s="250" t="str">
        <f>_xlfn.XLOOKUP(Tableau1[[#This Row],[Code PAS]],'parc SATIN 08012026v'!K:K,'parc SATIN 08012026v'!M:M,0,0)</f>
        <v>PARC</v>
      </c>
      <c r="AU242" s="250" t="str">
        <f>_xlfn.XLOOKUP(Tableau1[[#This Row],[Code PAS]],'parc SATIN 08012026v'!K:K,'parc SATIN 08012026v'!O:O,0,0)</f>
        <v>PARC</v>
      </c>
      <c r="AV242" s="251">
        <f>_xlfn.XLOOKUP(Tableau1[[#This Row],[Code PAS]],'parc SATIN 08012026v'!K:K,'parc SATIN 08012026v'!Q:Q,0,0)</f>
        <v>44159</v>
      </c>
      <c r="AW242" s="251" t="str">
        <f>_xlfn.XLOOKUP(Tableau1[[#This Row],[Code PAS]],'parc SATIN 08012026v'!K:K,'parc SATIN 08012026v'!S:S,0,0)</f>
        <v>change</v>
      </c>
      <c r="AX242" s="250" t="str">
        <f>_xlfn.XLOOKUP(Tableau1[[#This Row],[Code PAS]],'parc SATIN 08012026v'!K:K,'parc SATIN 08012026v'!AF:AF,0,0)</f>
        <v>4 Mb/s</v>
      </c>
      <c r="AY24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242" s="250" t="s">
        <v>2868</v>
      </c>
    </row>
    <row r="243" spans="1:52" s="250" customFormat="1" ht="15" customHeight="1" x14ac:dyDescent="0.3">
      <c r="A243" s="250" t="s">
        <v>2739</v>
      </c>
      <c r="C243" s="249">
        <v>45819</v>
      </c>
      <c r="D243" s="249">
        <v>45819</v>
      </c>
      <c r="E243" s="250" t="s">
        <v>3184</v>
      </c>
      <c r="F243" s="984" t="s">
        <v>1598</v>
      </c>
      <c r="G243" s="250" t="s">
        <v>2877</v>
      </c>
      <c r="H243" s="250" t="s">
        <v>2877</v>
      </c>
      <c r="I243" s="250" t="s">
        <v>2817</v>
      </c>
      <c r="J243" s="248"/>
      <c r="L243" s="250">
        <v>300</v>
      </c>
      <c r="M243" s="250">
        <v>50</v>
      </c>
      <c r="N243" s="250">
        <v>1</v>
      </c>
      <c r="O243" s="250" t="s">
        <v>74</v>
      </c>
      <c r="P243" s="824">
        <v>0</v>
      </c>
      <c r="Q243" s="824">
        <v>0</v>
      </c>
      <c r="R243" s="824">
        <v>0</v>
      </c>
      <c r="S243" s="824">
        <v>0</v>
      </c>
      <c r="T243" s="824">
        <v>1437</v>
      </c>
      <c r="U243" s="824">
        <v>30</v>
      </c>
      <c r="V243" s="824">
        <v>20</v>
      </c>
      <c r="W243" s="824">
        <v>14</v>
      </c>
      <c r="X243" s="824">
        <v>1500.7</v>
      </c>
      <c r="Y243" s="824">
        <v>0</v>
      </c>
      <c r="Z243" s="966">
        <v>0</v>
      </c>
      <c r="AA243" s="966">
        <v>0</v>
      </c>
      <c r="AB243" s="969">
        <v>0</v>
      </c>
      <c r="AC243" s="969">
        <v>0</v>
      </c>
      <c r="AD243" s="969">
        <v>0</v>
      </c>
      <c r="AE243" s="264">
        <v>30</v>
      </c>
      <c r="AF243" s="264">
        <v>400</v>
      </c>
      <c r="AG243" s="264">
        <v>150</v>
      </c>
      <c r="AH243" s="264">
        <v>550</v>
      </c>
      <c r="AI243" s="973">
        <v>14</v>
      </c>
      <c r="AJ243" s="263">
        <v>30</v>
      </c>
      <c r="AK243" s="987">
        <v>550</v>
      </c>
      <c r="AL243" s="263">
        <f>VLOOKUP(Tableau1[[#This Row],[Code PAS]],'Facturation PAS RIN5 RUN'!C:F,4,0)</f>
        <v>20</v>
      </c>
      <c r="AM243" s="263"/>
      <c r="AN243" s="263" t="b">
        <f>ROUND(Tableau1[[#This Row],[Montant Options coûts récurrents]],0)=ROUND(Tableau1[[#This Row],[GTRS1 (Coût Plage de support 24h/24 7j/7)]],0)</f>
        <v>0</v>
      </c>
      <c r="AO243" s="265" t="e">
        <f>_xlfn.XLOOKUP(Tableau1[[#This Row],[Code PAS]],'parc SATIN 08012026v'!K:K,'parc SATIN 08012026v'!#REF!,0,0)</f>
        <v>#REF!</v>
      </c>
      <c r="AP243" s="263" t="e">
        <f>VLOOKUP(Tableau1[[#This Row],[Code PAS]],#REF!,3,0)</f>
        <v>#REF!</v>
      </c>
      <c r="AQ243" s="263" t="e">
        <f>VLOOKUP(Tableau1[[#This Row],[Code PAS]],[14]Feuil1!$B:$G,6,0)</f>
        <v>#N/A</v>
      </c>
      <c r="AR243" s="263" t="str">
        <f>_xlfn.XLOOKUP(Tableau1[[#This Row],[Code PAS]],'Facturation PAS RIN5 RUN'!C:C,'Facturation PAS RIN5 RUN'!B:B,0,0)</f>
        <v>Bronze_30_0</v>
      </c>
      <c r="AS243" s="263" t="b">
        <f>Tableau1[[#This Row],[Etat facturation]]=Tableau1[[#This Row],[Index offre du fournisseur]]</f>
        <v>1</v>
      </c>
      <c r="AT243" s="250" t="str">
        <f>_xlfn.XLOOKUP(Tableau1[[#This Row],[Code PAS]],'parc SATIN 08012026v'!K:K,'parc SATIN 08012026v'!M:M,0,0)</f>
        <v>PARC</v>
      </c>
      <c r="AU243" s="250" t="str">
        <f>_xlfn.XLOOKUP(Tableau1[[#This Row],[Code PAS]],'parc SATIN 08012026v'!K:K,'parc SATIN 08012026v'!O:O,0,0)</f>
        <v>PARC</v>
      </c>
      <c r="AV243" s="251">
        <f>_xlfn.XLOOKUP(Tableau1[[#This Row],[Code PAS]],'parc SATIN 08012026v'!K:K,'parc SATIN 08012026v'!Q:Q,0,0)</f>
        <v>45819</v>
      </c>
      <c r="AW243" s="251" t="str">
        <f>_xlfn.XLOOKUP(Tableau1[[#This Row],[Code PAS]],'parc SATIN 08012026v'!K:K,'parc SATIN 08012026v'!S:S,0,0)</f>
        <v>change</v>
      </c>
      <c r="AX243" s="250" t="str">
        <f>_xlfn.XLOOKUP(Tableau1[[#This Row],[Code PAS]],'parc SATIN 08012026v'!K:K,'parc SATIN 08012026v'!AF:AF,0,0)</f>
        <v>30 Mb/s</v>
      </c>
      <c r="AY24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243" s="250" t="s">
        <v>3185</v>
      </c>
    </row>
    <row r="244" spans="1:52" s="250" customFormat="1" ht="15" customHeight="1" x14ac:dyDescent="0.3">
      <c r="A244" s="250" t="s">
        <v>2758</v>
      </c>
      <c r="C244" s="249"/>
      <c r="D244" s="249"/>
      <c r="E244" s="250" t="s">
        <v>3186</v>
      </c>
      <c r="F244" s="984" t="s">
        <v>2572</v>
      </c>
      <c r="G244" s="250" t="s">
        <v>2940</v>
      </c>
      <c r="H244" s="250" t="s">
        <v>2940</v>
      </c>
      <c r="I244" s="250" t="s">
        <v>2817</v>
      </c>
      <c r="J244" s="248" t="str">
        <f>_xlfn.XLOOKUP(Tableau1[[#This Row],[Code PAS]],'[13]Parc Satin'!$L:$L,'[13]Parc Satin'!$CK:$CK,0,0)</f>
        <v>Nominal C2E Fibre Secours C2E Fibre</v>
      </c>
      <c r="K244" s="250" t="s">
        <v>2820</v>
      </c>
      <c r="L244" s="250">
        <v>400</v>
      </c>
      <c r="M244" s="250">
        <v>150</v>
      </c>
      <c r="N244" s="250">
        <v>1</v>
      </c>
      <c r="O244" s="250" t="s">
        <v>74</v>
      </c>
      <c r="P244" s="824">
        <v>0</v>
      </c>
      <c r="Q244" s="824">
        <v>0</v>
      </c>
      <c r="R244" s="824">
        <v>0</v>
      </c>
      <c r="S244" s="824">
        <v>0</v>
      </c>
      <c r="T244" s="824">
        <v>1249</v>
      </c>
      <c r="U244" s="824">
        <v>60</v>
      </c>
      <c r="V244" s="824">
        <v>40</v>
      </c>
      <c r="W244" s="824">
        <v>14</v>
      </c>
      <c r="X244" s="824">
        <f>Tableau1[[#This Row],[Coût Abonnement offre]]+Tableau1[[#This Row],[Coût Abonnement Chassis]]+Tableau1[[#This Row],[Cout Cartes interface ]]+Tableau1[[#This Row],[Cout canaux voix supplémentaire]]</f>
        <v>1363</v>
      </c>
      <c r="Y244" s="824">
        <v>0</v>
      </c>
      <c r="Z244" s="966">
        <v>0</v>
      </c>
      <c r="AA244" s="966">
        <v>0</v>
      </c>
      <c r="AB244" s="969">
        <v>0</v>
      </c>
      <c r="AC244" s="969">
        <v>0</v>
      </c>
      <c r="AD244" s="969">
        <v>0</v>
      </c>
      <c r="AE244" s="264">
        <v>30</v>
      </c>
      <c r="AF244" s="264">
        <v>400</v>
      </c>
      <c r="AG244" s="264">
        <v>150</v>
      </c>
      <c r="AH244" s="264">
        <v>550</v>
      </c>
      <c r="AI244" s="973">
        <v>14</v>
      </c>
      <c r="AJ244" s="263">
        <v>30</v>
      </c>
      <c r="AK244" s="987">
        <v>120</v>
      </c>
      <c r="AL244" s="263">
        <f>VLOOKUP(Tableau1[[#This Row],[Code PAS]],'Facturation PAS RIN5 RUN'!C:F,4,0)</f>
        <v>40</v>
      </c>
      <c r="AM244" s="263"/>
      <c r="AN244" s="263" t="b">
        <f>ROUND(Tableau1[[#This Row],[Montant Options coûts récurrents]],0)=ROUND(Tableau1[[#This Row],[GTRS1 (Coût Plage de support 24h/24 7j/7)]],0)</f>
        <v>0</v>
      </c>
      <c r="AO244" s="265" t="e">
        <f>_xlfn.XLOOKUP(Tableau1[[#This Row],[Code PAS]],'parc SATIN 08012026v'!K:K,'parc SATIN 08012026v'!#REF!,0,0)</f>
        <v>#REF!</v>
      </c>
      <c r="AP244" s="263" t="e">
        <f>VLOOKUP(Tableau1[[#This Row],[Code PAS]],#REF!,3,0)</f>
        <v>#REF!</v>
      </c>
      <c r="AQ244" s="263" t="e">
        <f>VLOOKUP(Tableau1[[#This Row],[Code PAS]],[14]Feuil1!$B:$G,6,0)</f>
        <v>#N/A</v>
      </c>
      <c r="AR244" s="263" t="str">
        <f>_xlfn.XLOOKUP(Tableau1[[#This Row],[Code PAS]],'Facturation PAS RIN5 RUN'!C:C,'Facturation PAS RIN5 RUN'!B:B,0,0)</f>
        <v>Silver_30_30</v>
      </c>
      <c r="AS244" s="263" t="b">
        <f>Tableau1[[#This Row],[Etat facturation]]=Tableau1[[#This Row],[Index offre du fournisseur]]</f>
        <v>1</v>
      </c>
      <c r="AT244" s="250" t="str">
        <f>_xlfn.XLOOKUP(Tableau1[[#This Row],[Code PAS]],'parc SATIN 08012026v'!K:K,'parc SATIN 08012026v'!M:M,0,0)</f>
        <v>PARC</v>
      </c>
      <c r="AU244" s="250" t="str">
        <f>_xlfn.XLOOKUP(Tableau1[[#This Row],[Code PAS]],'parc SATIN 08012026v'!K:K,'parc SATIN 08012026v'!O:O,0,0)</f>
        <v>PARC</v>
      </c>
      <c r="AV244" s="251">
        <f>_xlfn.XLOOKUP(Tableau1[[#This Row],[Code PAS]],'parc SATIN 08012026v'!K:K,'parc SATIN 08012026v'!Q:Q,0,0)</f>
        <v>45267</v>
      </c>
      <c r="AW244" s="251" t="str">
        <f>_xlfn.XLOOKUP(Tableau1[[#This Row],[Code PAS]],'parc SATIN 08012026v'!K:K,'parc SATIN 08012026v'!S:S,0,0)</f>
        <v>change</v>
      </c>
      <c r="AX244" s="250" t="str">
        <f>_xlfn.XLOOKUP(Tableau1[[#This Row],[Code PAS]],'parc SATIN 08012026v'!K:K,'parc SATIN 08012026v'!AF:AF,0,0)</f>
        <v>30 Mb/s</v>
      </c>
      <c r="AY24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</row>
    <row r="245" spans="1:52" s="250" customFormat="1" ht="15" customHeight="1" x14ac:dyDescent="0.3">
      <c r="A245" s="250" t="s">
        <v>2739</v>
      </c>
      <c r="C245" s="249"/>
      <c r="D245" s="249"/>
      <c r="E245" s="250" t="s">
        <v>3187</v>
      </c>
      <c r="F245" s="984" t="s">
        <v>838</v>
      </c>
      <c r="G245" s="250" t="s">
        <v>2813</v>
      </c>
      <c r="H245" s="250" t="s">
        <v>2813</v>
      </c>
      <c r="J245" s="248" t="s">
        <v>2820</v>
      </c>
      <c r="K245" s="250" t="s">
        <v>2820</v>
      </c>
      <c r="L245" s="250">
        <v>40</v>
      </c>
      <c r="M245" s="250">
        <v>30</v>
      </c>
      <c r="N245" s="250">
        <v>1</v>
      </c>
      <c r="O245" s="250" t="s">
        <v>74</v>
      </c>
      <c r="P245" s="824">
        <v>0</v>
      </c>
      <c r="Q245" s="824">
        <v>0</v>
      </c>
      <c r="R245" s="824">
        <v>0</v>
      </c>
      <c r="S245" s="824">
        <v>0</v>
      </c>
      <c r="T245" s="824">
        <v>2384</v>
      </c>
      <c r="U245" s="824">
        <v>44</v>
      </c>
      <c r="V245" s="824">
        <v>32</v>
      </c>
      <c r="W245" s="824">
        <v>5</v>
      </c>
      <c r="X245" s="824">
        <v>2464.7564263010345</v>
      </c>
      <c r="Y245" s="824">
        <v>0</v>
      </c>
      <c r="Z245" s="966">
        <v>0</v>
      </c>
      <c r="AA245" s="966">
        <v>0</v>
      </c>
      <c r="AB245" s="969">
        <v>0</v>
      </c>
      <c r="AC245" s="969">
        <v>0</v>
      </c>
      <c r="AD245" s="969">
        <v>0</v>
      </c>
      <c r="AE245" s="264">
        <v>20</v>
      </c>
      <c r="AF245" s="264">
        <v>300</v>
      </c>
      <c r="AG245" s="264">
        <v>50</v>
      </c>
      <c r="AH245" s="264">
        <v>350</v>
      </c>
      <c r="AI245" s="973">
        <v>5</v>
      </c>
      <c r="AJ245" s="263">
        <v>20</v>
      </c>
      <c r="AK245" s="987">
        <v>350</v>
      </c>
      <c r="AL245" s="263">
        <f>VLOOKUP(Tableau1[[#This Row],[Code PAS]],'Facturation PAS RIN5 RUN'!C:F,4,0)</f>
        <v>32</v>
      </c>
      <c r="AM245" s="263"/>
      <c r="AN245" s="263" t="b">
        <f>ROUND(Tableau1[[#This Row],[Montant Options coûts récurrents]],0)=ROUND(Tableau1[[#This Row],[GTRS1 (Coût Plage de support 24h/24 7j/7)]],0)</f>
        <v>0</v>
      </c>
      <c r="AO245" s="265" t="e">
        <f>_xlfn.XLOOKUP(Tableau1[[#This Row],[Code PAS]],'parc SATIN 08012026v'!K:K,'parc SATIN 08012026v'!#REF!,0,0)</f>
        <v>#REF!</v>
      </c>
      <c r="AP245" s="263" t="e">
        <f>VLOOKUP(Tableau1[[#This Row],[Code PAS]],#REF!,3,0)</f>
        <v>#REF!</v>
      </c>
      <c r="AQ245" s="263" t="e">
        <f>VLOOKUP(Tableau1[[#This Row],[Code PAS]],[14]Feuil1!$B:$G,6,0)</f>
        <v>#N/A</v>
      </c>
      <c r="AR245" s="263" t="str">
        <f>_xlfn.XLOOKUP(Tableau1[[#This Row],[Code PAS]],'Facturation PAS RIN5 RUN'!C:C,'Facturation PAS RIN5 RUN'!B:B,0,0)</f>
        <v>Silver_20_20</v>
      </c>
      <c r="AS245" s="263" t="b">
        <f>Tableau1[[#This Row],[Etat facturation]]=Tableau1[[#This Row],[Index offre du fournisseur]]</f>
        <v>1</v>
      </c>
      <c r="AT245" s="250" t="str">
        <f>_xlfn.XLOOKUP(Tableau1[[#This Row],[Code PAS]],'parc SATIN 08012026v'!K:K,'parc SATIN 08012026v'!M:M,0,0)</f>
        <v>PARC</v>
      </c>
      <c r="AU245" s="250" t="str">
        <f>_xlfn.XLOOKUP(Tableau1[[#This Row],[Code PAS]],'parc SATIN 08012026v'!K:K,'parc SATIN 08012026v'!O:O,0,0)</f>
        <v>PARC</v>
      </c>
      <c r="AV245" s="251">
        <f>_xlfn.XLOOKUP(Tableau1[[#This Row],[Code PAS]],'parc SATIN 08012026v'!K:K,'parc SATIN 08012026v'!Q:Q,0,0)</f>
        <v>45681</v>
      </c>
      <c r="AW245" s="251" t="str">
        <f>_xlfn.XLOOKUP(Tableau1[[#This Row],[Code PAS]],'parc SATIN 08012026v'!K:K,'parc SATIN 08012026v'!S:S,0,0)</f>
        <v>change</v>
      </c>
      <c r="AX245" s="250" t="str">
        <f>_xlfn.XLOOKUP(Tableau1[[#This Row],[Code PAS]],'parc SATIN 08012026v'!K:K,'parc SATIN 08012026v'!AF:AF,0,0)</f>
        <v>20 Mb/s</v>
      </c>
      <c r="AY24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46" spans="1:52" s="250" customFormat="1" ht="15" customHeight="1" x14ac:dyDescent="0.3">
      <c r="A246" s="250" t="s">
        <v>2743</v>
      </c>
      <c r="B246" s="249">
        <v>45827</v>
      </c>
      <c r="C246" s="249">
        <v>45827</v>
      </c>
      <c r="D246" s="249"/>
      <c r="E246" s="250" t="s">
        <v>3188</v>
      </c>
      <c r="F246" s="984" t="s">
        <v>1235</v>
      </c>
      <c r="G246" s="250" t="s">
        <v>2784</v>
      </c>
      <c r="H246" s="250" t="s">
        <v>2784</v>
      </c>
      <c r="I246" s="250" t="s">
        <v>78</v>
      </c>
      <c r="J246" s="248" t="str">
        <f>_xlfn.XLOOKUP(Tableau1[[#This Row],[Code PAS]],'[13]Parc Satin'!$L:$L,'[13]Parc Satin'!$CK:$CK,0,0)</f>
        <v>Nominal InterLan 1.0 Secours InterLan 1.0</v>
      </c>
      <c r="K246" s="248" t="s">
        <v>2829</v>
      </c>
      <c r="L246" s="250">
        <v>500</v>
      </c>
      <c r="M246" s="250">
        <v>400</v>
      </c>
      <c r="N246" s="250">
        <v>0</v>
      </c>
      <c r="O246" s="250" t="s">
        <v>74</v>
      </c>
      <c r="P246" s="824">
        <v>0</v>
      </c>
      <c r="Q246" s="824">
        <v>228</v>
      </c>
      <c r="R246" s="824">
        <v>0</v>
      </c>
      <c r="S246" s="824">
        <v>228</v>
      </c>
      <c r="T246" s="824">
        <v>1454</v>
      </c>
      <c r="U246" s="824">
        <v>84</v>
      </c>
      <c r="V246" s="824">
        <v>0</v>
      </c>
      <c r="W246" s="824">
        <v>36</v>
      </c>
      <c r="X246" s="824">
        <f>Tableau1[[#This Row],[Coût Abonnement offre]]+Tableau1[[#This Row],[Coût Abonnement Chassis]]+Tableau1[[#This Row],[Cout Cartes interface ]]+Tableau1[[#This Row],[Cout canaux voix supplémentaire]]</f>
        <v>1574</v>
      </c>
      <c r="Y246" s="824">
        <v>0</v>
      </c>
      <c r="Z246" s="966">
        <v>0</v>
      </c>
      <c r="AA246" s="966">
        <v>0</v>
      </c>
      <c r="AB246" s="969">
        <v>0</v>
      </c>
      <c r="AC246" s="969">
        <v>0</v>
      </c>
      <c r="AD246" s="969">
        <v>0</v>
      </c>
      <c r="AE246" s="264">
        <v>50</v>
      </c>
      <c r="AF246" s="264">
        <v>500</v>
      </c>
      <c r="AG246" s="264">
        <v>400</v>
      </c>
      <c r="AH246" s="264">
        <v>900</v>
      </c>
      <c r="AI246" s="973">
        <v>36</v>
      </c>
      <c r="AJ246" s="263">
        <v>50</v>
      </c>
      <c r="AK246" s="987">
        <v>900</v>
      </c>
      <c r="AL246" s="263">
        <f>VLOOKUP(Tableau1[[#This Row],[Code PAS]],'Facturation PAS RIN5 RUN'!C:F,4,0)</f>
        <v>0</v>
      </c>
      <c r="AM246" s="263"/>
      <c r="AN246" s="263" t="b">
        <f>ROUND(Tableau1[[#This Row],[Montant Options coûts récurrents]],0)=ROUND(Tableau1[[#This Row],[GTRS1 (Coût Plage de support 24h/24 7j/7)]],0)</f>
        <v>1</v>
      </c>
      <c r="AO246" s="265" t="e">
        <f>_xlfn.XLOOKUP(Tableau1[[#This Row],[Code PAS]],'parc SATIN 08012026v'!K:K,'parc SATIN 08012026v'!#REF!,0,0)</f>
        <v>#REF!</v>
      </c>
      <c r="AP246" s="263" t="e">
        <f>VLOOKUP(Tableau1[[#This Row],[Code PAS]],#REF!,3,0)</f>
        <v>#REF!</v>
      </c>
      <c r="AQ246" s="263" t="e">
        <f>VLOOKUP(Tableau1[[#This Row],[Code PAS]],[14]Feuil1!$B:$G,6,0)</f>
        <v>#N/A</v>
      </c>
      <c r="AR246" s="263" t="str">
        <f>_xlfn.XLOOKUP(Tableau1[[#This Row],[Code PAS]],'Facturation PAS RIN5 RUN'!C:C,'Facturation PAS RIN5 RUN'!B:B,0,0)</f>
        <v>Gold_50_50</v>
      </c>
      <c r="AS246" s="263" t="b">
        <f>Tableau1[[#This Row],[Etat facturation]]=Tableau1[[#This Row],[Index offre du fournisseur]]</f>
        <v>1</v>
      </c>
      <c r="AT246" s="250" t="str">
        <f>_xlfn.XLOOKUP(Tableau1[[#This Row],[Code PAS]],'parc SATIN 08012026v'!K:K,'parc SATIN 08012026v'!M:M,0,0)</f>
        <v>PARC</v>
      </c>
      <c r="AU246" s="250" t="str">
        <f>_xlfn.XLOOKUP(Tableau1[[#This Row],[Code PAS]],'parc SATIN 08012026v'!K:K,'parc SATIN 08012026v'!O:O,0,0)</f>
        <v>PARC</v>
      </c>
      <c r="AV246" s="251">
        <f>_xlfn.XLOOKUP(Tableau1[[#This Row],[Code PAS]],'parc SATIN 08012026v'!K:K,'parc SATIN 08012026v'!Q:Q,0,0)</f>
        <v>45827</v>
      </c>
      <c r="AW246" s="251" t="str">
        <f>_xlfn.XLOOKUP(Tableau1[[#This Row],[Code PAS]],'parc SATIN 08012026v'!K:K,'parc SATIN 08012026v'!S:S,0,0)</f>
        <v>change</v>
      </c>
      <c r="AX246" s="250" t="str">
        <f>_xlfn.XLOOKUP(Tableau1[[#This Row],[Code PAS]],'parc SATIN 08012026v'!K:K,'parc SATIN 08012026v'!AF:AF,0,0)</f>
        <v>50 Mb/s</v>
      </c>
      <c r="AY24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247" spans="1:52" s="250" customFormat="1" ht="15" customHeight="1" x14ac:dyDescent="0.3">
      <c r="A247" s="250" t="s">
        <v>2743</v>
      </c>
      <c r="C247" s="249"/>
      <c r="D247" s="249"/>
      <c r="E247" s="250" t="s">
        <v>3189</v>
      </c>
      <c r="F247" s="984" t="s">
        <v>1226</v>
      </c>
      <c r="H247" s="250" t="s">
        <v>2745</v>
      </c>
      <c r="J247" s="248" t="str">
        <f>_xlfn.XLOOKUP(Tableau1[[#This Row],[Code PAS]],'[13]Parc Satin'!$L:$L,'[13]Parc Satin'!$CK:$CK,0,0)</f>
        <v>Nominal InterLan 1.0 Secours InterLan 1.0</v>
      </c>
      <c r="P247" s="820">
        <v>0</v>
      </c>
      <c r="Q247" s="820">
        <v>0</v>
      </c>
      <c r="R247" s="820">
        <v>0</v>
      </c>
      <c r="S247" s="820">
        <v>0</v>
      </c>
      <c r="T247" s="824">
        <v>1628</v>
      </c>
      <c r="U247" s="824">
        <v>95</v>
      </c>
      <c r="V247" s="824">
        <v>16</v>
      </c>
      <c r="W247" s="824">
        <v>108</v>
      </c>
      <c r="X247" s="823">
        <f>Tableau1[[#This Row],[Coût Abonnement offre]]+Tableau1[[#This Row],[Coût Abonnement Chassis]]+Tableau1[[#This Row],[Cout Cartes interface ]]+Tableau1[[#This Row],[Cout canaux voix supplémentaire]]</f>
        <v>1847</v>
      </c>
      <c r="Y247" s="824">
        <v>0</v>
      </c>
      <c r="Z247" s="966">
        <v>0</v>
      </c>
      <c r="AA247" s="966">
        <v>0</v>
      </c>
      <c r="AB247" s="969">
        <v>0</v>
      </c>
      <c r="AC247" s="969">
        <v>0</v>
      </c>
      <c r="AD247" s="969">
        <v>0</v>
      </c>
      <c r="AE247" s="264">
        <v>100</v>
      </c>
      <c r="AF247" s="264">
        <v>600</v>
      </c>
      <c r="AG247" s="264">
        <v>1200</v>
      </c>
      <c r="AH247" s="264">
        <v>1800</v>
      </c>
      <c r="AI247" s="973">
        <v>108</v>
      </c>
      <c r="AJ247" s="263">
        <v>100</v>
      </c>
      <c r="AK247" s="987">
        <v>1800</v>
      </c>
      <c r="AL247" s="263">
        <f>VLOOKUP(Tableau1[[#This Row],[Code PAS]],'Facturation PAS RIN5 RUN'!C:F,4,0)</f>
        <v>16</v>
      </c>
      <c r="AM247" s="263"/>
      <c r="AN247" s="263" t="b">
        <f>ROUND(Tableau1[[#This Row],[Montant Options coûts récurrents]],0)=ROUND(Tableau1[[#This Row],[GTRS1 (Coût Plage de support 24h/24 7j/7)]],0)</f>
        <v>0</v>
      </c>
      <c r="AO247" s="265" t="e">
        <f>_xlfn.XLOOKUP(Tableau1[[#This Row],[Code PAS]],'parc SATIN 08012026v'!K:K,'parc SATIN 08012026v'!#REF!,0,0)</f>
        <v>#REF!</v>
      </c>
      <c r="AP247" s="263" t="e">
        <f>VLOOKUP(Tableau1[[#This Row],[Code PAS]],#REF!,3,0)</f>
        <v>#REF!</v>
      </c>
      <c r="AQ247" s="263" t="str">
        <f>VLOOKUP(Tableau1[[#This Row],[Code PAS]],[14]Feuil1!$B:$G,6,0)</f>
        <v>Lundi au Samedi 8h-18h</v>
      </c>
      <c r="AR247" s="263" t="str">
        <f>_xlfn.XLOOKUP(Tableau1[[#This Row],[Code PAS]],'Facturation PAS RIN5 RUN'!C:C,'Facturation PAS RIN5 RUN'!B:B,0,0)</f>
        <v>Gold_100_100</v>
      </c>
      <c r="AS247" s="263" t="b">
        <f>Tableau1[[#This Row],[Etat facturation]]=Tableau1[[#This Row],[Index offre du fournisseur]]</f>
        <v>1</v>
      </c>
      <c r="AT247" s="250" t="str">
        <f>_xlfn.XLOOKUP(Tableau1[[#This Row],[Code PAS]],'parc SATIN 08012026v'!K:K,'parc SATIN 08012026v'!M:M,0,0)</f>
        <v>PARC</v>
      </c>
      <c r="AU247" s="250" t="str">
        <f>_xlfn.XLOOKUP(Tableau1[[#This Row],[Code PAS]],'parc SATIN 08012026v'!K:K,'parc SATIN 08012026v'!O:O,0,0)</f>
        <v>PARC</v>
      </c>
      <c r="AV247" s="251">
        <f>_xlfn.XLOOKUP(Tableau1[[#This Row],[Code PAS]],'parc SATIN 08012026v'!K:K,'parc SATIN 08012026v'!Q:Q,0,0)</f>
        <v>44134</v>
      </c>
      <c r="AW247" s="251" t="str">
        <f>_xlfn.XLOOKUP(Tableau1[[#This Row],[Code PAS]],'parc SATIN 08012026v'!K:K,'parc SATIN 08012026v'!S:S,0,0)</f>
        <v>change</v>
      </c>
      <c r="AX247" s="250" t="str">
        <f>_xlfn.XLOOKUP(Tableau1[[#This Row],[Code PAS]],'parc SATIN 08012026v'!K:K,'parc SATIN 08012026v'!AF:AF,0,0)</f>
        <v>100 Mb/s</v>
      </c>
      <c r="AY24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248" spans="1:52" s="250" customFormat="1" ht="15" customHeight="1" x14ac:dyDescent="0.3">
      <c r="C248" s="249"/>
      <c r="D248" s="249">
        <v>45854</v>
      </c>
      <c r="E248" s="248" t="s">
        <v>3190</v>
      </c>
      <c r="F248" s="984" t="s">
        <v>2168</v>
      </c>
      <c r="G248" s="250" t="s">
        <v>2765</v>
      </c>
      <c r="H248" s="260" t="s">
        <v>2765</v>
      </c>
      <c r="I248" s="250" t="s">
        <v>165</v>
      </c>
      <c r="J248" s="248" t="s">
        <v>2820</v>
      </c>
      <c r="K248" s="250" t="s">
        <v>2820</v>
      </c>
      <c r="L248" s="250">
        <v>400</v>
      </c>
      <c r="M248" s="250">
        <v>150</v>
      </c>
      <c r="N248" s="250">
        <v>1</v>
      </c>
      <c r="O248" s="250" t="s">
        <v>74</v>
      </c>
      <c r="P248" s="820">
        <v>0</v>
      </c>
      <c r="Q248" s="820">
        <v>0</v>
      </c>
      <c r="R248" s="820">
        <v>0</v>
      </c>
      <c r="S248" s="820">
        <v>0</v>
      </c>
      <c r="T248" s="824">
        <v>1249</v>
      </c>
      <c r="U248" s="824">
        <v>44</v>
      </c>
      <c r="V248" s="824">
        <v>40</v>
      </c>
      <c r="W248" s="825">
        <v>14</v>
      </c>
      <c r="X248" s="823">
        <v>1346.7564263010347</v>
      </c>
      <c r="Y248" s="824">
        <v>0</v>
      </c>
      <c r="Z248" s="966">
        <v>0</v>
      </c>
      <c r="AA248" s="966">
        <v>0</v>
      </c>
      <c r="AB248" s="969">
        <v>0</v>
      </c>
      <c r="AC248" s="969">
        <v>0</v>
      </c>
      <c r="AD248" s="969">
        <v>0</v>
      </c>
      <c r="AE248" s="264">
        <v>30</v>
      </c>
      <c r="AF248" s="264">
        <v>400</v>
      </c>
      <c r="AG248" s="264">
        <v>150</v>
      </c>
      <c r="AH248" s="264">
        <v>550</v>
      </c>
      <c r="AI248" s="973">
        <v>14</v>
      </c>
      <c r="AJ248" s="263">
        <v>30</v>
      </c>
      <c r="AK248" s="987">
        <v>550</v>
      </c>
      <c r="AL248" s="263">
        <f>VLOOKUP(Tableau1[[#This Row],[Code PAS]],'Facturation PAS RIN5 RUN'!C:F,4,0)</f>
        <v>40</v>
      </c>
      <c r="AM248" s="263"/>
      <c r="AN248" s="263" t="b">
        <f>ROUND(Tableau1[[#This Row],[Montant Options coûts récurrents]],0)=ROUND(Tableau1[[#This Row],[GTRS1 (Coût Plage de support 24h/24 7j/7)]],0)</f>
        <v>0</v>
      </c>
      <c r="AO248" s="265" t="e">
        <f>_xlfn.XLOOKUP(Tableau1[[#This Row],[Code PAS]],'parc SATIN 08012026v'!K:K,'parc SATIN 08012026v'!#REF!,0,0)</f>
        <v>#REF!</v>
      </c>
      <c r="AP248" s="263" t="e">
        <f>VLOOKUP(Tableau1[[#This Row],[Code PAS]],#REF!,3,0)</f>
        <v>#REF!</v>
      </c>
      <c r="AQ248" s="263" t="e">
        <f>VLOOKUP(Tableau1[[#This Row],[Code PAS]],[14]Feuil1!$B:$G,6,0)</f>
        <v>#N/A</v>
      </c>
      <c r="AR248" s="263" t="str">
        <f>_xlfn.XLOOKUP(Tableau1[[#This Row],[Code PAS]],'Facturation PAS RIN5 RUN'!C:C,'Facturation PAS RIN5 RUN'!B:B,0,0)</f>
        <v>Gold_30_30</v>
      </c>
      <c r="AS248" s="263" t="b">
        <f>Tableau1[[#This Row],[Etat facturation]]=Tableau1[[#This Row],[Index offre du fournisseur]]</f>
        <v>1</v>
      </c>
      <c r="AT248" s="250" t="str">
        <f>_xlfn.XLOOKUP(Tableau1[[#This Row],[Code PAS]],'parc SATIN 08012026v'!K:K,'parc SATIN 08012026v'!M:M,0,0)</f>
        <v>PARC</v>
      </c>
      <c r="AU248" s="250" t="str">
        <f>_xlfn.XLOOKUP(Tableau1[[#This Row],[Code PAS]],'parc SATIN 08012026v'!K:K,'parc SATIN 08012026v'!O:O,0,0)</f>
        <v>PARC</v>
      </c>
      <c r="AV248" s="251">
        <f>_xlfn.XLOOKUP(Tableau1[[#This Row],[Code PAS]],'parc SATIN 08012026v'!K:K,'parc SATIN 08012026v'!Q:Q,0,0)</f>
        <v>45854</v>
      </c>
      <c r="AW248" s="251" t="str">
        <f>_xlfn.XLOOKUP(Tableau1[[#This Row],[Code PAS]],'parc SATIN 08012026v'!K:K,'parc SATIN 08012026v'!S:S,0,0)</f>
        <v>change</v>
      </c>
      <c r="AX248" s="250" t="str">
        <f>_xlfn.XLOOKUP(Tableau1[[#This Row],[Code PAS]],'parc SATIN 08012026v'!K:K,'parc SATIN 08012026v'!AF:AF,0,0)</f>
        <v>30 Mb/s</v>
      </c>
      <c r="AY24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248" s="250" t="s">
        <v>2842</v>
      </c>
    </row>
    <row r="249" spans="1:52" s="250" customFormat="1" ht="15" customHeight="1" x14ac:dyDescent="0.3">
      <c r="A249" s="248" t="s">
        <v>2735</v>
      </c>
      <c r="B249" s="248"/>
      <c r="C249" s="249"/>
      <c r="D249" s="249"/>
      <c r="E249" s="250" t="s">
        <v>3191</v>
      </c>
      <c r="F249" s="984" t="s">
        <v>797</v>
      </c>
      <c r="G249" s="250" t="s">
        <v>2784</v>
      </c>
      <c r="H249" s="250" t="s">
        <v>2784</v>
      </c>
      <c r="I249" s="250" t="s">
        <v>165</v>
      </c>
      <c r="J249" s="248" t="str">
        <f>_xlfn.XLOOKUP(Tableau1[[#This Row],[Code PAS]],'[13]Parc Satin'!$L:$L,'[13]Parc Satin'!$CK:$CK,0,0)</f>
        <v>Nominal C2E Fibre Secours C2E Fibre</v>
      </c>
      <c r="K249" s="248" t="s">
        <v>2814</v>
      </c>
      <c r="L249" s="250">
        <v>500</v>
      </c>
      <c r="M249" s="250">
        <v>400</v>
      </c>
      <c r="N249" s="250">
        <v>0</v>
      </c>
      <c r="O249" s="250" t="s">
        <v>74</v>
      </c>
      <c r="P249" s="824">
        <v>0</v>
      </c>
      <c r="Q249" s="824">
        <v>228</v>
      </c>
      <c r="R249" s="824">
        <v>0</v>
      </c>
      <c r="S249" s="824">
        <v>228</v>
      </c>
      <c r="T249" s="824">
        <v>1454</v>
      </c>
      <c r="U249" s="824">
        <v>84</v>
      </c>
      <c r="V249" s="824">
        <v>0</v>
      </c>
      <c r="W249" s="824">
        <v>36</v>
      </c>
      <c r="X249" s="824">
        <f>Tableau1[[#This Row],[Coût Abonnement offre]]+Tableau1[[#This Row],[Coût Abonnement Chassis]]+Tableau1[[#This Row],[Cout Cartes interface ]]+Tableau1[[#This Row],[Cout canaux voix supplémentaire]]</f>
        <v>1574</v>
      </c>
      <c r="Y249" s="824">
        <v>0</v>
      </c>
      <c r="Z249" s="966">
        <v>0</v>
      </c>
      <c r="AA249" s="966">
        <v>0</v>
      </c>
      <c r="AB249" s="969">
        <v>0</v>
      </c>
      <c r="AC249" s="969">
        <v>0</v>
      </c>
      <c r="AD249" s="969">
        <v>0</v>
      </c>
      <c r="AE249" s="264">
        <v>50</v>
      </c>
      <c r="AF249" s="264">
        <v>500</v>
      </c>
      <c r="AG249" s="264">
        <v>400</v>
      </c>
      <c r="AH249" s="264">
        <v>900</v>
      </c>
      <c r="AI249" s="973">
        <v>36</v>
      </c>
      <c r="AJ249" s="263">
        <v>50</v>
      </c>
      <c r="AK249" s="987">
        <v>900</v>
      </c>
      <c r="AL249" s="263">
        <f>VLOOKUP(Tableau1[[#This Row],[Code PAS]],'Facturation PAS RIN5 RUN'!C:F,4,0)</f>
        <v>0</v>
      </c>
      <c r="AM249" s="263"/>
      <c r="AN249" s="263" t="b">
        <f>ROUND(Tableau1[[#This Row],[Montant Options coûts récurrents]],0)=ROUND(Tableau1[[#This Row],[GTRS1 (Coût Plage de support 24h/24 7j/7)]],0)</f>
        <v>1</v>
      </c>
      <c r="AO249" s="265" t="e">
        <f>_xlfn.XLOOKUP(Tableau1[[#This Row],[Code PAS]],'parc SATIN 08012026v'!K:K,'parc SATIN 08012026v'!#REF!,0,0)</f>
        <v>#REF!</v>
      </c>
      <c r="AP249" s="263" t="e">
        <f>VLOOKUP(Tableau1[[#This Row],[Code PAS]],#REF!,3,0)</f>
        <v>#REF!</v>
      </c>
      <c r="AQ249" s="263" t="e">
        <f>VLOOKUP(Tableau1[[#This Row],[Code PAS]],[14]Feuil1!$B:$G,6,0)</f>
        <v>#N/A</v>
      </c>
      <c r="AR249" s="263" t="str">
        <f>_xlfn.XLOOKUP(Tableau1[[#This Row],[Code PAS]],'Facturation PAS RIN5 RUN'!C:C,'Facturation PAS RIN5 RUN'!B:B,0,0)</f>
        <v>Gold_50_50</v>
      </c>
      <c r="AS249" s="263" t="b">
        <f>Tableau1[[#This Row],[Etat facturation]]=Tableau1[[#This Row],[Index offre du fournisseur]]</f>
        <v>1</v>
      </c>
      <c r="AT249" s="250" t="str">
        <f>_xlfn.XLOOKUP(Tableau1[[#This Row],[Code PAS]],'parc SATIN 08012026v'!K:K,'parc SATIN 08012026v'!M:M,0,0)</f>
        <v>PARC</v>
      </c>
      <c r="AU249" s="250" t="str">
        <f>_xlfn.XLOOKUP(Tableau1[[#This Row],[Code PAS]],'parc SATIN 08012026v'!K:K,'parc SATIN 08012026v'!O:O,0,0)</f>
        <v>PARC</v>
      </c>
      <c r="AV249" s="251">
        <f>_xlfn.XLOOKUP(Tableau1[[#This Row],[Code PAS]],'parc SATIN 08012026v'!K:K,'parc SATIN 08012026v'!Q:Q,0,0)</f>
        <v>45834</v>
      </c>
      <c r="AW249" s="251" t="str">
        <f>_xlfn.XLOOKUP(Tableau1[[#This Row],[Code PAS]],'parc SATIN 08012026v'!K:K,'parc SATIN 08012026v'!S:S,0,0)</f>
        <v>change</v>
      </c>
      <c r="AX249" s="250" t="str">
        <f>_xlfn.XLOOKUP(Tableau1[[#This Row],[Code PAS]],'parc SATIN 08012026v'!K:K,'parc SATIN 08012026v'!AF:AF,0,0)</f>
        <v>50 Mb/s</v>
      </c>
      <c r="AY24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250" spans="1:52" s="250" customFormat="1" ht="15" customHeight="1" x14ac:dyDescent="0.3">
      <c r="A250" s="248"/>
      <c r="B250" s="249">
        <v>45812</v>
      </c>
      <c r="C250" s="249"/>
      <c r="D250" s="249"/>
      <c r="E250" s="250" t="s">
        <v>3192</v>
      </c>
      <c r="F250" s="984" t="s">
        <v>1885</v>
      </c>
      <c r="G250" s="250" t="s">
        <v>3102</v>
      </c>
      <c r="H250" s="250" t="s">
        <v>3102</v>
      </c>
      <c r="I250" s="250" t="s">
        <v>2817</v>
      </c>
      <c r="J250" s="248" t="str">
        <f>_xlfn.XLOOKUP(Tableau1[[#This Row],[Code PAS]],'[13]Parc Satin'!$L:$L,'[13]Parc Satin'!$CK:$CK,0,0)</f>
        <v>Nominal C2E Fibre sans Secours</v>
      </c>
      <c r="L250" s="250">
        <v>500</v>
      </c>
      <c r="M250" s="250">
        <v>400</v>
      </c>
      <c r="N250" s="250">
        <v>1</v>
      </c>
      <c r="O250" s="250" t="s">
        <v>74</v>
      </c>
      <c r="P250" s="824">
        <v>0</v>
      </c>
      <c r="Q250" s="824">
        <v>602</v>
      </c>
      <c r="R250" s="824">
        <v>0</v>
      </c>
      <c r="S250" s="824">
        <v>602</v>
      </c>
      <c r="T250" s="824">
        <v>1716</v>
      </c>
      <c r="U250" s="824">
        <v>42</v>
      </c>
      <c r="V250" s="824">
        <v>0</v>
      </c>
      <c r="W250" s="824">
        <v>36</v>
      </c>
      <c r="X250" s="824">
        <f>Tableau1[[#This Row],[Coût Abonnement offre]]+Tableau1[[#This Row],[Coût Abonnement Chassis]]+Tableau1[[#This Row],[Cout Cartes interface ]]+Tableau1[[#This Row],[Cout canaux voix supplémentaire]]</f>
        <v>1794</v>
      </c>
      <c r="Y250" s="824">
        <v>0</v>
      </c>
      <c r="Z250" s="966">
        <v>0</v>
      </c>
      <c r="AA250" s="966">
        <v>0</v>
      </c>
      <c r="AB250" s="969">
        <v>0</v>
      </c>
      <c r="AC250" s="969">
        <v>0</v>
      </c>
      <c r="AD250" s="969">
        <v>0</v>
      </c>
      <c r="AE250" s="264">
        <v>50</v>
      </c>
      <c r="AF250" s="264">
        <v>500</v>
      </c>
      <c r="AG250" s="264">
        <v>400</v>
      </c>
      <c r="AH250" s="264">
        <v>900</v>
      </c>
      <c r="AI250" s="973">
        <v>36</v>
      </c>
      <c r="AJ250" s="263">
        <v>50</v>
      </c>
      <c r="AK250" s="987">
        <v>900</v>
      </c>
      <c r="AL250" s="263">
        <f>VLOOKUP(Tableau1[[#This Row],[Code PAS]],'Facturation PAS RIN5 RUN'!C:F,4,0)</f>
        <v>0</v>
      </c>
      <c r="AM250" s="263"/>
      <c r="AN250" s="263" t="b">
        <f>ROUND(Tableau1[[#This Row],[Montant Options coûts récurrents]],0)=ROUND(Tableau1[[#This Row],[GTRS1 (Coût Plage de support 24h/24 7j/7)]],0)</f>
        <v>1</v>
      </c>
      <c r="AO250" s="265" t="e">
        <f>_xlfn.XLOOKUP(Tableau1[[#This Row],[Code PAS]],'parc SATIN 08012026v'!K:K,'parc SATIN 08012026v'!#REF!,0,0)</f>
        <v>#REF!</v>
      </c>
      <c r="AP250" s="263" t="e">
        <f>VLOOKUP(Tableau1[[#This Row],[Code PAS]],#REF!,3,0)</f>
        <v>#REF!</v>
      </c>
      <c r="AQ250" s="263" t="e">
        <f>VLOOKUP(Tableau1[[#This Row],[Code PAS]],[14]Feuil1!$B:$G,6,0)</f>
        <v>#N/A</v>
      </c>
      <c r="AR250" s="263" t="str">
        <f>_xlfn.XLOOKUP(Tableau1[[#This Row],[Code PAS]],'Facturation PAS RIN5 RUN'!C:C,'Facturation PAS RIN5 RUN'!B:B,0,0)</f>
        <v>Bronze_50_0</v>
      </c>
      <c r="AS250" s="263" t="b">
        <f>Tableau1[[#This Row],[Etat facturation]]=Tableau1[[#This Row],[Index offre du fournisseur]]</f>
        <v>1</v>
      </c>
      <c r="AT250" s="250" t="str">
        <f>_xlfn.XLOOKUP(Tableau1[[#This Row],[Code PAS]],'parc SATIN 08012026v'!K:K,'parc SATIN 08012026v'!M:M,0,0)</f>
        <v>PARC</v>
      </c>
      <c r="AU250" s="250" t="str">
        <f>_xlfn.XLOOKUP(Tableau1[[#This Row],[Code PAS]],'parc SATIN 08012026v'!K:K,'parc SATIN 08012026v'!O:O,0,0)</f>
        <v>PARC</v>
      </c>
      <c r="AV250" s="251">
        <f>_xlfn.XLOOKUP(Tableau1[[#This Row],[Code PAS]],'parc SATIN 08012026v'!K:K,'parc SATIN 08012026v'!Q:Q,0,0)</f>
        <v>45812</v>
      </c>
      <c r="AW250" s="251" t="str">
        <f>_xlfn.XLOOKUP(Tableau1[[#This Row],[Code PAS]],'parc SATIN 08012026v'!K:K,'parc SATIN 08012026v'!S:S,0,0)</f>
        <v>création</v>
      </c>
      <c r="AX250" s="250" t="str">
        <f>_xlfn.XLOOKUP(Tableau1[[#This Row],[Code PAS]],'parc SATIN 08012026v'!K:K,'parc SATIN 08012026v'!AF:AF,0,0)</f>
        <v>50 Mb/s</v>
      </c>
      <c r="AY25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251" spans="1:52" s="250" customFormat="1" ht="15" customHeight="1" x14ac:dyDescent="0.3">
      <c r="A251" s="248" t="s">
        <v>2735</v>
      </c>
      <c r="B251" s="248"/>
      <c r="C251" s="249"/>
      <c r="D251" s="249"/>
      <c r="E251" s="248" t="s">
        <v>3193</v>
      </c>
      <c r="F251" s="981" t="s">
        <v>787</v>
      </c>
      <c r="G251" s="250" t="s">
        <v>2804</v>
      </c>
      <c r="H251" s="248" t="s">
        <v>2867</v>
      </c>
      <c r="I251" s="248"/>
      <c r="J251" s="248" t="str">
        <f>_xlfn.XLOOKUP(Tableau1[[#This Row],[Code PAS]],'[13]Parc Satin'!$L:$L,'[13]Parc Satin'!$CK:$CK,0,0)</f>
        <v>Nominal C2E CN2 sans Secours</v>
      </c>
      <c r="K251" s="248"/>
      <c r="L251" s="248"/>
      <c r="M251" s="248"/>
      <c r="N251" s="248"/>
      <c r="O251" s="248"/>
      <c r="P251" s="822">
        <v>0</v>
      </c>
      <c r="Q251" s="822">
        <v>0</v>
      </c>
      <c r="R251" s="822">
        <v>0</v>
      </c>
      <c r="S251" s="822">
        <v>0</v>
      </c>
      <c r="T251" s="824">
        <v>290</v>
      </c>
      <c r="U251" s="823">
        <v>12</v>
      </c>
      <c r="V251" s="823">
        <v>18</v>
      </c>
      <c r="W251" s="823">
        <v>0</v>
      </c>
      <c r="X251" s="823">
        <f>Tableau1[[#This Row],[Coût Abonnement offre]]+Tableau1[[#This Row],[Coût Abonnement Chassis]]+Tableau1[[#This Row],[Cout Cartes interface ]]+Tableau1[[#This Row],[Cout canaux voix supplémentaire]]</f>
        <v>320</v>
      </c>
      <c r="Y251" s="823">
        <v>0</v>
      </c>
      <c r="Z251" s="966">
        <v>0</v>
      </c>
      <c r="AA251" s="966">
        <v>0</v>
      </c>
      <c r="AB251" s="969">
        <v>0</v>
      </c>
      <c r="AC251" s="969">
        <v>0</v>
      </c>
      <c r="AD251" s="969">
        <v>0</v>
      </c>
      <c r="AE251" s="264">
        <v>2</v>
      </c>
      <c r="AF251" s="264">
        <v>20</v>
      </c>
      <c r="AG251" s="264">
        <v>10</v>
      </c>
      <c r="AH251" s="264">
        <v>30</v>
      </c>
      <c r="AI251" s="973">
        <v>9</v>
      </c>
      <c r="AJ251" s="263">
        <v>2</v>
      </c>
      <c r="AK251" s="987">
        <v>20</v>
      </c>
      <c r="AL251" s="263">
        <f>VLOOKUP(Tableau1[[#This Row],[Code PAS]],'Facturation PAS RIN5 RUN'!C:F,4,0)</f>
        <v>18</v>
      </c>
      <c r="AM251" s="263"/>
      <c r="AN251" s="263" t="b">
        <f>ROUND(Tableau1[[#This Row],[Montant Options coûts récurrents]],0)=ROUND(Tableau1[[#This Row],[GTRS1 (Coût Plage de support 24h/24 7j/7)]],0)</f>
        <v>0</v>
      </c>
      <c r="AO251" s="265" t="e">
        <f>_xlfn.XLOOKUP(Tableau1[[#This Row],[Code PAS]],'parc SATIN 08012026v'!K:K,'parc SATIN 08012026v'!#REF!,0,0)</f>
        <v>#REF!</v>
      </c>
      <c r="AP251" s="263" t="e">
        <f>VLOOKUP(Tableau1[[#This Row],[Code PAS]],#REF!,3,0)</f>
        <v>#REF!</v>
      </c>
      <c r="AQ251" s="263" t="e">
        <f>VLOOKUP(Tableau1[[#This Row],[Code PAS]],[14]Feuil1!$B:$G,6,0)</f>
        <v>#N/A</v>
      </c>
      <c r="AR251" s="263" t="str">
        <f>_xlfn.XLOOKUP(Tableau1[[#This Row],[Code PAS]],'Facturation PAS RIN5 RUN'!C:C,'Facturation PAS RIN5 RUN'!B:B,0,0)</f>
        <v>Bronze_2_0</v>
      </c>
      <c r="AS251" s="263" t="b">
        <f>Tableau1[[#This Row],[Etat facturation]]=Tableau1[[#This Row],[Index offre du fournisseur]]</f>
        <v>1</v>
      </c>
      <c r="AT251" s="250" t="str">
        <f>_xlfn.XLOOKUP(Tableau1[[#This Row],[Code PAS]],'parc SATIN 08012026v'!K:K,'parc SATIN 08012026v'!M:M,0,0)</f>
        <v>PARC</v>
      </c>
      <c r="AU251" s="250" t="str">
        <f>_xlfn.XLOOKUP(Tableau1[[#This Row],[Code PAS]],'parc SATIN 08012026v'!K:K,'parc SATIN 08012026v'!O:O,0,0)</f>
        <v>PARC</v>
      </c>
      <c r="AV251" s="251">
        <f>_xlfn.XLOOKUP(Tableau1[[#This Row],[Code PAS]],'parc SATIN 08012026v'!K:K,'parc SATIN 08012026v'!Q:Q,0,0)</f>
        <v>45216</v>
      </c>
      <c r="AW251" s="251" t="str">
        <f>_xlfn.XLOOKUP(Tableau1[[#This Row],[Code PAS]],'parc SATIN 08012026v'!K:K,'parc SATIN 08012026v'!S:S,0,0)</f>
        <v>change</v>
      </c>
      <c r="AX251" s="250" t="str">
        <f>_xlfn.XLOOKUP(Tableau1[[#This Row],[Code PAS]],'parc SATIN 08012026v'!K:K,'parc SATIN 08012026v'!AF:AF,0,0)</f>
        <v>2 Mb/s</v>
      </c>
      <c r="AY251" s="254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251" s="250" t="s">
        <v>2868</v>
      </c>
    </row>
    <row r="252" spans="1:52" s="250" customFormat="1" ht="15" customHeight="1" x14ac:dyDescent="0.3">
      <c r="A252" s="250" t="s">
        <v>2739</v>
      </c>
      <c r="C252" s="249"/>
      <c r="D252" s="249"/>
      <c r="E252" s="250" t="s">
        <v>3194</v>
      </c>
      <c r="F252" s="984" t="s">
        <v>1552</v>
      </c>
      <c r="G252" s="250" t="s">
        <v>3068</v>
      </c>
      <c r="H252" s="250" t="s">
        <v>3068</v>
      </c>
      <c r="I252" s="250" t="s">
        <v>165</v>
      </c>
      <c r="J252" s="248" t="str">
        <f>_xlfn.XLOOKUP(Tableau1[[#This Row],[Code PAS]],'[13]Parc Satin'!$L:$L,'[13]Parc Satin'!$CK:$CK,0,0)</f>
        <v>Nominal InterLan 1.0 sans Secours</v>
      </c>
      <c r="K252" s="250" t="s">
        <v>2850</v>
      </c>
      <c r="L252" s="250">
        <v>60</v>
      </c>
      <c r="M252" s="250">
        <v>40</v>
      </c>
      <c r="O252" s="250" t="s">
        <v>74</v>
      </c>
      <c r="P252" s="824">
        <v>0</v>
      </c>
      <c r="Q252" s="824">
        <v>0</v>
      </c>
      <c r="R252" s="824">
        <v>0</v>
      </c>
      <c r="S252" s="824">
        <v>0</v>
      </c>
      <c r="T252" s="824">
        <v>469</v>
      </c>
      <c r="U252" s="824">
        <v>22</v>
      </c>
      <c r="V252" s="824">
        <v>20</v>
      </c>
      <c r="W252" s="824">
        <v>36</v>
      </c>
      <c r="X252" s="824">
        <f>Tableau1[[#This Row],[Coût Abonnement offre]]+Tableau1[[#This Row],[Coût Abonnement Chassis]]+Tableau1[[#This Row],[Cout Cartes interface ]]+Tableau1[[#This Row],[Cout canaux voix supplémentaire]]</f>
        <v>547</v>
      </c>
      <c r="Y252" s="824">
        <v>0</v>
      </c>
      <c r="Z252" s="966">
        <v>0</v>
      </c>
      <c r="AA252" s="966">
        <v>0</v>
      </c>
      <c r="AB252" s="969">
        <v>0</v>
      </c>
      <c r="AC252" s="969">
        <v>0</v>
      </c>
      <c r="AD252" s="969">
        <v>0</v>
      </c>
      <c r="AE252" s="264">
        <v>6</v>
      </c>
      <c r="AF252" s="264">
        <v>60</v>
      </c>
      <c r="AG252" s="264">
        <v>40</v>
      </c>
      <c r="AH252" s="264">
        <v>100</v>
      </c>
      <c r="AI252" s="973">
        <v>36</v>
      </c>
      <c r="AJ252" s="263">
        <v>6</v>
      </c>
      <c r="AK252" s="987">
        <v>100</v>
      </c>
      <c r="AL252" s="263">
        <f>VLOOKUP(Tableau1[[#This Row],[Code PAS]],'Facturation PAS RIN5 RUN'!C:F,4,0)</f>
        <v>20</v>
      </c>
      <c r="AM252" s="263"/>
      <c r="AN252" s="263" t="b">
        <f>ROUND(Tableau1[[#This Row],[Montant Options coûts récurrents]],0)=ROUND(Tableau1[[#This Row],[GTRS1 (Coût Plage de support 24h/24 7j/7)]],0)</f>
        <v>0</v>
      </c>
      <c r="AO252" s="265" t="e">
        <f>_xlfn.XLOOKUP(Tableau1[[#This Row],[Code PAS]],'parc SATIN 08012026v'!K:K,'parc SATIN 08012026v'!#REF!,0,0)</f>
        <v>#REF!</v>
      </c>
      <c r="AP252" s="263" t="e">
        <f>VLOOKUP(Tableau1[[#This Row],[Code PAS]],#REF!,3,0)</f>
        <v>#REF!</v>
      </c>
      <c r="AQ252" s="263" t="e">
        <f>VLOOKUP(Tableau1[[#This Row],[Code PAS]],[14]Feuil1!$B:$G,6,0)</f>
        <v>#N/A</v>
      </c>
      <c r="AR252" s="263" t="str">
        <f>_xlfn.XLOOKUP(Tableau1[[#This Row],[Code PAS]],'Facturation PAS RIN5 RUN'!C:C,'Facturation PAS RIN5 RUN'!B:B,0,0)</f>
        <v>Bronze_6_0</v>
      </c>
      <c r="AS252" s="263" t="b">
        <f>Tableau1[[#This Row],[Etat facturation]]=Tableau1[[#This Row],[Index offre du fournisseur]]</f>
        <v>1</v>
      </c>
      <c r="AT252" s="250" t="str">
        <f>_xlfn.XLOOKUP(Tableau1[[#This Row],[Code PAS]],'parc SATIN 08012026v'!K:K,'parc SATIN 08012026v'!M:M,0,0)</f>
        <v>PARC</v>
      </c>
      <c r="AU252" s="250" t="str">
        <f>_xlfn.XLOOKUP(Tableau1[[#This Row],[Code PAS]],'parc SATIN 08012026v'!K:K,'parc SATIN 08012026v'!O:O,0,0)</f>
        <v>PARC</v>
      </c>
      <c r="AV252" s="251">
        <f>_xlfn.XLOOKUP(Tableau1[[#This Row],[Code PAS]],'parc SATIN 08012026v'!K:K,'parc SATIN 08012026v'!Q:Q,0,0)</f>
        <v>45600</v>
      </c>
      <c r="AW252" s="251" t="str">
        <f>_xlfn.XLOOKUP(Tableau1[[#This Row],[Code PAS]],'parc SATIN 08012026v'!K:K,'parc SATIN 08012026v'!S:S,0,0)</f>
        <v>change</v>
      </c>
      <c r="AX252" s="250" t="str">
        <f>_xlfn.XLOOKUP(Tableau1[[#This Row],[Code PAS]],'parc SATIN 08012026v'!K:K,'parc SATIN 08012026v'!AF:AF,0,0)</f>
        <v>6 Mb/s</v>
      </c>
      <c r="AY25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</v>
      </c>
    </row>
    <row r="253" spans="1:52" s="250" customFormat="1" ht="15" customHeight="1" x14ac:dyDescent="0.3">
      <c r="A253" s="248" t="s">
        <v>2735</v>
      </c>
      <c r="B253" s="248"/>
      <c r="C253" s="249"/>
      <c r="D253" s="249"/>
      <c r="E253" s="248" t="s">
        <v>2799</v>
      </c>
      <c r="F253" s="979" t="s">
        <v>679</v>
      </c>
      <c r="G253" s="250" t="s">
        <v>2800</v>
      </c>
      <c r="H253" s="248" t="s">
        <v>2801</v>
      </c>
      <c r="I253" s="248"/>
      <c r="J253" s="248" t="str">
        <f>_xlfn.XLOOKUP(Tableau1[[#This Row],[Code PAS]],'[13]Parc Satin'!$L:$L,'[13]Parc Satin'!$CK:$CK,0,0)</f>
        <v>Nominal C2E Fibre Secours C2E Fibre</v>
      </c>
      <c r="K253" s="248"/>
      <c r="L253" s="248"/>
      <c r="M253" s="248"/>
      <c r="N253" s="248"/>
      <c r="O253" s="248"/>
      <c r="P253" s="822">
        <v>0</v>
      </c>
      <c r="Q253" s="822">
        <v>0</v>
      </c>
      <c r="R253" s="822">
        <v>0</v>
      </c>
      <c r="S253" s="822">
        <v>0</v>
      </c>
      <c r="T253" s="823">
        <v>899</v>
      </c>
      <c r="U253" s="823">
        <v>24</v>
      </c>
      <c r="V253" s="823">
        <v>0</v>
      </c>
      <c r="W253" s="823">
        <v>36</v>
      </c>
      <c r="X253" s="823">
        <f>Tableau1[[#This Row],[Coût Abonnement offre]]+Tableau1[[#This Row],[Coût Abonnement Chassis]]+Tableau1[[#This Row],[Cout Cartes interface ]]+Tableau1[[#This Row],[Cout canaux voix supplémentaire]]</f>
        <v>959</v>
      </c>
      <c r="Y253" s="823">
        <v>66</v>
      </c>
      <c r="Z253" s="966">
        <v>0</v>
      </c>
      <c r="AA253" s="966">
        <v>0</v>
      </c>
      <c r="AB253" s="969">
        <v>0</v>
      </c>
      <c r="AC253" s="968">
        <v>-372</v>
      </c>
      <c r="AD253" s="969">
        <v>0</v>
      </c>
      <c r="AE253" s="259">
        <v>6</v>
      </c>
      <c r="AF253" s="264">
        <v>60</v>
      </c>
      <c r="AG253" s="264">
        <v>40</v>
      </c>
      <c r="AH253" s="264">
        <v>100</v>
      </c>
      <c r="AI253" s="973">
        <v>36</v>
      </c>
      <c r="AJ253" s="263">
        <v>6</v>
      </c>
      <c r="AK253" s="987">
        <v>100</v>
      </c>
      <c r="AL253" s="263">
        <f>VLOOKUP(Tableau1[[#This Row],[Code PAS]],'Facturation PAS RIN5 RUN'!C:F,4,0)</f>
        <v>0</v>
      </c>
      <c r="AM253" s="263"/>
      <c r="AN253" s="263" t="b">
        <f>ROUND(Tableau1[[#This Row],[Montant Options coûts récurrents]],0)=ROUND(Tableau1[[#This Row],[GTRS1 (Coût Plage de support 24h/24 7j/7)]],0)</f>
        <v>0</v>
      </c>
      <c r="AO253" s="265" t="e">
        <f>_xlfn.XLOOKUP(Tableau1[[#This Row],[Code PAS]],'parc SATIN 08012026v'!K:K,'parc SATIN 08012026v'!#REF!,0,0)</f>
        <v>#REF!</v>
      </c>
      <c r="AP253" s="263" t="e">
        <f>VLOOKUP(Tableau1[[#This Row],[Code PAS]],#REF!,3,0)</f>
        <v>#REF!</v>
      </c>
      <c r="AQ253" s="263" t="e">
        <f>VLOOKUP(Tableau1[[#This Row],[Code PAS]],[14]Feuil1!$B:$G,6,0)</f>
        <v>#N/A</v>
      </c>
      <c r="AR253" s="263" t="str">
        <f>_xlfn.XLOOKUP(Tableau1[[#This Row],[Code PAS]],'Facturation PAS RIN5 RUN'!C:C,'Facturation PAS RIN5 RUN'!B:B,0,0)</f>
        <v>Gold_6_6</v>
      </c>
      <c r="AS253" s="263" t="b">
        <f>Tableau1[[#This Row],[Etat facturation]]=Tableau1[[#This Row],[Index offre du fournisseur]]</f>
        <v>1</v>
      </c>
      <c r="AT253" s="250" t="str">
        <f>_xlfn.XLOOKUP(Tableau1[[#This Row],[Code PAS]],'parc SATIN 08012026v'!K:K,'parc SATIN 08012026v'!M:M,0,0)</f>
        <v>PARC</v>
      </c>
      <c r="AU253" s="250" t="str">
        <f>_xlfn.XLOOKUP(Tableau1[[#This Row],[Code PAS]],'parc SATIN 08012026v'!K:K,'parc SATIN 08012026v'!O:O,0,0)</f>
        <v>PARC</v>
      </c>
      <c r="AV253" s="251">
        <f>_xlfn.XLOOKUP(Tableau1[[#This Row],[Code PAS]],'parc SATIN 08012026v'!K:K,'parc SATIN 08012026v'!Q:Q,0,0)</f>
        <v>44412</v>
      </c>
      <c r="AW253" s="251" t="str">
        <f>_xlfn.XLOOKUP(Tableau1[[#This Row],[Code PAS]],'parc SATIN 08012026v'!K:K,'parc SATIN 08012026v'!S:S,0,0)</f>
        <v>change</v>
      </c>
      <c r="AX253" s="250" t="str">
        <f>_xlfn.XLOOKUP(Tableau1[[#This Row],[Code PAS]],'parc SATIN 08012026v'!K:K,'parc SATIN 08012026v'!AF:AF,0,0)</f>
        <v>6 Mb/s</v>
      </c>
      <c r="AY25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</v>
      </c>
      <c r="AZ253" s="250" t="s">
        <v>2802</v>
      </c>
    </row>
    <row r="254" spans="1:52" s="250" customFormat="1" ht="15" customHeight="1" x14ac:dyDescent="0.3">
      <c r="A254" s="248" t="s">
        <v>2735</v>
      </c>
      <c r="B254" s="248"/>
      <c r="C254" s="249"/>
      <c r="D254" s="249"/>
      <c r="E254" s="248" t="s">
        <v>2803</v>
      </c>
      <c r="F254" s="979" t="s">
        <v>669</v>
      </c>
      <c r="G254" s="250" t="s">
        <v>2804</v>
      </c>
      <c r="H254" s="248" t="s">
        <v>2805</v>
      </c>
      <c r="I254" s="248" t="s">
        <v>165</v>
      </c>
      <c r="J254" s="248" t="str">
        <f>_xlfn.XLOOKUP(Tableau1[[#This Row],[Code PAS]],'[13]Parc Satin'!$L:$L,'[13]Parc Satin'!$CK:$CK,0,0)</f>
        <v>Nominal C2E Secours C2E</v>
      </c>
      <c r="K254" s="248" t="s">
        <v>2806</v>
      </c>
      <c r="L254" s="248"/>
      <c r="M254" s="248"/>
      <c r="N254" s="248"/>
      <c r="O254" s="248"/>
      <c r="P254" s="822">
        <v>0</v>
      </c>
      <c r="Q254" s="822">
        <v>0</v>
      </c>
      <c r="R254" s="822">
        <v>0</v>
      </c>
      <c r="S254" s="822">
        <v>0</v>
      </c>
      <c r="T254" s="823">
        <v>460</v>
      </c>
      <c r="U254" s="823">
        <v>54</v>
      </c>
      <c r="V254" s="823">
        <v>0</v>
      </c>
      <c r="W254" s="823">
        <v>0</v>
      </c>
      <c r="X254" s="823">
        <f>Tableau1[[#This Row],[Coût Abonnement offre]]+Tableau1[[#This Row],[Coût Abonnement Chassis]]+Tableau1[[#This Row],[Cout Cartes interface ]]+Tableau1[[#This Row],[Cout canaux voix supplémentaire]]</f>
        <v>514</v>
      </c>
      <c r="Y254" s="823">
        <v>66</v>
      </c>
      <c r="Z254" s="967">
        <v>-324</v>
      </c>
      <c r="AA254" s="966">
        <v>0</v>
      </c>
      <c r="AB254" s="969">
        <v>0</v>
      </c>
      <c r="AC254" s="969">
        <v>0</v>
      </c>
      <c r="AD254" s="969">
        <v>0</v>
      </c>
      <c r="AE254" s="264">
        <v>1</v>
      </c>
      <c r="AF254" s="264">
        <v>15</v>
      </c>
      <c r="AG254" s="264">
        <v>0</v>
      </c>
      <c r="AH254" s="264">
        <v>15</v>
      </c>
      <c r="AI254" s="973">
        <v>0</v>
      </c>
      <c r="AJ254" s="263">
        <v>1</v>
      </c>
      <c r="AK254" s="987">
        <v>15</v>
      </c>
      <c r="AL254" s="263">
        <f>VLOOKUP(Tableau1[[#This Row],[Code PAS]],'Facturation PAS RIN5 RUN'!C:F,4,0)</f>
        <v>0</v>
      </c>
      <c r="AM254" s="263"/>
      <c r="AN254" s="263" t="b">
        <f>ROUND(Tableau1[[#This Row],[Montant Options coûts récurrents]],0)=ROUND(Tableau1[[#This Row],[GTRS1 (Coût Plage de support 24h/24 7j/7)]],0)</f>
        <v>0</v>
      </c>
      <c r="AO254" s="265" t="e">
        <f>_xlfn.XLOOKUP(Tableau1[[#This Row],[Code PAS]],'parc SATIN 08012026v'!K:K,'parc SATIN 08012026v'!#REF!,0,0)</f>
        <v>#REF!</v>
      </c>
      <c r="AP254" s="263" t="e">
        <f>VLOOKUP(Tableau1[[#This Row],[Code PAS]],#REF!,3,0)</f>
        <v>#REF!</v>
      </c>
      <c r="AQ254" s="263" t="e">
        <f>VLOOKUP(Tableau1[[#This Row],[Code PAS]],[14]Feuil1!$B:$G,6,0)</f>
        <v>#N/A</v>
      </c>
      <c r="AR254" s="263" t="str">
        <f>_xlfn.XLOOKUP(Tableau1[[#This Row],[Code PAS]],'Facturation PAS RIN5 RUN'!C:C,'Facturation PAS RIN5 RUN'!B:B,0,0)</f>
        <v>Silver_1_1</v>
      </c>
      <c r="AS254" s="263" t="b">
        <f>Tableau1[[#This Row],[Etat facturation]]=Tableau1[[#This Row],[Index offre du fournisseur]]</f>
        <v>1</v>
      </c>
      <c r="AT254" s="250" t="str">
        <f>_xlfn.XLOOKUP(Tableau1[[#This Row],[Code PAS]],'parc SATIN 08012026v'!K:K,'parc SATIN 08012026v'!M:M,0,0)</f>
        <v>PARC</v>
      </c>
      <c r="AU254" s="250" t="str">
        <f>_xlfn.XLOOKUP(Tableau1[[#This Row],[Code PAS]],'parc SATIN 08012026v'!K:K,'parc SATIN 08012026v'!O:O,0,0)</f>
        <v>PARC</v>
      </c>
      <c r="AV254" s="251">
        <f>_xlfn.XLOOKUP(Tableau1[[#This Row],[Code PAS]],'parc SATIN 08012026v'!K:K,'parc SATIN 08012026v'!Q:Q,0,0)</f>
        <v>44964</v>
      </c>
      <c r="AW254" s="251" t="str">
        <f>_xlfn.XLOOKUP(Tableau1[[#This Row],[Code PAS]],'parc SATIN 08012026v'!K:K,'parc SATIN 08012026v'!S:S,0,0)</f>
        <v>change</v>
      </c>
      <c r="AX254" s="250" t="str">
        <f>_xlfn.XLOOKUP(Tableau1[[#This Row],[Code PAS]],'parc SATIN 08012026v'!K:K,'parc SATIN 08012026v'!AF:AF,0,0)</f>
        <v>1 Mb/s</v>
      </c>
      <c r="AY25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</v>
      </c>
      <c r="AZ254" s="250" t="s">
        <v>2807</v>
      </c>
    </row>
    <row r="255" spans="1:52" s="250" customFormat="1" ht="15" customHeight="1" x14ac:dyDescent="0.3">
      <c r="A255" s="248" t="s">
        <v>2735</v>
      </c>
      <c r="B255" s="249">
        <v>45470</v>
      </c>
      <c r="C255" s="249">
        <v>45470</v>
      </c>
      <c r="D255" s="249"/>
      <c r="E255" s="248" t="s">
        <v>2808</v>
      </c>
      <c r="F255" s="979" t="s">
        <v>688</v>
      </c>
      <c r="G255" s="250" t="s">
        <v>2809</v>
      </c>
      <c r="H255" s="248" t="s">
        <v>2809</v>
      </c>
      <c r="I255" s="248" t="s">
        <v>165</v>
      </c>
      <c r="J255" s="248" t="str">
        <f>_xlfn.XLOOKUP(Tableau1[[#This Row],[Code PAS]],'[13]Parc Satin'!$L:$L,'[13]Parc Satin'!$CK:$CK,0,0)</f>
        <v>Nominal C2E Secours C2E</v>
      </c>
      <c r="K255" s="248" t="s">
        <v>2810</v>
      </c>
      <c r="L255" s="248">
        <v>120</v>
      </c>
      <c r="M255" s="248">
        <v>60</v>
      </c>
      <c r="N255" s="248">
        <v>1</v>
      </c>
      <c r="O255" s="248" t="s">
        <v>76</v>
      </c>
      <c r="P255" s="822">
        <v>0</v>
      </c>
      <c r="Q255" s="822">
        <v>379</v>
      </c>
      <c r="R255" s="822">
        <v>0</v>
      </c>
      <c r="S255" s="822">
        <v>379</v>
      </c>
      <c r="T255" s="978">
        <v>645</v>
      </c>
      <c r="U255" s="978">
        <v>30</v>
      </c>
      <c r="V255" s="978">
        <v>0</v>
      </c>
      <c r="W255" s="978">
        <v>0</v>
      </c>
      <c r="X255" s="823">
        <f>Tableau1[[#This Row],[Coût Abonnement offre]]+Tableau1[[#This Row],[Coût Abonnement Chassis]]+Tableau1[[#This Row],[Cout Cartes interface ]]+Tableau1[[#This Row],[Cout canaux voix supplémentaire]]</f>
        <v>675</v>
      </c>
      <c r="Y255" s="823">
        <v>66</v>
      </c>
      <c r="Z255" s="966">
        <v>0</v>
      </c>
      <c r="AA255" s="966">
        <v>0</v>
      </c>
      <c r="AB255" s="969">
        <v>0</v>
      </c>
      <c r="AC255" s="969">
        <v>0</v>
      </c>
      <c r="AD255" s="969">
        <v>0</v>
      </c>
      <c r="AE255" s="264">
        <v>4</v>
      </c>
      <c r="AF255" s="264">
        <v>40</v>
      </c>
      <c r="AG255" s="264">
        <v>30</v>
      </c>
      <c r="AH255" s="264">
        <v>70</v>
      </c>
      <c r="AI255" s="973">
        <v>27</v>
      </c>
      <c r="AJ255" s="266">
        <v>4</v>
      </c>
      <c r="AK255" s="987">
        <v>30</v>
      </c>
      <c r="AL255" s="263">
        <f>VLOOKUP(Tableau1[[#This Row],[Code PAS]],'Facturation PAS RIN5 RUN'!C:F,4,0)</f>
        <v>0</v>
      </c>
      <c r="AM255" s="263"/>
      <c r="AN255" s="263" t="b">
        <f>ROUND(Tableau1[[#This Row],[Montant Options coûts récurrents]],0)=ROUND(Tableau1[[#This Row],[GTRS1 (Coût Plage de support 24h/24 7j/7)]],0)</f>
        <v>0</v>
      </c>
      <c r="AO255" s="265" t="e">
        <f>_xlfn.XLOOKUP(Tableau1[[#This Row],[Code PAS]],'parc SATIN 08012026v'!K:K,'parc SATIN 08012026v'!#REF!,0,0)</f>
        <v>#REF!</v>
      </c>
      <c r="AP255" s="263" t="e">
        <f>VLOOKUP(Tableau1[[#This Row],[Code PAS]],#REF!,3,0)</f>
        <v>#REF!</v>
      </c>
      <c r="AQ255" s="263" t="e">
        <f>VLOOKUP(Tableau1[[#This Row],[Code PAS]],[14]Feuil1!$B:$G,6,0)</f>
        <v>#N/A</v>
      </c>
      <c r="AR255" s="263" t="str">
        <f>_xlfn.XLOOKUP(Tableau1[[#This Row],[Code PAS]],'Facturation PAS RIN5 RUN'!C:C,'Facturation PAS RIN5 RUN'!B:B,0,0)</f>
        <v>Silver_4_4</v>
      </c>
      <c r="AS255" s="263" t="b">
        <f>Tableau1[[#This Row],[Etat facturation]]=Tableau1[[#This Row],[Index offre du fournisseur]]</f>
        <v>1</v>
      </c>
      <c r="AT255" s="250" t="str">
        <f>_xlfn.XLOOKUP(Tableau1[[#This Row],[Code PAS]],'parc SATIN 08012026v'!K:K,'parc SATIN 08012026v'!M:M,0,0)</f>
        <v>PARC</v>
      </c>
      <c r="AU255" s="250" t="str">
        <f>_xlfn.XLOOKUP(Tableau1[[#This Row],[Code PAS]],'parc SATIN 08012026v'!K:K,'parc SATIN 08012026v'!O:O,0,0)</f>
        <v>PARC</v>
      </c>
      <c r="AV255" s="251">
        <f>_xlfn.XLOOKUP(Tableau1[[#This Row],[Code PAS]],'parc SATIN 08012026v'!K:K,'parc SATIN 08012026v'!Q:Q,0,0)</f>
        <v>45470</v>
      </c>
      <c r="AW255" s="251" t="str">
        <f>_xlfn.XLOOKUP(Tableau1[[#This Row],[Code PAS]],'parc SATIN 08012026v'!K:K,'parc SATIN 08012026v'!S:S,0,0)</f>
        <v>change</v>
      </c>
      <c r="AX255" s="250" t="str">
        <f>_xlfn.XLOOKUP(Tableau1[[#This Row],[Code PAS]],'parc SATIN 08012026v'!K:K,'parc SATIN 08012026v'!AF:AF,0,0)</f>
        <v>4 Mb/s</v>
      </c>
      <c r="AY25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255" s="250" t="s">
        <v>2811</v>
      </c>
    </row>
    <row r="256" spans="1:52" s="250" customFormat="1" ht="15" customHeight="1" x14ac:dyDescent="0.3">
      <c r="A256" s="248" t="s">
        <v>2739</v>
      </c>
      <c r="B256" s="249">
        <v>45946</v>
      </c>
      <c r="C256" s="249">
        <v>45982</v>
      </c>
      <c r="D256" s="249">
        <v>45967</v>
      </c>
      <c r="E256" s="250" t="s">
        <v>2812</v>
      </c>
      <c r="F256" s="980" t="s">
        <v>1783</v>
      </c>
      <c r="G256" s="250" t="s">
        <v>2813</v>
      </c>
      <c r="H256" s="250" t="s">
        <v>2813</v>
      </c>
      <c r="I256" s="248" t="s">
        <v>165</v>
      </c>
      <c r="J256" s="248" t="s">
        <v>2814</v>
      </c>
      <c r="K256" s="250" t="s">
        <v>2814</v>
      </c>
      <c r="L256" s="250">
        <v>300</v>
      </c>
      <c r="M256" s="250">
        <v>50</v>
      </c>
      <c r="N256" s="250">
        <v>1</v>
      </c>
      <c r="O256" s="250" t="s">
        <v>76</v>
      </c>
      <c r="P256" s="824">
        <v>0</v>
      </c>
      <c r="Q256" s="824">
        <v>0</v>
      </c>
      <c r="R256" s="824">
        <v>0</v>
      </c>
      <c r="S256" s="824">
        <v>0</v>
      </c>
      <c r="T256" s="824">
        <v>1649</v>
      </c>
      <c r="U256" s="824">
        <v>142</v>
      </c>
      <c r="V256" s="824">
        <v>16</v>
      </c>
      <c r="W256" s="824">
        <v>5</v>
      </c>
      <c r="X256" s="824">
        <v>1811.3564263010346</v>
      </c>
      <c r="Y256" s="824">
        <v>66</v>
      </c>
      <c r="Z256" s="967">
        <v>-5616</v>
      </c>
      <c r="AA256" s="966">
        <v>0</v>
      </c>
      <c r="AB256" s="969">
        <v>0</v>
      </c>
      <c r="AC256" s="969">
        <v>0</v>
      </c>
      <c r="AD256" s="968">
        <v>-726</v>
      </c>
      <c r="AE256" s="264">
        <v>20</v>
      </c>
      <c r="AF256" s="264">
        <v>300</v>
      </c>
      <c r="AG256" s="264">
        <v>50</v>
      </c>
      <c r="AH256" s="264">
        <v>350</v>
      </c>
      <c r="AI256" s="974">
        <v>5</v>
      </c>
      <c r="AJ256" s="266">
        <v>20</v>
      </c>
      <c r="AK256" s="987">
        <v>350</v>
      </c>
      <c r="AL256" s="263">
        <v>66</v>
      </c>
      <c r="AM256" s="263"/>
      <c r="AN256" s="263" t="b">
        <f>ROUND(Tableau1[[#This Row],[Montant Options coûts récurrents]],0)=ROUND(Tableau1[[#This Row],[GTRS1 (Coût Plage de support 24h/24 7j/7)]],0)</f>
        <v>1</v>
      </c>
      <c r="AO256" s="265" t="e">
        <f>_xlfn.XLOOKUP(Tableau1[[#This Row],[Code PAS]],'parc SATIN 08012026v'!K:K,'parc SATIN 08012026v'!#REF!,0,0)</f>
        <v>#REF!</v>
      </c>
      <c r="AP256" s="263" t="e">
        <f>VLOOKUP(Tableau1[[#This Row],[Code PAS]],#REF!,3,0)</f>
        <v>#REF!</v>
      </c>
      <c r="AQ256" s="263" t="e">
        <f>VLOOKUP(Tableau1[[#This Row],[Code PAS]],[14]Feuil1!$B:$G,6,0)</f>
        <v>#N/A</v>
      </c>
      <c r="AR256" s="263" t="str">
        <f>_xlfn.XLOOKUP(Tableau1[[#This Row],[Code PAS]],'Facturation PAS RIN5 RUN'!C:C,'Facturation PAS RIN5 RUN'!B:B,0,0)</f>
        <v>Silver_20_20</v>
      </c>
      <c r="AS256" s="263" t="b">
        <f>Tableau1[[#This Row],[Etat facturation]]=Tableau1[[#This Row],[Index offre du fournisseur]]</f>
        <v>1</v>
      </c>
      <c r="AT256" s="250" t="str">
        <f>_xlfn.XLOOKUP(Tableau1[[#This Row],[Code PAS]],'parc SATIN 08012026v'!K:K,'parc SATIN 08012026v'!M:M,0,0)</f>
        <v>PARC</v>
      </c>
      <c r="AU256" s="250" t="str">
        <f>_xlfn.XLOOKUP(Tableau1[[#This Row],[Code PAS]],'parc SATIN 08012026v'!K:K,'parc SATIN 08012026v'!O:O,0,0)</f>
        <v>PARC</v>
      </c>
      <c r="AV256" s="251">
        <f>_xlfn.XLOOKUP(Tableau1[[#This Row],[Code PAS]],'parc SATIN 08012026v'!K:K,'parc SATIN 08012026v'!Q:Q,0,0)</f>
        <v>45967</v>
      </c>
      <c r="AW256" s="251" t="str">
        <f>_xlfn.XLOOKUP(Tableau1[[#This Row],[Code PAS]],'parc SATIN 08012026v'!K:K,'parc SATIN 08012026v'!S:S,0,0)</f>
        <v>change</v>
      </c>
      <c r="AX256" s="250" t="str">
        <f>_xlfn.XLOOKUP(Tableau1[[#This Row],[Code PAS]],'parc SATIN 08012026v'!K:K,'parc SATIN 08012026v'!AF:AF,0,0)</f>
        <v>20 Mb/s</v>
      </c>
      <c r="AY25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256" s="250" t="s">
        <v>2815</v>
      </c>
    </row>
    <row r="257" spans="1:54" s="250" customFormat="1" ht="15" customHeight="1" x14ac:dyDescent="0.3">
      <c r="A257" s="248" t="s">
        <v>2735</v>
      </c>
      <c r="B257" s="248"/>
      <c r="C257" s="249"/>
      <c r="D257" s="249"/>
      <c r="E257" s="248" t="s">
        <v>2816</v>
      </c>
      <c r="F257" s="979" t="s">
        <v>625</v>
      </c>
      <c r="G257" s="250" t="s">
        <v>2788</v>
      </c>
      <c r="H257" s="248" t="s">
        <v>2788</v>
      </c>
      <c r="I257" s="248" t="s">
        <v>2817</v>
      </c>
      <c r="J257" s="248" t="str">
        <f>_xlfn.XLOOKUP(Tableau1[[#This Row],[Code PAS]],'[13]Parc Satin'!$L:$L,'[13]Parc Satin'!$CK:$CK,0,0)</f>
        <v>Nominal C2E Secours C2E</v>
      </c>
      <c r="K257" s="248" t="s">
        <v>2806</v>
      </c>
      <c r="L257" s="248">
        <v>20</v>
      </c>
      <c r="M257" s="248">
        <v>10</v>
      </c>
      <c r="N257" s="248">
        <v>1</v>
      </c>
      <c r="O257" s="248" t="s">
        <v>76</v>
      </c>
      <c r="P257" s="822">
        <v>0</v>
      </c>
      <c r="Q257" s="822">
        <v>0</v>
      </c>
      <c r="R257" s="822">
        <v>0</v>
      </c>
      <c r="S257" s="822">
        <v>0</v>
      </c>
      <c r="T257" s="823">
        <v>479</v>
      </c>
      <c r="U257" s="823">
        <v>54</v>
      </c>
      <c r="V257" s="823">
        <v>0</v>
      </c>
      <c r="W257" s="823">
        <v>9</v>
      </c>
      <c r="X257" s="823">
        <f>Tableau1[[#This Row],[Coût Abonnement offre]]+Tableau1[[#This Row],[Coût Abonnement Chassis]]+Tableau1[[#This Row],[Cout Cartes interface ]]+Tableau1[[#This Row],[Cout canaux voix supplémentaire]]</f>
        <v>542</v>
      </c>
      <c r="Y257" s="823">
        <v>66</v>
      </c>
      <c r="Z257" s="967">
        <v>-324</v>
      </c>
      <c r="AA257" s="966">
        <v>0</v>
      </c>
      <c r="AB257" s="969">
        <v>0</v>
      </c>
      <c r="AC257" s="969">
        <v>0</v>
      </c>
      <c r="AD257" s="969">
        <v>0</v>
      </c>
      <c r="AE257" s="264">
        <v>2</v>
      </c>
      <c r="AF257" s="264">
        <v>20</v>
      </c>
      <c r="AG257" s="264">
        <v>10</v>
      </c>
      <c r="AH257" s="264">
        <v>30</v>
      </c>
      <c r="AI257" s="973">
        <v>9</v>
      </c>
      <c r="AJ257" s="263">
        <v>2</v>
      </c>
      <c r="AK257" s="987">
        <v>30</v>
      </c>
      <c r="AL257" s="263">
        <f>VLOOKUP(Tableau1[[#This Row],[Code PAS]],'Facturation PAS RIN5 RUN'!C:F,4,0)</f>
        <v>0</v>
      </c>
      <c r="AM257" s="263"/>
      <c r="AN257" s="263" t="b">
        <f>ROUND(Tableau1[[#This Row],[Montant Options coûts récurrents]],0)=ROUND(Tableau1[[#This Row],[GTRS1 (Coût Plage de support 24h/24 7j/7)]],0)</f>
        <v>0</v>
      </c>
      <c r="AO257" s="265" t="e">
        <f>_xlfn.XLOOKUP(Tableau1[[#This Row],[Code PAS]],'parc SATIN 08012026v'!K:K,'parc SATIN 08012026v'!#REF!,0,0)</f>
        <v>#REF!</v>
      </c>
      <c r="AP257" s="263" t="e">
        <f>VLOOKUP(Tableau1[[#This Row],[Code PAS]],#REF!,3,0)</f>
        <v>#REF!</v>
      </c>
      <c r="AQ257" s="263" t="e">
        <f>VLOOKUP(Tableau1[[#This Row],[Code PAS]],[14]Feuil1!$B:$G,6,0)</f>
        <v>#N/A</v>
      </c>
      <c r="AR257" s="263" t="str">
        <f>_xlfn.XLOOKUP(Tableau1[[#This Row],[Code PAS]],'Facturation PAS RIN5 RUN'!C:C,'Facturation PAS RIN5 RUN'!B:B,0,0)</f>
        <v>Silver_2_2</v>
      </c>
      <c r="AS257" s="263" t="b">
        <f>Tableau1[[#This Row],[Etat facturation]]=Tableau1[[#This Row],[Index offre du fournisseur]]</f>
        <v>1</v>
      </c>
      <c r="AT257" s="250" t="str">
        <f>_xlfn.XLOOKUP(Tableau1[[#This Row],[Code PAS]],'parc SATIN 08012026v'!K:K,'parc SATIN 08012026v'!M:M,0,0)</f>
        <v>PARC</v>
      </c>
      <c r="AU257" s="250" t="str">
        <f>_xlfn.XLOOKUP(Tableau1[[#This Row],[Code PAS]],'parc SATIN 08012026v'!K:K,'parc SATIN 08012026v'!O:O,0,0)</f>
        <v>PARC</v>
      </c>
      <c r="AV257" s="251">
        <f>_xlfn.XLOOKUP(Tableau1[[#This Row],[Code PAS]],'parc SATIN 08012026v'!K:K,'parc SATIN 08012026v'!Q:Q,0,0)</f>
        <v>44803</v>
      </c>
      <c r="AW257" s="251" t="str">
        <f>_xlfn.XLOOKUP(Tableau1[[#This Row],[Code PAS]],'parc SATIN 08012026v'!K:K,'parc SATIN 08012026v'!S:S,0,0)</f>
        <v>change</v>
      </c>
      <c r="AX257" s="250" t="str">
        <f>_xlfn.XLOOKUP(Tableau1[[#This Row],[Code PAS]],'parc SATIN 08012026v'!K:K,'parc SATIN 08012026v'!AF:AF,0,0)</f>
        <v>2 Mb/s</v>
      </c>
      <c r="AY25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257" s="250" t="s">
        <v>2818</v>
      </c>
    </row>
    <row r="258" spans="1:54" s="250" customFormat="1" ht="15" customHeight="1" x14ac:dyDescent="0.3">
      <c r="A258" s="248" t="s">
        <v>2735</v>
      </c>
      <c r="B258" s="248"/>
      <c r="C258" s="249"/>
      <c r="D258" s="249"/>
      <c r="E258" s="248" t="s">
        <v>2819</v>
      </c>
      <c r="F258" s="979" t="s">
        <v>607</v>
      </c>
      <c r="G258" s="250" t="s">
        <v>2748</v>
      </c>
      <c r="H258" s="248" t="s">
        <v>2748</v>
      </c>
      <c r="I258" s="248" t="s">
        <v>165</v>
      </c>
      <c r="J258" s="248" t="s">
        <v>2820</v>
      </c>
      <c r="K258" s="248" t="s">
        <v>2820</v>
      </c>
      <c r="L258" s="248">
        <v>300</v>
      </c>
      <c r="M258" s="248">
        <v>50</v>
      </c>
      <c r="N258" s="248">
        <v>1</v>
      </c>
      <c r="O258" s="248" t="s">
        <v>76</v>
      </c>
      <c r="P258" s="822"/>
      <c r="Q258" s="822"/>
      <c r="R258" s="822"/>
      <c r="S258" s="822">
        <v>0</v>
      </c>
      <c r="T258" s="823">
        <v>1648.8564263010346</v>
      </c>
      <c r="U258" s="823">
        <v>44.4</v>
      </c>
      <c r="V258" s="823">
        <v>40</v>
      </c>
      <c r="W258" s="823">
        <v>4.5</v>
      </c>
      <c r="X258" s="823">
        <v>1737.7564263010347</v>
      </c>
      <c r="Y258" s="823">
        <v>66</v>
      </c>
      <c r="Z258" s="967">
        <v>-4560.1436000000003</v>
      </c>
      <c r="AA258" s="966">
        <v>-0.60000000000000142</v>
      </c>
      <c r="AB258" s="969">
        <v>0</v>
      </c>
      <c r="AC258" s="969">
        <v>-0.5</v>
      </c>
      <c r="AD258" s="969">
        <v>0</v>
      </c>
      <c r="AE258" s="264">
        <v>20</v>
      </c>
      <c r="AF258" s="264">
        <v>300</v>
      </c>
      <c r="AG258" s="264">
        <v>50</v>
      </c>
      <c r="AH258" s="264">
        <v>350</v>
      </c>
      <c r="AI258" s="973">
        <v>5</v>
      </c>
      <c r="AJ258" s="263">
        <v>20</v>
      </c>
      <c r="AK258" s="987">
        <v>350</v>
      </c>
      <c r="AL258" s="263">
        <f>VLOOKUP(Tableau1[[#This Row],[Code PAS]],'Facturation PAS RIN5 RUN'!C:F,4,0)</f>
        <v>40</v>
      </c>
      <c r="AM258" s="263"/>
      <c r="AN258" s="263" t="b">
        <f>ROUND(Tableau1[[#This Row],[Montant Options coûts récurrents]],0)=ROUND(Tableau1[[#This Row],[GTRS1 (Coût Plage de support 24h/24 7j/7)]],0)</f>
        <v>0</v>
      </c>
      <c r="AO258" s="265" t="e">
        <f>_xlfn.XLOOKUP(Tableau1[[#This Row],[Code PAS]],'parc SATIN 08012026v'!K:K,'parc SATIN 08012026v'!#REF!,0,0)</f>
        <v>#REF!</v>
      </c>
      <c r="AP258" s="263" t="e">
        <f>VLOOKUP(Tableau1[[#This Row],[Code PAS]],#REF!,3,0)</f>
        <v>#REF!</v>
      </c>
      <c r="AQ258" s="263" t="e">
        <f>VLOOKUP(Tableau1[[#This Row],[Code PAS]],[14]Feuil1!$B:$G,6,0)</f>
        <v>#N/A</v>
      </c>
      <c r="AR258" s="263" t="str">
        <f>_xlfn.XLOOKUP(Tableau1[[#This Row],[Code PAS]],'Facturation PAS RIN5 RUN'!C:C,'Facturation PAS RIN5 RUN'!B:B,0,0)</f>
        <v>Gold_20_20</v>
      </c>
      <c r="AS258" s="263" t="b">
        <f>Tableau1[[#This Row],[Etat facturation]]=Tableau1[[#This Row],[Index offre du fournisseur]]</f>
        <v>1</v>
      </c>
      <c r="AT258" s="250" t="str">
        <f>_xlfn.XLOOKUP(Tableau1[[#This Row],[Code PAS]],'parc SATIN 08012026v'!K:K,'parc SATIN 08012026v'!M:M,0,0)</f>
        <v>PARC</v>
      </c>
      <c r="AU258" s="250" t="str">
        <f>_xlfn.XLOOKUP(Tableau1[[#This Row],[Code PAS]],'parc SATIN 08012026v'!K:K,'parc SATIN 08012026v'!O:O,0,0)</f>
        <v>PARC</v>
      </c>
      <c r="AV258" s="251">
        <f>_xlfn.XLOOKUP(Tableau1[[#This Row],[Code PAS]],'parc SATIN 08012026v'!K:K,'parc SATIN 08012026v'!Q:Q,0,0)</f>
        <v>45415</v>
      </c>
      <c r="AW258" s="251" t="str">
        <f>_xlfn.XLOOKUP(Tableau1[[#This Row],[Code PAS]],'parc SATIN 08012026v'!K:K,'parc SATIN 08012026v'!S:S,0,0)</f>
        <v>change</v>
      </c>
      <c r="AX258" s="250" t="str">
        <f>_xlfn.XLOOKUP(Tableau1[[#This Row],[Code PAS]],'parc SATIN 08012026v'!K:K,'parc SATIN 08012026v'!AF:AF,0,0)</f>
        <v>20 Mb/s</v>
      </c>
      <c r="AY25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258" s="250" t="s">
        <v>2821</v>
      </c>
    </row>
    <row r="259" spans="1:54" s="250" customFormat="1" ht="15" customHeight="1" x14ac:dyDescent="0.3">
      <c r="A259" s="250" t="s">
        <v>2758</v>
      </c>
      <c r="C259" s="249"/>
      <c r="D259" s="249"/>
      <c r="E259" s="250" t="s">
        <v>2822</v>
      </c>
      <c r="F259" s="980" t="s">
        <v>2238</v>
      </c>
      <c r="H259" s="250" t="s">
        <v>2809</v>
      </c>
      <c r="J259" s="248" t="str">
        <f>_xlfn.XLOOKUP(Tableau1[[#This Row],[Code PAS]],'[13]Parc Satin'!$L:$L,'[13]Parc Satin'!$CK:$CK,0,0)</f>
        <v>Nominal C2E Secours C2E</v>
      </c>
      <c r="P259" s="820">
        <v>0</v>
      </c>
      <c r="Q259" s="820">
        <v>0</v>
      </c>
      <c r="R259" s="820">
        <v>0</v>
      </c>
      <c r="S259" s="820">
        <v>0</v>
      </c>
      <c r="T259" s="824">
        <v>645</v>
      </c>
      <c r="U259" s="824">
        <v>24</v>
      </c>
      <c r="V259" s="824">
        <v>0</v>
      </c>
      <c r="W259" s="824">
        <v>0</v>
      </c>
      <c r="X259" s="823">
        <f>Tableau1[[#This Row],[Coût Abonnement offre]]+Tableau1[[#This Row],[Coût Abonnement Chassis]]+Tableau1[[#This Row],[Cout Cartes interface ]]+Tableau1[[#This Row],[Cout canaux voix supplémentaire]]</f>
        <v>669</v>
      </c>
      <c r="Y259" s="824">
        <v>66</v>
      </c>
      <c r="Z259" s="967">
        <v>-144</v>
      </c>
      <c r="AA259" s="966">
        <v>0</v>
      </c>
      <c r="AB259" s="969">
        <v>0</v>
      </c>
      <c r="AC259" s="969">
        <v>0</v>
      </c>
      <c r="AD259" s="969">
        <v>0</v>
      </c>
      <c r="AE259" s="264">
        <v>4</v>
      </c>
      <c r="AF259" s="264">
        <v>40</v>
      </c>
      <c r="AG259" s="264">
        <v>30</v>
      </c>
      <c r="AH259" s="264">
        <v>70</v>
      </c>
      <c r="AI259" s="973">
        <v>27</v>
      </c>
      <c r="AJ259" s="263">
        <v>4</v>
      </c>
      <c r="AK259" s="987">
        <v>20</v>
      </c>
      <c r="AL259" s="263">
        <f>VLOOKUP(Tableau1[[#This Row],[Code PAS]],'Facturation PAS RIN5 RUN'!C:F,4,0)</f>
        <v>0</v>
      </c>
      <c r="AM259" s="263"/>
      <c r="AN259" s="263" t="b">
        <f>ROUND(Tableau1[[#This Row],[Montant Options coûts récurrents]],0)=ROUND(Tableau1[[#This Row],[GTRS1 (Coût Plage de support 24h/24 7j/7)]],0)</f>
        <v>0</v>
      </c>
      <c r="AO259" s="265" t="e">
        <f>_xlfn.XLOOKUP(Tableau1[[#This Row],[Code PAS]],'parc SATIN 08012026v'!K:K,'parc SATIN 08012026v'!#REF!,0,0)</f>
        <v>#REF!</v>
      </c>
      <c r="AP259" s="263" t="e">
        <f>VLOOKUP(Tableau1[[#This Row],[Code PAS]],#REF!,3,0)</f>
        <v>#REF!</v>
      </c>
      <c r="AQ259" s="263" t="e">
        <f>VLOOKUP(Tableau1[[#This Row],[Code PAS]],[14]Feuil1!$B:$G,6,0)</f>
        <v>#N/A</v>
      </c>
      <c r="AR259" s="263" t="str">
        <f>_xlfn.XLOOKUP(Tableau1[[#This Row],[Code PAS]],'Facturation PAS RIN5 RUN'!C:C,'Facturation PAS RIN5 RUN'!B:B,0,0)</f>
        <v>Silver_4_4</v>
      </c>
      <c r="AS259" s="263" t="b">
        <f>Tableau1[[#This Row],[Etat facturation]]=Tableau1[[#This Row],[Index offre du fournisseur]]</f>
        <v>1</v>
      </c>
      <c r="AT259" s="250" t="str">
        <f>_xlfn.XLOOKUP(Tableau1[[#This Row],[Code PAS]],'parc SATIN 08012026v'!K:K,'parc SATIN 08012026v'!M:M,0,0)</f>
        <v>PARC</v>
      </c>
      <c r="AU259" s="250" t="str">
        <f>_xlfn.XLOOKUP(Tableau1[[#This Row],[Code PAS]],'parc SATIN 08012026v'!K:K,'parc SATIN 08012026v'!O:O,0,0)</f>
        <v>PARC</v>
      </c>
      <c r="AV259" s="251">
        <f>_xlfn.XLOOKUP(Tableau1[[#This Row],[Code PAS]],'parc SATIN 08012026v'!K:K,'parc SATIN 08012026v'!Q:Q,0,0)</f>
        <v>44412</v>
      </c>
      <c r="AW259" s="251" t="str">
        <f>_xlfn.XLOOKUP(Tableau1[[#This Row],[Code PAS]],'parc SATIN 08012026v'!K:K,'parc SATIN 08012026v'!S:S,0,0)</f>
        <v>change</v>
      </c>
      <c r="AX259" s="250" t="str">
        <f>_xlfn.XLOOKUP(Tableau1[[#This Row],[Code PAS]],'parc SATIN 08012026v'!K:K,'parc SATIN 08012026v'!AF:AF,0,0)</f>
        <v>4 Mb/s</v>
      </c>
      <c r="AY25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259" s="250" t="s">
        <v>2823</v>
      </c>
    </row>
    <row r="260" spans="1:54" s="250" customFormat="1" ht="15" customHeight="1" x14ac:dyDescent="0.3">
      <c r="A260" s="248" t="s">
        <v>2735</v>
      </c>
      <c r="B260" s="248"/>
      <c r="C260" s="249"/>
      <c r="D260" s="249">
        <v>45957</v>
      </c>
      <c r="E260" s="250" t="s">
        <v>2824</v>
      </c>
      <c r="F260" s="979" t="s">
        <v>270</v>
      </c>
      <c r="G260" s="250" t="s">
        <v>2825</v>
      </c>
      <c r="H260" s="250" t="s">
        <v>2825</v>
      </c>
      <c r="I260" s="248" t="s">
        <v>2826</v>
      </c>
      <c r="J260" s="248" t="s">
        <v>2814</v>
      </c>
      <c r="K260" s="250" t="s">
        <v>2814</v>
      </c>
      <c r="L260" s="250">
        <v>1200</v>
      </c>
      <c r="M260" s="250">
        <v>13800</v>
      </c>
      <c r="N260" s="250">
        <v>1</v>
      </c>
      <c r="O260" s="250" t="s">
        <v>76</v>
      </c>
      <c r="P260" s="824">
        <v>0</v>
      </c>
      <c r="Q260" s="824">
        <v>0</v>
      </c>
      <c r="R260" s="824">
        <v>0</v>
      </c>
      <c r="S260" s="824">
        <v>0</v>
      </c>
      <c r="T260" s="824">
        <v>2532</v>
      </c>
      <c r="U260" s="824">
        <v>443</v>
      </c>
      <c r="V260" s="824">
        <v>64</v>
      </c>
      <c r="W260" s="824">
        <v>1242</v>
      </c>
      <c r="X260" s="824">
        <v>4281.1522483827339</v>
      </c>
      <c r="Y260" s="824">
        <v>66</v>
      </c>
      <c r="Z260" s="966">
        <v>0</v>
      </c>
      <c r="AA260" s="966">
        <v>0</v>
      </c>
      <c r="AB260" s="969">
        <v>0</v>
      </c>
      <c r="AC260" s="968">
        <v>428</v>
      </c>
      <c r="AD260" s="969">
        <v>0</v>
      </c>
      <c r="AE260" s="264">
        <v>800</v>
      </c>
      <c r="AF260" s="264">
        <v>1200</v>
      </c>
      <c r="AG260" s="264">
        <v>13800</v>
      </c>
      <c r="AH260" s="264">
        <v>15000</v>
      </c>
      <c r="AI260" s="973">
        <v>1242</v>
      </c>
      <c r="AJ260" s="263">
        <v>800</v>
      </c>
      <c r="AK260" s="987">
        <v>15000</v>
      </c>
      <c r="AL260" s="263">
        <f>VLOOKUP(Tableau1[[#This Row],[Code PAS]],'Facturation PAS RIN5 RUN'!C:F,4,0)</f>
        <v>64</v>
      </c>
      <c r="AM260" s="263"/>
      <c r="AN260" s="263" t="b">
        <f>ROUND(Tableau1[[#This Row],[Montant Options coûts récurrents]],0)=ROUND(Tableau1[[#This Row],[GTRS1 (Coût Plage de support 24h/24 7j/7)]],0)</f>
        <v>0</v>
      </c>
      <c r="AO260" s="265" t="e">
        <f>_xlfn.XLOOKUP(Tableau1[[#This Row],[Code PAS]],'parc SATIN 08012026v'!K:K,'parc SATIN 08012026v'!#REF!,0,0)</f>
        <v>#REF!</v>
      </c>
      <c r="AP260" s="263" t="e">
        <f>VLOOKUP(Tableau1[[#This Row],[Code PAS]],#REF!,3,0)</f>
        <v>#REF!</v>
      </c>
      <c r="AQ260" s="263" t="e">
        <f>VLOOKUP(Tableau1[[#This Row],[Code PAS]],[14]Feuil1!$B:$G,6,0)</f>
        <v>#N/A</v>
      </c>
      <c r="AR260" s="263" t="str">
        <f>_xlfn.XLOOKUP(Tableau1[[#This Row],[Code PAS]],'Facturation PAS RIN5 RUN'!C:C,'Facturation PAS RIN5 RUN'!B:B,0,0)</f>
        <v>Platinum_800_800</v>
      </c>
      <c r="AS260" s="263" t="b">
        <f>Tableau1[[#This Row],[Etat facturation]]=Tableau1[[#This Row],[Index offre du fournisseur]]</f>
        <v>1</v>
      </c>
      <c r="AT260" s="250" t="str">
        <f>_xlfn.XLOOKUP(Tableau1[[#This Row],[Code PAS]],'parc SATIN 08012026v'!K:K,'parc SATIN 08012026v'!M:M,0,0)</f>
        <v>PARC</v>
      </c>
      <c r="AU260" s="250" t="str">
        <f>_xlfn.XLOOKUP(Tableau1[[#This Row],[Code PAS]],'parc SATIN 08012026v'!K:K,'parc SATIN 08012026v'!O:O,0,0)</f>
        <v>PARC</v>
      </c>
      <c r="AV260" s="251">
        <f>_xlfn.XLOOKUP(Tableau1[[#This Row],[Code PAS]],'parc SATIN 08012026v'!K:K,'parc SATIN 08012026v'!Q:Q,0,0)</f>
        <v>45957</v>
      </c>
      <c r="AW260" s="251" t="str">
        <f>_xlfn.XLOOKUP(Tableau1[[#This Row],[Code PAS]],'parc SATIN 08012026v'!K:K,'parc SATIN 08012026v'!S:S,0,0)</f>
        <v>change</v>
      </c>
      <c r="AX260" s="250" t="str">
        <f>_xlfn.XLOOKUP(Tableau1[[#This Row],[Code PAS]],'parc SATIN 08012026v'!K:K,'parc SATIN 08012026v'!AF:AF,0,0)</f>
        <v>800 Mb/s</v>
      </c>
      <c r="AY26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800</v>
      </c>
      <c r="AZ260" s="250" t="s">
        <v>2827</v>
      </c>
    </row>
    <row r="261" spans="1:54" s="250" customFormat="1" ht="15" customHeight="1" x14ac:dyDescent="0.3">
      <c r="A261" s="248" t="s">
        <v>2752</v>
      </c>
      <c r="B261" s="248"/>
      <c r="C261" s="253"/>
      <c r="D261" s="249"/>
      <c r="E261" s="248" t="s">
        <v>2828</v>
      </c>
      <c r="F261" s="979" t="s">
        <v>63</v>
      </c>
      <c r="G261" s="250" t="s">
        <v>2742</v>
      </c>
      <c r="H261" s="250" t="s">
        <v>2742</v>
      </c>
      <c r="I261" s="250" t="s">
        <v>78</v>
      </c>
      <c r="J261" s="248" t="str">
        <f>_xlfn.XLOOKUP(Tableau1[[#This Row],[Code PAS]],'[13]Parc Satin'!$L:$L,'[13]Parc Satin'!$CK:$CK,0,0)</f>
        <v>Nominal InterLan 1.0 Secours InterLan 1.0</v>
      </c>
      <c r="K261" s="250" t="s">
        <v>2829</v>
      </c>
      <c r="L261" s="250">
        <v>800</v>
      </c>
      <c r="M261" s="250">
        <v>2800</v>
      </c>
      <c r="N261" s="250">
        <v>1</v>
      </c>
      <c r="O261" s="250" t="s">
        <v>74</v>
      </c>
      <c r="P261" s="824">
        <v>0</v>
      </c>
      <c r="Q261" s="824">
        <v>500</v>
      </c>
      <c r="R261" s="824">
        <v>0</v>
      </c>
      <c r="S261" s="824">
        <v>500</v>
      </c>
      <c r="T261" s="824">
        <v>1842</v>
      </c>
      <c r="U261" s="824">
        <v>189</v>
      </c>
      <c r="V261" s="824">
        <v>48</v>
      </c>
      <c r="W261" s="824">
        <v>252</v>
      </c>
      <c r="X261" s="824">
        <f>Tableau1[[#This Row],[Coût Abonnement offre]]+Tableau1[[#This Row],[Coût Abonnement Chassis]]+Tableau1[[#This Row],[Cout Cartes interface ]]+Tableau1[[#This Row],[Cout canaux voix supplémentaire]]</f>
        <v>2331</v>
      </c>
      <c r="Y261" s="824">
        <v>0</v>
      </c>
      <c r="Z261" s="967">
        <v>576</v>
      </c>
      <c r="AA261" s="966">
        <v>0</v>
      </c>
      <c r="AB261" s="969">
        <v>0</v>
      </c>
      <c r="AC261" s="968">
        <v>108</v>
      </c>
      <c r="AD261" s="969">
        <v>0</v>
      </c>
      <c r="AE261" s="264">
        <v>200</v>
      </c>
      <c r="AF261" s="264">
        <v>800</v>
      </c>
      <c r="AG261" s="264">
        <v>2800</v>
      </c>
      <c r="AH261" s="264">
        <v>3600</v>
      </c>
      <c r="AI261" s="973">
        <v>252</v>
      </c>
      <c r="AJ261" s="263">
        <v>200</v>
      </c>
      <c r="AK261" s="987">
        <v>3600</v>
      </c>
      <c r="AL261" s="263">
        <f>VLOOKUP(Tableau1[[#This Row],[Code PAS]],'Facturation PAS RIN5 RUN'!C:F,4,0)</f>
        <v>48</v>
      </c>
      <c r="AM261" s="263"/>
      <c r="AN261" s="263" t="b">
        <f>ROUND(Tableau1[[#This Row],[Montant Options coûts récurrents]],0)=ROUND(Tableau1[[#This Row],[GTRS1 (Coût Plage de support 24h/24 7j/7)]],0)</f>
        <v>0</v>
      </c>
      <c r="AO261" s="265" t="e">
        <f>_xlfn.XLOOKUP(Tableau1[[#This Row],[Code PAS]],'parc SATIN 08012026v'!K:K,'parc SATIN 08012026v'!#REF!,0,0)</f>
        <v>#REF!</v>
      </c>
      <c r="AP261" s="263" t="e">
        <f>VLOOKUP(Tableau1[[#This Row],[Code PAS]],#REF!,3,0)</f>
        <v>#REF!</v>
      </c>
      <c r="AQ261" s="263" t="e">
        <f>VLOOKUP(Tableau1[[#This Row],[Code PAS]],[14]Feuil1!$B:$G,6,0)</f>
        <v>#N/A</v>
      </c>
      <c r="AR261" s="263" t="str">
        <f>_xlfn.XLOOKUP(Tableau1[[#This Row],[Code PAS]],'Facturation PAS RIN5 RUN'!C:C,'Facturation PAS RIN5 RUN'!B:B,0,0)</f>
        <v>Gold_200_200</v>
      </c>
      <c r="AS261" s="263" t="b">
        <f>Tableau1[[#This Row],[Etat facturation]]=Tableau1[[#This Row],[Index offre du fournisseur]]</f>
        <v>1</v>
      </c>
      <c r="AT261" s="250" t="str">
        <f>_xlfn.XLOOKUP(Tableau1[[#This Row],[Code PAS]],'parc SATIN 08012026v'!K:K,'parc SATIN 08012026v'!M:M,0,0)</f>
        <v>PARC</v>
      </c>
      <c r="AU261" s="250" t="str">
        <f>_xlfn.XLOOKUP(Tableau1[[#This Row],[Code PAS]],'parc SATIN 08012026v'!K:K,'parc SATIN 08012026v'!O:O,0,0)</f>
        <v>PARC</v>
      </c>
      <c r="AV261" s="251">
        <f>_xlfn.XLOOKUP(Tableau1[[#This Row],[Code PAS]],'parc SATIN 08012026v'!K:K,'parc SATIN 08012026v'!Q:Q,0,0)</f>
        <v>45677</v>
      </c>
      <c r="AW261" s="251" t="str">
        <f>_xlfn.XLOOKUP(Tableau1[[#This Row],[Code PAS]],'parc SATIN 08012026v'!K:K,'parc SATIN 08012026v'!S:S,0,0)</f>
        <v>change</v>
      </c>
      <c r="AX261" s="250" t="str">
        <f>_xlfn.XLOOKUP(Tableau1[[#This Row],[Code PAS]],'parc SATIN 08012026v'!K:K,'parc SATIN 08012026v'!AF:AF,0,0)</f>
        <v>200 Mb/s</v>
      </c>
      <c r="AY26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200</v>
      </c>
      <c r="AZ261" s="250" t="s">
        <v>2830</v>
      </c>
    </row>
    <row r="262" spans="1:54" s="250" customFormat="1" ht="15" customHeight="1" x14ac:dyDescent="0.3">
      <c r="A262" s="250" t="s">
        <v>2743</v>
      </c>
      <c r="C262" s="249">
        <v>45324</v>
      </c>
      <c r="D262" s="249"/>
      <c r="E262" s="248" t="s">
        <v>2831</v>
      </c>
      <c r="F262" s="980" t="s">
        <v>1191</v>
      </c>
      <c r="G262" s="250" t="s">
        <v>2748</v>
      </c>
      <c r="H262" s="250" t="s">
        <v>2748</v>
      </c>
      <c r="I262" s="250" t="s">
        <v>78</v>
      </c>
      <c r="J262" s="248" t="str">
        <f>_xlfn.XLOOKUP(Tableau1[[#This Row],[Code PAS]],'[13]Parc Satin'!$L:$L,'[13]Parc Satin'!$CK:$CK,0,0)</f>
        <v>Nominal InterLan 1.0 Secours C2E Fibre</v>
      </c>
      <c r="K262" s="250" t="s">
        <v>2832</v>
      </c>
      <c r="L262" s="250">
        <v>300</v>
      </c>
      <c r="M262" s="250">
        <v>50</v>
      </c>
      <c r="N262" s="250">
        <v>1</v>
      </c>
      <c r="O262" s="250" t="s">
        <v>77</v>
      </c>
      <c r="P262" s="824">
        <v>0</v>
      </c>
      <c r="Q262" s="824">
        <v>0</v>
      </c>
      <c r="R262" s="824">
        <v>0</v>
      </c>
      <c r="S262" s="824">
        <v>0</v>
      </c>
      <c r="T262" s="824">
        <v>1149</v>
      </c>
      <c r="U262" s="824">
        <v>71</v>
      </c>
      <c r="V262" s="824">
        <v>32</v>
      </c>
      <c r="W262" s="824">
        <v>5</v>
      </c>
      <c r="X262" s="824">
        <f>Tableau1[[#This Row],[Coût Abonnement offre]]+Tableau1[[#This Row],[Coût Abonnement Chassis]]+Tableau1[[#This Row],[Cout Cartes interface ]]+Tableau1[[#This Row],[Cout canaux voix supplémentaire]]</f>
        <v>1257</v>
      </c>
      <c r="Y262" s="824">
        <v>0</v>
      </c>
      <c r="Z262" s="967">
        <v>144</v>
      </c>
      <c r="AA262" s="966">
        <v>0</v>
      </c>
      <c r="AB262" s="969">
        <v>0</v>
      </c>
      <c r="AC262" s="969">
        <v>0</v>
      </c>
      <c r="AD262" s="969">
        <v>0</v>
      </c>
      <c r="AE262" s="264">
        <v>20</v>
      </c>
      <c r="AF262" s="264">
        <v>300</v>
      </c>
      <c r="AG262" s="264">
        <v>50</v>
      </c>
      <c r="AH262" s="264">
        <v>350</v>
      </c>
      <c r="AI262" s="973">
        <v>5</v>
      </c>
      <c r="AJ262" s="263">
        <v>20</v>
      </c>
      <c r="AK262" s="987">
        <v>350</v>
      </c>
      <c r="AL262" s="263">
        <f>VLOOKUP(Tableau1[[#This Row],[Code PAS]],'Facturation PAS RIN5 RUN'!C:F,4,0)</f>
        <v>32</v>
      </c>
      <c r="AM262" s="263"/>
      <c r="AN262" s="263" t="b">
        <f>ROUND(Tableau1[[#This Row],[Montant Options coûts récurrents]],0)=ROUND(Tableau1[[#This Row],[GTRS1 (Coût Plage de support 24h/24 7j/7)]],0)</f>
        <v>0</v>
      </c>
      <c r="AO262" s="265" t="e">
        <f>_xlfn.XLOOKUP(Tableau1[[#This Row],[Code PAS]],'parc SATIN 08012026v'!K:K,'parc SATIN 08012026v'!#REF!,0,0)</f>
        <v>#REF!</v>
      </c>
      <c r="AP262" s="263" t="e">
        <f>VLOOKUP(Tableau1[[#This Row],[Code PAS]],#REF!,3,0)</f>
        <v>#REF!</v>
      </c>
      <c r="AQ262" s="263" t="e">
        <f>VLOOKUP(Tableau1[[#This Row],[Code PAS]],[14]Feuil1!$B:$G,6,0)</f>
        <v>#N/A</v>
      </c>
      <c r="AR262" s="263" t="str">
        <f>_xlfn.XLOOKUP(Tableau1[[#This Row],[Code PAS]],'Facturation PAS RIN5 RUN'!C:C,'Facturation PAS RIN5 RUN'!B:B,0,0)</f>
        <v>Gold_20_20</v>
      </c>
      <c r="AS262" s="263" t="b">
        <f>Tableau1[[#This Row],[Etat facturation]]=Tableau1[[#This Row],[Index offre du fournisseur]]</f>
        <v>1</v>
      </c>
      <c r="AT262" s="250" t="str">
        <f>_xlfn.XLOOKUP(Tableau1[[#This Row],[Code PAS]],'parc SATIN 08012026v'!K:K,'parc SATIN 08012026v'!M:M,0,0)</f>
        <v>PARC</v>
      </c>
      <c r="AU262" s="250" t="str">
        <f>_xlfn.XLOOKUP(Tableau1[[#This Row],[Code PAS]],'parc SATIN 08012026v'!K:K,'parc SATIN 08012026v'!O:O,0,0)</f>
        <v>PARC</v>
      </c>
      <c r="AV262" s="251">
        <f>_xlfn.XLOOKUP(Tableau1[[#This Row],[Code PAS]],'parc SATIN 08012026v'!K:K,'parc SATIN 08012026v'!Q:Q,0,0)</f>
        <v>45344</v>
      </c>
      <c r="AW262" s="251" t="str">
        <f>_xlfn.XLOOKUP(Tableau1[[#This Row],[Code PAS]],'parc SATIN 08012026v'!K:K,'parc SATIN 08012026v'!S:S,0,0)</f>
        <v>change</v>
      </c>
      <c r="AX262" s="250" t="str">
        <f>_xlfn.XLOOKUP(Tableau1[[#This Row],[Code PAS]],'parc SATIN 08012026v'!K:K,'parc SATIN 08012026v'!AF:AF,0,0)</f>
        <v>20 Mb/s</v>
      </c>
      <c r="AY26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</row>
    <row r="263" spans="1:54" s="250" customFormat="1" ht="15" customHeight="1" x14ac:dyDescent="0.3">
      <c r="A263" s="248"/>
      <c r="B263" s="249">
        <v>45205</v>
      </c>
      <c r="C263" s="249" t="s">
        <v>2836</v>
      </c>
      <c r="D263" s="249"/>
      <c r="E263" s="248" t="s">
        <v>2837</v>
      </c>
      <c r="F263" s="979" t="s">
        <v>1683</v>
      </c>
      <c r="G263" s="250" t="s">
        <v>2838</v>
      </c>
      <c r="H263" s="248" t="s">
        <v>2838</v>
      </c>
      <c r="I263" s="248" t="s">
        <v>165</v>
      </c>
      <c r="J263" s="248" t="s">
        <v>2814</v>
      </c>
      <c r="K263" s="248" t="s">
        <v>2814</v>
      </c>
      <c r="L263" s="248">
        <v>1200</v>
      </c>
      <c r="M263" s="248">
        <v>7800</v>
      </c>
      <c r="N263" s="248">
        <v>1</v>
      </c>
      <c r="O263" s="248" t="s">
        <v>76</v>
      </c>
      <c r="P263" s="822">
        <v>148456.17000000001</v>
      </c>
      <c r="Q263" s="822">
        <v>702</v>
      </c>
      <c r="R263" s="822">
        <v>57</v>
      </c>
      <c r="S263" s="822">
        <v>149215.17000000001</v>
      </c>
      <c r="T263" s="823">
        <v>7820.3364263010353</v>
      </c>
      <c r="U263" s="823">
        <v>382</v>
      </c>
      <c r="V263" s="823">
        <v>16</v>
      </c>
      <c r="W263" s="823">
        <v>702</v>
      </c>
      <c r="X263" s="823">
        <v>8560.3364263010353</v>
      </c>
      <c r="Y263" s="823">
        <v>66</v>
      </c>
      <c r="Z263" s="966">
        <v>0</v>
      </c>
      <c r="AA263" s="966">
        <v>0</v>
      </c>
      <c r="AB263" s="969">
        <v>0</v>
      </c>
      <c r="AC263" s="968">
        <v>-4320</v>
      </c>
      <c r="AD263" s="968">
        <v>-792</v>
      </c>
      <c r="AE263" s="264">
        <v>500</v>
      </c>
      <c r="AF263" s="264">
        <v>1200</v>
      </c>
      <c r="AG263" s="264">
        <v>7800</v>
      </c>
      <c r="AH263" s="264">
        <v>9000</v>
      </c>
      <c r="AI263" s="973">
        <v>702</v>
      </c>
      <c r="AJ263" s="263">
        <v>500</v>
      </c>
      <c r="AK263" s="987">
        <v>9000</v>
      </c>
      <c r="AL263" s="263">
        <f>VLOOKUP(Tableau1[[#This Row],[Code PAS]],'Facturation PAS RIN5 RUN'!C:F,4,0)</f>
        <v>16</v>
      </c>
      <c r="AM263" s="263"/>
      <c r="AN263" s="263" t="b">
        <f>ROUND(Tableau1[[#This Row],[Montant Options coûts récurrents]],0)=ROUND(Tableau1[[#This Row],[GTRS1 (Coût Plage de support 24h/24 7j/7)]],0)</f>
        <v>0</v>
      </c>
      <c r="AO263" s="265" t="e">
        <f>_xlfn.XLOOKUP(Tableau1[[#This Row],[Code PAS]],'parc SATIN 08012026v'!K:K,'parc SATIN 08012026v'!#REF!,0,0)</f>
        <v>#REF!</v>
      </c>
      <c r="AP263" s="263" t="e">
        <f>VLOOKUP(Tableau1[[#This Row],[Code PAS]],#REF!,3,0)</f>
        <v>#REF!</v>
      </c>
      <c r="AQ263" s="263" t="e">
        <f>VLOOKUP(Tableau1[[#This Row],[Code PAS]],[14]Feuil1!$B:$G,6,0)</f>
        <v>#N/A</v>
      </c>
      <c r="AR263" s="263" t="str">
        <f>_xlfn.XLOOKUP(Tableau1[[#This Row],[Code PAS]],'Facturation PAS RIN5 RUN'!C:C,'Facturation PAS RIN5 RUN'!B:B,0,0)</f>
        <v>Platinum_500_500</v>
      </c>
      <c r="AS263" s="263" t="b">
        <f>Tableau1[[#This Row],[Etat facturation]]=Tableau1[[#This Row],[Index offre du fournisseur]]</f>
        <v>1</v>
      </c>
      <c r="AT263" s="250" t="str">
        <f>_xlfn.XLOOKUP(Tableau1[[#This Row],[Code PAS]],'parc SATIN 08012026v'!K:K,'parc SATIN 08012026v'!M:M,0,0)</f>
        <v>PARC</v>
      </c>
      <c r="AU263" s="250" t="str">
        <f>_xlfn.XLOOKUP(Tableau1[[#This Row],[Code PAS]],'parc SATIN 08012026v'!K:K,'parc SATIN 08012026v'!O:O,0,0)</f>
        <v>PARC</v>
      </c>
      <c r="AV263" s="251">
        <f>_xlfn.XLOOKUP(Tableau1[[#This Row],[Code PAS]],'parc SATIN 08012026v'!K:K,'parc SATIN 08012026v'!Q:Q,0,0)</f>
        <v>45995</v>
      </c>
      <c r="AW263" s="251" t="str">
        <f>_xlfn.XLOOKUP(Tableau1[[#This Row],[Code PAS]],'parc SATIN 08012026v'!K:K,'parc SATIN 08012026v'!S:S,0,0)</f>
        <v>change</v>
      </c>
      <c r="AX263" s="250" t="str">
        <f>_xlfn.XLOOKUP(Tableau1[[#This Row],[Code PAS]],'parc SATIN 08012026v'!K:K,'parc SATIN 08012026v'!AF:AF,0,0)</f>
        <v>500 Mb/s</v>
      </c>
      <c r="AY26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500</v>
      </c>
      <c r="AZ263" s="250" t="s">
        <v>2839</v>
      </c>
    </row>
    <row r="264" spans="1:54" s="250" customFormat="1" ht="15" customHeight="1" x14ac:dyDescent="0.3">
      <c r="A264" s="250" t="s">
        <v>2758</v>
      </c>
      <c r="C264" s="249"/>
      <c r="D264" s="249">
        <v>45702</v>
      </c>
      <c r="E264" s="250" t="s">
        <v>2840</v>
      </c>
      <c r="F264" s="980" t="s">
        <v>2194</v>
      </c>
      <c r="G264" s="250" t="s">
        <v>2841</v>
      </c>
      <c r="H264" s="250" t="s">
        <v>2841</v>
      </c>
      <c r="I264" s="250" t="s">
        <v>165</v>
      </c>
      <c r="J264" s="248" t="s">
        <v>2820</v>
      </c>
      <c r="L264" s="250">
        <v>600</v>
      </c>
      <c r="M264" s="250">
        <v>1200</v>
      </c>
      <c r="N264" s="250">
        <v>1</v>
      </c>
      <c r="O264" s="250" t="s">
        <v>74</v>
      </c>
      <c r="P264" s="823">
        <v>0</v>
      </c>
      <c r="Q264" s="824">
        <v>0</v>
      </c>
      <c r="R264" s="824">
        <v>0</v>
      </c>
      <c r="S264" s="824">
        <v>0</v>
      </c>
      <c r="T264" s="824">
        <v>2395</v>
      </c>
      <c r="U264" s="824">
        <v>71</v>
      </c>
      <c r="V264" s="824">
        <v>0</v>
      </c>
      <c r="W264" s="824">
        <v>108</v>
      </c>
      <c r="X264" s="824">
        <v>2573.2119818565898</v>
      </c>
      <c r="Y264" s="824">
        <v>0</v>
      </c>
      <c r="Z264" s="967">
        <v>-72</v>
      </c>
      <c r="AA264" s="966">
        <v>0</v>
      </c>
      <c r="AB264" s="969">
        <v>0</v>
      </c>
      <c r="AC264" s="969">
        <v>0</v>
      </c>
      <c r="AD264" s="969">
        <v>0</v>
      </c>
      <c r="AE264" s="264">
        <v>100</v>
      </c>
      <c r="AF264" s="264">
        <v>600</v>
      </c>
      <c r="AG264" s="264">
        <v>1200</v>
      </c>
      <c r="AH264" s="264">
        <v>1800</v>
      </c>
      <c r="AI264" s="973">
        <v>108</v>
      </c>
      <c r="AJ264" s="263">
        <v>100</v>
      </c>
      <c r="AK264" s="987">
        <v>1800</v>
      </c>
      <c r="AL264" s="263">
        <f>VLOOKUP(Tableau1[[#This Row],[Code PAS]],'Facturation PAS RIN5 RUN'!C:F,4,0)</f>
        <v>0</v>
      </c>
      <c r="AM264" s="263"/>
      <c r="AN264" s="263" t="b">
        <f>ROUND(Tableau1[[#This Row],[Montant Options coûts récurrents]],0)=ROUND(Tableau1[[#This Row],[GTRS1 (Coût Plage de support 24h/24 7j/7)]],0)</f>
        <v>1</v>
      </c>
      <c r="AO264" s="265" t="e">
        <f>_xlfn.XLOOKUP(Tableau1[[#This Row],[Code PAS]],'parc SATIN 08012026v'!K:K,'parc SATIN 08012026v'!#REF!,0,0)</f>
        <v>#REF!</v>
      </c>
      <c r="AP264" s="263" t="e">
        <f>VLOOKUP(Tableau1[[#This Row],[Code PAS]],#REF!,3,0)</f>
        <v>#REF!</v>
      </c>
      <c r="AQ264" s="263" t="e">
        <f>VLOOKUP(Tableau1[[#This Row],[Code PAS]],[14]Feuil1!$B:$G,6,0)</f>
        <v>#N/A</v>
      </c>
      <c r="AR264" s="263" t="str">
        <f>_xlfn.XLOOKUP(Tableau1[[#This Row],[Code PAS]],'Facturation PAS RIN5 RUN'!C:C,'Facturation PAS RIN5 RUN'!B:B,0,0)</f>
        <v>Platinum_Man_100_0</v>
      </c>
      <c r="AS264" s="263" t="b">
        <f>Tableau1[[#This Row],[Etat facturation]]=Tableau1[[#This Row],[Index offre du fournisseur]]</f>
        <v>1</v>
      </c>
      <c r="AT264" s="250" t="str">
        <f>_xlfn.XLOOKUP(Tableau1[[#This Row],[Code PAS]],'parc SATIN 08012026v'!K:K,'parc SATIN 08012026v'!M:M,0,0)</f>
        <v>PARC</v>
      </c>
      <c r="AU264" s="250" t="str">
        <f>_xlfn.XLOOKUP(Tableau1[[#This Row],[Code PAS]],'parc SATIN 08012026v'!K:K,'parc SATIN 08012026v'!O:O,0,0)</f>
        <v>PARC</v>
      </c>
      <c r="AV264" s="251">
        <f>_xlfn.XLOOKUP(Tableau1[[#This Row],[Code PAS]],'parc SATIN 08012026v'!K:K,'parc SATIN 08012026v'!Q:Q,0,0)</f>
        <v>45848</v>
      </c>
      <c r="AW264" s="251" t="str">
        <f>_xlfn.XLOOKUP(Tableau1[[#This Row],[Code PAS]],'parc SATIN 08012026v'!K:K,'parc SATIN 08012026v'!S:S,0,0)</f>
        <v>change</v>
      </c>
      <c r="AX264" s="250" t="str">
        <f>_xlfn.XLOOKUP(Tableau1[[#This Row],[Code PAS]],'parc SATIN 08012026v'!K:K,'parc SATIN 08012026v'!AF:AF,0,0)</f>
        <v>100 Mb/s</v>
      </c>
      <c r="AY264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100</v>
      </c>
      <c r="AZ264" s="250" t="s">
        <v>2842</v>
      </c>
    </row>
    <row r="265" spans="1:54" s="250" customFormat="1" ht="15" customHeight="1" x14ac:dyDescent="0.3">
      <c r="A265" s="250" t="s">
        <v>2758</v>
      </c>
      <c r="C265" s="249"/>
      <c r="D265" s="249">
        <v>45702</v>
      </c>
      <c r="E265" s="250" t="s">
        <v>2845</v>
      </c>
      <c r="F265" s="980" t="s">
        <v>2546</v>
      </c>
      <c r="G265" s="250" t="s">
        <v>2841</v>
      </c>
      <c r="H265" s="250" t="s">
        <v>2841</v>
      </c>
      <c r="I265" s="250" t="s">
        <v>2817</v>
      </c>
      <c r="J265" s="248" t="s">
        <v>2820</v>
      </c>
      <c r="L265" s="250">
        <v>600</v>
      </c>
      <c r="M265" s="250">
        <v>1200</v>
      </c>
      <c r="N265" s="250">
        <v>1</v>
      </c>
      <c r="O265" s="250" t="s">
        <v>74</v>
      </c>
      <c r="P265" s="824">
        <v>0</v>
      </c>
      <c r="Q265" s="824">
        <v>0</v>
      </c>
      <c r="R265" s="824">
        <v>0</v>
      </c>
      <c r="S265" s="824">
        <v>0</v>
      </c>
      <c r="T265" s="824">
        <v>2565</v>
      </c>
      <c r="U265" s="824">
        <v>71</v>
      </c>
      <c r="V265" s="824">
        <v>6</v>
      </c>
      <c r="W265" s="824">
        <v>108</v>
      </c>
      <c r="X265" s="824">
        <v>2749.6937668288169</v>
      </c>
      <c r="Y265" s="824">
        <v>0</v>
      </c>
      <c r="Z265" s="967">
        <v>-81</v>
      </c>
      <c r="AA265" s="966">
        <v>0</v>
      </c>
      <c r="AB265" s="969">
        <v>0</v>
      </c>
      <c r="AC265" s="969">
        <v>0</v>
      </c>
      <c r="AD265" s="969">
        <v>0</v>
      </c>
      <c r="AE265" s="264">
        <v>100</v>
      </c>
      <c r="AF265" s="264">
        <v>600</v>
      </c>
      <c r="AG265" s="264">
        <v>1200</v>
      </c>
      <c r="AH265" s="264">
        <v>1800</v>
      </c>
      <c r="AI265" s="973">
        <v>108</v>
      </c>
      <c r="AJ265" s="263">
        <v>100</v>
      </c>
      <c r="AK265" s="987">
        <v>1800</v>
      </c>
      <c r="AL265" s="263">
        <f>VLOOKUP(Tableau1[[#This Row],[Code PAS]],'Facturation PAS RIN5 RUN'!C:F,4,0)</f>
        <v>6</v>
      </c>
      <c r="AM265" s="263"/>
      <c r="AN265" s="263" t="b">
        <f>ROUND(Tableau1[[#This Row],[Montant Options coûts récurrents]],0)=ROUND(Tableau1[[#This Row],[GTRS1 (Coût Plage de support 24h/24 7j/7)]],0)</f>
        <v>0</v>
      </c>
      <c r="AO265" s="265" t="e">
        <f>_xlfn.XLOOKUP(Tableau1[[#This Row],[Code PAS]],'parc SATIN 08012026v'!K:K,'parc SATIN 08012026v'!#REF!,0,0)</f>
        <v>#REF!</v>
      </c>
      <c r="AP265" s="263" t="e">
        <f>VLOOKUP(Tableau1[[#This Row],[Code PAS]],#REF!,3,0)</f>
        <v>#REF!</v>
      </c>
      <c r="AQ265" s="263" t="e">
        <f>VLOOKUP(Tableau1[[#This Row],[Code PAS]],[14]Feuil1!$B:$G,6,0)</f>
        <v>#N/A</v>
      </c>
      <c r="AR265" s="263" t="str">
        <f>_xlfn.XLOOKUP(Tableau1[[#This Row],[Code PAS]],'Facturation PAS RIN5 RUN'!C:C,'Facturation PAS RIN5 RUN'!B:B,0,0)</f>
        <v>Platinum_Man_100_0</v>
      </c>
      <c r="AS265" s="263" t="b">
        <f>Tableau1[[#This Row],[Etat facturation]]=Tableau1[[#This Row],[Index offre du fournisseur]]</f>
        <v>1</v>
      </c>
      <c r="AT265" s="250" t="str">
        <f>_xlfn.XLOOKUP(Tableau1[[#This Row],[Code PAS]],'parc SATIN 08012026v'!K:K,'parc SATIN 08012026v'!M:M,0,0)</f>
        <v>PARC</v>
      </c>
      <c r="AU265" s="250" t="str">
        <f>_xlfn.XLOOKUP(Tableau1[[#This Row],[Code PAS]],'parc SATIN 08012026v'!K:K,'parc SATIN 08012026v'!O:O,0,0)</f>
        <v>PARC</v>
      </c>
      <c r="AV265" s="251">
        <f>_xlfn.XLOOKUP(Tableau1[[#This Row],[Code PAS]],'parc SATIN 08012026v'!K:K,'parc SATIN 08012026v'!Q:Q,0,0)</f>
        <v>45848</v>
      </c>
      <c r="AW265" s="251" t="str">
        <f>_xlfn.XLOOKUP(Tableau1[[#This Row],[Code PAS]],'parc SATIN 08012026v'!K:K,'parc SATIN 08012026v'!S:S,0,0)</f>
        <v>change</v>
      </c>
      <c r="AX265" s="250" t="str">
        <f>_xlfn.XLOOKUP(Tableau1[[#This Row],[Code PAS]],'parc SATIN 08012026v'!K:K,'parc SATIN 08012026v'!AF:AF,0,0)</f>
        <v>100 Mb/s</v>
      </c>
      <c r="AY265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100</v>
      </c>
      <c r="AZ265" s="250" t="s">
        <v>2842</v>
      </c>
    </row>
    <row r="266" spans="1:54" s="250" customFormat="1" ht="15" customHeight="1" x14ac:dyDescent="0.3">
      <c r="A266" s="250" t="s">
        <v>2739</v>
      </c>
      <c r="D266" s="262">
        <v>46078</v>
      </c>
      <c r="E266" s="250" t="s">
        <v>2846</v>
      </c>
      <c r="F266" s="982" t="s">
        <v>825</v>
      </c>
      <c r="G266" s="250" t="s">
        <v>2877</v>
      </c>
      <c r="H266" s="250" t="s">
        <v>2877</v>
      </c>
      <c r="I266" s="250" t="s">
        <v>165</v>
      </c>
      <c r="J266" s="248"/>
      <c r="L266" s="250">
        <v>400</v>
      </c>
      <c r="M266" s="250">
        <v>150</v>
      </c>
      <c r="N266" s="250">
        <v>1</v>
      </c>
      <c r="O266" s="250" t="s">
        <v>74</v>
      </c>
      <c r="P266" s="824"/>
      <c r="Q266" s="824"/>
      <c r="R266" s="824"/>
      <c r="S266" s="824">
        <v>0</v>
      </c>
      <c r="T266" s="824">
        <v>738</v>
      </c>
      <c r="U266" s="824">
        <v>22</v>
      </c>
      <c r="V266" s="824">
        <v>20</v>
      </c>
      <c r="W266" s="824">
        <v>14</v>
      </c>
      <c r="X266" s="824">
        <v>794</v>
      </c>
      <c r="Y266" s="824"/>
      <c r="Z266" s="967">
        <v>-16.721300000000042</v>
      </c>
      <c r="AA266" s="967">
        <v>1.2787000000000006</v>
      </c>
      <c r="AB266" s="969">
        <v>0</v>
      </c>
      <c r="AC266" s="969">
        <v>-0.88519999999999932</v>
      </c>
      <c r="AD266" s="969">
        <v>0</v>
      </c>
      <c r="AE266" s="264">
        <v>30</v>
      </c>
      <c r="AF266" s="264">
        <v>400</v>
      </c>
      <c r="AG266" s="264">
        <v>150</v>
      </c>
      <c r="AH266" s="264">
        <v>550</v>
      </c>
      <c r="AI266" s="973">
        <v>14</v>
      </c>
      <c r="AJ266" s="263">
        <v>30</v>
      </c>
      <c r="AK266" s="987">
        <v>550</v>
      </c>
      <c r="AL266" s="263">
        <f>VLOOKUP(Tableau1[[#This Row],[Code PAS]],'Facturation PAS RIN5 RUN'!C:F,4,0)</f>
        <v>20</v>
      </c>
      <c r="AM266" s="263"/>
      <c r="AN266" s="263" t="b">
        <f>ROUND(Tableau1[[#This Row],[Montant Options coûts récurrents]],0)=ROUND(Tableau1[[#This Row],[GTRS1 (Coût Plage de support 24h/24 7j/7)]],0)</f>
        <v>0</v>
      </c>
      <c r="AO266" s="265" t="e">
        <f>_xlfn.XLOOKUP(Tableau1[[#This Row],[Code PAS]],'parc SATIN 08012026v'!K:K,'parc SATIN 08012026v'!#REF!,0,0)</f>
        <v>#REF!</v>
      </c>
      <c r="AP266" s="263" t="e">
        <f>VLOOKUP(Tableau1[[#This Row],[Code PAS]],#REF!,3,0)</f>
        <v>#REF!</v>
      </c>
      <c r="AQ266" s="263" t="e">
        <f>VLOOKUP(Tableau1[[#This Row],[Code PAS]],[14]Feuil1!$B:$G,6,0)</f>
        <v>#N/A</v>
      </c>
      <c r="AR266" s="263" t="str">
        <f>_xlfn.XLOOKUP(Tableau1[[#This Row],[Code PAS]],'Facturation PAS RIN5 RUN'!C:C,'Facturation PAS RIN5 RUN'!B:B,0,0)</f>
        <v>Bronze_30_0</v>
      </c>
      <c r="AS266" s="263" t="b">
        <f>Tableau1[[#This Row],[Etat facturation]]=Tableau1[[#This Row],[Index offre du fournisseur]]</f>
        <v>1</v>
      </c>
      <c r="AT266" s="250" t="str">
        <f>_xlfn.XLOOKUP(Tableau1[[#This Row],[Code PAS]],'parc SATIN 08012026v'!K:K,'parc SATIN 08012026v'!M:M,0,0)</f>
        <v>PARC</v>
      </c>
      <c r="AU266" s="250" t="str">
        <f>_xlfn.XLOOKUP(Tableau1[[#This Row],[Code PAS]],'parc SATIN 08012026v'!K:K,'parc SATIN 08012026v'!O:O,0,0)</f>
        <v>PARC</v>
      </c>
      <c r="AV266" s="251">
        <f>_xlfn.XLOOKUP(Tableau1[[#This Row],[Code PAS]],'parc SATIN 08012026v'!K:K,'parc SATIN 08012026v'!Q:Q,0,0)</f>
        <v>46078</v>
      </c>
      <c r="AW266" s="251" t="str">
        <f>_xlfn.XLOOKUP(Tableau1[[#This Row],[Code PAS]],'parc SATIN 08012026v'!K:K,'parc SATIN 08012026v'!S:S,0,0)</f>
        <v>change</v>
      </c>
      <c r="AX266" s="250" t="str">
        <f>_xlfn.XLOOKUP(Tableau1[[#This Row],[Code PAS]],'parc SATIN 08012026v'!K:K,'parc SATIN 08012026v'!AF:AF,0,0)</f>
        <v>30 Mb/s</v>
      </c>
      <c r="AY26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266" s="250" t="s">
        <v>2847</v>
      </c>
    </row>
    <row r="267" spans="1:54" s="250" customFormat="1" ht="15" customHeight="1" x14ac:dyDescent="0.3">
      <c r="A267" s="250" t="s">
        <v>2739</v>
      </c>
      <c r="C267" s="249"/>
      <c r="D267" s="249"/>
      <c r="E267" s="250" t="s">
        <v>2848</v>
      </c>
      <c r="F267" s="979" t="s">
        <v>1674</v>
      </c>
      <c r="G267" s="250" t="s">
        <v>2849</v>
      </c>
      <c r="H267" s="250" t="s">
        <v>2849</v>
      </c>
      <c r="I267" s="250" t="s">
        <v>78</v>
      </c>
      <c r="J267" s="248" t="str">
        <f>_xlfn.XLOOKUP(Tableau1[[#This Row],[Code PAS]],'[13]Parc Satin'!$L:$L,'[13]Parc Satin'!$CK:$CK,0,0)</f>
        <v>Nominal InterLan 1.0 Secours InterLan 1.0</v>
      </c>
      <c r="K267" s="250" t="s">
        <v>2850</v>
      </c>
      <c r="L267" s="250">
        <v>1200</v>
      </c>
      <c r="M267" s="250">
        <v>4300</v>
      </c>
      <c r="N267" s="250">
        <v>1</v>
      </c>
      <c r="O267" s="250" t="s">
        <v>74</v>
      </c>
      <c r="P267" s="824">
        <v>3765</v>
      </c>
      <c r="Q267" s="824">
        <v>702</v>
      </c>
      <c r="R267" s="824">
        <v>0</v>
      </c>
      <c r="S267" s="824">
        <v>4467</v>
      </c>
      <c r="T267" s="824">
        <v>2436</v>
      </c>
      <c r="U267" s="824">
        <v>382</v>
      </c>
      <c r="V267" s="824">
        <v>16</v>
      </c>
      <c r="W267" s="824">
        <v>414</v>
      </c>
      <c r="X267" s="824">
        <f>Tableau1[[#This Row],[Coût Abonnement offre]]+Tableau1[[#This Row],[Coût Abonnement Chassis]]+Tableau1[[#This Row],[Cout Cartes interface ]]+Tableau1[[#This Row],[Cout canaux voix supplémentaire]]</f>
        <v>3248</v>
      </c>
      <c r="Y267" s="824">
        <v>0</v>
      </c>
      <c r="Z267" s="966">
        <v>0</v>
      </c>
      <c r="AA267" s="966">
        <v>0</v>
      </c>
      <c r="AB267" s="969">
        <v>0</v>
      </c>
      <c r="AC267" s="968">
        <v>-324</v>
      </c>
      <c r="AD267" s="969">
        <v>0</v>
      </c>
      <c r="AE267" s="264">
        <v>600</v>
      </c>
      <c r="AF267" s="264">
        <v>1200</v>
      </c>
      <c r="AG267" s="264">
        <v>8800</v>
      </c>
      <c r="AH267" s="264">
        <v>10000</v>
      </c>
      <c r="AI267" s="973">
        <v>792</v>
      </c>
      <c r="AJ267" s="263">
        <v>600</v>
      </c>
      <c r="AK267" s="987">
        <v>5500</v>
      </c>
      <c r="AL267" s="263">
        <f>VLOOKUP(Tableau1[[#This Row],[Code PAS]],'Facturation PAS RIN5 RUN'!C:F,4,0)</f>
        <v>16</v>
      </c>
      <c r="AM267" s="263"/>
      <c r="AN267" s="263" t="b">
        <f>ROUND(Tableau1[[#This Row],[Montant Options coûts récurrents]],0)=ROUND(Tableau1[[#This Row],[GTRS1 (Coût Plage de support 24h/24 7j/7)]],0)</f>
        <v>0</v>
      </c>
      <c r="AO267" s="265" t="e">
        <f>_xlfn.XLOOKUP(Tableau1[[#This Row],[Code PAS]],'parc SATIN 08012026v'!K:K,'parc SATIN 08012026v'!#REF!,0,0)</f>
        <v>#REF!</v>
      </c>
      <c r="AP267" s="263" t="e">
        <f>VLOOKUP(Tableau1[[#This Row],[Code PAS]],#REF!,3,0)</f>
        <v>#REF!</v>
      </c>
      <c r="AQ267" s="263" t="e">
        <f>VLOOKUP(Tableau1[[#This Row],[Code PAS]],[14]Feuil1!$B:$G,6,0)</f>
        <v>#N/A</v>
      </c>
      <c r="AR267" s="263" t="str">
        <f>_xlfn.XLOOKUP(Tableau1[[#This Row],[Code PAS]],'Facturation PAS RIN5 RUN'!C:C,'Facturation PAS RIN5 RUN'!B:B,0,0)</f>
        <v>Platinum_600_600</v>
      </c>
      <c r="AS267" s="263" t="b">
        <f>Tableau1[[#This Row],[Etat facturation]]=Tableau1[[#This Row],[Index offre du fournisseur]]</f>
        <v>1</v>
      </c>
      <c r="AT267" s="250" t="str">
        <f>_xlfn.XLOOKUP(Tableau1[[#This Row],[Code PAS]],'parc SATIN 08012026v'!K:K,'parc SATIN 08012026v'!M:M,0,0)</f>
        <v>PARC</v>
      </c>
      <c r="AU267" s="250" t="str">
        <f>_xlfn.XLOOKUP(Tableau1[[#This Row],[Code PAS]],'parc SATIN 08012026v'!K:K,'parc SATIN 08012026v'!O:O,0,0)</f>
        <v>PARC</v>
      </c>
      <c r="AV267" s="251">
        <f>_xlfn.XLOOKUP(Tableau1[[#This Row],[Code PAS]],'parc SATIN 08012026v'!K:K,'parc SATIN 08012026v'!Q:Q,0,0)</f>
        <v>45177</v>
      </c>
      <c r="AW267" s="251" t="str">
        <f>_xlfn.XLOOKUP(Tableau1[[#This Row],[Code PAS]],'parc SATIN 08012026v'!K:K,'parc SATIN 08012026v'!S:S,0,0)</f>
        <v>change</v>
      </c>
      <c r="AX267" s="250" t="str">
        <f>_xlfn.XLOOKUP(Tableau1[[#This Row],[Code PAS]],'parc SATIN 08012026v'!K:K,'parc SATIN 08012026v'!AF:AF,0,0)</f>
        <v>600 Mb/s</v>
      </c>
      <c r="AY26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600</v>
      </c>
      <c r="AZ267" s="250" t="s">
        <v>2851</v>
      </c>
    </row>
    <row r="268" spans="1:54" s="250" customFormat="1" ht="15" customHeight="1" x14ac:dyDescent="0.3">
      <c r="A268" s="250" t="s">
        <v>2739</v>
      </c>
      <c r="C268" s="249"/>
      <c r="D268" s="249"/>
      <c r="E268" s="250" t="s">
        <v>2855</v>
      </c>
      <c r="F268" s="979" t="s">
        <v>911</v>
      </c>
      <c r="H268" s="250" t="s">
        <v>2757</v>
      </c>
      <c r="J268" s="248" t="str">
        <f>_xlfn.XLOOKUP(Tableau1[[#This Row],[Code PAS]],'[13]Parc Satin'!$L:$L,'[13]Parc Satin'!$CK:$CK,0,0)</f>
        <v>Nominal C2E Fibre sans Secours</v>
      </c>
      <c r="P268" s="820">
        <v>0</v>
      </c>
      <c r="Q268" s="820">
        <v>0</v>
      </c>
      <c r="R268" s="820">
        <v>0</v>
      </c>
      <c r="S268" s="820">
        <v>0</v>
      </c>
      <c r="T268" s="824">
        <v>356</v>
      </c>
      <c r="U268" s="824">
        <v>12</v>
      </c>
      <c r="V268" s="824">
        <v>8</v>
      </c>
      <c r="W268" s="824">
        <v>27</v>
      </c>
      <c r="X268" s="823">
        <f>Tableau1[[#This Row],[Coût Abonnement offre]]+Tableau1[[#This Row],[Coût Abonnement Chassis]]+Tableau1[[#This Row],[Cout Cartes interface ]]+Tableau1[[#This Row],[Cout canaux voix supplémentaire]]</f>
        <v>403</v>
      </c>
      <c r="Y268" s="824">
        <v>0</v>
      </c>
      <c r="Z268" s="966">
        <v>0</v>
      </c>
      <c r="AA268" s="966">
        <v>0</v>
      </c>
      <c r="AB268" s="969">
        <v>0</v>
      </c>
      <c r="AC268" s="968">
        <v>-288</v>
      </c>
      <c r="AD268" s="969">
        <v>0</v>
      </c>
      <c r="AE268" s="264">
        <v>4</v>
      </c>
      <c r="AF268" s="264">
        <v>40</v>
      </c>
      <c r="AG268" s="264">
        <v>30</v>
      </c>
      <c r="AH268" s="264">
        <v>70</v>
      </c>
      <c r="AI268" s="973">
        <v>27</v>
      </c>
      <c r="AJ268" s="263">
        <v>4</v>
      </c>
      <c r="AK268" s="987">
        <v>70</v>
      </c>
      <c r="AL268" s="263">
        <f>VLOOKUP(Tableau1[[#This Row],[Code PAS]],'Facturation PAS RIN5 RUN'!C:F,4,0)</f>
        <v>8</v>
      </c>
      <c r="AM268" s="263"/>
      <c r="AN268" s="263" t="b">
        <f>ROUND(Tableau1[[#This Row],[Montant Options coûts récurrents]],0)=ROUND(Tableau1[[#This Row],[GTRS1 (Coût Plage de support 24h/24 7j/7)]],0)</f>
        <v>0</v>
      </c>
      <c r="AO268" s="265" t="e">
        <f>_xlfn.XLOOKUP(Tableau1[[#This Row],[Code PAS]],'parc SATIN 08012026v'!K:K,'parc SATIN 08012026v'!#REF!,0,0)</f>
        <v>#REF!</v>
      </c>
      <c r="AP268" s="263" t="e">
        <f>VLOOKUP(Tableau1[[#This Row],[Code PAS]],#REF!,3,0)</f>
        <v>#REF!</v>
      </c>
      <c r="AQ268" s="263" t="e">
        <f>VLOOKUP(Tableau1[[#This Row],[Code PAS]],[14]Feuil1!$B:$G,6,0)</f>
        <v>#N/A</v>
      </c>
      <c r="AR268" s="263" t="str">
        <f>_xlfn.XLOOKUP(Tableau1[[#This Row],[Code PAS]],'Facturation PAS RIN5 RUN'!C:C,'Facturation PAS RIN5 RUN'!B:B,0,0)</f>
        <v>Bronze_4_0</v>
      </c>
      <c r="AS268" s="263" t="b">
        <f>Tableau1[[#This Row],[Etat facturation]]=Tableau1[[#This Row],[Index offre du fournisseur]]</f>
        <v>1</v>
      </c>
      <c r="AT268" s="250" t="str">
        <f>_xlfn.XLOOKUP(Tableau1[[#This Row],[Code PAS]],'parc SATIN 08012026v'!K:K,'parc SATIN 08012026v'!M:M,0,0)</f>
        <v>PARC</v>
      </c>
      <c r="AU268" s="250" t="str">
        <f>_xlfn.XLOOKUP(Tableau1[[#This Row],[Code PAS]],'parc SATIN 08012026v'!K:K,'parc SATIN 08012026v'!O:O,0,0)</f>
        <v>PARC</v>
      </c>
      <c r="AV268" s="251">
        <f>_xlfn.XLOOKUP(Tableau1[[#This Row],[Code PAS]],'parc SATIN 08012026v'!K:K,'parc SATIN 08012026v'!Q:Q,0,0)</f>
        <v>43917</v>
      </c>
      <c r="AW268" s="251" t="str">
        <f>_xlfn.XLOOKUP(Tableau1[[#This Row],[Code PAS]],'parc SATIN 08012026v'!K:K,'parc SATIN 08012026v'!S:S,0,0)</f>
        <v>change</v>
      </c>
      <c r="AX268" s="250" t="str">
        <f>_xlfn.XLOOKUP(Tableau1[[#This Row],[Code PAS]],'parc SATIN 08012026v'!K:K,'parc SATIN 08012026v'!AF:AF,0,0)</f>
        <v>4 Mb/s</v>
      </c>
      <c r="AY26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268" s="250" t="s">
        <v>2856</v>
      </c>
    </row>
    <row r="269" spans="1:54" s="250" customFormat="1" ht="15" customHeight="1" x14ac:dyDescent="0.3">
      <c r="A269" s="248" t="s">
        <v>2735</v>
      </c>
      <c r="B269" s="248"/>
      <c r="C269" s="249"/>
      <c r="D269" s="249"/>
      <c r="E269" s="248" t="s">
        <v>2857</v>
      </c>
      <c r="F269" s="979" t="s">
        <v>848</v>
      </c>
      <c r="G269" s="250" t="s">
        <v>2800</v>
      </c>
      <c r="H269" s="248" t="s">
        <v>2757</v>
      </c>
      <c r="I269" s="248"/>
      <c r="J269" s="248" t="str">
        <f>_xlfn.XLOOKUP(Tableau1[[#This Row],[Code PAS]],'[13]Parc Satin'!$L:$L,'[13]Parc Satin'!$CK:$CK,0,0)</f>
        <v>Nominal C2E sans Secours</v>
      </c>
      <c r="K269" s="248"/>
      <c r="L269" s="248"/>
      <c r="M269" s="248"/>
      <c r="N269" s="248"/>
      <c r="O269" s="248"/>
      <c r="P269" s="822">
        <v>0</v>
      </c>
      <c r="Q269" s="822">
        <v>0</v>
      </c>
      <c r="R269" s="822">
        <v>0</v>
      </c>
      <c r="S269" s="822">
        <v>0</v>
      </c>
      <c r="T269" s="824">
        <v>356</v>
      </c>
      <c r="U269" s="823">
        <v>27</v>
      </c>
      <c r="V269" s="823">
        <v>0</v>
      </c>
      <c r="W269" s="823">
        <v>27</v>
      </c>
      <c r="X269" s="823">
        <f>Tableau1[[#This Row],[Coût Abonnement offre]]+Tableau1[[#This Row],[Coût Abonnement Chassis]]+Tableau1[[#This Row],[Cout Cartes interface ]]+Tableau1[[#This Row],[Cout canaux voix supplémentaire]]</f>
        <v>410</v>
      </c>
      <c r="Y269" s="823">
        <v>0</v>
      </c>
      <c r="Z269" s="966">
        <v>0</v>
      </c>
      <c r="AA269" s="966">
        <v>0</v>
      </c>
      <c r="AB269" s="969">
        <v>0</v>
      </c>
      <c r="AC269" s="968">
        <v>-288</v>
      </c>
      <c r="AD269" s="969">
        <v>0</v>
      </c>
      <c r="AE269" s="264">
        <v>4</v>
      </c>
      <c r="AF269" s="264">
        <v>40</v>
      </c>
      <c r="AG269" s="264">
        <v>30</v>
      </c>
      <c r="AH269" s="264">
        <v>70</v>
      </c>
      <c r="AI269" s="973">
        <v>27</v>
      </c>
      <c r="AJ269" s="263">
        <v>4</v>
      </c>
      <c r="AK269" s="987">
        <v>70</v>
      </c>
      <c r="AL269" s="263">
        <f>VLOOKUP(Tableau1[[#This Row],[Code PAS]],'Facturation PAS RIN5 RUN'!C:F,4,0)</f>
        <v>0</v>
      </c>
      <c r="AM269" s="263"/>
      <c r="AN269" s="263" t="b">
        <f>ROUND(Tableau1[[#This Row],[Montant Options coûts récurrents]],0)=ROUND(Tableau1[[#This Row],[GTRS1 (Coût Plage de support 24h/24 7j/7)]],0)</f>
        <v>1</v>
      </c>
      <c r="AO269" s="265" t="e">
        <f>_xlfn.XLOOKUP(Tableau1[[#This Row],[Code PAS]],'parc SATIN 08012026v'!K:K,'parc SATIN 08012026v'!#REF!,0,0)</f>
        <v>#REF!</v>
      </c>
      <c r="AP269" s="263" t="e">
        <f>VLOOKUP(Tableau1[[#This Row],[Code PAS]],#REF!,3,0)</f>
        <v>#REF!</v>
      </c>
      <c r="AQ269" s="263" t="e">
        <f>VLOOKUP(Tableau1[[#This Row],[Code PAS]],[14]Feuil1!$B:$G,6,0)</f>
        <v>#N/A</v>
      </c>
      <c r="AR269" s="263" t="str">
        <f>_xlfn.XLOOKUP(Tableau1[[#This Row],[Code PAS]],'Facturation PAS RIN5 RUN'!C:C,'Facturation PAS RIN5 RUN'!B:B,0,0)</f>
        <v>Bronze_4_0</v>
      </c>
      <c r="AS269" s="263" t="b">
        <f>Tableau1[[#This Row],[Etat facturation]]=Tableau1[[#This Row],[Index offre du fournisseur]]</f>
        <v>1</v>
      </c>
      <c r="AT269" s="250" t="str">
        <f>_xlfn.XLOOKUP(Tableau1[[#This Row],[Code PAS]],'parc SATIN 08012026v'!K:K,'parc SATIN 08012026v'!M:M,0,0)</f>
        <v>PARC</v>
      </c>
      <c r="AU269" s="250" t="str">
        <f>_xlfn.XLOOKUP(Tableau1[[#This Row],[Code PAS]],'parc SATIN 08012026v'!K:K,'parc SATIN 08012026v'!O:O,0,0)</f>
        <v>PARC</v>
      </c>
      <c r="AV269" s="251">
        <f>_xlfn.XLOOKUP(Tableau1[[#This Row],[Code PAS]],'parc SATIN 08012026v'!K:K,'parc SATIN 08012026v'!Q:Q,0,0)</f>
        <v>43915</v>
      </c>
      <c r="AW269" s="251" t="str">
        <f>_xlfn.XLOOKUP(Tableau1[[#This Row],[Code PAS]],'parc SATIN 08012026v'!K:K,'parc SATIN 08012026v'!S:S,0,0)</f>
        <v>change</v>
      </c>
      <c r="AX269" s="250" t="str">
        <f>_xlfn.XLOOKUP(Tableau1[[#This Row],[Code PAS]],'parc SATIN 08012026v'!K:K,'parc SATIN 08012026v'!AF:AF,0,0)</f>
        <v>4 Mb/s</v>
      </c>
      <c r="AY26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269" s="250" t="s">
        <v>2858</v>
      </c>
    </row>
    <row r="270" spans="1:54" s="250" customFormat="1" x14ac:dyDescent="0.3">
      <c r="A270" s="248" t="s">
        <v>2735</v>
      </c>
      <c r="B270" s="248"/>
      <c r="C270" s="249"/>
      <c r="D270" s="249"/>
      <c r="E270" s="248" t="s">
        <v>2859</v>
      </c>
      <c r="F270" s="979" t="s">
        <v>321</v>
      </c>
      <c r="H270" s="248" t="s">
        <v>2784</v>
      </c>
      <c r="I270" s="248" t="s">
        <v>78</v>
      </c>
      <c r="J270" s="248" t="str">
        <f>_xlfn.XLOOKUP(Tableau1[[#This Row],[Code PAS]],'[13]Parc Satin'!$L:$L,'[13]Parc Satin'!$CK:$CK,0,0)</f>
        <v>Nominal InterLan 1.0 Secours InterLan 1.0</v>
      </c>
      <c r="K270" s="248" t="s">
        <v>2860</v>
      </c>
      <c r="L270" s="248">
        <v>500</v>
      </c>
      <c r="M270" s="248">
        <v>400</v>
      </c>
      <c r="N270" s="248">
        <v>1</v>
      </c>
      <c r="O270" s="248" t="s">
        <v>74</v>
      </c>
      <c r="P270" s="822">
        <v>4428</v>
      </c>
      <c r="Q270" s="822">
        <v>0</v>
      </c>
      <c r="R270" s="822">
        <v>0</v>
      </c>
      <c r="S270" s="822">
        <v>0</v>
      </c>
      <c r="T270" s="823">
        <v>1454</v>
      </c>
      <c r="U270" s="823">
        <v>165</v>
      </c>
      <c r="V270" s="823">
        <v>32</v>
      </c>
      <c r="W270" s="823">
        <v>36</v>
      </c>
      <c r="X270" s="823">
        <f>Tableau1[[#This Row],[Coût Abonnement offre]]+Tableau1[[#This Row],[Coût Abonnement Chassis]]+Tableau1[[#This Row],[Cout Cartes interface ]]+Tableau1[[#This Row],[Cout canaux voix supplémentaire]]</f>
        <v>1687</v>
      </c>
      <c r="Y270" s="823">
        <v>0</v>
      </c>
      <c r="Z270" s="967">
        <v>4524</v>
      </c>
      <c r="AA270" s="966">
        <v>0</v>
      </c>
      <c r="AB270" s="969">
        <v>0</v>
      </c>
      <c r="AC270" s="968">
        <v>-432</v>
      </c>
      <c r="AD270" s="969">
        <v>0</v>
      </c>
      <c r="AE270" s="264">
        <v>50</v>
      </c>
      <c r="AF270" s="264">
        <v>500</v>
      </c>
      <c r="AG270" s="264">
        <v>400</v>
      </c>
      <c r="AH270" s="264">
        <v>900</v>
      </c>
      <c r="AI270" s="973">
        <v>36</v>
      </c>
      <c r="AJ270" s="263">
        <v>50</v>
      </c>
      <c r="AK270" s="987">
        <v>900</v>
      </c>
      <c r="AL270" s="263">
        <f>VLOOKUP(Tableau1[[#This Row],[Code PAS]],'Facturation PAS RIN5 RUN'!C:F,4,0)</f>
        <v>32</v>
      </c>
      <c r="AM270" s="263" t="s">
        <v>3745</v>
      </c>
      <c r="AN270" s="263" t="b">
        <f>ROUND(Tableau1[[#This Row],[Montant Options coûts récurrents]],0)=ROUND(Tableau1[[#This Row],[GTRS1 (Coût Plage de support 24h/24 7j/7)]],0)</f>
        <v>0</v>
      </c>
      <c r="AO270" s="265" t="e">
        <f>_xlfn.XLOOKUP(Tableau1[[#This Row],[Code PAS]],'parc SATIN 08012026v'!K:K,'parc SATIN 08012026v'!#REF!,0,0)</f>
        <v>#REF!</v>
      </c>
      <c r="AP270" s="263" t="e">
        <f>VLOOKUP(Tableau1[[#This Row],[Code PAS]],#REF!,3,0)</f>
        <v>#REF!</v>
      </c>
      <c r="AQ270" s="263" t="e">
        <f>VLOOKUP(Tableau1[[#This Row],[Code PAS]],[14]Feuil1!$B:$G,6,0)</f>
        <v>#N/A</v>
      </c>
      <c r="AR270" s="263" t="str">
        <f>_xlfn.XLOOKUP(Tableau1[[#This Row],[Code PAS]],'Facturation PAS RIN5 RUN'!C:C,'Facturation PAS RIN5 RUN'!B:B,0,0)</f>
        <v>Gold_50_50</v>
      </c>
      <c r="AS270" s="263" t="b">
        <f>Tableau1[[#This Row],[Etat facturation]]=Tableau1[[#This Row],[Index offre du fournisseur]]</f>
        <v>1</v>
      </c>
      <c r="AT270" s="250" t="str">
        <f>_xlfn.XLOOKUP(Tableau1[[#This Row],[Code PAS]],'parc SATIN 08012026v'!K:K,'parc SATIN 08012026v'!M:M,0,0)</f>
        <v>PARC</v>
      </c>
      <c r="AU270" s="250" t="str">
        <f>_xlfn.XLOOKUP(Tableau1[[#This Row],[Code PAS]],'parc SATIN 08012026v'!K:K,'parc SATIN 08012026v'!O:O,0,0)</f>
        <v>PARC</v>
      </c>
      <c r="AV270" s="251">
        <f>_xlfn.XLOOKUP(Tableau1[[#This Row],[Code PAS]],'parc SATIN 08012026v'!K:K,'parc SATIN 08012026v'!Q:Q,0,0)</f>
        <v>44033</v>
      </c>
      <c r="AW270" s="251" t="str">
        <f>_xlfn.XLOOKUP(Tableau1[[#This Row],[Code PAS]],'parc SATIN 08012026v'!K:K,'parc SATIN 08012026v'!S:S,0,0)</f>
        <v>change</v>
      </c>
      <c r="AX270" s="250" t="str">
        <f>_xlfn.XLOOKUP(Tableau1[[#This Row],[Code PAS]],'parc SATIN 08012026v'!K:K,'parc SATIN 08012026v'!AF:AF,0,0)</f>
        <v>50 Mb/s</v>
      </c>
      <c r="AY27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270" s="250" t="s">
        <v>3748</v>
      </c>
    </row>
    <row r="271" spans="1:54" s="254" customFormat="1" x14ac:dyDescent="0.3">
      <c r="A271" s="248"/>
      <c r="B271" s="248"/>
      <c r="C271" s="249"/>
      <c r="D271" s="249"/>
      <c r="E271" s="250" t="s">
        <v>2861</v>
      </c>
      <c r="F271" s="980" t="s">
        <v>1665</v>
      </c>
      <c r="G271" s="250" t="s">
        <v>2757</v>
      </c>
      <c r="H271" s="250" t="s">
        <v>2757</v>
      </c>
      <c r="I271" s="250" t="s">
        <v>2817</v>
      </c>
      <c r="J271" s="248" t="str">
        <f>_xlfn.XLOOKUP(Tableau1[[#This Row],[Code PAS]],'[13]Parc Satin'!$L:$L,'[13]Parc Satin'!$CK:$CK,0,0)</f>
        <v>Nominal C2E sans Secours</v>
      </c>
      <c r="K271" s="250"/>
      <c r="L271" s="250">
        <v>40</v>
      </c>
      <c r="M271" s="250">
        <v>30</v>
      </c>
      <c r="N271" s="250">
        <v>1</v>
      </c>
      <c r="O271" s="250" t="s">
        <v>74</v>
      </c>
      <c r="P271" s="824">
        <v>0</v>
      </c>
      <c r="Q271" s="824">
        <v>602</v>
      </c>
      <c r="R271" s="824">
        <v>0</v>
      </c>
      <c r="S271" s="824">
        <v>602</v>
      </c>
      <c r="T271" s="824">
        <v>356</v>
      </c>
      <c r="U271" s="824">
        <v>22</v>
      </c>
      <c r="V271" s="824">
        <v>22</v>
      </c>
      <c r="W271" s="824">
        <v>27</v>
      </c>
      <c r="X271" s="824">
        <f>Tableau1[[#This Row],[Coût Abonnement offre]]+Tableau1[[#This Row],[Coût Abonnement Chassis]]+Tableau1[[#This Row],[Cout Cartes interface ]]+Tableau1[[#This Row],[Cout canaux voix supplémentaire]]</f>
        <v>427</v>
      </c>
      <c r="Y271" s="824">
        <v>0</v>
      </c>
      <c r="Z271" s="967">
        <v>144</v>
      </c>
      <c r="AA271" s="966">
        <v>0</v>
      </c>
      <c r="AB271" s="969">
        <v>0</v>
      </c>
      <c r="AC271" s="969">
        <v>0</v>
      </c>
      <c r="AD271" s="969">
        <v>0</v>
      </c>
      <c r="AE271" s="264">
        <v>4</v>
      </c>
      <c r="AF271" s="264">
        <v>40</v>
      </c>
      <c r="AG271" s="264">
        <v>30</v>
      </c>
      <c r="AH271" s="264">
        <v>70</v>
      </c>
      <c r="AI271" s="973">
        <v>27</v>
      </c>
      <c r="AJ271" s="263">
        <v>4</v>
      </c>
      <c r="AK271" s="987">
        <v>40</v>
      </c>
      <c r="AL271" s="263">
        <f>VLOOKUP(Tableau1[[#This Row],[Code PAS]],'Facturation PAS RIN5 RUN'!C:F,4,0)</f>
        <v>22</v>
      </c>
      <c r="AM271" s="263"/>
      <c r="AN271" s="263" t="b">
        <f>ROUND(Tableau1[[#This Row],[Montant Options coûts récurrents]],0)=ROUND(Tableau1[[#This Row],[GTRS1 (Coût Plage de support 24h/24 7j/7)]],0)</f>
        <v>0</v>
      </c>
      <c r="AO271" s="265" t="e">
        <f>_xlfn.XLOOKUP(Tableau1[[#This Row],[Code PAS]],'parc SATIN 08012026v'!K:K,'parc SATIN 08012026v'!#REF!,0,0)</f>
        <v>#REF!</v>
      </c>
      <c r="AP271" s="263" t="e">
        <f>VLOOKUP(Tableau1[[#This Row],[Code PAS]],#REF!,3,0)</f>
        <v>#REF!</v>
      </c>
      <c r="AQ271" s="263" t="e">
        <f>VLOOKUP(Tableau1[[#This Row],[Code PAS]],[14]Feuil1!$B:$G,6,0)</f>
        <v>#N/A</v>
      </c>
      <c r="AR271" s="263" t="str">
        <f>_xlfn.XLOOKUP(Tableau1[[#This Row],[Code PAS]],'Facturation PAS RIN5 RUN'!C:C,'Facturation PAS RIN5 RUN'!B:B,0,0)</f>
        <v>Bronze_4_0</v>
      </c>
      <c r="AS271" s="263" t="b">
        <f>Tableau1[[#This Row],[Etat facturation]]=Tableau1[[#This Row],[Index offre du fournisseur]]</f>
        <v>1</v>
      </c>
      <c r="AT271" s="250" t="str">
        <f>_xlfn.XLOOKUP(Tableau1[[#This Row],[Code PAS]],'parc SATIN 08012026v'!K:K,'parc SATIN 08012026v'!M:M,0,0)</f>
        <v>PARC</v>
      </c>
      <c r="AU271" s="250" t="str">
        <f>_xlfn.XLOOKUP(Tableau1[[#This Row],[Code PAS]],'parc SATIN 08012026v'!K:K,'parc SATIN 08012026v'!O:O,0,0)</f>
        <v>PARC</v>
      </c>
      <c r="AV271" s="251">
        <f>_xlfn.XLOOKUP(Tableau1[[#This Row],[Code PAS]],'parc SATIN 08012026v'!K:K,'parc SATIN 08012026v'!Q:Q,0,0)</f>
        <v>44691</v>
      </c>
      <c r="AW271" s="251" t="str">
        <f>_xlfn.XLOOKUP(Tableau1[[#This Row],[Code PAS]],'parc SATIN 08012026v'!K:K,'parc SATIN 08012026v'!S:S,0,0)</f>
        <v>création</v>
      </c>
      <c r="AX271" s="250" t="str">
        <f>_xlfn.XLOOKUP(Tableau1[[#This Row],[Code PAS]],'parc SATIN 08012026v'!K:K,'parc SATIN 08012026v'!AF:AF,0,0)</f>
        <v>4 Mb/s</v>
      </c>
      <c r="AY27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271" s="250"/>
    </row>
    <row r="272" spans="1:54" s="250" customFormat="1" ht="15" customHeight="1" x14ac:dyDescent="0.3">
      <c r="B272" s="249">
        <v>45559</v>
      </c>
      <c r="C272" s="249"/>
      <c r="D272" s="249"/>
      <c r="E272" s="250" t="s">
        <v>2862</v>
      </c>
      <c r="F272" s="980" t="s">
        <v>157</v>
      </c>
      <c r="G272" s="250" t="s">
        <v>2863</v>
      </c>
      <c r="H272" s="250" t="s">
        <v>2863</v>
      </c>
      <c r="I272" s="250" t="s">
        <v>78</v>
      </c>
      <c r="J272" s="248" t="str">
        <f>_xlfn.XLOOKUP(Tableau1[[#This Row],[Code PAS]],'[13]Parc Satin'!$L:$L,'[13]Parc Satin'!$CK:$CK,0,0)</f>
        <v>Nominal InterLan 1.0 Secours InterLan 1.0</v>
      </c>
      <c r="K272" s="250" t="s">
        <v>2860</v>
      </c>
      <c r="L272" s="250">
        <v>1200</v>
      </c>
      <c r="M272" s="250">
        <v>28800</v>
      </c>
      <c r="N272" s="250">
        <v>3</v>
      </c>
      <c r="O272" s="250" t="s">
        <v>76</v>
      </c>
      <c r="P272" s="820">
        <v>0</v>
      </c>
      <c r="Q272" s="820">
        <v>0</v>
      </c>
      <c r="R272" s="820">
        <v>0</v>
      </c>
      <c r="S272" s="820">
        <v>0</v>
      </c>
      <c r="T272" s="824">
        <v>6135</v>
      </c>
      <c r="U272" s="824">
        <v>3898</v>
      </c>
      <c r="V272" s="824">
        <v>0</v>
      </c>
      <c r="W272" s="824">
        <v>0</v>
      </c>
      <c r="X272" s="823">
        <f>Tableau1[[#This Row],[Coût Abonnement offre]]+Tableau1[[#This Row],[Coût Abonnement Chassis]]+Tableau1[[#This Row],[Cout Cartes interface ]]+Tableau1[[#This Row],[Cout canaux voix supplémentaire]]</f>
        <v>10033</v>
      </c>
      <c r="Y272" s="824">
        <v>66</v>
      </c>
      <c r="Z272" s="966">
        <v>0</v>
      </c>
      <c r="AA272" s="966">
        <v>0</v>
      </c>
      <c r="AB272" s="969">
        <v>0</v>
      </c>
      <c r="AC272" s="969">
        <v>0</v>
      </c>
      <c r="AD272" s="968">
        <v>-792</v>
      </c>
      <c r="AE272" s="264">
        <v>6000</v>
      </c>
      <c r="AF272" s="264">
        <v>1200</v>
      </c>
      <c r="AG272" s="264">
        <v>28800</v>
      </c>
      <c r="AH272" s="264">
        <v>30000</v>
      </c>
      <c r="AI272" s="973">
        <v>2592</v>
      </c>
      <c r="AJ272" s="263">
        <v>6000</v>
      </c>
      <c r="AK272" s="987">
        <v>30000</v>
      </c>
      <c r="AL272" s="263">
        <f>VLOOKUP(Tableau1[[#This Row],[Code PAS]],'Facturation PAS RIN5 RUN'!C:F,4,0)</f>
        <v>0</v>
      </c>
      <c r="AM272" s="263"/>
      <c r="AN272" s="263" t="b">
        <f>ROUND(Tableau1[[#This Row],[Montant Options coûts récurrents]],0)=ROUND(Tableau1[[#This Row],[GTRS1 (Coût Plage de support 24h/24 7j/7)]],0)</f>
        <v>0</v>
      </c>
      <c r="AO272" s="265" t="e">
        <f>_xlfn.XLOOKUP(Tableau1[[#This Row],[Code PAS]],'parc SATIN 08012026v'!K:K,'parc SATIN 08012026v'!#REF!,0,0)</f>
        <v>#REF!</v>
      </c>
      <c r="AP272" s="263" t="e">
        <f>VLOOKUP(Tableau1[[#This Row],[Code PAS]],#REF!,3,0)</f>
        <v>#REF!</v>
      </c>
      <c r="AQ272" s="263" t="e">
        <f>VLOOKUP(Tableau1[[#This Row],[Code PAS]],[14]Feuil1!$B:$G,6,0)</f>
        <v>#N/A</v>
      </c>
      <c r="AR272" s="263" t="str">
        <f>_xlfn.XLOOKUP(Tableau1[[#This Row],[Code PAS]],'Facturation PAS RIN5 RUN'!C:C,'Facturation PAS RIN5 RUN'!B:B,0,0)</f>
        <v>Platinum_6000_6000</v>
      </c>
      <c r="AS272" s="263" t="b">
        <f>Tableau1[[#This Row],[Etat facturation]]=Tableau1[[#This Row],[Index offre du fournisseur]]</f>
        <v>1</v>
      </c>
      <c r="AT272" s="250" t="str">
        <f>_xlfn.XLOOKUP(Tableau1[[#This Row],[Code PAS]],'parc SATIN 08012026v'!K:K,'parc SATIN 08012026v'!M:M,0,0)</f>
        <v>PARC</v>
      </c>
      <c r="AU272" s="250" t="str">
        <f>_xlfn.XLOOKUP(Tableau1[[#This Row],[Code PAS]],'parc SATIN 08012026v'!K:K,'parc SATIN 08012026v'!O:O,0,0)</f>
        <v>PARC</v>
      </c>
      <c r="AV272" s="251">
        <f>_xlfn.XLOOKUP(Tableau1[[#This Row],[Code PAS]],'parc SATIN 08012026v'!K:K,'parc SATIN 08012026v'!Q:Q,0,0)</f>
        <v>45559</v>
      </c>
      <c r="AW272" s="251" t="str">
        <f>_xlfn.XLOOKUP(Tableau1[[#This Row],[Code PAS]],'parc SATIN 08012026v'!K:K,'parc SATIN 08012026v'!S:S,0,0)</f>
        <v>change</v>
      </c>
      <c r="AX272" s="250" t="str">
        <f>_xlfn.XLOOKUP(Tableau1[[#This Row],[Code PAS]],'parc SATIN 08012026v'!K:K,'parc SATIN 08012026v'!AF:AF,0,0)</f>
        <v>6 Gbits/s</v>
      </c>
      <c r="AY27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6000</v>
      </c>
      <c r="AZ272" s="250" t="s">
        <v>2864</v>
      </c>
      <c r="BB272" s="258"/>
    </row>
    <row r="273" spans="1:52" s="250" customFormat="1" ht="15" customHeight="1" x14ac:dyDescent="0.3">
      <c r="A273" s="248" t="s">
        <v>2735</v>
      </c>
      <c r="B273" s="248"/>
      <c r="C273" s="249"/>
      <c r="D273" s="249"/>
      <c r="E273" s="248" t="s">
        <v>2865</v>
      </c>
      <c r="F273" s="979" t="s">
        <v>751</v>
      </c>
      <c r="H273" s="248" t="s">
        <v>2757</v>
      </c>
      <c r="I273" s="248"/>
      <c r="J273" s="248" t="str">
        <f>_xlfn.XLOOKUP(Tableau1[[#This Row],[Code PAS]],'[13]Parc Satin'!$L:$L,'[13]Parc Satin'!$CK:$CK,0,0)</f>
        <v>Nominal C2E sans Secours</v>
      </c>
      <c r="K273" s="248"/>
      <c r="L273" s="248"/>
      <c r="M273" s="248"/>
      <c r="N273" s="248"/>
      <c r="O273" s="248"/>
      <c r="P273" s="822">
        <v>0</v>
      </c>
      <c r="Q273" s="822">
        <v>0</v>
      </c>
      <c r="R273" s="822">
        <v>0</v>
      </c>
      <c r="S273" s="822">
        <v>0</v>
      </c>
      <c r="T273" s="823">
        <v>356</v>
      </c>
      <c r="U273" s="823">
        <v>27</v>
      </c>
      <c r="V273" s="823">
        <v>0</v>
      </c>
      <c r="W273" s="823">
        <v>27</v>
      </c>
      <c r="X273" s="823">
        <f>Tableau1[[#This Row],[Coût Abonnement offre]]+Tableau1[[#This Row],[Coût Abonnement Chassis]]+Tableau1[[#This Row],[Cout Cartes interface ]]+Tableau1[[#This Row],[Cout canaux voix supplémentaire]]</f>
        <v>410</v>
      </c>
      <c r="Y273" s="823">
        <v>0</v>
      </c>
      <c r="Z273" s="966">
        <v>0</v>
      </c>
      <c r="AA273" s="966">
        <v>0</v>
      </c>
      <c r="AB273" s="969">
        <v>0</v>
      </c>
      <c r="AC273" s="968">
        <v>24</v>
      </c>
      <c r="AD273" s="969">
        <v>0</v>
      </c>
      <c r="AE273" s="264">
        <v>4</v>
      </c>
      <c r="AF273" s="264">
        <v>40</v>
      </c>
      <c r="AG273" s="264">
        <v>30</v>
      </c>
      <c r="AH273" s="264">
        <v>70</v>
      </c>
      <c r="AI273" s="973">
        <v>27</v>
      </c>
      <c r="AJ273" s="263">
        <v>100</v>
      </c>
      <c r="AK273" s="987">
        <v>1800</v>
      </c>
      <c r="AL273" s="263">
        <f>VLOOKUP(Tableau1[[#This Row],[Code PAS]],'Facturation PAS RIN5 RUN'!C:F,4,0)</f>
        <v>0</v>
      </c>
      <c r="AM273" s="263"/>
      <c r="AN273" s="263" t="b">
        <f>ROUND(Tableau1[[#This Row],[Montant Options coûts récurrents]],0)=ROUND(Tableau1[[#This Row],[GTRS1 (Coût Plage de support 24h/24 7j/7)]],0)</f>
        <v>1</v>
      </c>
      <c r="AO273" s="265" t="e">
        <f>_xlfn.XLOOKUP(Tableau1[[#This Row],[Code PAS]],'parc SATIN 08012026v'!K:K,'parc SATIN 08012026v'!#REF!,0,0)</f>
        <v>#REF!</v>
      </c>
      <c r="AP273" s="263" t="e">
        <f>VLOOKUP(Tableau1[[#This Row],[Code PAS]],#REF!,3,0)</f>
        <v>#REF!</v>
      </c>
      <c r="AQ273" s="263" t="e">
        <f>VLOOKUP(Tableau1[[#This Row],[Code PAS]],[14]Feuil1!$B:$G,6,0)</f>
        <v>#N/A</v>
      </c>
      <c r="AR273" s="263" t="str">
        <f>_xlfn.XLOOKUP(Tableau1[[#This Row],[Code PAS]],'Facturation PAS RIN5 RUN'!C:C,'Facturation PAS RIN5 RUN'!B:B,0,0)</f>
        <v>Bronze_4_0</v>
      </c>
      <c r="AS273" s="263" t="b">
        <f>Tableau1[[#This Row],[Etat facturation]]=Tableau1[[#This Row],[Index offre du fournisseur]]</f>
        <v>1</v>
      </c>
      <c r="AT273" s="250" t="str">
        <f>_xlfn.XLOOKUP(Tableau1[[#This Row],[Code PAS]],'parc SATIN 08012026v'!K:K,'parc SATIN 08012026v'!M:M,0,0)</f>
        <v>PARC</v>
      </c>
      <c r="AU273" s="250" t="str">
        <f>_xlfn.XLOOKUP(Tableau1[[#This Row],[Code PAS]],'parc SATIN 08012026v'!K:K,'parc SATIN 08012026v'!O:O,0,0)</f>
        <v>EN COURS</v>
      </c>
      <c r="AV273" s="251">
        <f>_xlfn.XLOOKUP(Tableau1[[#This Row],[Code PAS]],'parc SATIN 08012026v'!K:K,'parc SATIN 08012026v'!Q:Q,0,0)</f>
        <v>0</v>
      </c>
      <c r="AW273" s="251" t="str">
        <f>_xlfn.XLOOKUP(Tableau1[[#This Row],[Code PAS]],'parc SATIN 08012026v'!K:K,'parc SATIN 08012026v'!S:S,0,0)</f>
        <v>change</v>
      </c>
      <c r="AX273" s="250" t="str">
        <f>_xlfn.XLOOKUP(Tableau1[[#This Row],[Code PAS]],'parc SATIN 08012026v'!K:K,'parc SATIN 08012026v'!AF:AF,0,0)</f>
        <v>100 Mb/s</v>
      </c>
      <c r="AY27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273" s="250" t="s">
        <v>2844</v>
      </c>
    </row>
    <row r="274" spans="1:52" s="250" customFormat="1" ht="15" customHeight="1" x14ac:dyDescent="0.3">
      <c r="A274" s="248" t="s">
        <v>2735</v>
      </c>
      <c r="B274" s="248"/>
      <c r="C274" s="249"/>
      <c r="D274" s="249"/>
      <c r="E274" s="248" t="s">
        <v>2866</v>
      </c>
      <c r="F274" s="980" t="s">
        <v>741</v>
      </c>
      <c r="G274" s="250" t="s">
        <v>2867</v>
      </c>
      <c r="H274" s="250" t="s">
        <v>2867</v>
      </c>
      <c r="I274" s="250" t="s">
        <v>2817</v>
      </c>
      <c r="J274" s="248" t="str">
        <f>_xlfn.XLOOKUP(Tableau1[[#This Row],[Code PAS]],'[13]Parc Satin'!$L:$L,'[13]Parc Satin'!$CK:$CK,0,0)</f>
        <v>Nominal C2E sans Secours</v>
      </c>
      <c r="L274" s="250">
        <v>20</v>
      </c>
      <c r="M274" s="250">
        <v>0</v>
      </c>
      <c r="N274" s="250">
        <v>0</v>
      </c>
      <c r="O274" s="250" t="s">
        <v>74</v>
      </c>
      <c r="P274" s="824">
        <v>0</v>
      </c>
      <c r="Q274" s="824">
        <v>0</v>
      </c>
      <c r="R274" s="824">
        <v>0</v>
      </c>
      <c r="S274" s="824">
        <v>0</v>
      </c>
      <c r="T274" s="824">
        <v>290</v>
      </c>
      <c r="U274" s="824">
        <v>27</v>
      </c>
      <c r="V274" s="824">
        <v>0</v>
      </c>
      <c r="W274" s="824">
        <v>0</v>
      </c>
      <c r="X274" s="824">
        <f>Tableau1[[#This Row],[Coût Abonnement offre]]+Tableau1[[#This Row],[Coût Abonnement Chassis]]+Tableau1[[#This Row],[Cout Cartes interface ]]+Tableau1[[#This Row],[Cout canaux voix supplémentaire]]</f>
        <v>317</v>
      </c>
      <c r="Y274" s="824">
        <v>0</v>
      </c>
      <c r="Z274" s="967">
        <v>-180</v>
      </c>
      <c r="AA274" s="966">
        <v>0</v>
      </c>
      <c r="AB274" s="969">
        <v>0</v>
      </c>
      <c r="AC274" s="969">
        <v>0</v>
      </c>
      <c r="AD274" s="969">
        <v>0</v>
      </c>
      <c r="AE274" s="264">
        <v>2</v>
      </c>
      <c r="AF274" s="264">
        <v>20</v>
      </c>
      <c r="AG274" s="264">
        <v>10</v>
      </c>
      <c r="AH274" s="264">
        <v>30</v>
      </c>
      <c r="AI274" s="973">
        <v>9</v>
      </c>
      <c r="AJ274" s="263">
        <v>2</v>
      </c>
      <c r="AK274" s="987">
        <v>20</v>
      </c>
      <c r="AL274" s="263">
        <f>VLOOKUP(Tableau1[[#This Row],[Code PAS]],'Facturation PAS RIN5 RUN'!C:F,4,0)</f>
        <v>0</v>
      </c>
      <c r="AM274" s="263"/>
      <c r="AN274" s="263" t="b">
        <f>ROUND(Tableau1[[#This Row],[Montant Options coûts récurrents]],0)=ROUND(Tableau1[[#This Row],[GTRS1 (Coût Plage de support 24h/24 7j/7)]],0)</f>
        <v>1</v>
      </c>
      <c r="AO274" s="265" t="e">
        <f>_xlfn.XLOOKUP(Tableau1[[#This Row],[Code PAS]],'parc SATIN 08012026v'!K:K,'parc SATIN 08012026v'!#REF!,0,0)</f>
        <v>#REF!</v>
      </c>
      <c r="AP274" s="263" t="e">
        <f>VLOOKUP(Tableau1[[#This Row],[Code PAS]],#REF!,3,0)</f>
        <v>#REF!</v>
      </c>
      <c r="AQ274" s="263" t="e">
        <f>VLOOKUP(Tableau1[[#This Row],[Code PAS]],[14]Feuil1!$B:$G,6,0)</f>
        <v>#N/A</v>
      </c>
      <c r="AR274" s="263" t="str">
        <f>_xlfn.XLOOKUP(Tableau1[[#This Row],[Code PAS]],'Facturation PAS RIN5 RUN'!C:C,'Facturation PAS RIN5 RUN'!B:B,0,0)</f>
        <v>Bronze_2_0</v>
      </c>
      <c r="AS274" s="263" t="b">
        <f>Tableau1[[#This Row],[Etat facturation]]=Tableau1[[#This Row],[Index offre du fournisseur]]</f>
        <v>1</v>
      </c>
      <c r="AT274" s="250" t="str">
        <f>_xlfn.XLOOKUP(Tableau1[[#This Row],[Code PAS]],'parc SATIN 08012026v'!K:K,'parc SATIN 08012026v'!M:M,0,0)</f>
        <v>PARC</v>
      </c>
      <c r="AU274" s="250" t="str">
        <f>_xlfn.XLOOKUP(Tableau1[[#This Row],[Code PAS]],'parc SATIN 08012026v'!K:K,'parc SATIN 08012026v'!O:O,0,0)</f>
        <v>PARC</v>
      </c>
      <c r="AV274" s="251">
        <f>_xlfn.XLOOKUP(Tableau1[[#This Row],[Code PAS]],'parc SATIN 08012026v'!K:K,'parc SATIN 08012026v'!Q:Q,0,0)</f>
        <v>44279</v>
      </c>
      <c r="AW274" s="251" t="str">
        <f>_xlfn.XLOOKUP(Tableau1[[#This Row],[Code PAS]],'parc SATIN 08012026v'!K:K,'parc SATIN 08012026v'!S:S,0,0)</f>
        <v>change</v>
      </c>
      <c r="AX274" s="250" t="str">
        <f>_xlfn.XLOOKUP(Tableau1[[#This Row],[Code PAS]],'parc SATIN 08012026v'!K:K,'parc SATIN 08012026v'!AF:AF,0,0)</f>
        <v>2 Mb/s</v>
      </c>
      <c r="AY274" s="254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274" s="250" t="s">
        <v>2868</v>
      </c>
    </row>
    <row r="275" spans="1:52" s="250" customFormat="1" ht="15" customHeight="1" x14ac:dyDescent="0.3">
      <c r="A275" s="250" t="s">
        <v>2743</v>
      </c>
      <c r="C275" s="249"/>
      <c r="D275" s="249"/>
      <c r="E275" s="250" t="s">
        <v>2869</v>
      </c>
      <c r="F275" s="980" t="s">
        <v>1420</v>
      </c>
      <c r="G275" s="250" t="s">
        <v>2748</v>
      </c>
      <c r="H275" s="250" t="s">
        <v>2748</v>
      </c>
      <c r="I275" s="250" t="s">
        <v>78</v>
      </c>
      <c r="J275" s="248" t="s">
        <v>2832</v>
      </c>
      <c r="K275" s="250" t="s">
        <v>2832</v>
      </c>
      <c r="L275" s="250">
        <v>300</v>
      </c>
      <c r="M275" s="250">
        <v>50</v>
      </c>
      <c r="N275" s="250">
        <v>1</v>
      </c>
      <c r="O275" s="250" t="s">
        <v>74</v>
      </c>
      <c r="P275" s="820"/>
      <c r="Q275" s="820"/>
      <c r="R275" s="820"/>
      <c r="S275" s="820">
        <v>0</v>
      </c>
      <c r="T275" s="824">
        <v>1148.8564263010346</v>
      </c>
      <c r="U275" s="824">
        <v>44</v>
      </c>
      <c r="V275" s="824">
        <v>32</v>
      </c>
      <c r="W275" s="824">
        <v>4.5</v>
      </c>
      <c r="X275" s="823">
        <v>1229.7564263010347</v>
      </c>
      <c r="Y275" s="824"/>
      <c r="Z275" s="967">
        <v>-2040.1436000000001</v>
      </c>
      <c r="AA275" s="966">
        <v>0</v>
      </c>
      <c r="AB275" s="969">
        <v>0</v>
      </c>
      <c r="AC275" s="968">
        <v>-25.5</v>
      </c>
      <c r="AD275" s="969">
        <v>0</v>
      </c>
      <c r="AE275" s="264">
        <v>20</v>
      </c>
      <c r="AF275" s="264">
        <v>300</v>
      </c>
      <c r="AG275" s="264">
        <v>50</v>
      </c>
      <c r="AH275" s="264">
        <v>350</v>
      </c>
      <c r="AI275" s="973">
        <v>5</v>
      </c>
      <c r="AJ275" s="263">
        <v>20</v>
      </c>
      <c r="AK275" s="987">
        <v>120</v>
      </c>
      <c r="AL275" s="263">
        <f>VLOOKUP(Tableau1[[#This Row],[Code PAS]],'Facturation PAS RIN5 RUN'!C:F,4,0)</f>
        <v>32</v>
      </c>
      <c r="AM275" s="263"/>
      <c r="AN275" s="263" t="b">
        <f>ROUND(Tableau1[[#This Row],[Montant Options coûts récurrents]],0)=ROUND(Tableau1[[#This Row],[GTRS1 (Coût Plage de support 24h/24 7j/7)]],0)</f>
        <v>0</v>
      </c>
      <c r="AO275" s="265" t="e">
        <f>_xlfn.XLOOKUP(Tableau1[[#This Row],[Code PAS]],'parc SATIN 08012026v'!K:K,'parc SATIN 08012026v'!#REF!,0,0)</f>
        <v>#REF!</v>
      </c>
      <c r="AP275" s="263" t="e">
        <f>VLOOKUP(Tableau1[[#This Row],[Code PAS]],#REF!,3,0)</f>
        <v>#REF!</v>
      </c>
      <c r="AQ275" s="263" t="e">
        <f>VLOOKUP(Tableau1[[#This Row],[Code PAS]],[14]Feuil1!$B:$G,6,0)</f>
        <v>#N/A</v>
      </c>
      <c r="AR275" s="263" t="str">
        <f>_xlfn.XLOOKUP(Tableau1[[#This Row],[Code PAS]],'Facturation PAS RIN5 RUN'!C:C,'Facturation PAS RIN5 RUN'!B:B,0,0)</f>
        <v>Gold_20_20</v>
      </c>
      <c r="AS275" s="263" t="b">
        <f>Tableau1[[#This Row],[Etat facturation]]=Tableau1[[#This Row],[Index offre du fournisseur]]</f>
        <v>1</v>
      </c>
      <c r="AT275" s="250" t="str">
        <f>_xlfn.XLOOKUP(Tableau1[[#This Row],[Code PAS]],'parc SATIN 08012026v'!K:K,'parc SATIN 08012026v'!M:M,0,0)</f>
        <v>PARC</v>
      </c>
      <c r="AU275" s="250" t="str">
        <f>_xlfn.XLOOKUP(Tableau1[[#This Row],[Code PAS]],'parc SATIN 08012026v'!K:K,'parc SATIN 08012026v'!O:O,0,0)</f>
        <v>PARC</v>
      </c>
      <c r="AV275" s="251">
        <f>_xlfn.XLOOKUP(Tableau1[[#This Row],[Code PAS]],'parc SATIN 08012026v'!K:K,'parc SATIN 08012026v'!Q:Q,0,0)</f>
        <v>45406</v>
      </c>
      <c r="AW275" s="251" t="str">
        <f>_xlfn.XLOOKUP(Tableau1[[#This Row],[Code PAS]],'parc SATIN 08012026v'!K:K,'parc SATIN 08012026v'!S:S,0,0)</f>
        <v>change</v>
      </c>
      <c r="AX275" s="250" t="str">
        <f>_xlfn.XLOOKUP(Tableau1[[#This Row],[Code PAS]],'parc SATIN 08012026v'!K:K,'parc SATIN 08012026v'!AF:AF,0,0)</f>
        <v>20 Mb/s</v>
      </c>
      <c r="AY27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275" s="250" t="s">
        <v>2868</v>
      </c>
    </row>
    <row r="276" spans="1:52" s="250" customFormat="1" ht="15" customHeight="1" x14ac:dyDescent="0.3">
      <c r="A276" s="250" t="s">
        <v>2743</v>
      </c>
      <c r="C276" s="249">
        <v>45142</v>
      </c>
      <c r="D276" s="249"/>
      <c r="E276" s="250" t="s">
        <v>2870</v>
      </c>
      <c r="F276" s="979" t="s">
        <v>969</v>
      </c>
      <c r="G276" s="250" t="s">
        <v>2871</v>
      </c>
      <c r="H276" s="250" t="s">
        <v>2871</v>
      </c>
      <c r="I276" s="250" t="s">
        <v>2817</v>
      </c>
      <c r="J276" s="248"/>
      <c r="L276" s="250">
        <v>500</v>
      </c>
      <c r="M276" s="250">
        <v>400</v>
      </c>
      <c r="N276" s="250">
        <v>1</v>
      </c>
      <c r="O276" s="250" t="s">
        <v>74</v>
      </c>
      <c r="P276" s="820"/>
      <c r="Q276" s="820">
        <v>260.78499999999997</v>
      </c>
      <c r="R276" s="820"/>
      <c r="S276" s="820">
        <v>260.78499999999997</v>
      </c>
      <c r="T276" s="824">
        <v>1715.6119818565901</v>
      </c>
      <c r="U276" s="824">
        <v>47.3</v>
      </c>
      <c r="V276" s="824">
        <v>8</v>
      </c>
      <c r="W276" s="824">
        <v>36</v>
      </c>
      <c r="X276" s="823">
        <v>1806.91198185659</v>
      </c>
      <c r="Y276" s="824"/>
      <c r="Z276" s="967">
        <v>-12792.387999999999</v>
      </c>
      <c r="AA276" s="966">
        <v>0</v>
      </c>
      <c r="AB276" s="969">
        <v>0</v>
      </c>
      <c r="AC276" s="968">
        <v>-432</v>
      </c>
      <c r="AD276" s="969">
        <v>0</v>
      </c>
      <c r="AE276" s="264">
        <v>50</v>
      </c>
      <c r="AF276" s="264">
        <v>500</v>
      </c>
      <c r="AG276" s="264">
        <v>400</v>
      </c>
      <c r="AH276" s="264">
        <v>900</v>
      </c>
      <c r="AI276" s="973">
        <v>36</v>
      </c>
      <c r="AJ276" s="263">
        <v>50</v>
      </c>
      <c r="AK276" s="987">
        <v>900</v>
      </c>
      <c r="AL276" s="263">
        <f>VLOOKUP(Tableau1[[#This Row],[Code PAS]],'Facturation PAS RIN5 RUN'!C:F,4,0)</f>
        <v>8</v>
      </c>
      <c r="AM276" s="263"/>
      <c r="AN276" s="263" t="b">
        <f>ROUND(Tableau1[[#This Row],[Montant Options coûts récurrents]],0)=ROUND(Tableau1[[#This Row],[GTRS1 (Coût Plage de support 24h/24 7j/7)]],0)</f>
        <v>0</v>
      </c>
      <c r="AO276" s="265" t="e">
        <f>_xlfn.XLOOKUP(Tableau1[[#This Row],[Code PAS]],'parc SATIN 08012026v'!K:K,'parc SATIN 08012026v'!#REF!,0,0)</f>
        <v>#REF!</v>
      </c>
      <c r="AP276" s="263" t="e">
        <f>VLOOKUP(Tableau1[[#This Row],[Code PAS]],#REF!,3,0)</f>
        <v>#REF!</v>
      </c>
      <c r="AQ276" s="263" t="e">
        <f>VLOOKUP(Tableau1[[#This Row],[Code PAS]],[14]Feuil1!$B:$G,6,0)</f>
        <v>#N/A</v>
      </c>
      <c r="AR276" s="263" t="str">
        <f>_xlfn.XLOOKUP(Tableau1[[#This Row],[Code PAS]],'Facturation PAS RIN5 RUN'!C:C,'Facturation PAS RIN5 RUN'!B:B,0,0)</f>
        <v>Platinum_Man_50_0</v>
      </c>
      <c r="AS276" s="263" t="b">
        <f>Tableau1[[#This Row],[Etat facturation]]=Tableau1[[#This Row],[Index offre du fournisseur]]</f>
        <v>1</v>
      </c>
      <c r="AT276" s="250" t="str">
        <f>_xlfn.XLOOKUP(Tableau1[[#This Row],[Code PAS]],'parc SATIN 08012026v'!K:K,'parc SATIN 08012026v'!M:M,0,0)</f>
        <v>PARC</v>
      </c>
      <c r="AU276" s="250" t="str">
        <f>_xlfn.XLOOKUP(Tableau1[[#This Row],[Code PAS]],'parc SATIN 08012026v'!K:K,'parc SATIN 08012026v'!O:O,0,0)</f>
        <v>PARC</v>
      </c>
      <c r="AV276" s="251">
        <f>_xlfn.XLOOKUP(Tableau1[[#This Row],[Code PAS]],'parc SATIN 08012026v'!K:K,'parc SATIN 08012026v'!Q:Q,0,0)</f>
        <v>45204</v>
      </c>
      <c r="AW276" s="251" t="str">
        <f>_xlfn.XLOOKUP(Tableau1[[#This Row],[Code PAS]],'parc SATIN 08012026v'!K:K,'parc SATIN 08012026v'!S:S,0,0)</f>
        <v>change</v>
      </c>
      <c r="AX276" s="250" t="str">
        <f>_xlfn.XLOOKUP(Tableau1[[#This Row],[Code PAS]],'parc SATIN 08012026v'!K:K,'parc SATIN 08012026v'!AF:AF,0,0)</f>
        <v>50 Mb/s</v>
      </c>
      <c r="AY276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50</v>
      </c>
      <c r="AZ276" s="250" t="s">
        <v>2802</v>
      </c>
    </row>
    <row r="277" spans="1:52" s="250" customFormat="1" ht="15" customHeight="1" x14ac:dyDescent="0.3">
      <c r="A277" s="248" t="s">
        <v>2758</v>
      </c>
      <c r="B277" s="248"/>
      <c r="C277" s="249"/>
      <c r="D277" s="249"/>
      <c r="E277" s="255" t="s">
        <v>2872</v>
      </c>
      <c r="F277" s="983" t="s">
        <v>2071</v>
      </c>
      <c r="G277" s="250" t="s">
        <v>2867</v>
      </c>
      <c r="H277" s="248" t="s">
        <v>2867</v>
      </c>
      <c r="I277" s="248" t="s">
        <v>78</v>
      </c>
      <c r="J277" s="248" t="str">
        <f>_xlfn.XLOOKUP(Tableau1[[#This Row],[Code PAS]],'[13]Parc Satin'!$L:$L,'[13]Parc Satin'!$CK:$CK,0,0)</f>
        <v>Nominal C2E CN2 sans Secours</v>
      </c>
      <c r="K277" s="248"/>
      <c r="L277" s="267">
        <v>20</v>
      </c>
      <c r="M277" s="248"/>
      <c r="N277" s="248"/>
      <c r="O277" s="248"/>
      <c r="P277" s="822">
        <v>0</v>
      </c>
      <c r="Q277" s="822">
        <v>602</v>
      </c>
      <c r="R277" s="822">
        <v>0</v>
      </c>
      <c r="S277" s="822">
        <v>602</v>
      </c>
      <c r="T277" s="824">
        <v>290</v>
      </c>
      <c r="U277" s="823">
        <v>12</v>
      </c>
      <c r="V277" s="823">
        <v>18</v>
      </c>
      <c r="W277" s="823">
        <v>0</v>
      </c>
      <c r="X277" s="823">
        <f>Tableau1[[#This Row],[Coût Abonnement offre]]+Tableau1[[#This Row],[Coût Abonnement Chassis]]+Tableau1[[#This Row],[Cout Cartes interface ]]+Tableau1[[#This Row],[Cout canaux voix supplémentaire]]</f>
        <v>320</v>
      </c>
      <c r="Y277" s="823">
        <v>0</v>
      </c>
      <c r="Z277" s="967">
        <v>-216</v>
      </c>
      <c r="AA277" s="966">
        <v>0</v>
      </c>
      <c r="AB277" s="969">
        <v>0</v>
      </c>
      <c r="AC277" s="969">
        <v>0</v>
      </c>
      <c r="AD277" s="969">
        <v>0</v>
      </c>
      <c r="AE277" s="264">
        <v>2</v>
      </c>
      <c r="AF277" s="264">
        <v>20</v>
      </c>
      <c r="AG277" s="264">
        <v>10</v>
      </c>
      <c r="AH277" s="264">
        <v>30</v>
      </c>
      <c r="AI277" s="973">
        <v>9</v>
      </c>
      <c r="AJ277" s="263">
        <v>2</v>
      </c>
      <c r="AK277" s="987">
        <v>20</v>
      </c>
      <c r="AL277" s="263">
        <f>VLOOKUP(Tableau1[[#This Row],[Code PAS]],'Facturation PAS RIN5 RUN'!C:F,4,0)</f>
        <v>18</v>
      </c>
      <c r="AM277" s="263"/>
      <c r="AN277" s="263" t="b">
        <f>ROUND(Tableau1[[#This Row],[Montant Options coûts récurrents]],0)=ROUND(Tableau1[[#This Row],[GTRS1 (Coût Plage de support 24h/24 7j/7)]],0)</f>
        <v>0</v>
      </c>
      <c r="AO277" s="265" t="e">
        <f>_xlfn.XLOOKUP(Tableau1[[#This Row],[Code PAS]],'parc SATIN 08012026v'!K:K,'parc SATIN 08012026v'!#REF!,0,0)</f>
        <v>#REF!</v>
      </c>
      <c r="AP277" s="263" t="e">
        <f>VLOOKUP(Tableau1[[#This Row],[Code PAS]],#REF!,3,0)</f>
        <v>#REF!</v>
      </c>
      <c r="AQ277" s="263" t="e">
        <f>VLOOKUP(Tableau1[[#This Row],[Code PAS]],[14]Feuil1!$B:$G,6,0)</f>
        <v>#N/A</v>
      </c>
      <c r="AR277" s="263" t="str">
        <f>_xlfn.XLOOKUP(Tableau1[[#This Row],[Code PAS]],'Facturation PAS RIN5 RUN'!C:C,'Facturation PAS RIN5 RUN'!B:B,0,0)</f>
        <v>Bronze_2_0</v>
      </c>
      <c r="AS277" s="263" t="b">
        <f>Tableau1[[#This Row],[Etat facturation]]=Tableau1[[#This Row],[Index offre du fournisseur]]</f>
        <v>1</v>
      </c>
      <c r="AT277" s="250" t="str">
        <f>_xlfn.XLOOKUP(Tableau1[[#This Row],[Code PAS]],'parc SATIN 08012026v'!K:K,'parc SATIN 08012026v'!M:M,0,0)</f>
        <v>PARC</v>
      </c>
      <c r="AU277" s="250" t="str">
        <f>_xlfn.XLOOKUP(Tableau1[[#This Row],[Code PAS]],'parc SATIN 08012026v'!K:K,'parc SATIN 08012026v'!O:O,0,0)</f>
        <v>PARC</v>
      </c>
      <c r="AV277" s="251">
        <f>_xlfn.XLOOKUP(Tableau1[[#This Row],[Code PAS]],'parc SATIN 08012026v'!K:K,'parc SATIN 08012026v'!Q:Q,0,0)</f>
        <v>44077</v>
      </c>
      <c r="AW277" s="251" t="str">
        <f>_xlfn.XLOOKUP(Tableau1[[#This Row],[Code PAS]],'parc SATIN 08012026v'!K:K,'parc SATIN 08012026v'!S:S,0,0)</f>
        <v>création</v>
      </c>
      <c r="AX277" s="250" t="str">
        <f>_xlfn.XLOOKUP(Tableau1[[#This Row],[Code PAS]],'parc SATIN 08012026v'!K:K,'parc SATIN 08012026v'!AF:AF,0,0)</f>
        <v>2 Mb/s</v>
      </c>
      <c r="AY27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277" s="250" t="s">
        <v>2868</v>
      </c>
    </row>
    <row r="278" spans="1:52" s="250" customFormat="1" ht="15" customHeight="1" x14ac:dyDescent="0.3">
      <c r="A278" s="250" t="s">
        <v>2758</v>
      </c>
      <c r="C278" s="249"/>
      <c r="D278" s="249"/>
      <c r="E278" s="250" t="s">
        <v>2873</v>
      </c>
      <c r="F278" s="980" t="s">
        <v>2375</v>
      </c>
      <c r="G278" s="250" t="s">
        <v>2800</v>
      </c>
      <c r="H278" s="250" t="s">
        <v>2874</v>
      </c>
      <c r="J278" s="248" t="str">
        <f>_xlfn.XLOOKUP(Tableau1[[#This Row],[Code PAS]],'[13]Parc Satin'!$L:$L,'[13]Parc Satin'!$CK:$CK,0,0)</f>
        <v>Nominal C2E CN2 sans Secours</v>
      </c>
      <c r="P278" s="820">
        <v>0</v>
      </c>
      <c r="Q278" s="820">
        <v>0</v>
      </c>
      <c r="R278" s="820">
        <v>0</v>
      </c>
      <c r="S278" s="820">
        <v>0</v>
      </c>
      <c r="T278" s="824">
        <v>285</v>
      </c>
      <c r="U278" s="824">
        <v>12</v>
      </c>
      <c r="V278" s="824">
        <v>18</v>
      </c>
      <c r="W278" s="825">
        <v>0</v>
      </c>
      <c r="X278" s="823">
        <f>Tableau1[[#This Row],[Coût Abonnement offre]]+Tableau1[[#This Row],[Coût Abonnement Chassis]]+Tableau1[[#This Row],[Cout Cartes interface ]]+Tableau1[[#This Row],[Cout canaux voix supplémentaire]]</f>
        <v>315</v>
      </c>
      <c r="Y278" s="824">
        <v>0</v>
      </c>
      <c r="Z278" s="967">
        <v>-156</v>
      </c>
      <c r="AA278" s="966">
        <v>0</v>
      </c>
      <c r="AB278" s="969">
        <v>0</v>
      </c>
      <c r="AC278" s="969">
        <v>0</v>
      </c>
      <c r="AD278" s="969">
        <v>0</v>
      </c>
      <c r="AE278" s="264">
        <v>1</v>
      </c>
      <c r="AF278" s="264">
        <v>15</v>
      </c>
      <c r="AG278" s="264">
        <v>0</v>
      </c>
      <c r="AH278" s="264">
        <v>15</v>
      </c>
      <c r="AI278" s="973">
        <v>0</v>
      </c>
      <c r="AJ278" s="263">
        <v>2</v>
      </c>
      <c r="AK278" s="987">
        <v>20</v>
      </c>
      <c r="AL278" s="263">
        <f>VLOOKUP(Tableau1[[#This Row],[Code PAS]],'Facturation PAS RIN5 RUN'!C:F,4,0)</f>
        <v>18</v>
      </c>
      <c r="AM278" s="263"/>
      <c r="AN278" s="263" t="b">
        <f>ROUND(Tableau1[[#This Row],[Montant Options coûts récurrents]],0)=ROUND(Tableau1[[#This Row],[GTRS1 (Coût Plage de support 24h/24 7j/7)]],0)</f>
        <v>0</v>
      </c>
      <c r="AO278" s="265" t="e">
        <f>_xlfn.XLOOKUP(Tableau1[[#This Row],[Code PAS]],'parc SATIN 08012026v'!K:K,'parc SATIN 08012026v'!#REF!,0,0)</f>
        <v>#REF!</v>
      </c>
      <c r="AP278" s="263" t="e">
        <f>VLOOKUP(Tableau1[[#This Row],[Code PAS]],#REF!,3,0)</f>
        <v>#REF!</v>
      </c>
      <c r="AQ278" s="263" t="e">
        <f>VLOOKUP(Tableau1[[#This Row],[Code PAS]],[14]Feuil1!$B:$G,6,0)</f>
        <v>#N/A</v>
      </c>
      <c r="AR278" s="263" t="str">
        <f>_xlfn.XLOOKUP(Tableau1[[#This Row],[Code PAS]],'Facturation PAS RIN5 RUN'!C:C,'Facturation PAS RIN5 RUN'!B:B,0,0)</f>
        <v>Bronze_1_0</v>
      </c>
      <c r="AS278" s="263" t="b">
        <f>Tableau1[[#This Row],[Etat facturation]]=Tableau1[[#This Row],[Index offre du fournisseur]]</f>
        <v>1</v>
      </c>
      <c r="AT278" s="250" t="str">
        <f>_xlfn.XLOOKUP(Tableau1[[#This Row],[Code PAS]],'parc SATIN 08012026v'!K:K,'parc SATIN 08012026v'!M:M,0,0)</f>
        <v>PARC</v>
      </c>
      <c r="AU278" s="250" t="str">
        <f>_xlfn.XLOOKUP(Tableau1[[#This Row],[Code PAS]],'parc SATIN 08012026v'!K:K,'parc SATIN 08012026v'!O:O,0,0)</f>
        <v>PARC</v>
      </c>
      <c r="AV278" s="251">
        <f>_xlfn.XLOOKUP(Tableau1[[#This Row],[Code PAS]],'parc SATIN 08012026v'!K:K,'parc SATIN 08012026v'!Q:Q,0,0)</f>
        <v>44195</v>
      </c>
      <c r="AW278" s="251" t="str">
        <f>_xlfn.XLOOKUP(Tableau1[[#This Row],[Code PAS]],'parc SATIN 08012026v'!K:K,'parc SATIN 08012026v'!S:S,0,0)</f>
        <v>change</v>
      </c>
      <c r="AX278" s="250" t="str">
        <f>_xlfn.XLOOKUP(Tableau1[[#This Row],[Code PAS]],'parc SATIN 08012026v'!K:K,'parc SATIN 08012026v'!AF:AF,0,0)</f>
        <v>2 Mb/s</v>
      </c>
      <c r="AY278" s="254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</v>
      </c>
      <c r="AZ278" s="250" t="s">
        <v>2875</v>
      </c>
    </row>
    <row r="279" spans="1:52" s="250" customFormat="1" ht="15" customHeight="1" x14ac:dyDescent="0.3">
      <c r="A279" s="250" t="s">
        <v>2743</v>
      </c>
      <c r="D279" s="262">
        <v>46055</v>
      </c>
      <c r="E279" s="250" t="s">
        <v>2876</v>
      </c>
      <c r="F279" s="982" t="s">
        <v>934</v>
      </c>
      <c r="G279" s="250" t="s">
        <v>2877</v>
      </c>
      <c r="H279" s="250" t="s">
        <v>2877</v>
      </c>
      <c r="I279" s="250" t="s">
        <v>165</v>
      </c>
      <c r="J279" s="248"/>
      <c r="L279" s="250">
        <v>400</v>
      </c>
      <c r="M279" s="250">
        <v>150</v>
      </c>
      <c r="N279" s="250">
        <v>1</v>
      </c>
      <c r="O279" s="250" t="s">
        <v>74</v>
      </c>
      <c r="P279" s="820"/>
      <c r="Q279" s="820"/>
      <c r="R279" s="820"/>
      <c r="S279" s="820">
        <v>0</v>
      </c>
      <c r="T279" s="824">
        <v>738</v>
      </c>
      <c r="U279" s="824">
        <v>30.2</v>
      </c>
      <c r="V279" s="824">
        <v>8</v>
      </c>
      <c r="W279" s="824">
        <v>13.5</v>
      </c>
      <c r="X279" s="823">
        <v>789.7</v>
      </c>
      <c r="Y279" s="824">
        <v>0</v>
      </c>
      <c r="Z279" s="967">
        <v>-2124</v>
      </c>
      <c r="AA279" s="966">
        <v>0</v>
      </c>
      <c r="AB279" s="969">
        <v>0</v>
      </c>
      <c r="AC279" s="968">
        <v>-168.5</v>
      </c>
      <c r="AD279" s="968">
        <v>-858</v>
      </c>
      <c r="AE279" s="264">
        <v>30</v>
      </c>
      <c r="AF279" s="264">
        <v>400</v>
      </c>
      <c r="AG279" s="264">
        <v>150</v>
      </c>
      <c r="AH279" s="264">
        <v>550</v>
      </c>
      <c r="AI279" s="973">
        <v>14</v>
      </c>
      <c r="AJ279" s="263">
        <v>30</v>
      </c>
      <c r="AK279" s="987">
        <v>550</v>
      </c>
      <c r="AL279" s="263">
        <f>VLOOKUP(Tableau1[[#This Row],[Code PAS]],'Facturation PAS RIN5 RUN'!C:F,4,0)</f>
        <v>8</v>
      </c>
      <c r="AM279" s="263"/>
      <c r="AN279" s="263" t="b">
        <f>ROUND(Tableau1[[#This Row],[Montant Options coûts récurrents]],0)=ROUND(Tableau1[[#This Row],[GTRS1 (Coût Plage de support 24h/24 7j/7)]],0)</f>
        <v>0</v>
      </c>
      <c r="AO279" s="265" t="e">
        <f>_xlfn.XLOOKUP(Tableau1[[#This Row],[Code PAS]],'parc SATIN 08012026v'!K:K,'parc SATIN 08012026v'!#REF!,0,0)</f>
        <v>#REF!</v>
      </c>
      <c r="AP279" s="263" t="e">
        <f>VLOOKUP(Tableau1[[#This Row],[Code PAS]],#REF!,3,0)</f>
        <v>#REF!</v>
      </c>
      <c r="AQ279" s="263" t="e">
        <f>VLOOKUP(Tableau1[[#This Row],[Code PAS]],[14]Feuil1!$B:$G,6,0)</f>
        <v>#N/A</v>
      </c>
      <c r="AR279" s="263" t="str">
        <f>_xlfn.XLOOKUP(Tableau1[[#This Row],[Code PAS]],'Facturation PAS RIN5 RUN'!C:C,'Facturation PAS RIN5 RUN'!B:B,0,0)</f>
        <v>Bronze_30_0</v>
      </c>
      <c r="AS279" s="263" t="b">
        <f>Tableau1[[#This Row],[Etat facturation]]=Tableau1[[#This Row],[Index offre du fournisseur]]</f>
        <v>1</v>
      </c>
      <c r="AT279" s="250" t="str">
        <f>_xlfn.XLOOKUP(Tableau1[[#This Row],[Code PAS]],'parc SATIN 08012026v'!K:K,'parc SATIN 08012026v'!M:M,0,0)</f>
        <v>PARC</v>
      </c>
      <c r="AU279" s="250" t="str">
        <f>_xlfn.XLOOKUP(Tableau1[[#This Row],[Code PAS]],'parc SATIN 08012026v'!K:K,'parc SATIN 08012026v'!O:O,0,0)</f>
        <v>PARC</v>
      </c>
      <c r="AV279" s="251">
        <f>_xlfn.XLOOKUP(Tableau1[[#This Row],[Code PAS]],'parc SATIN 08012026v'!K:K,'parc SATIN 08012026v'!Q:Q,0,0)</f>
        <v>46055</v>
      </c>
      <c r="AW279" s="251" t="str">
        <f>_xlfn.XLOOKUP(Tableau1[[#This Row],[Code PAS]],'parc SATIN 08012026v'!K:K,'parc SATIN 08012026v'!S:S,0,0)</f>
        <v>change</v>
      </c>
      <c r="AX279" s="250" t="str">
        <f>_xlfn.XLOOKUP(Tableau1[[#This Row],[Code PAS]],'parc SATIN 08012026v'!K:K,'parc SATIN 08012026v'!AF:AF,0,0)</f>
        <v>30 Mb/s</v>
      </c>
      <c r="AY27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30</v>
      </c>
      <c r="AZ279" s="250" t="s">
        <v>2878</v>
      </c>
    </row>
    <row r="280" spans="1:52" s="250" customFormat="1" ht="15" customHeight="1" x14ac:dyDescent="0.3">
      <c r="A280" s="248" t="s">
        <v>2735</v>
      </c>
      <c r="B280" s="248"/>
      <c r="C280" s="249"/>
      <c r="D280" s="249"/>
      <c r="E280" s="248" t="s">
        <v>2879</v>
      </c>
      <c r="F280" s="979" t="s">
        <v>598</v>
      </c>
      <c r="G280" s="250" t="s">
        <v>2800</v>
      </c>
      <c r="H280" s="248" t="s">
        <v>2748</v>
      </c>
      <c r="I280" s="248"/>
      <c r="J280" s="248" t="str">
        <f>_xlfn.XLOOKUP(Tableau1[[#This Row],[Code PAS]],'[13]Parc Satin'!$L:$L,'[13]Parc Satin'!$CK:$CK,0,0)</f>
        <v>Nominal C2E Fibre Secours C2E Fibre</v>
      </c>
      <c r="K280" s="248"/>
      <c r="L280" s="248"/>
      <c r="M280" s="248"/>
      <c r="N280" s="248"/>
      <c r="O280" s="248"/>
      <c r="P280" s="822">
        <v>0</v>
      </c>
      <c r="Q280" s="822">
        <v>0</v>
      </c>
      <c r="R280" s="822">
        <v>0</v>
      </c>
      <c r="S280" s="822">
        <v>0</v>
      </c>
      <c r="T280" s="823">
        <v>1649</v>
      </c>
      <c r="U280" s="823">
        <v>71</v>
      </c>
      <c r="V280" s="823">
        <v>32</v>
      </c>
      <c r="W280" s="823">
        <v>5</v>
      </c>
      <c r="X280" s="823">
        <f>Tableau1[[#This Row],[Coût Abonnement offre]]+Tableau1[[#This Row],[Coût Abonnement Chassis]]+Tableau1[[#This Row],[Cout Cartes interface ]]+Tableau1[[#This Row],[Cout canaux voix supplémentaire]]</f>
        <v>1757</v>
      </c>
      <c r="Y280" s="823">
        <v>66</v>
      </c>
      <c r="Z280" s="967">
        <v>-5784</v>
      </c>
      <c r="AA280" s="967">
        <v>27</v>
      </c>
      <c r="AB280" s="968">
        <v>16</v>
      </c>
      <c r="AC280" s="969">
        <v>0</v>
      </c>
      <c r="AD280" s="969">
        <v>0</v>
      </c>
      <c r="AE280" s="264">
        <v>20</v>
      </c>
      <c r="AF280" s="264">
        <v>300</v>
      </c>
      <c r="AG280" s="264">
        <v>50</v>
      </c>
      <c r="AH280" s="264">
        <v>350</v>
      </c>
      <c r="AI280" s="973">
        <v>5</v>
      </c>
      <c r="AJ280" s="263">
        <v>20</v>
      </c>
      <c r="AK280" s="987">
        <v>350</v>
      </c>
      <c r="AL280" s="263">
        <f>VLOOKUP(Tableau1[[#This Row],[Code PAS]],'Facturation PAS RIN5 RUN'!C:F,4,0)</f>
        <v>16</v>
      </c>
      <c r="AM280" s="263"/>
      <c r="AN280" s="263" t="b">
        <f>ROUND(Tableau1[[#This Row],[Montant Options coûts récurrents]],0)=ROUND(Tableau1[[#This Row],[GTRS1 (Coût Plage de support 24h/24 7j/7)]],0)</f>
        <v>0</v>
      </c>
      <c r="AO280" s="265" t="e">
        <f>_xlfn.XLOOKUP(Tableau1[[#This Row],[Code PAS]],'parc SATIN 08012026v'!K:K,'parc SATIN 08012026v'!#REF!,0,0)</f>
        <v>#REF!</v>
      </c>
      <c r="AP280" s="263" t="e">
        <f>VLOOKUP(Tableau1[[#This Row],[Code PAS]],#REF!,3,0)</f>
        <v>#REF!</v>
      </c>
      <c r="AQ280" s="263" t="e">
        <f>VLOOKUP(Tableau1[[#This Row],[Code PAS]],[14]Feuil1!$B:$G,6,0)</f>
        <v>#N/A</v>
      </c>
      <c r="AR280" s="263" t="str">
        <f>_xlfn.XLOOKUP(Tableau1[[#This Row],[Code PAS]],'Facturation PAS RIN5 RUN'!C:C,'Facturation PAS RIN5 RUN'!B:B,0,0)</f>
        <v>Gold_20_20</v>
      </c>
      <c r="AS280" s="263" t="b">
        <f>Tableau1[[#This Row],[Etat facturation]]=Tableau1[[#This Row],[Index offre du fournisseur]]</f>
        <v>1</v>
      </c>
      <c r="AT280" s="250" t="str">
        <f>_xlfn.XLOOKUP(Tableau1[[#This Row],[Code PAS]],'parc SATIN 08012026v'!K:K,'parc SATIN 08012026v'!M:M,0,0)</f>
        <v>PARC</v>
      </c>
      <c r="AU280" s="250" t="str">
        <f>_xlfn.XLOOKUP(Tableau1[[#This Row],[Code PAS]],'parc SATIN 08012026v'!K:K,'parc SATIN 08012026v'!O:O,0,0)</f>
        <v>PARC</v>
      </c>
      <c r="AV280" s="251">
        <f>_xlfn.XLOOKUP(Tableau1[[#This Row],[Code PAS]],'parc SATIN 08012026v'!K:K,'parc SATIN 08012026v'!Q:Q,0,0)</f>
        <v>44609</v>
      </c>
      <c r="AW280" s="251" t="str">
        <f>_xlfn.XLOOKUP(Tableau1[[#This Row],[Code PAS]],'parc SATIN 08012026v'!K:K,'parc SATIN 08012026v'!S:S,0,0)</f>
        <v>change</v>
      </c>
      <c r="AX280" s="250" t="str">
        <f>_xlfn.XLOOKUP(Tableau1[[#This Row],[Code PAS]],'parc SATIN 08012026v'!K:K,'parc SATIN 08012026v'!AF:AF,0,0)</f>
        <v>20 Mb/s</v>
      </c>
      <c r="AY280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</v>
      </c>
      <c r="AZ280" s="250" t="s">
        <v>2880</v>
      </c>
    </row>
    <row r="281" spans="1:52" s="250" customFormat="1" ht="15" customHeight="1" x14ac:dyDescent="0.3">
      <c r="A281" s="248"/>
      <c r="B281" s="249">
        <v>45405</v>
      </c>
      <c r="C281" s="249"/>
      <c r="D281" s="249"/>
      <c r="E281" s="250" t="s">
        <v>2923</v>
      </c>
      <c r="F281" s="980" t="s">
        <v>1716</v>
      </c>
      <c r="G281" s="250" t="s">
        <v>2768</v>
      </c>
      <c r="H281" s="250" t="s">
        <v>2768</v>
      </c>
      <c r="I281" s="250" t="s">
        <v>165</v>
      </c>
      <c r="J281" s="248" t="str">
        <f>_xlfn.XLOOKUP(Tableau1[[#This Row],[Code PAS]],'[13]Parc Satin'!$L:$L,'[13]Parc Satin'!$CK:$CK,0,0)</f>
        <v>Nominal InterLan 1.0 Secours InterLan 1.0</v>
      </c>
      <c r="K281" s="250" t="s">
        <v>2829</v>
      </c>
      <c r="L281" s="250">
        <v>120</v>
      </c>
      <c r="M281" s="250">
        <v>60</v>
      </c>
      <c r="N281" s="250">
        <v>1</v>
      </c>
      <c r="O281" s="250" t="s">
        <v>74</v>
      </c>
      <c r="P281" s="824">
        <v>0</v>
      </c>
      <c r="Q281" s="824">
        <v>652</v>
      </c>
      <c r="R281" s="824">
        <v>0</v>
      </c>
      <c r="S281" s="824">
        <v>652</v>
      </c>
      <c r="T281" s="824">
        <v>1229</v>
      </c>
      <c r="U281" s="824">
        <v>44</v>
      </c>
      <c r="V281" s="824">
        <v>16</v>
      </c>
      <c r="W281" s="824">
        <v>5</v>
      </c>
      <c r="X281" s="824">
        <f>Tableau1[[#This Row],[Coût Abonnement offre]]+Tableau1[[#This Row],[Coût Abonnement Chassis]]+Tableau1[[#This Row],[Cout Cartes interface ]]+Tableau1[[#This Row],[Cout canaux voix supplémentaire]]</f>
        <v>1294</v>
      </c>
      <c r="Y281" s="824">
        <v>66</v>
      </c>
      <c r="Z281" s="966">
        <v>0</v>
      </c>
      <c r="AA281" s="966">
        <v>0</v>
      </c>
      <c r="AB281" s="969">
        <v>0</v>
      </c>
      <c r="AC281" s="969">
        <v>0</v>
      </c>
      <c r="AD281" s="968">
        <v>-792</v>
      </c>
      <c r="AE281" s="264">
        <v>10</v>
      </c>
      <c r="AF281" s="264">
        <v>120</v>
      </c>
      <c r="AG281" s="264">
        <v>60</v>
      </c>
      <c r="AH281" s="264">
        <v>180</v>
      </c>
      <c r="AI281" s="973">
        <v>5</v>
      </c>
      <c r="AJ281" s="263">
        <v>10</v>
      </c>
      <c r="AK281" s="987">
        <v>180</v>
      </c>
      <c r="AL281" s="263">
        <v>66</v>
      </c>
      <c r="AM281" s="263" t="s">
        <v>3733</v>
      </c>
      <c r="AN281" s="263" t="b">
        <f>ROUND(Tableau1[[#This Row],[Montant Options coûts récurrents]],0)=ROUND(Tableau1[[#This Row],[GTRS1 (Coût Plage de support 24h/24 7j/7)]],0)</f>
        <v>1</v>
      </c>
      <c r="AO281" s="265" t="e">
        <f>_xlfn.XLOOKUP(Tableau1[[#This Row],[Code PAS]],'parc SATIN 08012026v'!K:K,'parc SATIN 08012026v'!#REF!,0,0)</f>
        <v>#REF!</v>
      </c>
      <c r="AP281" s="263" t="e">
        <f>VLOOKUP(Tableau1[[#This Row],[Code PAS]],#REF!,3,0)</f>
        <v>#REF!</v>
      </c>
      <c r="AQ281" s="263" t="str">
        <f>VLOOKUP(Tableau1[[#This Row],[Code PAS]],[14]Feuil1!$B:$G,6,0)</f>
        <v>24h/24 - 7j/7</v>
      </c>
      <c r="AR281" s="263" t="str">
        <f>_xlfn.XLOOKUP(Tableau1[[#This Row],[Code PAS]],'Facturation PAS RIN5 RUN'!C:C,'Facturation PAS RIN5 RUN'!B:B,0,0)</f>
        <v>Gold_10_10</v>
      </c>
      <c r="AS281" s="263" t="b">
        <f>Tableau1[[#This Row],[Etat facturation]]=Tableau1[[#This Row],[Index offre du fournisseur]]</f>
        <v>1</v>
      </c>
      <c r="AT281" s="250" t="str">
        <f>_xlfn.XLOOKUP(Tableau1[[#This Row],[Code PAS]],'parc SATIN 08012026v'!K:K,'parc SATIN 08012026v'!M:M,0,0)</f>
        <v>PARC</v>
      </c>
      <c r="AU281" s="250" t="str">
        <f>_xlfn.XLOOKUP(Tableau1[[#This Row],[Code PAS]],'parc SATIN 08012026v'!K:K,'parc SATIN 08012026v'!O:O,0,0)</f>
        <v>PARC</v>
      </c>
      <c r="AV281" s="251">
        <f>_xlfn.XLOOKUP(Tableau1[[#This Row],[Code PAS]],'parc SATIN 08012026v'!K:K,'parc SATIN 08012026v'!Q:Q,0,0)</f>
        <v>45405</v>
      </c>
      <c r="AW281" s="251" t="str">
        <f>_xlfn.XLOOKUP(Tableau1[[#This Row],[Code PAS]],'parc SATIN 08012026v'!K:K,'parc SATIN 08012026v'!S:S,0,0)</f>
        <v>création</v>
      </c>
      <c r="AX281" s="250" t="str">
        <f>_xlfn.XLOOKUP(Tableau1[[#This Row],[Code PAS]],'parc SATIN 08012026v'!K:K,'parc SATIN 08012026v'!AF:AF,0,0)</f>
        <v>10 Mb/s</v>
      </c>
      <c r="AY281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</v>
      </c>
    </row>
    <row r="282" spans="1:52" s="250" customFormat="1" ht="15" customHeight="1" x14ac:dyDescent="0.3">
      <c r="A282" s="248"/>
      <c r="B282" s="248"/>
      <c r="C282" s="249"/>
      <c r="D282" s="249"/>
      <c r="E282" s="250" t="s">
        <v>3007</v>
      </c>
      <c r="F282" s="980" t="s">
        <v>1701</v>
      </c>
      <c r="G282" s="250" t="s">
        <v>3008</v>
      </c>
      <c r="H282" s="250" t="s">
        <v>3008</v>
      </c>
      <c r="I282" s="250" t="s">
        <v>2946</v>
      </c>
      <c r="J282" s="248" t="str">
        <f>_xlfn.XLOOKUP(Tableau1[[#This Row],[Code PAS]],'[13]Parc Satin'!$L:$L,'[13]Parc Satin'!$CK:$CK,0,0)</f>
        <v>Nominal InterLan 1.0 Secours InterLan 1.0</v>
      </c>
      <c r="K282" s="250" t="s">
        <v>3009</v>
      </c>
      <c r="L282" s="250">
        <v>800</v>
      </c>
      <c r="M282" s="250">
        <v>2800</v>
      </c>
      <c r="N282" s="252">
        <v>1</v>
      </c>
      <c r="O282" s="252" t="s">
        <v>76</v>
      </c>
      <c r="P282" s="824">
        <v>3691</v>
      </c>
      <c r="Q282" s="824">
        <v>702</v>
      </c>
      <c r="R282" s="824">
        <v>0</v>
      </c>
      <c r="S282" s="824">
        <v>4393</v>
      </c>
      <c r="T282" s="824">
        <v>2209</v>
      </c>
      <c r="U282" s="824">
        <v>299</v>
      </c>
      <c r="V282" s="824">
        <v>32</v>
      </c>
      <c r="W282" s="824">
        <v>252</v>
      </c>
      <c r="X282" s="824">
        <f>Tableau1[[#This Row],[Coût Abonnement offre]]+Tableau1[[#This Row],[Coût Abonnement Chassis]]+Tableau1[[#This Row],[Cout Cartes interface ]]+Tableau1[[#This Row],[Cout canaux voix supplémentaire]]</f>
        <v>2792</v>
      </c>
      <c r="Y282" s="824"/>
      <c r="Z282" s="966">
        <v>0</v>
      </c>
      <c r="AA282" s="966">
        <v>0</v>
      </c>
      <c r="AB282" s="969">
        <v>0</v>
      </c>
      <c r="AC282" s="969">
        <v>0</v>
      </c>
      <c r="AD282" s="968">
        <v>726</v>
      </c>
      <c r="AE282" s="264">
        <v>200</v>
      </c>
      <c r="AF282" s="264">
        <v>800</v>
      </c>
      <c r="AG282" s="264">
        <v>2800</v>
      </c>
      <c r="AH282" s="264">
        <v>3600</v>
      </c>
      <c r="AI282" s="973">
        <v>252</v>
      </c>
      <c r="AJ282" s="263">
        <v>200</v>
      </c>
      <c r="AK282" s="987">
        <v>3600</v>
      </c>
      <c r="AL282" s="263">
        <v>0</v>
      </c>
      <c r="AM282" s="263" t="s">
        <v>3737</v>
      </c>
      <c r="AN282" s="263" t="b">
        <f>ROUND(Tableau1[[#This Row],[Montant Options coûts récurrents]],0)=ROUND(Tableau1[[#This Row],[GTRS1 (Coût Plage de support 24h/24 7j/7)]],0)</f>
        <v>1</v>
      </c>
      <c r="AO282" s="265" t="e">
        <f>_xlfn.XLOOKUP(Tableau1[[#This Row],[Code PAS]],'parc SATIN 08012026v'!K:K,'parc SATIN 08012026v'!#REF!,0,0)</f>
        <v>#REF!</v>
      </c>
      <c r="AP282" s="263" t="e">
        <f>VLOOKUP(Tableau1[[#This Row],[Code PAS]],#REF!,3,0)</f>
        <v>#REF!</v>
      </c>
      <c r="AQ282" s="263" t="str">
        <f>VLOOKUP(Tableau1[[#This Row],[Code PAS]],[14]Feuil1!$B:$G,6,0)</f>
        <v>Lundi au Samedi 8h-18h</v>
      </c>
      <c r="AR282" s="263" t="str">
        <f>_xlfn.XLOOKUP(Tableau1[[#This Row],[Code PAS]],'Facturation PAS RIN5 RUN'!C:C,'Facturation PAS RIN5 RUN'!B:B,0,0)</f>
        <v>Platinum_200_200</v>
      </c>
      <c r="AS282" s="263" t="b">
        <f>Tableau1[[#This Row],[Etat facturation]]=Tableau1[[#This Row],[Index offre du fournisseur]]</f>
        <v>1</v>
      </c>
      <c r="AT282" s="250" t="str">
        <f>_xlfn.XLOOKUP(Tableau1[[#This Row],[Code PAS]],'parc SATIN 08012026v'!K:K,'parc SATIN 08012026v'!M:M,0,0)</f>
        <v>PARC</v>
      </c>
      <c r="AU282" s="250" t="str">
        <f>_xlfn.XLOOKUP(Tableau1[[#This Row],[Code PAS]],'parc SATIN 08012026v'!K:K,'parc SATIN 08012026v'!O:O,0,0)</f>
        <v>PARC</v>
      </c>
      <c r="AV282" s="251">
        <f>_xlfn.XLOOKUP(Tableau1[[#This Row],[Code PAS]],'parc SATIN 08012026v'!K:K,'parc SATIN 08012026v'!Q:Q,0,0)</f>
        <v>45462</v>
      </c>
      <c r="AW282" s="251" t="str">
        <f>_xlfn.XLOOKUP(Tableau1[[#This Row],[Code PAS]],'parc SATIN 08012026v'!K:K,'parc SATIN 08012026v'!S:S,0,0)</f>
        <v>change</v>
      </c>
      <c r="AX282" s="250" t="str">
        <f>_xlfn.XLOOKUP(Tableau1[[#This Row],[Code PAS]],'parc SATIN 08012026v'!K:K,'parc SATIN 08012026v'!AF:AF,0,0)</f>
        <v>200 Mb/s</v>
      </c>
      <c r="AY282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200</v>
      </c>
    </row>
    <row r="283" spans="1:52" s="250" customFormat="1" ht="15" customHeight="1" x14ac:dyDescent="0.3">
      <c r="A283" s="250" t="s">
        <v>2743</v>
      </c>
      <c r="C283" s="249"/>
      <c r="D283" s="249"/>
      <c r="E283" s="250" t="s">
        <v>3014</v>
      </c>
      <c r="F283" s="980" t="s">
        <v>1143</v>
      </c>
      <c r="G283" s="250" t="s">
        <v>2804</v>
      </c>
      <c r="H283" s="250" t="s">
        <v>2771</v>
      </c>
      <c r="J283" s="248" t="str">
        <f>_xlfn.XLOOKUP(Tableau1[[#This Row],[Code PAS]],'[13]Parc Satin'!$L:$L,'[13]Parc Satin'!$CK:$CK,0,0)</f>
        <v>Nominal InterLan 1.0 Secours InterLan 1.0</v>
      </c>
      <c r="P283" s="820">
        <v>1620</v>
      </c>
      <c r="Q283" s="820">
        <v>0</v>
      </c>
      <c r="R283" s="820">
        <v>0</v>
      </c>
      <c r="S283" s="820">
        <v>0</v>
      </c>
      <c r="T283" s="824">
        <v>1995</v>
      </c>
      <c r="U283" s="824">
        <v>239</v>
      </c>
      <c r="V283" s="824">
        <v>16</v>
      </c>
      <c r="W283" s="824">
        <v>108</v>
      </c>
      <c r="X283" s="823">
        <f>Tableau1[[#This Row],[Coût Abonnement offre]]+Tableau1[[#This Row],[Coût Abonnement Chassis]]+Tableau1[[#This Row],[Cout Cartes interface ]]+Tableau1[[#This Row],[Cout canaux voix supplémentaire]]</f>
        <v>2358</v>
      </c>
      <c r="Y283" s="824"/>
      <c r="Z283" s="966">
        <v>0</v>
      </c>
      <c r="AA283" s="966">
        <v>0</v>
      </c>
      <c r="AB283" s="969">
        <v>0</v>
      </c>
      <c r="AC283" s="969">
        <v>0</v>
      </c>
      <c r="AD283" s="968">
        <v>792</v>
      </c>
      <c r="AE283" s="264">
        <v>100</v>
      </c>
      <c r="AF283" s="264">
        <v>600</v>
      </c>
      <c r="AG283" s="264">
        <v>1200</v>
      </c>
      <c r="AH283" s="264">
        <v>1800</v>
      </c>
      <c r="AI283" s="973">
        <v>108</v>
      </c>
      <c r="AJ283" s="263">
        <v>100</v>
      </c>
      <c r="AK283" s="987">
        <v>1800</v>
      </c>
      <c r="AL283" s="263">
        <v>0</v>
      </c>
      <c r="AM283" s="263" t="s">
        <v>3737</v>
      </c>
      <c r="AN283" s="263" t="b">
        <f>ROUND(Tableau1[[#This Row],[Montant Options coûts récurrents]],0)=ROUND(Tableau1[[#This Row],[GTRS1 (Coût Plage de support 24h/24 7j/7)]],0)</f>
        <v>1</v>
      </c>
      <c r="AO283" s="265" t="e">
        <f>_xlfn.XLOOKUP(Tableau1[[#This Row],[Code PAS]],'parc SATIN 08012026v'!K:K,'parc SATIN 08012026v'!#REF!,0,0)</f>
        <v>#REF!</v>
      </c>
      <c r="AP283" s="263" t="e">
        <f>VLOOKUP(Tableau1[[#This Row],[Code PAS]],#REF!,3,0)</f>
        <v>#REF!</v>
      </c>
      <c r="AQ283" s="263" t="str">
        <f>VLOOKUP(Tableau1[[#This Row],[Code PAS]],[14]Feuil1!$B:$G,6,0)</f>
        <v>Lundi au Samedi 8h-18h</v>
      </c>
      <c r="AR283" s="263" t="str">
        <f>_xlfn.XLOOKUP(Tableau1[[#This Row],[Code PAS]],'Facturation PAS RIN5 RUN'!C:C,'Facturation PAS RIN5 RUN'!B:B,0,0)</f>
        <v>Platinum_100_100</v>
      </c>
      <c r="AS283" s="263" t="b">
        <f>Tableau1[[#This Row],[Etat facturation]]=Tableau1[[#This Row],[Index offre du fournisseur]]</f>
        <v>1</v>
      </c>
      <c r="AT283" s="250" t="str">
        <f>_xlfn.XLOOKUP(Tableau1[[#This Row],[Code PAS]],'parc SATIN 08012026v'!K:K,'parc SATIN 08012026v'!M:M,0,0)</f>
        <v>PARC</v>
      </c>
      <c r="AU283" s="250" t="str">
        <f>_xlfn.XLOOKUP(Tableau1[[#This Row],[Code PAS]],'parc SATIN 08012026v'!K:K,'parc SATIN 08012026v'!O:O,0,0)</f>
        <v>PARC</v>
      </c>
      <c r="AV283" s="251">
        <f>_xlfn.XLOOKUP(Tableau1[[#This Row],[Code PAS]],'parc SATIN 08012026v'!K:K,'parc SATIN 08012026v'!Q:Q,0,0)</f>
        <v>45428</v>
      </c>
      <c r="AW283" s="251" t="str">
        <f>_xlfn.XLOOKUP(Tableau1[[#This Row],[Code PAS]],'parc SATIN 08012026v'!K:K,'parc SATIN 08012026v'!S:S,0,0)</f>
        <v>change</v>
      </c>
      <c r="AX283" s="250" t="str">
        <f>_xlfn.XLOOKUP(Tableau1[[#This Row],[Code PAS]],'parc SATIN 08012026v'!K:K,'parc SATIN 08012026v'!AF:AF,0,0)</f>
        <v>100 Mb/s</v>
      </c>
      <c r="AY283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</row>
    <row r="284" spans="1:52" s="250" customFormat="1" ht="15" customHeight="1" x14ac:dyDescent="0.3">
      <c r="A284" s="250" t="s">
        <v>2739</v>
      </c>
      <c r="B284" s="256">
        <v>45692</v>
      </c>
      <c r="C284" s="249"/>
      <c r="D284" s="249"/>
      <c r="E284" s="250" t="s">
        <v>3058</v>
      </c>
      <c r="F284" s="980" t="s">
        <v>1543</v>
      </c>
      <c r="G284" s="250" t="s">
        <v>2757</v>
      </c>
      <c r="H284" s="250" t="s">
        <v>2757</v>
      </c>
      <c r="I284" s="250" t="s">
        <v>165</v>
      </c>
      <c r="J284" s="248" t="str">
        <f>_xlfn.XLOOKUP(Tableau1[[#This Row],[Code PAS]],'[13]Parc Satin'!$L:$L,'[13]Parc Satin'!$CK:$CK,0,0)</f>
        <v>Nominal C2E Fibre sans Secours</v>
      </c>
      <c r="L284" s="250">
        <v>40</v>
      </c>
      <c r="M284" s="250">
        <v>30</v>
      </c>
      <c r="N284" s="250">
        <v>1</v>
      </c>
      <c r="O284" s="250" t="s">
        <v>74</v>
      </c>
      <c r="P284" s="824">
        <v>4923</v>
      </c>
      <c r="Q284" s="824">
        <v>361</v>
      </c>
      <c r="R284" s="824">
        <v>0</v>
      </c>
      <c r="S284" s="824">
        <v>5284</v>
      </c>
      <c r="T284" s="824">
        <v>356</v>
      </c>
      <c r="U284" s="824">
        <v>27</v>
      </c>
      <c r="V284" s="824">
        <v>0</v>
      </c>
      <c r="W284" s="824">
        <v>27</v>
      </c>
      <c r="X284" s="824">
        <f>Tableau1[[#This Row],[Coût Abonnement offre]]+Tableau1[[#This Row],[Coût Abonnement Chassis]]+Tableau1[[#This Row],[Cout Cartes interface ]]+Tableau1[[#This Row],[Cout canaux voix supplémentaire]]</f>
        <v>410</v>
      </c>
      <c r="Y284" s="824">
        <v>0</v>
      </c>
      <c r="Z284" s="967">
        <v>2388</v>
      </c>
      <c r="AA284" s="966">
        <v>0</v>
      </c>
      <c r="AB284" s="969">
        <v>0</v>
      </c>
      <c r="AC284" s="969">
        <v>0</v>
      </c>
      <c r="AD284" s="969">
        <v>0</v>
      </c>
      <c r="AE284" s="264">
        <v>4</v>
      </c>
      <c r="AF284" s="264">
        <v>40</v>
      </c>
      <c r="AG284" s="264">
        <v>30</v>
      </c>
      <c r="AH284" s="264">
        <v>70</v>
      </c>
      <c r="AI284" s="973">
        <v>27</v>
      </c>
      <c r="AJ284" s="263">
        <v>4</v>
      </c>
      <c r="AK284" s="987">
        <v>70</v>
      </c>
      <c r="AL284" s="263">
        <f>VLOOKUP(Tableau1[[#This Row],[Code PAS]],'Facturation PAS RIN5 RUN'!C:F,4,0)</f>
        <v>0</v>
      </c>
      <c r="AM284" s="263"/>
      <c r="AN284" s="263" t="b">
        <f>ROUND(Tableau1[[#This Row],[Montant Options coûts récurrents]],0)=ROUND(Tableau1[[#This Row],[GTRS1 (Coût Plage de support 24h/24 7j/7)]],0)</f>
        <v>1</v>
      </c>
      <c r="AO284" s="265" t="e">
        <f>_xlfn.XLOOKUP(Tableau1[[#This Row],[Code PAS]],'parc SATIN 08012026v'!K:K,'parc SATIN 08012026v'!#REF!,0,0)</f>
        <v>#REF!</v>
      </c>
      <c r="AP284" s="263" t="e">
        <f>VLOOKUP(Tableau1[[#This Row],[Code PAS]],#REF!,3,0)</f>
        <v>#REF!</v>
      </c>
      <c r="AQ284" s="263" t="e">
        <f>VLOOKUP(Tableau1[[#This Row],[Code PAS]],[14]Feuil1!$B:$G,6,0)</f>
        <v>#N/A</v>
      </c>
      <c r="AR284" s="263" t="str">
        <f>_xlfn.XLOOKUP(Tableau1[[#This Row],[Code PAS]],'Facturation PAS RIN5 RUN'!C:C,'Facturation PAS RIN5 RUN'!B:B,0,0)</f>
        <v>Bronze_4_0</v>
      </c>
      <c r="AS284" s="263" t="b">
        <f>Tableau1[[#This Row],[Etat facturation]]=Tableau1[[#This Row],[Index offre du fournisseur]]</f>
        <v>1</v>
      </c>
      <c r="AT284" s="250" t="str">
        <f>_xlfn.XLOOKUP(Tableau1[[#This Row],[Code PAS]],'parc SATIN 08012026v'!K:K,'parc SATIN 08012026v'!M:M,0,0)</f>
        <v>PARC</v>
      </c>
      <c r="AU284" s="250" t="str">
        <f>_xlfn.XLOOKUP(Tableau1[[#This Row],[Code PAS]],'parc SATIN 08012026v'!K:K,'parc SATIN 08012026v'!O:O,0,0)</f>
        <v>PARC</v>
      </c>
      <c r="AV284" s="251">
        <f>_xlfn.XLOOKUP(Tableau1[[#This Row],[Code PAS]],'parc SATIN 08012026v'!K:K,'parc SATIN 08012026v'!Q:Q,0,0)</f>
        <v>45692</v>
      </c>
      <c r="AW284" s="251" t="str">
        <f>_xlfn.XLOOKUP(Tableau1[[#This Row],[Code PAS]],'parc SATIN 08012026v'!K:K,'parc SATIN 08012026v'!S:S,0,0)</f>
        <v>change</v>
      </c>
      <c r="AX284" s="250" t="str">
        <f>_xlfn.XLOOKUP(Tableau1[[#This Row],[Code PAS]],'parc SATIN 08012026v'!K:K,'parc SATIN 08012026v'!AF:AF,0,0)</f>
        <v>4 Mb/s</v>
      </c>
      <c r="AY284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284" s="250" t="s">
        <v>3749</v>
      </c>
    </row>
    <row r="285" spans="1:52" s="250" customFormat="1" ht="15" customHeight="1" x14ac:dyDescent="0.3">
      <c r="A285" s="250" t="s">
        <v>2758</v>
      </c>
      <c r="C285" s="249"/>
      <c r="D285" s="261">
        <v>46076</v>
      </c>
      <c r="E285" s="250" t="s">
        <v>3133</v>
      </c>
      <c r="F285" s="985" t="s">
        <v>1467</v>
      </c>
      <c r="G285" s="250" t="s">
        <v>2757</v>
      </c>
      <c r="H285" s="250" t="s">
        <v>2757</v>
      </c>
      <c r="I285" s="250" t="s">
        <v>78</v>
      </c>
      <c r="J285" s="248"/>
      <c r="L285" s="250">
        <v>40</v>
      </c>
      <c r="M285" s="250">
        <v>30</v>
      </c>
      <c r="N285" s="250">
        <v>1</v>
      </c>
      <c r="O285" s="250" t="s">
        <v>74</v>
      </c>
      <c r="P285" s="824"/>
      <c r="Q285" s="824"/>
      <c r="R285" s="824"/>
      <c r="S285" s="824">
        <v>0</v>
      </c>
      <c r="T285" s="824">
        <v>356</v>
      </c>
      <c r="U285" s="824">
        <v>35</v>
      </c>
      <c r="V285" s="824">
        <v>16</v>
      </c>
      <c r="W285" s="824">
        <v>27</v>
      </c>
      <c r="X285" s="824">
        <v>434</v>
      </c>
      <c r="Y285" s="824"/>
      <c r="Z285" s="967">
        <v>1181.5246</v>
      </c>
      <c r="AA285" s="966">
        <v>0</v>
      </c>
      <c r="AB285" s="968">
        <v>-1.3114999999999988</v>
      </c>
      <c r="AC285" s="968">
        <v>1.4754000000000005</v>
      </c>
      <c r="AD285" s="969">
        <v>0</v>
      </c>
      <c r="AE285" s="264">
        <v>4</v>
      </c>
      <c r="AF285" s="264">
        <v>40</v>
      </c>
      <c r="AG285" s="264">
        <v>30</v>
      </c>
      <c r="AH285" s="264">
        <v>70</v>
      </c>
      <c r="AI285" s="973">
        <v>27</v>
      </c>
      <c r="AJ285" s="263">
        <v>4</v>
      </c>
      <c r="AK285" s="987">
        <v>70</v>
      </c>
      <c r="AL285" s="263">
        <f>VLOOKUP(Tableau1[[#This Row],[Code PAS]],'Facturation PAS RIN5 RUN'!C:F,4,0)</f>
        <v>17.311475409836067</v>
      </c>
      <c r="AM285" s="263"/>
      <c r="AN285" s="263" t="b">
        <f>ROUND(Tableau1[[#This Row],[Montant Options coûts récurrents]],0)=ROUND(Tableau1[[#This Row],[GTRS1 (Coût Plage de support 24h/24 7j/7)]],0)</f>
        <v>0</v>
      </c>
      <c r="AO285" s="265" t="e">
        <f>_xlfn.XLOOKUP(Tableau1[[#This Row],[Code PAS]],'parc SATIN 08012026v'!K:K,'parc SATIN 08012026v'!#REF!,0,0)</f>
        <v>#REF!</v>
      </c>
      <c r="AP285" s="263" t="e">
        <f>VLOOKUP(Tableau1[[#This Row],[Code PAS]],#REF!,3,0)</f>
        <v>#REF!</v>
      </c>
      <c r="AQ285" s="263" t="e">
        <f>VLOOKUP(Tableau1[[#This Row],[Code PAS]],[14]Feuil1!$B:$G,6,0)</f>
        <v>#N/A</v>
      </c>
      <c r="AR285" s="263" t="str">
        <f>_xlfn.XLOOKUP(Tableau1[[#This Row],[Code PAS]],'Facturation PAS RIN5 RUN'!C:C,'Facturation PAS RIN5 RUN'!B:B,0,0)</f>
        <v>Bronze_4_0</v>
      </c>
      <c r="AS285" s="263" t="b">
        <f>Tableau1[[#This Row],[Etat facturation]]=Tableau1[[#This Row],[Index offre du fournisseur]]</f>
        <v>1</v>
      </c>
      <c r="AT285" s="250" t="str">
        <f>_xlfn.XLOOKUP(Tableau1[[#This Row],[Code PAS]],'parc SATIN 08012026v'!K:K,'parc SATIN 08012026v'!M:M,0,0)</f>
        <v>PARC</v>
      </c>
      <c r="AU285" s="250" t="str">
        <f>_xlfn.XLOOKUP(Tableau1[[#This Row],[Code PAS]],'parc SATIN 08012026v'!K:K,'parc SATIN 08012026v'!O:O,0,0)</f>
        <v>PARC</v>
      </c>
      <c r="AV285" s="251">
        <f>_xlfn.XLOOKUP(Tableau1[[#This Row],[Code PAS]],'parc SATIN 08012026v'!K:K,'parc SATIN 08012026v'!Q:Q,0,0)</f>
        <v>46077</v>
      </c>
      <c r="AW285" s="251" t="str">
        <f>_xlfn.XLOOKUP(Tableau1[[#This Row],[Code PAS]],'parc SATIN 08012026v'!K:K,'parc SATIN 08012026v'!S:S,0,0)</f>
        <v>change</v>
      </c>
      <c r="AX285" s="250" t="str">
        <f>_xlfn.XLOOKUP(Tableau1[[#This Row],[Code PAS]],'parc SATIN 08012026v'!K:K,'parc SATIN 08012026v'!AF:AF,0,0)</f>
        <v>4 Mb/s</v>
      </c>
      <c r="AY285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4</v>
      </c>
      <c r="AZ285" s="250" t="s">
        <v>3750</v>
      </c>
    </row>
    <row r="286" spans="1:52" s="250" customFormat="1" ht="15" customHeight="1" x14ac:dyDescent="0.3">
      <c r="A286" s="248" t="s">
        <v>2735</v>
      </c>
      <c r="B286" s="248"/>
      <c r="C286" s="261">
        <v>46063</v>
      </c>
      <c r="D286" s="249">
        <v>45839</v>
      </c>
      <c r="E286" s="250" t="s">
        <v>2944</v>
      </c>
      <c r="F286" s="985" t="s">
        <v>502</v>
      </c>
      <c r="G286" s="250" t="s">
        <v>2784</v>
      </c>
      <c r="H286" s="250" t="s">
        <v>2784</v>
      </c>
      <c r="I286" s="248" t="s">
        <v>78</v>
      </c>
      <c r="J286" s="248"/>
      <c r="L286" s="250">
        <v>500</v>
      </c>
      <c r="M286" s="250">
        <v>400</v>
      </c>
      <c r="N286" s="250">
        <v>1</v>
      </c>
      <c r="O286" s="250" t="s">
        <v>74</v>
      </c>
      <c r="P286" s="824"/>
      <c r="Q286" s="824">
        <v>500</v>
      </c>
      <c r="R286" s="824"/>
      <c r="S286" s="824">
        <v>500</v>
      </c>
      <c r="T286" s="824">
        <v>1453.8564263010346</v>
      </c>
      <c r="U286" s="824">
        <v>70.599999999999994</v>
      </c>
      <c r="V286" s="824">
        <v>72</v>
      </c>
      <c r="W286" s="824">
        <v>36</v>
      </c>
      <c r="X286" s="824">
        <v>1632.4564263010345</v>
      </c>
      <c r="Y286" s="824"/>
      <c r="Z286" s="966">
        <v>-0.14360000000010587</v>
      </c>
      <c r="AA286" s="966">
        <v>-0.40000000000000568</v>
      </c>
      <c r="AB286" s="969">
        <v>0</v>
      </c>
      <c r="AC286" s="969">
        <v>0</v>
      </c>
      <c r="AD286" s="969">
        <v>0</v>
      </c>
      <c r="AE286" s="264">
        <v>50</v>
      </c>
      <c r="AF286" s="264">
        <v>500</v>
      </c>
      <c r="AG286" s="264">
        <v>400</v>
      </c>
      <c r="AH286" s="264">
        <v>900</v>
      </c>
      <c r="AI286" s="973">
        <v>36</v>
      </c>
      <c r="AJ286" s="263">
        <v>50</v>
      </c>
      <c r="AK286" s="987">
        <v>900</v>
      </c>
      <c r="AL286" s="263">
        <f>VLOOKUP(Tableau1[[#This Row],[Code PAS]],'Facturation PAS RIN5 RUN'!C:F,4,0)</f>
        <v>72</v>
      </c>
      <c r="AM286" s="263"/>
      <c r="AN286" s="263" t="b">
        <f>ROUND(Tableau1[[#This Row],[Montant Options coûts récurrents]],0)=ROUND(Tableau1[[#This Row],[GTRS1 (Coût Plage de support 24h/24 7j/7)]],0)</f>
        <v>0</v>
      </c>
      <c r="AO286" s="265" t="e">
        <f>_xlfn.XLOOKUP(Tableau1[[#This Row],[Code PAS]],'parc SATIN 08012026v'!K:K,'parc SATIN 08012026v'!#REF!,0,0)</f>
        <v>#REF!</v>
      </c>
      <c r="AP286" s="263" t="e">
        <f>VLOOKUP(Tableau1[[#This Row],[Code PAS]],#REF!,3,0)</f>
        <v>#REF!</v>
      </c>
      <c r="AQ286" s="263" t="e">
        <f>VLOOKUP(Tableau1[[#This Row],[Code PAS]],[14]Feuil1!$B:$G,6,0)</f>
        <v>#N/A</v>
      </c>
      <c r="AR286" s="263" t="str">
        <f>_xlfn.XLOOKUP(Tableau1[[#This Row],[Code PAS]],'Facturation PAS RIN5 RUN'!C:C,'Facturation PAS RIN5 RUN'!B:B,0,0)</f>
        <v>Gold_50_50</v>
      </c>
      <c r="AS286" s="263" t="b">
        <f>Tableau1[[#This Row],[Etat facturation]]=Tableau1[[#This Row],[Index offre du fournisseur]]</f>
        <v>1</v>
      </c>
      <c r="AT286" s="250" t="str">
        <f>_xlfn.XLOOKUP(Tableau1[[#This Row],[Code PAS]],'parc SATIN 08012026v'!K:K,'parc SATIN 08012026v'!M:M,0,0)</f>
        <v>PARC</v>
      </c>
      <c r="AU286" s="250" t="str">
        <f>_xlfn.XLOOKUP(Tableau1[[#This Row],[Code PAS]],'parc SATIN 08012026v'!K:K,'parc SATIN 08012026v'!O:O,0,0)</f>
        <v>PARC</v>
      </c>
      <c r="AV286" s="251">
        <f>_xlfn.XLOOKUP(Tableau1[[#This Row],[Code PAS]],'parc SATIN 08012026v'!K:K,'parc SATIN 08012026v'!Q:Q,0,0)</f>
        <v>46059</v>
      </c>
      <c r="AW286" s="251" t="str">
        <f>_xlfn.XLOOKUP(Tableau1[[#This Row],[Code PAS]],'parc SATIN 08012026v'!K:K,'parc SATIN 08012026v'!S:S,0,0)</f>
        <v>change</v>
      </c>
      <c r="AX286" s="250" t="str">
        <f>_xlfn.XLOOKUP(Tableau1[[#This Row],[Code PAS]],'parc SATIN 08012026v'!K:K,'parc SATIN 08012026v'!AF:AF,0,0)</f>
        <v>50 Mb/s</v>
      </c>
      <c r="AY286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  <c r="AZ286" s="250" t="s">
        <v>2842</v>
      </c>
    </row>
    <row r="287" spans="1:52" s="250" customFormat="1" ht="15" customHeight="1" x14ac:dyDescent="0.3">
      <c r="A287" s="250" t="s">
        <v>2743</v>
      </c>
      <c r="C287" s="261">
        <v>46077</v>
      </c>
      <c r="D287" s="249"/>
      <c r="E287" s="250" t="s">
        <v>2961</v>
      </c>
      <c r="F287" s="985" t="s">
        <v>1209</v>
      </c>
      <c r="G287" s="250" t="s">
        <v>2784</v>
      </c>
      <c r="H287" s="250" t="s">
        <v>2784</v>
      </c>
      <c r="I287" s="250" t="s">
        <v>78</v>
      </c>
      <c r="J287" s="248"/>
      <c r="L287" s="250">
        <v>500</v>
      </c>
      <c r="M287" s="250">
        <v>400</v>
      </c>
      <c r="N287" s="250">
        <v>1</v>
      </c>
      <c r="O287" s="250" t="s">
        <v>74</v>
      </c>
      <c r="P287" s="824"/>
      <c r="Q287" s="824">
        <v>228.19999999999993</v>
      </c>
      <c r="R287" s="824"/>
      <c r="S287" s="824">
        <v>228.19999999999993</v>
      </c>
      <c r="T287" s="824">
        <v>1453.8564263010346</v>
      </c>
      <c r="U287" s="824">
        <v>84</v>
      </c>
      <c r="V287" s="824"/>
      <c r="W287" s="824">
        <v>36</v>
      </c>
      <c r="X287" s="824">
        <v>1573.8564263010346</v>
      </c>
      <c r="Y287" s="824"/>
      <c r="Z287" s="967">
        <v>-14.963300000000118</v>
      </c>
      <c r="AA287" s="967">
        <v>-3.1474999999999937</v>
      </c>
      <c r="AB287" s="969">
        <v>0</v>
      </c>
      <c r="AC287" s="968">
        <v>-2.8851999999999975</v>
      </c>
      <c r="AD287" s="969">
        <v>0</v>
      </c>
      <c r="AE287" s="264">
        <v>50</v>
      </c>
      <c r="AF287" s="264">
        <v>500</v>
      </c>
      <c r="AG287" s="264">
        <v>400</v>
      </c>
      <c r="AH287" s="264">
        <v>900</v>
      </c>
      <c r="AI287" s="973">
        <v>36</v>
      </c>
      <c r="AJ287" s="263">
        <v>50</v>
      </c>
      <c r="AK287" s="987">
        <v>900</v>
      </c>
      <c r="AL287" s="263">
        <f>VLOOKUP(Tableau1[[#This Row],[Code PAS]],'Facturation PAS RIN5 RUN'!C:F,4,0)</f>
        <v>0</v>
      </c>
      <c r="AM287" s="263"/>
      <c r="AN287" s="263" t="b">
        <f>ROUND(Tableau1[[#This Row],[Montant Options coûts récurrents]],0)=ROUND(Tableau1[[#This Row],[GTRS1 (Coût Plage de support 24h/24 7j/7)]],0)</f>
        <v>1</v>
      </c>
      <c r="AO287" s="265" t="e">
        <f>_xlfn.XLOOKUP(Tableau1[[#This Row],[Code PAS]],'parc SATIN 08012026v'!K:K,'parc SATIN 08012026v'!#REF!,0,0)</f>
        <v>#REF!</v>
      </c>
      <c r="AP287" s="263" t="e">
        <f>VLOOKUP(Tableau1[[#This Row],[Code PAS]],#REF!,3,0)</f>
        <v>#REF!</v>
      </c>
      <c r="AQ287" s="263" t="e">
        <f>VLOOKUP(Tableau1[[#This Row],[Code PAS]],[14]Feuil1!$B:$G,6,0)</f>
        <v>#N/A</v>
      </c>
      <c r="AR287" s="263" t="str">
        <f>_xlfn.XLOOKUP(Tableau1[[#This Row],[Code PAS]],'Facturation PAS RIN5 RUN'!C:C,'Facturation PAS RIN5 RUN'!B:B,0,0)</f>
        <v>Gold_50_50</v>
      </c>
      <c r="AS287" s="263" t="b">
        <f>Tableau1[[#This Row],[Etat facturation]]=Tableau1[[#This Row],[Index offre du fournisseur]]</f>
        <v>1</v>
      </c>
      <c r="AT287" s="250" t="str">
        <f>_xlfn.XLOOKUP(Tableau1[[#This Row],[Code PAS]],'parc SATIN 08012026v'!K:K,'parc SATIN 08012026v'!M:M,0,0)</f>
        <v>PARC</v>
      </c>
      <c r="AU287" s="250" t="str">
        <f>_xlfn.XLOOKUP(Tableau1[[#This Row],[Code PAS]],'parc SATIN 08012026v'!K:K,'parc SATIN 08012026v'!O:O,0,0)</f>
        <v>PARC</v>
      </c>
      <c r="AV287" s="251">
        <f>_xlfn.XLOOKUP(Tableau1[[#This Row],[Code PAS]],'parc SATIN 08012026v'!K:K,'parc SATIN 08012026v'!Q:Q,0,0)</f>
        <v>46078</v>
      </c>
      <c r="AW287" s="251" t="str">
        <f>_xlfn.XLOOKUP(Tableau1[[#This Row],[Code PAS]],'parc SATIN 08012026v'!K:K,'parc SATIN 08012026v'!S:S,0,0)</f>
        <v>change</v>
      </c>
      <c r="AX287" s="250" t="str">
        <f>_xlfn.XLOOKUP(Tableau1[[#This Row],[Code PAS]],'parc SATIN 08012026v'!K:K,'parc SATIN 08012026v'!AF:AF,0,0)</f>
        <v>50 Mb/s</v>
      </c>
      <c r="AY287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50</v>
      </c>
    </row>
    <row r="288" spans="1:52" s="250" customFormat="1" ht="15" customHeight="1" x14ac:dyDescent="0.3">
      <c r="A288" s="250" t="s">
        <v>2743</v>
      </c>
      <c r="C288" s="249"/>
      <c r="D288" s="249"/>
      <c r="E288" s="250" t="s">
        <v>2981</v>
      </c>
      <c r="F288" s="980" t="s">
        <v>1180</v>
      </c>
      <c r="G288" s="250" t="s">
        <v>2867</v>
      </c>
      <c r="H288" s="250" t="s">
        <v>2867</v>
      </c>
      <c r="J288" s="248"/>
      <c r="K288" s="248"/>
      <c r="L288" s="250">
        <v>120</v>
      </c>
      <c r="M288" s="250">
        <v>60</v>
      </c>
      <c r="O288" s="250" t="s">
        <v>74</v>
      </c>
      <c r="P288" s="824">
        <v>0</v>
      </c>
      <c r="Q288" s="824">
        <v>0</v>
      </c>
      <c r="R288" s="824">
        <v>0</v>
      </c>
      <c r="S288" s="824">
        <v>0</v>
      </c>
      <c r="T288" s="824">
        <v>290</v>
      </c>
      <c r="U288" s="824">
        <v>12</v>
      </c>
      <c r="V288" s="824">
        <v>18</v>
      </c>
      <c r="W288" s="824">
        <v>0</v>
      </c>
      <c r="X288" s="824">
        <v>320</v>
      </c>
      <c r="Y288" s="824">
        <v>0</v>
      </c>
      <c r="Z288" s="966">
        <v>0</v>
      </c>
      <c r="AA288" s="966">
        <v>0</v>
      </c>
      <c r="AB288" s="969">
        <v>0</v>
      </c>
      <c r="AC288" s="969">
        <v>0</v>
      </c>
      <c r="AD288" s="969">
        <v>0</v>
      </c>
      <c r="AE288" s="264">
        <v>2</v>
      </c>
      <c r="AF288" s="264">
        <v>20</v>
      </c>
      <c r="AG288" s="264">
        <v>10</v>
      </c>
      <c r="AH288" s="264">
        <v>30</v>
      </c>
      <c r="AI288" s="973">
        <v>9</v>
      </c>
      <c r="AJ288" s="263">
        <v>50</v>
      </c>
      <c r="AK288" s="987">
        <v>900</v>
      </c>
      <c r="AL288" s="263">
        <f>VLOOKUP(Tableau1[[#This Row],[Code PAS]],'Facturation PAS RIN5 RUN'!C:F,4,0)</f>
        <v>18</v>
      </c>
      <c r="AM288" s="263"/>
      <c r="AN288" s="263" t="b">
        <f>ROUND(Tableau1[[#This Row],[Montant Options coûts récurrents]],0)=ROUND(Tableau1[[#This Row],[GTRS1 (Coût Plage de support 24h/24 7j/7)]],0)</f>
        <v>0</v>
      </c>
      <c r="AO288" s="265" t="e">
        <f>_xlfn.XLOOKUP(Tableau1[[#This Row],[Code PAS]],'parc SATIN 08012026v'!K:K,'parc SATIN 08012026v'!#REF!,0,0)</f>
        <v>#REF!</v>
      </c>
      <c r="AP288" s="263" t="e">
        <f>VLOOKUP(Tableau1[[#This Row],[Code PAS]],#REF!,3,0)</f>
        <v>#REF!</v>
      </c>
      <c r="AQ288" s="263" t="e">
        <f>VLOOKUP(Tableau1[[#This Row],[Code PAS]],[14]Feuil1!$B:$G,6,0)</f>
        <v>#N/A</v>
      </c>
      <c r="AR288" s="263" t="str">
        <f>_xlfn.XLOOKUP(Tableau1[[#This Row],[Code PAS]],'Facturation PAS RIN5 RUN'!C:C,'Facturation PAS RIN5 RUN'!B:B,0,0)</f>
        <v>Bronze_2_0</v>
      </c>
      <c r="AS288" s="263" t="b">
        <f>Tableau1[[#This Row],[Etat facturation]]=Tableau1[[#This Row],[Index offre du fournisseur]]</f>
        <v>1</v>
      </c>
      <c r="AT288" s="250" t="str">
        <f>_xlfn.XLOOKUP(Tableau1[[#This Row],[Code PAS]],'parc SATIN 08012026v'!K:K,'parc SATIN 08012026v'!M:M,0,0)</f>
        <v>PARC</v>
      </c>
      <c r="AU288" s="268" t="str">
        <f>_xlfn.XLOOKUP(Tableau1[[#This Row],[Code PAS]],'parc SATIN 08012026v'!K:K,'parc SATIN 08012026v'!O:O,0,0)</f>
        <v>EN COURS</v>
      </c>
      <c r="AV288" s="251">
        <f>_xlfn.XLOOKUP(Tableau1[[#This Row],[Code PAS]],'parc SATIN 08012026v'!K:K,'parc SATIN 08012026v'!Q:Q,0,0)</f>
        <v>0</v>
      </c>
      <c r="AW288" s="251" t="str">
        <f>_xlfn.XLOOKUP(Tableau1[[#This Row],[Code PAS]],'parc SATIN 08012026v'!K:K,'parc SATIN 08012026v'!S:S,0,0)</f>
        <v>change</v>
      </c>
      <c r="AX288" s="250" t="str">
        <f>_xlfn.XLOOKUP(Tableau1[[#This Row],[Code PAS]],'parc SATIN 08012026v'!K:K,'parc SATIN 08012026v'!AF:AF,0,0)</f>
        <v>50 Mb/s</v>
      </c>
      <c r="AY288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2</v>
      </c>
      <c r="AZ288" s="250" t="s">
        <v>2982</v>
      </c>
    </row>
    <row r="289" spans="1:52" s="250" customFormat="1" ht="15" customHeight="1" x14ac:dyDescent="0.3">
      <c r="A289" s="248" t="s">
        <v>2735</v>
      </c>
      <c r="B289" s="248"/>
      <c r="C289" s="261">
        <v>46070</v>
      </c>
      <c r="D289" s="249"/>
      <c r="E289" s="250" t="s">
        <v>3079</v>
      </c>
      <c r="F289" s="985" t="s">
        <v>213</v>
      </c>
      <c r="G289" s="250" t="s">
        <v>3207</v>
      </c>
      <c r="H289" s="250" t="s">
        <v>3207</v>
      </c>
      <c r="I289" s="250" t="s">
        <v>2817</v>
      </c>
      <c r="J289" s="248" t="s">
        <v>3080</v>
      </c>
      <c r="L289" s="250">
        <v>600</v>
      </c>
      <c r="M289" s="250">
        <v>1200</v>
      </c>
      <c r="N289" s="250">
        <v>1</v>
      </c>
      <c r="O289" s="250" t="s">
        <v>74</v>
      </c>
      <c r="P289" s="824"/>
      <c r="Q289" s="824"/>
      <c r="R289" s="824"/>
      <c r="S289" s="824">
        <v>0</v>
      </c>
      <c r="T289" s="824">
        <v>650</v>
      </c>
      <c r="U289" s="824">
        <v>42</v>
      </c>
      <c r="V289" s="824">
        <v>2</v>
      </c>
      <c r="W289" s="824">
        <v>108</v>
      </c>
      <c r="X289" s="824">
        <v>802</v>
      </c>
      <c r="Y289" s="824">
        <v>0</v>
      </c>
      <c r="Z289" s="967">
        <v>-66</v>
      </c>
      <c r="AA289" s="966">
        <v>0</v>
      </c>
      <c r="AB289" s="969">
        <v>0</v>
      </c>
      <c r="AC289" s="968">
        <v>-37.147500000000008</v>
      </c>
      <c r="AD289" s="969">
        <v>0</v>
      </c>
      <c r="AE289" s="264">
        <v>100</v>
      </c>
      <c r="AF289" s="264">
        <v>600</v>
      </c>
      <c r="AG289" s="264">
        <v>1200</v>
      </c>
      <c r="AH289" s="264">
        <v>1800</v>
      </c>
      <c r="AI289" s="973">
        <v>108</v>
      </c>
      <c r="AJ289" s="263">
        <v>100</v>
      </c>
      <c r="AK289" s="987">
        <v>1800</v>
      </c>
      <c r="AL289" s="263">
        <f>VLOOKUP(Tableau1[[#This Row],[Code PAS]],'Facturation PAS RIN5 RUN'!C:F,4,0)</f>
        <v>2</v>
      </c>
      <c r="AM289" s="263"/>
      <c r="AN289" s="263" t="b">
        <f>ROUND(Tableau1[[#This Row],[Montant Options coûts récurrents]],0)=ROUND(Tableau1[[#This Row],[GTRS1 (Coût Plage de support 24h/24 7j/7)]],0)</f>
        <v>0</v>
      </c>
      <c r="AO289" s="265" t="e">
        <f>_xlfn.XLOOKUP(Tableau1[[#This Row],[Code PAS]],'parc SATIN 08012026v'!K:K,'parc SATIN 08012026v'!#REF!,0,0)</f>
        <v>#REF!</v>
      </c>
      <c r="AP289" s="263" t="e">
        <f>VLOOKUP(Tableau1[[#This Row],[Code PAS]],#REF!,3,0)</f>
        <v>#REF!</v>
      </c>
      <c r="AQ289" s="263" t="e">
        <f>VLOOKUP(Tableau1[[#This Row],[Code PAS]],[14]Feuil1!$B:$G,6,0)</f>
        <v>#N/A</v>
      </c>
      <c r="AR289" s="263" t="str">
        <f>_xlfn.XLOOKUP(Tableau1[[#This Row],[Code PAS]],'Facturation PAS RIN5 RUN'!C:C,'Facturation PAS RIN5 RUN'!B:B,0,0)</f>
        <v>Bronze_100_0</v>
      </c>
      <c r="AS289" s="263" t="b">
        <f>Tableau1[[#This Row],[Etat facturation]]=Tableau1[[#This Row],[Index offre du fournisseur]]</f>
        <v>1</v>
      </c>
      <c r="AT289" s="250" t="str">
        <f>_xlfn.XLOOKUP(Tableau1[[#This Row],[Code PAS]],'parc SATIN 08012026v'!K:K,'parc SATIN 08012026v'!M:M,0,0)</f>
        <v>PARC</v>
      </c>
      <c r="AU289" s="250" t="str">
        <f>_xlfn.XLOOKUP(Tableau1[[#This Row],[Code PAS]],'parc SATIN 08012026v'!K:K,'parc SATIN 08012026v'!O:O,0,0)</f>
        <v>PARC</v>
      </c>
      <c r="AV289" s="251">
        <f>_xlfn.XLOOKUP(Tableau1[[#This Row],[Code PAS]],'parc SATIN 08012026v'!K:K,'parc SATIN 08012026v'!Q:Q,0,0)</f>
        <v>46076</v>
      </c>
      <c r="AW289" s="251" t="str">
        <f>_xlfn.XLOOKUP(Tableau1[[#This Row],[Code PAS]],'parc SATIN 08012026v'!K:K,'parc SATIN 08012026v'!S:S,0,0)</f>
        <v>change</v>
      </c>
      <c r="AX289" s="250" t="str">
        <f>_xlfn.XLOOKUP(Tableau1[[#This Row],[Code PAS]],'parc SATIN 08012026v'!K:K,'parc SATIN 08012026v'!AF:AF,0,0)</f>
        <v>100 Mb/s</v>
      </c>
      <c r="AY289" s="250" t="str">
        <f>MID(Tableau1[[#This Row],[Index offre du fournisseur]], FIND("_",Tableau1[[#This Row],[Index offre du fournisseur]])+1, FIND("_",Tableau1[[#This Row],[Index offre du fournisseur]],FIND("_",Tableau1[[#This Row],[Index offre du fournisseur]])+1)-FIND("_",Tableau1[[#This Row],[Index offre du fournisseur]])-1)</f>
        <v>100</v>
      </c>
      <c r="AZ289" s="250" t="s">
        <v>3081</v>
      </c>
    </row>
    <row r="290" spans="1:52" s="250" customFormat="1" ht="15" customHeight="1" x14ac:dyDescent="0.3">
      <c r="C290" s="249"/>
      <c r="D290" s="249"/>
      <c r="E290" s="250" t="s">
        <v>3125</v>
      </c>
      <c r="F290" s="984" t="s">
        <v>1019</v>
      </c>
      <c r="G290" s="250" t="s">
        <v>3126</v>
      </c>
      <c r="H290" s="250" t="s">
        <v>3126</v>
      </c>
      <c r="I290" s="250" t="s">
        <v>78</v>
      </c>
      <c r="J290" s="248" t="s">
        <v>2832</v>
      </c>
      <c r="L290" s="250">
        <v>1200</v>
      </c>
      <c r="M290" s="250">
        <v>28800</v>
      </c>
      <c r="N290" s="250">
        <v>15</v>
      </c>
      <c r="O290" s="250" t="s">
        <v>76</v>
      </c>
      <c r="P290" s="820"/>
      <c r="Q290" s="820">
        <v>500</v>
      </c>
      <c r="R290" s="820"/>
      <c r="S290" s="820">
        <v>500</v>
      </c>
      <c r="T290" s="824">
        <v>3261.6119818565899</v>
      </c>
      <c r="U290" s="824"/>
      <c r="V290" s="824"/>
      <c r="W290" s="824"/>
      <c r="X290" s="823">
        <v>3261.6119818565899</v>
      </c>
      <c r="Y290" s="824">
        <v>36</v>
      </c>
      <c r="Z290" s="966">
        <v>0</v>
      </c>
      <c r="AA290" s="966">
        <v>0</v>
      </c>
      <c r="AB290" s="969">
        <v>0</v>
      </c>
      <c r="AC290" s="969">
        <v>0</v>
      </c>
      <c r="AD290" s="969">
        <v>0</v>
      </c>
      <c r="AE290" s="264">
        <v>2000</v>
      </c>
      <c r="AF290" s="264">
        <v>1200</v>
      </c>
      <c r="AG290" s="264">
        <v>28800</v>
      </c>
      <c r="AH290" s="264">
        <v>30000</v>
      </c>
      <c r="AI290" s="973">
        <v>2592</v>
      </c>
      <c r="AJ290" s="263">
        <v>2000</v>
      </c>
      <c r="AK290" s="987">
        <v>30000</v>
      </c>
      <c r="AL290" s="263">
        <f>VLOOKUP(Tableau1[[#This Row],[Code PAS]],'Facturation PAS RIN5 RUN'!C:F,4,0)</f>
        <v>0</v>
      </c>
      <c r="AM290" s="263"/>
      <c r="AN290" s="263" t="b">
        <f>ROUND(Tableau1[[#This Row],[Montant Options coûts récurrents]],0)=ROUND(Tableau1[[#This Row],[GTRS1 (Coût Plage de support 24h/24 7j/7)]],0)</f>
        <v>0</v>
      </c>
      <c r="AO290" s="265" t="e">
        <f>_xlfn.XLOOKUP(Tableau1[[#This Row],[Code PAS]],'parc SATIN 08012026v'!K:K,'parc SATIN 08012026v'!#REF!,0,0)</f>
        <v>#REF!</v>
      </c>
      <c r="AP290" s="263" t="e">
        <f>VLOOKUP(Tableau1[[#This Row],[Code PAS]],#REF!,3,0)</f>
        <v>#REF!</v>
      </c>
      <c r="AQ290" s="263" t="e">
        <f>VLOOKUP(Tableau1[[#This Row],[Code PAS]],[14]Feuil1!$B:$G,6,0)</f>
        <v>#N/A</v>
      </c>
      <c r="AR290" s="263" t="str">
        <f>_xlfn.XLOOKUP(Tableau1[[#This Row],[Code PAS]],'Facturation PAS RIN5 RUN'!C:C,'Facturation PAS RIN5 RUN'!B:B,0,0)</f>
        <v>Platinum_Man_2000_0</v>
      </c>
      <c r="AS290" s="263" t="b">
        <f>Tableau1[[#This Row],[Etat facturation]]=Tableau1[[#This Row],[Index offre du fournisseur]]</f>
        <v>1</v>
      </c>
      <c r="AT290" s="250" t="str">
        <f>_xlfn.XLOOKUP(Tableau1[[#This Row],[Code PAS]],'parc SATIN 08012026v'!K:K,'parc SATIN 08012026v'!M:M,0,0)</f>
        <v>PARC</v>
      </c>
      <c r="AU290" s="250" t="str">
        <f>_xlfn.XLOOKUP(Tableau1[[#This Row],[Code PAS]],'parc SATIN 08012026v'!K:K,'parc SATIN 08012026v'!O:O,0,0)</f>
        <v>PARC</v>
      </c>
      <c r="AV290" s="251">
        <f>_xlfn.XLOOKUP(Tableau1[[#This Row],[Code PAS]],'parc SATIN 08012026v'!K:K,'parc SATIN 08012026v'!Q:Q,0,0)</f>
        <v>44140</v>
      </c>
      <c r="AW290" s="251" t="str">
        <f>_xlfn.XLOOKUP(Tableau1[[#This Row],[Code PAS]],'parc SATIN 08012026v'!K:K,'parc SATIN 08012026v'!S:S,0,0)</f>
        <v>change</v>
      </c>
      <c r="AX290" s="250" t="str">
        <f>_xlfn.XLOOKUP(Tableau1[[#This Row],[Code PAS]],'parc SATIN 08012026v'!K:K,'parc SATIN 08012026v'!AF:AF,0,0)</f>
        <v>2 Gbits/s</v>
      </c>
      <c r="AY290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2000</v>
      </c>
      <c r="AZ290" s="250" t="s">
        <v>3751</v>
      </c>
    </row>
    <row r="291" spans="1:52" s="250" customFormat="1" ht="15" customHeight="1" x14ac:dyDescent="0.3">
      <c r="A291" s="250" t="s">
        <v>2758</v>
      </c>
      <c r="C291" s="261">
        <v>46077</v>
      </c>
      <c r="D291" s="249"/>
      <c r="E291" s="250" t="s">
        <v>3172</v>
      </c>
      <c r="F291" s="985" t="s">
        <v>2512</v>
      </c>
      <c r="G291" s="250" t="s">
        <v>3208</v>
      </c>
      <c r="H291" s="250" t="s">
        <v>3208</v>
      </c>
      <c r="I291" s="250" t="s">
        <v>2817</v>
      </c>
      <c r="J291" s="248"/>
      <c r="L291" s="250">
        <v>500</v>
      </c>
      <c r="M291" s="250">
        <v>400</v>
      </c>
      <c r="N291" s="250">
        <v>1</v>
      </c>
      <c r="O291" s="250" t="s">
        <v>76</v>
      </c>
      <c r="P291" s="820"/>
      <c r="Q291" s="820">
        <v>260.78499999999997</v>
      </c>
      <c r="R291" s="820"/>
      <c r="S291" s="820">
        <v>260.78499999999997</v>
      </c>
      <c r="T291" s="824">
        <v>1715.6119818565901</v>
      </c>
      <c r="U291" s="824">
        <v>42</v>
      </c>
      <c r="V291" s="824"/>
      <c r="W291" s="825">
        <v>36</v>
      </c>
      <c r="X291" s="823">
        <v>1793.6119818565901</v>
      </c>
      <c r="Y291" s="824">
        <v>36</v>
      </c>
      <c r="Z291" s="967">
        <v>-36.978200000000015</v>
      </c>
      <c r="AA291" s="967">
        <v>-2.6229999999999976</v>
      </c>
      <c r="AB291" s="969">
        <v>0</v>
      </c>
      <c r="AC291" s="968">
        <v>-2.8851999999999975</v>
      </c>
      <c r="AD291" s="969">
        <v>0</v>
      </c>
      <c r="AE291" s="264">
        <v>50</v>
      </c>
      <c r="AF291" s="264">
        <v>500</v>
      </c>
      <c r="AG291" s="264">
        <v>400</v>
      </c>
      <c r="AH291" s="264">
        <v>900</v>
      </c>
      <c r="AI291" s="973">
        <v>36</v>
      </c>
      <c r="AJ291" s="263">
        <v>50</v>
      </c>
      <c r="AK291" s="987">
        <v>900</v>
      </c>
      <c r="AL291" s="263">
        <f>VLOOKUP(Tableau1[[#This Row],[Code PAS]],'Facturation PAS RIN5 RUN'!C:F,4,0)</f>
        <v>0</v>
      </c>
      <c r="AM291" s="263">
        <v>36</v>
      </c>
      <c r="AN291" s="263" t="b">
        <f>ROUND(Tableau1[[#This Row],[Montant Options coûts récurrents]],0)=ROUND(Tableau1[[#This Row],[GTRS1 (Coût Plage de support 24h/24 7j/7)]],0)</f>
        <v>0</v>
      </c>
      <c r="AO291" s="265" t="e">
        <f>_xlfn.XLOOKUP(Tableau1[[#This Row],[Code PAS]],'parc SATIN 08012026v'!K:K,'parc SATIN 08012026v'!#REF!,0,0)</f>
        <v>#REF!</v>
      </c>
      <c r="AP291" s="263" t="e">
        <f>VLOOKUP(Tableau1[[#This Row],[Code PAS]],#REF!,3,0)</f>
        <v>#REF!</v>
      </c>
      <c r="AQ291" s="263" t="str">
        <f>VLOOKUP(Tableau1[[#This Row],[Code PAS]],[14]Feuil1!$B:$G,6,0)</f>
        <v>24h/24 - 7j/7</v>
      </c>
      <c r="AR291" s="263" t="str">
        <f>_xlfn.XLOOKUP(Tableau1[[#This Row],[Code PAS]],'Facturation PAS RIN5 RUN'!C:C,'Facturation PAS RIN5 RUN'!B:B,0,0)</f>
        <v>Platinum_Man_50_0</v>
      </c>
      <c r="AS291" s="263" t="b">
        <f>Tableau1[[#This Row],[Etat facturation]]=Tableau1[[#This Row],[Index offre du fournisseur]]</f>
        <v>1</v>
      </c>
      <c r="AT291" s="250" t="str">
        <f>_xlfn.XLOOKUP(Tableau1[[#This Row],[Code PAS]],'parc SATIN 08012026v'!K:K,'parc SATIN 08012026v'!M:M,0,0)</f>
        <v>PARC</v>
      </c>
      <c r="AU291" s="250" t="str">
        <f>_xlfn.XLOOKUP(Tableau1[[#This Row],[Code PAS]],'parc SATIN 08012026v'!K:K,'parc SATIN 08012026v'!O:O,0,0)</f>
        <v>CARNET</v>
      </c>
      <c r="AV291" s="251">
        <f>_xlfn.XLOOKUP(Tableau1[[#This Row],[Code PAS]],'parc SATIN 08012026v'!K:K,'parc SATIN 08012026v'!Q:Q,0,0)</f>
        <v>0</v>
      </c>
      <c r="AW291" s="251" t="str">
        <f>_xlfn.XLOOKUP(Tableau1[[#This Row],[Code PAS]],'parc SATIN 08012026v'!K:K,'parc SATIN 08012026v'!S:S,0,0)</f>
        <v>change</v>
      </c>
      <c r="AX291" s="250" t="str">
        <f>_xlfn.XLOOKUP(Tableau1[[#This Row],[Code PAS]],'parc SATIN 08012026v'!K:K,'parc SATIN 08012026v'!AF:AF,0,0)</f>
        <v>50 Mb/s</v>
      </c>
      <c r="AY291" s="250" t="str">
        <f>MID(Tableau1[[#This Row],[Index offre du fournisseur]], FIND("_",Tableau1[[#This Row],[Index offre du fournisseur]],FIND("_",Tableau1[[#This Row],[Index offre du fournisseur]])+1)+1, FIND("_",Tableau1[[#This Row],[Index offre du fournisseur]],FIND("_",Tableau1[[#This Row],[Index offre du fournisseur]],FIND("_",Tableau1[[#This Row],[Index offre du fournisseur]])+1)+1) - FIND("_",Tableau1[[#This Row],[Index offre du fournisseur]],FIND("_",Tableau1[[#This Row],[Index offre du fournisseur]])+1)-1)</f>
        <v>50</v>
      </c>
    </row>
    <row r="292" spans="1:52" x14ac:dyDescent="0.3">
      <c r="P292" s="821"/>
      <c r="Q292" s="821"/>
      <c r="R292" s="821"/>
      <c r="S292" s="821"/>
      <c r="T292" s="821"/>
      <c r="U292" s="821"/>
      <c r="V292" s="821"/>
      <c r="W292" s="821"/>
      <c r="X292" s="821"/>
      <c r="Y292" s="821"/>
      <c r="Z292" s="821"/>
      <c r="AA292" s="821"/>
      <c r="AB292" s="821"/>
      <c r="AC292" s="821"/>
      <c r="AD292" s="821"/>
    </row>
    <row r="293" spans="1:52" x14ac:dyDescent="0.3">
      <c r="P293" s="821"/>
      <c r="Q293" s="821"/>
      <c r="R293" s="821"/>
      <c r="S293" s="821"/>
      <c r="T293" s="821"/>
      <c r="U293" s="821"/>
      <c r="V293" s="821"/>
      <c r="W293" s="821"/>
      <c r="X293" s="821"/>
      <c r="Y293" s="821"/>
      <c r="Z293" s="821"/>
      <c r="AA293" s="821"/>
      <c r="AB293" s="821"/>
      <c r="AC293" s="821"/>
      <c r="AD293" s="821"/>
    </row>
    <row r="294" spans="1:52" x14ac:dyDescent="0.3">
      <c r="P294" s="821"/>
      <c r="Q294" s="821"/>
      <c r="R294" s="821"/>
      <c r="S294" s="821"/>
      <c r="T294" s="821"/>
      <c r="U294" s="821"/>
      <c r="V294" s="821"/>
      <c r="W294" s="821"/>
      <c r="X294" s="821"/>
      <c r="Y294" s="821"/>
      <c r="Z294" s="821"/>
      <c r="AA294" s="821"/>
      <c r="AB294" s="821"/>
      <c r="AC294" s="821"/>
      <c r="AD294" s="821"/>
    </row>
    <row r="295" spans="1:52" x14ac:dyDescent="0.3">
      <c r="P295" s="821"/>
      <c r="Q295" s="821"/>
      <c r="R295" s="821"/>
      <c r="S295" s="821"/>
      <c r="T295" s="821"/>
      <c r="U295" s="821"/>
      <c r="V295" s="821"/>
      <c r="W295" s="821"/>
      <c r="X295" s="821"/>
      <c r="Y295" s="821"/>
      <c r="Z295" s="821"/>
      <c r="AA295" s="821"/>
      <c r="AB295" s="821"/>
      <c r="AC295" s="821"/>
      <c r="AD295" s="821"/>
    </row>
    <row r="296" spans="1:52" x14ac:dyDescent="0.3">
      <c r="P296" s="821"/>
      <c r="Q296" s="821"/>
      <c r="R296" s="821"/>
      <c r="S296" s="821"/>
      <c r="T296" s="821"/>
      <c r="U296" s="821"/>
      <c r="V296" s="821"/>
      <c r="W296" s="821"/>
      <c r="X296" s="821"/>
      <c r="Y296" s="821"/>
      <c r="Z296" s="821"/>
      <c r="AA296" s="821"/>
      <c r="AB296" s="821"/>
      <c r="AC296" s="821"/>
      <c r="AD296" s="821"/>
    </row>
    <row r="297" spans="1:52" x14ac:dyDescent="0.3">
      <c r="P297" s="821"/>
      <c r="Q297" s="821"/>
      <c r="R297" s="821"/>
      <c r="S297" s="821"/>
      <c r="T297" s="821"/>
      <c r="U297" s="821"/>
      <c r="V297" s="821"/>
      <c r="W297" s="821"/>
      <c r="X297" s="821"/>
      <c r="Y297" s="821"/>
      <c r="Z297" s="821"/>
      <c r="AA297" s="821"/>
      <c r="AB297" s="821"/>
      <c r="AC297" s="821"/>
      <c r="AD297" s="821"/>
    </row>
    <row r="298" spans="1:52" x14ac:dyDescent="0.3">
      <c r="P298" s="821"/>
      <c r="Q298" s="821"/>
      <c r="R298" s="821"/>
      <c r="S298" s="821"/>
      <c r="T298" s="821"/>
      <c r="U298" s="821"/>
      <c r="V298" s="821"/>
      <c r="W298" s="821"/>
      <c r="X298" s="821"/>
      <c r="Y298" s="821"/>
      <c r="Z298" s="821"/>
      <c r="AA298" s="821"/>
      <c r="AB298" s="821"/>
      <c r="AC298" s="821"/>
      <c r="AD298" s="821"/>
    </row>
    <row r="299" spans="1:52" x14ac:dyDescent="0.3">
      <c r="P299" s="821"/>
      <c r="Q299" s="821"/>
      <c r="R299" s="821"/>
      <c r="S299" s="821"/>
      <c r="T299" s="821"/>
      <c r="U299" s="821"/>
      <c r="V299" s="821"/>
      <c r="W299" s="821"/>
      <c r="X299" s="821"/>
      <c r="Y299" s="821"/>
      <c r="Z299" s="821"/>
      <c r="AA299" s="821"/>
      <c r="AB299" s="821"/>
      <c r="AC299" s="821"/>
      <c r="AD299" s="821"/>
    </row>
    <row r="300" spans="1:52" x14ac:dyDescent="0.3">
      <c r="P300" s="821"/>
      <c r="Q300" s="821"/>
      <c r="R300" s="821"/>
      <c r="S300" s="821"/>
      <c r="T300" s="821"/>
      <c r="U300" s="821"/>
      <c r="V300" s="821"/>
      <c r="W300" s="821"/>
      <c r="X300" s="821"/>
      <c r="Y300" s="821"/>
      <c r="Z300" s="821"/>
      <c r="AA300" s="821"/>
      <c r="AB300" s="821"/>
      <c r="AC300" s="821"/>
      <c r="AD300" s="821"/>
    </row>
    <row r="301" spans="1:52" x14ac:dyDescent="0.3">
      <c r="P301" s="821"/>
      <c r="Q301" s="821"/>
      <c r="R301" s="821"/>
      <c r="S301" s="821"/>
      <c r="T301" s="821"/>
      <c r="U301" s="821"/>
      <c r="V301" s="821"/>
      <c r="W301" s="821"/>
      <c r="X301" s="821"/>
      <c r="Y301" s="821"/>
      <c r="Z301" s="821"/>
      <c r="AA301" s="821"/>
      <c r="AB301" s="821"/>
      <c r="AC301" s="821"/>
      <c r="AD301" s="821"/>
    </row>
    <row r="302" spans="1:52" x14ac:dyDescent="0.3">
      <c r="P302" s="821"/>
      <c r="Q302" s="821"/>
      <c r="R302" s="821"/>
      <c r="S302" s="821"/>
      <c r="T302" s="821"/>
      <c r="U302" s="821"/>
      <c r="V302" s="821"/>
      <c r="W302" s="821"/>
      <c r="X302" s="821"/>
      <c r="Y302" s="821"/>
      <c r="Z302" s="821"/>
      <c r="AA302" s="821"/>
      <c r="AB302" s="821"/>
      <c r="AC302" s="821"/>
      <c r="AD302" s="821"/>
    </row>
    <row r="303" spans="1:52" x14ac:dyDescent="0.3">
      <c r="P303" s="821"/>
      <c r="Q303" s="821"/>
      <c r="R303" s="821"/>
      <c r="S303" s="821"/>
      <c r="T303" s="821"/>
      <c r="U303" s="821"/>
      <c r="V303" s="821"/>
      <c r="W303" s="821"/>
      <c r="X303" s="821"/>
      <c r="Y303" s="821"/>
      <c r="Z303" s="821"/>
      <c r="AA303" s="821"/>
      <c r="AB303" s="821"/>
      <c r="AC303" s="821"/>
      <c r="AD303" s="821"/>
    </row>
    <row r="304" spans="1:52" x14ac:dyDescent="0.3">
      <c r="P304" s="821"/>
      <c r="Q304" s="821"/>
      <c r="R304" s="821"/>
      <c r="S304" s="821"/>
      <c r="T304" s="821"/>
      <c r="U304" s="821"/>
      <c r="V304" s="821"/>
      <c r="W304" s="821"/>
      <c r="X304" s="821"/>
      <c r="Y304" s="821"/>
      <c r="Z304" s="821"/>
      <c r="AA304" s="821"/>
      <c r="AB304" s="821"/>
      <c r="AC304" s="821"/>
      <c r="AD304" s="821"/>
    </row>
    <row r="305" spans="16:30" x14ac:dyDescent="0.3">
      <c r="P305" s="821"/>
      <c r="Q305" s="821"/>
      <c r="R305" s="821"/>
      <c r="S305" s="821"/>
      <c r="T305" s="821"/>
      <c r="U305" s="821"/>
      <c r="V305" s="821"/>
      <c r="W305" s="821"/>
      <c r="X305" s="821"/>
      <c r="Y305" s="821"/>
      <c r="Z305" s="821"/>
      <c r="AA305" s="821"/>
      <c r="AB305" s="821"/>
      <c r="AC305" s="821"/>
      <c r="AD305" s="821"/>
    </row>
    <row r="306" spans="16:30" x14ac:dyDescent="0.3">
      <c r="P306" s="821"/>
      <c r="Q306" s="821"/>
      <c r="R306" s="821"/>
      <c r="S306" s="821"/>
      <c r="T306" s="821"/>
      <c r="U306" s="821"/>
      <c r="V306" s="821"/>
      <c r="W306" s="821"/>
      <c r="X306" s="821"/>
      <c r="Y306" s="821"/>
      <c r="Z306" s="821"/>
      <c r="AA306" s="821"/>
      <c r="AB306" s="821"/>
      <c r="AC306" s="821"/>
      <c r="AD306" s="821"/>
    </row>
    <row r="307" spans="16:30" x14ac:dyDescent="0.3">
      <c r="P307" s="821"/>
      <c r="Q307" s="821"/>
      <c r="R307" s="821"/>
      <c r="S307" s="821"/>
      <c r="T307" s="821"/>
      <c r="U307" s="821"/>
      <c r="V307" s="821"/>
      <c r="W307" s="821"/>
      <c r="X307" s="821"/>
      <c r="Y307" s="821"/>
      <c r="Z307" s="821"/>
      <c r="AA307" s="821"/>
      <c r="AB307" s="821"/>
      <c r="AC307" s="821"/>
      <c r="AD307" s="821"/>
    </row>
    <row r="308" spans="16:30" x14ac:dyDescent="0.3">
      <c r="P308" s="821"/>
      <c r="Q308" s="821"/>
      <c r="R308" s="821"/>
      <c r="S308" s="821"/>
      <c r="T308" s="821"/>
      <c r="U308" s="821"/>
      <c r="V308" s="821"/>
      <c r="W308" s="821"/>
      <c r="X308" s="821"/>
      <c r="Y308" s="821"/>
      <c r="Z308" s="821"/>
      <c r="AA308" s="821"/>
      <c r="AB308" s="821"/>
      <c r="AC308" s="821"/>
      <c r="AD308" s="821"/>
    </row>
    <row r="309" spans="16:30" x14ac:dyDescent="0.3">
      <c r="P309" s="821"/>
      <c r="Q309" s="821"/>
      <c r="R309" s="821"/>
      <c r="S309" s="821"/>
      <c r="T309" s="821"/>
      <c r="U309" s="821"/>
      <c r="V309" s="821"/>
      <c r="W309" s="821"/>
      <c r="X309" s="821"/>
      <c r="Y309" s="821"/>
      <c r="Z309" s="821"/>
      <c r="AA309" s="821"/>
      <c r="AB309" s="821"/>
      <c r="AC309" s="821"/>
      <c r="AD309" s="821"/>
    </row>
    <row r="310" spans="16:30" x14ac:dyDescent="0.3">
      <c r="P310" s="821"/>
      <c r="Q310" s="821"/>
      <c r="R310" s="821"/>
      <c r="S310" s="821"/>
      <c r="T310" s="821"/>
      <c r="U310" s="821"/>
      <c r="V310" s="821"/>
      <c r="W310" s="821"/>
      <c r="X310" s="821"/>
      <c r="Y310" s="821"/>
      <c r="Z310" s="821"/>
      <c r="AA310" s="821"/>
      <c r="AB310" s="821"/>
      <c r="AC310" s="821"/>
      <c r="AD310" s="821"/>
    </row>
    <row r="311" spans="16:30" x14ac:dyDescent="0.3">
      <c r="P311" s="821"/>
      <c r="Q311" s="821"/>
      <c r="R311" s="821"/>
      <c r="S311" s="821"/>
      <c r="T311" s="821"/>
      <c r="U311" s="821"/>
      <c r="V311" s="821"/>
      <c r="W311" s="821"/>
      <c r="X311" s="821"/>
      <c r="Y311" s="821"/>
      <c r="Z311" s="821"/>
      <c r="AA311" s="821"/>
      <c r="AB311" s="821"/>
      <c r="AC311" s="821"/>
      <c r="AD311" s="821"/>
    </row>
    <row r="312" spans="16:30" x14ac:dyDescent="0.3">
      <c r="P312" s="821"/>
      <c r="Q312" s="821"/>
      <c r="R312" s="821"/>
      <c r="S312" s="821"/>
      <c r="T312" s="821"/>
      <c r="U312" s="821"/>
      <c r="V312" s="821"/>
      <c r="W312" s="821"/>
      <c r="X312" s="821"/>
      <c r="Y312" s="821"/>
      <c r="Z312" s="821"/>
      <c r="AA312" s="821"/>
      <c r="AB312" s="821"/>
      <c r="AC312" s="821"/>
      <c r="AD312" s="821"/>
    </row>
    <row r="313" spans="16:30" x14ac:dyDescent="0.3">
      <c r="P313" s="821"/>
      <c r="Q313" s="821"/>
      <c r="R313" s="821"/>
      <c r="S313" s="821"/>
      <c r="T313" s="821"/>
      <c r="U313" s="821"/>
      <c r="V313" s="821"/>
      <c r="W313" s="821"/>
      <c r="X313" s="821"/>
      <c r="Y313" s="821"/>
      <c r="Z313" s="821"/>
      <c r="AA313" s="821"/>
      <c r="AB313" s="821"/>
      <c r="AC313" s="821"/>
      <c r="AD313" s="821"/>
    </row>
    <row r="314" spans="16:30" x14ac:dyDescent="0.3">
      <c r="P314" s="821"/>
      <c r="Q314" s="821"/>
      <c r="R314" s="821"/>
      <c r="S314" s="821"/>
      <c r="T314" s="821"/>
      <c r="U314" s="821"/>
      <c r="V314" s="821"/>
      <c r="W314" s="821"/>
      <c r="X314" s="821"/>
      <c r="Y314" s="821"/>
      <c r="Z314" s="821"/>
      <c r="AA314" s="821"/>
      <c r="AB314" s="821"/>
      <c r="AC314" s="821"/>
      <c r="AD314" s="821"/>
    </row>
    <row r="315" spans="16:30" x14ac:dyDescent="0.3">
      <c r="P315" s="821"/>
      <c r="Q315" s="821"/>
      <c r="R315" s="821"/>
      <c r="S315" s="821"/>
      <c r="T315" s="821"/>
      <c r="U315" s="821"/>
      <c r="V315" s="821"/>
      <c r="W315" s="821"/>
      <c r="X315" s="821"/>
      <c r="Y315" s="821"/>
      <c r="Z315" s="821"/>
      <c r="AA315" s="821"/>
      <c r="AB315" s="821"/>
      <c r="AC315" s="821"/>
      <c r="AD315" s="821"/>
    </row>
    <row r="316" spans="16:30" x14ac:dyDescent="0.3">
      <c r="P316" s="821"/>
      <c r="Q316" s="821"/>
      <c r="R316" s="821"/>
      <c r="S316" s="821"/>
      <c r="T316" s="821"/>
      <c r="U316" s="821"/>
      <c r="V316" s="821"/>
      <c r="W316" s="821"/>
      <c r="X316" s="821"/>
      <c r="Y316" s="821"/>
      <c r="Z316" s="821"/>
      <c r="AA316" s="821"/>
      <c r="AB316" s="821"/>
      <c r="AC316" s="821"/>
      <c r="AD316" s="821"/>
    </row>
    <row r="317" spans="16:30" x14ac:dyDescent="0.3">
      <c r="P317" s="821"/>
      <c r="Q317" s="821"/>
      <c r="R317" s="821"/>
      <c r="S317" s="821"/>
      <c r="T317" s="821"/>
      <c r="U317" s="821"/>
      <c r="V317" s="821"/>
      <c r="W317" s="821"/>
      <c r="X317" s="821"/>
      <c r="Y317" s="821"/>
      <c r="Z317" s="821"/>
      <c r="AA317" s="821"/>
      <c r="AB317" s="821"/>
      <c r="AC317" s="821"/>
      <c r="AD317" s="821"/>
    </row>
    <row r="318" spans="16:30" x14ac:dyDescent="0.3">
      <c r="P318" s="821"/>
      <c r="Q318" s="821"/>
      <c r="R318" s="821"/>
      <c r="S318" s="821"/>
      <c r="T318" s="821"/>
      <c r="U318" s="821"/>
      <c r="V318" s="821"/>
      <c r="W318" s="821"/>
      <c r="X318" s="821"/>
      <c r="Y318" s="821"/>
      <c r="Z318" s="821"/>
      <c r="AA318" s="821"/>
      <c r="AB318" s="821"/>
      <c r="AC318" s="821"/>
      <c r="AD318" s="821"/>
    </row>
    <row r="319" spans="16:30" x14ac:dyDescent="0.3">
      <c r="P319" s="821"/>
      <c r="Q319" s="821"/>
      <c r="R319" s="821"/>
      <c r="S319" s="821"/>
      <c r="T319" s="821"/>
      <c r="U319" s="821"/>
      <c r="V319" s="821"/>
      <c r="W319" s="821"/>
      <c r="X319" s="821"/>
      <c r="Y319" s="821"/>
      <c r="Z319" s="821"/>
      <c r="AA319" s="821"/>
      <c r="AB319" s="821"/>
      <c r="AC319" s="821"/>
      <c r="AD319" s="821"/>
    </row>
    <row r="320" spans="16:30" x14ac:dyDescent="0.3">
      <c r="P320" s="821"/>
      <c r="Q320" s="821"/>
      <c r="R320" s="821"/>
      <c r="S320" s="821"/>
      <c r="T320" s="821"/>
      <c r="U320" s="821"/>
      <c r="V320" s="821"/>
      <c r="W320" s="821"/>
      <c r="X320" s="821"/>
      <c r="Y320" s="821"/>
      <c r="Z320" s="821"/>
      <c r="AA320" s="821"/>
      <c r="AB320" s="821"/>
      <c r="AC320" s="821"/>
      <c r="AD320" s="821"/>
    </row>
    <row r="321" spans="16:30" x14ac:dyDescent="0.3">
      <c r="P321" s="821"/>
      <c r="Q321" s="821"/>
      <c r="R321" s="821"/>
      <c r="S321" s="821"/>
      <c r="T321" s="821"/>
      <c r="U321" s="821"/>
      <c r="V321" s="821"/>
      <c r="W321" s="821"/>
      <c r="X321" s="821"/>
      <c r="Y321" s="821"/>
      <c r="Z321" s="821"/>
      <c r="AA321" s="821"/>
      <c r="AB321" s="821"/>
      <c r="AC321" s="821"/>
      <c r="AD321" s="821"/>
    </row>
    <row r="322" spans="16:30" x14ac:dyDescent="0.3">
      <c r="P322" s="821"/>
      <c r="Q322" s="821"/>
      <c r="R322" s="821"/>
      <c r="S322" s="821"/>
      <c r="T322" s="821"/>
      <c r="U322" s="821"/>
      <c r="V322" s="821"/>
      <c r="W322" s="821"/>
      <c r="X322" s="821"/>
      <c r="Y322" s="821"/>
      <c r="Z322" s="821"/>
      <c r="AA322" s="821"/>
      <c r="AB322" s="821"/>
      <c r="AC322" s="821"/>
      <c r="AD322" s="821"/>
    </row>
    <row r="323" spans="16:30" x14ac:dyDescent="0.3">
      <c r="P323" s="821"/>
      <c r="Q323" s="821"/>
      <c r="R323" s="821"/>
      <c r="S323" s="821"/>
      <c r="T323" s="821"/>
      <c r="U323" s="821"/>
      <c r="V323" s="821"/>
      <c r="W323" s="821"/>
      <c r="X323" s="821"/>
      <c r="Y323" s="821"/>
      <c r="Z323" s="821"/>
      <c r="AA323" s="821"/>
      <c r="AB323" s="821"/>
      <c r="AC323" s="821"/>
      <c r="AD323" s="821"/>
    </row>
    <row r="324" spans="16:30" x14ac:dyDescent="0.3">
      <c r="P324" s="821"/>
      <c r="Q324" s="821"/>
      <c r="R324" s="821"/>
      <c r="S324" s="821"/>
      <c r="T324" s="821"/>
      <c r="U324" s="821"/>
      <c r="V324" s="821"/>
      <c r="W324" s="821"/>
      <c r="X324" s="821"/>
      <c r="Y324" s="821"/>
      <c r="Z324" s="821"/>
      <c r="AA324" s="821"/>
      <c r="AB324" s="821"/>
      <c r="AC324" s="821"/>
      <c r="AD324" s="821"/>
    </row>
    <row r="325" spans="16:30" x14ac:dyDescent="0.3">
      <c r="P325" s="821"/>
      <c r="Q325" s="821"/>
      <c r="R325" s="821"/>
      <c r="S325" s="821"/>
      <c r="T325" s="821"/>
      <c r="U325" s="821"/>
      <c r="V325" s="821"/>
      <c r="W325" s="821"/>
      <c r="X325" s="821"/>
      <c r="Y325" s="821"/>
      <c r="Z325" s="821"/>
      <c r="AA325" s="821"/>
      <c r="AB325" s="821"/>
      <c r="AC325" s="821"/>
      <c r="AD325" s="821"/>
    </row>
    <row r="326" spans="16:30" x14ac:dyDescent="0.3">
      <c r="P326" s="821"/>
      <c r="Q326" s="821"/>
      <c r="R326" s="821"/>
      <c r="S326" s="821"/>
      <c r="T326" s="821"/>
      <c r="U326" s="821"/>
      <c r="V326" s="821"/>
      <c r="W326" s="821"/>
      <c r="X326" s="821"/>
      <c r="Y326" s="821"/>
      <c r="Z326" s="821"/>
      <c r="AA326" s="821"/>
      <c r="AB326" s="821"/>
      <c r="AC326" s="821"/>
      <c r="AD326" s="821"/>
    </row>
    <row r="327" spans="16:30" x14ac:dyDescent="0.3">
      <c r="P327" s="821"/>
      <c r="Q327" s="821"/>
      <c r="R327" s="821"/>
      <c r="S327" s="821"/>
      <c r="T327" s="821"/>
      <c r="U327" s="821"/>
      <c r="V327" s="821"/>
      <c r="W327" s="821"/>
      <c r="X327" s="821"/>
      <c r="Y327" s="821"/>
      <c r="Z327" s="821"/>
      <c r="AA327" s="821"/>
      <c r="AB327" s="821"/>
      <c r="AC327" s="821"/>
      <c r="AD327" s="821"/>
    </row>
    <row r="328" spans="16:30" x14ac:dyDescent="0.3">
      <c r="P328" s="821"/>
      <c r="Q328" s="821"/>
      <c r="R328" s="821"/>
      <c r="S328" s="821"/>
      <c r="T328" s="821"/>
      <c r="U328" s="821"/>
      <c r="V328" s="821"/>
      <c r="W328" s="821"/>
      <c r="X328" s="821"/>
      <c r="Y328" s="821"/>
      <c r="Z328" s="821"/>
      <c r="AA328" s="821"/>
      <c r="AB328" s="821"/>
      <c r="AC328" s="821"/>
      <c r="AD328" s="821"/>
    </row>
    <row r="329" spans="16:30" x14ac:dyDescent="0.3">
      <c r="P329" s="821"/>
      <c r="Q329" s="821"/>
      <c r="R329" s="821"/>
      <c r="S329" s="821"/>
      <c r="T329" s="821"/>
      <c r="U329" s="821"/>
      <c r="V329" s="821"/>
      <c r="W329" s="821"/>
      <c r="X329" s="821"/>
      <c r="Y329" s="821"/>
      <c r="Z329" s="821"/>
      <c r="AA329" s="821"/>
      <c r="AB329" s="821"/>
      <c r="AC329" s="821"/>
      <c r="AD329" s="821"/>
    </row>
    <row r="330" spans="16:30" x14ac:dyDescent="0.3">
      <c r="P330" s="821"/>
      <c r="Q330" s="821"/>
      <c r="R330" s="821"/>
      <c r="S330" s="821"/>
      <c r="T330" s="821"/>
      <c r="U330" s="821"/>
      <c r="V330" s="821"/>
      <c r="W330" s="821"/>
      <c r="X330" s="821"/>
      <c r="Y330" s="821"/>
      <c r="Z330" s="821"/>
      <c r="AA330" s="821"/>
      <c r="AB330" s="821"/>
      <c r="AC330" s="821"/>
      <c r="AD330" s="821"/>
    </row>
    <row r="331" spans="16:30" x14ac:dyDescent="0.3">
      <c r="P331" s="821"/>
      <c r="Q331" s="821"/>
      <c r="R331" s="821"/>
      <c r="S331" s="821"/>
      <c r="T331" s="821"/>
      <c r="U331" s="821"/>
      <c r="V331" s="821"/>
      <c r="W331" s="821"/>
      <c r="X331" s="821"/>
      <c r="Y331" s="821"/>
      <c r="Z331" s="821"/>
      <c r="AA331" s="821"/>
      <c r="AB331" s="821"/>
      <c r="AC331" s="821"/>
      <c r="AD331" s="821"/>
    </row>
    <row r="332" spans="16:30" x14ac:dyDescent="0.3">
      <c r="P332" s="821"/>
      <c r="Q332" s="821"/>
      <c r="R332" s="821"/>
      <c r="S332" s="821"/>
      <c r="T332" s="821"/>
      <c r="U332" s="821"/>
      <c r="V332" s="821"/>
      <c r="W332" s="821"/>
      <c r="X332" s="821"/>
      <c r="Y332" s="821"/>
      <c r="Z332" s="821"/>
      <c r="AA332" s="821"/>
      <c r="AB332" s="821"/>
      <c r="AC332" s="821"/>
      <c r="AD332" s="821"/>
    </row>
    <row r="333" spans="16:30" x14ac:dyDescent="0.3">
      <c r="P333" s="821"/>
      <c r="Q333" s="821"/>
      <c r="R333" s="821"/>
      <c r="S333" s="821"/>
      <c r="T333" s="821"/>
      <c r="U333" s="821"/>
      <c r="V333" s="821"/>
      <c r="W333" s="821"/>
      <c r="X333" s="821"/>
      <c r="Y333" s="821"/>
      <c r="Z333" s="821"/>
      <c r="AA333" s="821"/>
      <c r="AB333" s="821"/>
      <c r="AC333" s="821"/>
      <c r="AD333" s="821"/>
    </row>
    <row r="334" spans="16:30" x14ac:dyDescent="0.3">
      <c r="P334" s="821"/>
      <c r="Q334" s="821"/>
      <c r="R334" s="821"/>
      <c r="S334" s="821"/>
      <c r="T334" s="821"/>
      <c r="U334" s="821"/>
      <c r="V334" s="821"/>
      <c r="W334" s="821"/>
      <c r="X334" s="821"/>
      <c r="Y334" s="821"/>
      <c r="Z334" s="821"/>
      <c r="AA334" s="821"/>
      <c r="AB334" s="821"/>
      <c r="AC334" s="821"/>
      <c r="AD334" s="821"/>
    </row>
    <row r="335" spans="16:30" x14ac:dyDescent="0.3">
      <c r="P335" s="821"/>
      <c r="Q335" s="821"/>
      <c r="R335" s="821"/>
      <c r="S335" s="821"/>
      <c r="T335" s="821"/>
      <c r="U335" s="821"/>
      <c r="V335" s="821"/>
      <c r="W335" s="821"/>
      <c r="X335" s="821"/>
      <c r="Y335" s="821"/>
      <c r="Z335" s="821"/>
      <c r="AA335" s="821"/>
      <c r="AB335" s="821"/>
      <c r="AC335" s="821"/>
      <c r="AD335" s="821"/>
    </row>
    <row r="336" spans="16:30" x14ac:dyDescent="0.3">
      <c r="P336" s="821"/>
      <c r="Q336" s="821"/>
      <c r="R336" s="821"/>
      <c r="S336" s="821"/>
      <c r="T336" s="821"/>
      <c r="U336" s="821"/>
      <c r="V336" s="821"/>
      <c r="W336" s="821"/>
      <c r="X336" s="821"/>
      <c r="Y336" s="821"/>
      <c r="Z336" s="821"/>
      <c r="AA336" s="821"/>
      <c r="AB336" s="821"/>
      <c r="AC336" s="821"/>
      <c r="AD336" s="821"/>
    </row>
    <row r="337" spans="16:30" x14ac:dyDescent="0.3">
      <c r="P337" s="821"/>
      <c r="Q337" s="821"/>
      <c r="R337" s="821"/>
      <c r="S337" s="821"/>
      <c r="T337" s="821"/>
      <c r="U337" s="821"/>
      <c r="V337" s="821"/>
      <c r="W337" s="821"/>
      <c r="X337" s="821"/>
      <c r="Y337" s="821"/>
      <c r="Z337" s="821"/>
      <c r="AA337" s="821"/>
      <c r="AB337" s="821"/>
      <c r="AC337" s="821"/>
      <c r="AD337" s="821"/>
    </row>
    <row r="338" spans="16:30" x14ac:dyDescent="0.3">
      <c r="P338" s="821"/>
      <c r="Q338" s="821"/>
      <c r="R338" s="821"/>
      <c r="S338" s="821"/>
      <c r="T338" s="821"/>
      <c r="U338" s="821"/>
      <c r="V338" s="821"/>
      <c r="W338" s="821"/>
      <c r="X338" s="821"/>
      <c r="Y338" s="821"/>
      <c r="Z338" s="821"/>
      <c r="AA338" s="821"/>
      <c r="AB338" s="821"/>
      <c r="AC338" s="821"/>
      <c r="AD338" s="821"/>
    </row>
    <row r="339" spans="16:30" x14ac:dyDescent="0.3">
      <c r="P339" s="821"/>
      <c r="Q339" s="821"/>
      <c r="R339" s="821"/>
      <c r="S339" s="821"/>
      <c r="T339" s="821"/>
      <c r="U339" s="821"/>
      <c r="V339" s="821"/>
      <c r="W339" s="821"/>
      <c r="X339" s="821"/>
      <c r="Y339" s="821"/>
      <c r="Z339" s="821"/>
      <c r="AA339" s="821"/>
      <c r="AB339" s="821"/>
      <c r="AC339" s="821"/>
      <c r="AD339" s="821"/>
    </row>
    <row r="340" spans="16:30" x14ac:dyDescent="0.3">
      <c r="P340" s="821"/>
      <c r="Q340" s="821"/>
      <c r="R340" s="821"/>
      <c r="S340" s="821"/>
      <c r="T340" s="821"/>
      <c r="U340" s="821"/>
      <c r="V340" s="821"/>
      <c r="W340" s="821"/>
      <c r="X340" s="821"/>
      <c r="Y340" s="821"/>
      <c r="Z340" s="821"/>
      <c r="AA340" s="821"/>
      <c r="AB340" s="821"/>
      <c r="AC340" s="821"/>
      <c r="AD340" s="821"/>
    </row>
    <row r="341" spans="16:30" x14ac:dyDescent="0.3">
      <c r="P341" s="821"/>
      <c r="Q341" s="821"/>
      <c r="R341" s="821"/>
      <c r="S341" s="821"/>
      <c r="T341" s="821"/>
      <c r="U341" s="821"/>
      <c r="V341" s="821"/>
      <c r="W341" s="821"/>
      <c r="X341" s="821"/>
      <c r="Y341" s="821"/>
      <c r="Z341" s="821"/>
      <c r="AA341" s="821"/>
      <c r="AB341" s="821"/>
      <c r="AC341" s="821"/>
      <c r="AD341" s="821"/>
    </row>
    <row r="342" spans="16:30" x14ac:dyDescent="0.3">
      <c r="P342" s="821"/>
      <c r="Q342" s="821"/>
      <c r="R342" s="821"/>
      <c r="S342" s="821"/>
      <c r="T342" s="821"/>
      <c r="U342" s="821"/>
      <c r="V342" s="821"/>
      <c r="W342" s="821"/>
      <c r="X342" s="821"/>
      <c r="Y342" s="821"/>
      <c r="Z342" s="821"/>
      <c r="AA342" s="821"/>
      <c r="AB342" s="821"/>
      <c r="AC342" s="821"/>
      <c r="AD342" s="821"/>
    </row>
    <row r="343" spans="16:30" x14ac:dyDescent="0.3">
      <c r="P343" s="821"/>
      <c r="Q343" s="821"/>
      <c r="R343" s="821"/>
      <c r="S343" s="821"/>
      <c r="T343" s="821"/>
      <c r="U343" s="821"/>
      <c r="V343" s="821"/>
      <c r="W343" s="821"/>
      <c r="X343" s="821"/>
      <c r="Y343" s="821"/>
      <c r="Z343" s="821"/>
      <c r="AA343" s="821"/>
      <c r="AB343" s="821"/>
      <c r="AC343" s="821"/>
      <c r="AD343" s="821"/>
    </row>
    <row r="344" spans="16:30" x14ac:dyDescent="0.3">
      <c r="P344" s="821"/>
      <c r="Q344" s="821"/>
      <c r="R344" s="821"/>
      <c r="S344" s="821"/>
      <c r="T344" s="821"/>
      <c r="U344" s="821"/>
      <c r="V344" s="821"/>
      <c r="W344" s="821"/>
      <c r="X344" s="821"/>
      <c r="Y344" s="821"/>
      <c r="Z344" s="821"/>
      <c r="AA344" s="821"/>
      <c r="AB344" s="821"/>
      <c r="AC344" s="821"/>
      <c r="AD344" s="821"/>
    </row>
    <row r="345" spans="16:30" x14ac:dyDescent="0.3">
      <c r="P345" s="821"/>
      <c r="Q345" s="821"/>
      <c r="R345" s="821"/>
      <c r="S345" s="821"/>
      <c r="T345" s="821"/>
      <c r="U345" s="821"/>
      <c r="V345" s="821"/>
      <c r="W345" s="821"/>
      <c r="X345" s="821"/>
      <c r="Y345" s="821"/>
      <c r="Z345" s="821"/>
      <c r="AA345" s="821"/>
      <c r="AB345" s="821"/>
      <c r="AC345" s="821"/>
      <c r="AD345" s="821"/>
    </row>
    <row r="346" spans="16:30" x14ac:dyDescent="0.3">
      <c r="P346" s="821"/>
      <c r="Q346" s="821"/>
      <c r="R346" s="821"/>
      <c r="S346" s="821"/>
      <c r="T346" s="821"/>
      <c r="U346" s="821"/>
      <c r="V346" s="821"/>
      <c r="W346" s="821"/>
      <c r="X346" s="821"/>
      <c r="Y346" s="821"/>
      <c r="Z346" s="821"/>
      <c r="AA346" s="821"/>
      <c r="AB346" s="821"/>
      <c r="AC346" s="821"/>
      <c r="AD346" s="821"/>
    </row>
    <row r="347" spans="16:30" x14ac:dyDescent="0.3">
      <c r="P347" s="821"/>
      <c r="Q347" s="821"/>
      <c r="R347" s="821"/>
      <c r="S347" s="821"/>
      <c r="T347" s="821"/>
      <c r="U347" s="821"/>
      <c r="V347" s="821"/>
      <c r="W347" s="821"/>
      <c r="X347" s="821"/>
      <c r="Y347" s="821"/>
      <c r="Z347" s="821"/>
      <c r="AA347" s="821"/>
      <c r="AB347" s="821"/>
      <c r="AC347" s="821"/>
      <c r="AD347" s="821"/>
    </row>
    <row r="348" spans="16:30" x14ac:dyDescent="0.3">
      <c r="P348" s="821"/>
      <c r="Q348" s="821"/>
      <c r="R348" s="821"/>
      <c r="S348" s="821"/>
      <c r="T348" s="821"/>
      <c r="U348" s="821"/>
      <c r="V348" s="821"/>
      <c r="W348" s="821"/>
      <c r="X348" s="821"/>
      <c r="Y348" s="821"/>
      <c r="Z348" s="821"/>
      <c r="AA348" s="821"/>
      <c r="AB348" s="821"/>
      <c r="AC348" s="821"/>
      <c r="AD348" s="821"/>
    </row>
    <row r="349" spans="16:30" x14ac:dyDescent="0.3">
      <c r="P349" s="821"/>
      <c r="Q349" s="821"/>
      <c r="R349" s="821"/>
      <c r="S349" s="821"/>
      <c r="T349" s="821"/>
      <c r="U349" s="821"/>
      <c r="V349" s="821"/>
      <c r="W349" s="821"/>
      <c r="X349" s="821"/>
      <c r="Y349" s="821"/>
      <c r="Z349" s="821"/>
      <c r="AA349" s="821"/>
      <c r="AB349" s="821"/>
      <c r="AC349" s="821"/>
      <c r="AD349" s="821"/>
    </row>
    <row r="350" spans="16:30" x14ac:dyDescent="0.3">
      <c r="P350" s="821"/>
      <c r="Q350" s="821"/>
      <c r="R350" s="821"/>
      <c r="S350" s="821"/>
      <c r="T350" s="821"/>
      <c r="U350" s="821"/>
      <c r="V350" s="821"/>
      <c r="W350" s="821"/>
      <c r="X350" s="821"/>
      <c r="Y350" s="821"/>
      <c r="Z350" s="821"/>
      <c r="AA350" s="821"/>
      <c r="AB350" s="821"/>
      <c r="AC350" s="821"/>
      <c r="AD350" s="821"/>
    </row>
    <row r="351" spans="16:30" x14ac:dyDescent="0.3">
      <c r="P351" s="821"/>
      <c r="Q351" s="821"/>
      <c r="R351" s="821"/>
      <c r="S351" s="821"/>
      <c r="T351" s="821"/>
      <c r="U351" s="821"/>
      <c r="V351" s="821"/>
      <c r="W351" s="821"/>
      <c r="X351" s="821"/>
      <c r="Y351" s="821"/>
      <c r="Z351" s="821"/>
      <c r="AA351" s="821"/>
      <c r="AB351" s="821"/>
      <c r="AC351" s="821"/>
      <c r="AD351" s="821"/>
    </row>
    <row r="352" spans="16:30" x14ac:dyDescent="0.3">
      <c r="P352" s="821"/>
      <c r="Q352" s="821"/>
      <c r="R352" s="821"/>
      <c r="S352" s="821"/>
      <c r="T352" s="821"/>
      <c r="U352" s="821"/>
      <c r="V352" s="821"/>
      <c r="W352" s="821"/>
      <c r="X352" s="821"/>
      <c r="Y352" s="821"/>
      <c r="Z352" s="821"/>
      <c r="AA352" s="821"/>
      <c r="AB352" s="821"/>
      <c r="AC352" s="821"/>
      <c r="AD352" s="821"/>
    </row>
    <row r="353" spans="16:30" x14ac:dyDescent="0.3">
      <c r="P353" s="821"/>
      <c r="Q353" s="821"/>
      <c r="R353" s="821"/>
      <c r="S353" s="821"/>
      <c r="T353" s="821"/>
      <c r="U353" s="821"/>
      <c r="V353" s="821"/>
      <c r="W353" s="821"/>
      <c r="X353" s="821"/>
      <c r="Y353" s="821"/>
      <c r="Z353" s="821"/>
      <c r="AA353" s="821"/>
      <c r="AB353" s="821"/>
      <c r="AC353" s="821"/>
      <c r="AD353" s="821"/>
    </row>
    <row r="354" spans="16:30" x14ac:dyDescent="0.3">
      <c r="P354" s="821"/>
      <c r="Q354" s="821"/>
      <c r="R354" s="821"/>
      <c r="S354" s="821"/>
      <c r="T354" s="821"/>
      <c r="U354" s="821"/>
      <c r="V354" s="821"/>
      <c r="W354" s="821"/>
      <c r="X354" s="821"/>
      <c r="Y354" s="821"/>
      <c r="Z354" s="821"/>
      <c r="AA354" s="821"/>
      <c r="AB354" s="821"/>
      <c r="AC354" s="821"/>
      <c r="AD354" s="821"/>
    </row>
    <row r="355" spans="16:30" x14ac:dyDescent="0.3">
      <c r="P355" s="821"/>
      <c r="Q355" s="821"/>
      <c r="R355" s="821"/>
      <c r="S355" s="821"/>
      <c r="T355" s="821"/>
      <c r="U355" s="821"/>
      <c r="V355" s="821"/>
      <c r="W355" s="821"/>
      <c r="X355" s="821"/>
      <c r="Y355" s="821"/>
      <c r="Z355" s="821"/>
      <c r="AA355" s="821"/>
      <c r="AB355" s="821"/>
      <c r="AC355" s="821"/>
      <c r="AD355" s="821"/>
    </row>
    <row r="356" spans="16:30" x14ac:dyDescent="0.3">
      <c r="P356" s="821"/>
      <c r="Q356" s="821"/>
      <c r="R356" s="821"/>
      <c r="S356" s="821"/>
      <c r="T356" s="821"/>
      <c r="U356" s="821"/>
      <c r="V356" s="821"/>
      <c r="W356" s="821"/>
      <c r="X356" s="821"/>
      <c r="Y356" s="821"/>
      <c r="Z356" s="821"/>
      <c r="AA356" s="821"/>
      <c r="AB356" s="821"/>
      <c r="AC356" s="821"/>
      <c r="AD356" s="821"/>
    </row>
    <row r="357" spans="16:30" x14ac:dyDescent="0.3">
      <c r="P357" s="821"/>
      <c r="Q357" s="821"/>
      <c r="R357" s="821"/>
      <c r="S357" s="821"/>
      <c r="T357" s="821"/>
      <c r="U357" s="821"/>
      <c r="V357" s="821"/>
      <c r="W357" s="821"/>
      <c r="X357" s="821"/>
      <c r="Y357" s="821"/>
      <c r="Z357" s="821"/>
      <c r="AA357" s="821"/>
      <c r="AB357" s="821"/>
      <c r="AC357" s="821"/>
      <c r="AD357" s="821"/>
    </row>
    <row r="358" spans="16:30" x14ac:dyDescent="0.3">
      <c r="P358" s="821"/>
      <c r="Q358" s="821"/>
      <c r="R358" s="821"/>
      <c r="S358" s="821"/>
      <c r="T358" s="821"/>
      <c r="U358" s="821"/>
      <c r="V358" s="821"/>
      <c r="W358" s="821"/>
      <c r="X358" s="821"/>
      <c r="Y358" s="821"/>
      <c r="Z358" s="821"/>
      <c r="AA358" s="821"/>
      <c r="AB358" s="821"/>
      <c r="AC358" s="821"/>
      <c r="AD358" s="821"/>
    </row>
    <row r="359" spans="16:30" x14ac:dyDescent="0.3">
      <c r="P359" s="821"/>
      <c r="Q359" s="821"/>
      <c r="R359" s="821"/>
      <c r="S359" s="821"/>
      <c r="T359" s="821"/>
      <c r="U359" s="821"/>
      <c r="V359" s="821"/>
      <c r="W359" s="821"/>
      <c r="X359" s="821"/>
      <c r="Y359" s="821"/>
      <c r="Z359" s="821"/>
      <c r="AA359" s="821"/>
      <c r="AB359" s="821"/>
      <c r="AC359" s="821"/>
      <c r="AD359" s="821"/>
    </row>
    <row r="360" spans="16:30" x14ac:dyDescent="0.3">
      <c r="P360" s="821"/>
      <c r="Q360" s="821"/>
      <c r="R360" s="821"/>
      <c r="S360" s="821"/>
      <c r="T360" s="821"/>
      <c r="U360" s="821"/>
      <c r="V360" s="821"/>
      <c r="W360" s="821"/>
      <c r="X360" s="821"/>
      <c r="Y360" s="821"/>
      <c r="Z360" s="821"/>
      <c r="AA360" s="821"/>
      <c r="AB360" s="821"/>
      <c r="AC360" s="821"/>
      <c r="AD360" s="821"/>
    </row>
    <row r="361" spans="16:30" x14ac:dyDescent="0.3">
      <c r="P361" s="821"/>
      <c r="Q361" s="821"/>
      <c r="R361" s="821"/>
      <c r="S361" s="821"/>
      <c r="T361" s="821"/>
      <c r="U361" s="821"/>
      <c r="V361" s="821"/>
      <c r="W361" s="821"/>
      <c r="X361" s="821"/>
      <c r="Y361" s="821"/>
      <c r="Z361" s="821"/>
      <c r="AA361" s="821"/>
      <c r="AB361" s="821"/>
      <c r="AC361" s="821"/>
      <c r="AD361" s="821"/>
    </row>
    <row r="362" spans="16:30" x14ac:dyDescent="0.3">
      <c r="P362" s="821"/>
      <c r="Q362" s="821"/>
      <c r="R362" s="821"/>
      <c r="S362" s="821"/>
      <c r="T362" s="821"/>
      <c r="U362" s="821"/>
      <c r="V362" s="821"/>
      <c r="W362" s="821"/>
      <c r="X362" s="821"/>
      <c r="Y362" s="821"/>
      <c r="Z362" s="821"/>
      <c r="AA362" s="821"/>
      <c r="AB362" s="821"/>
      <c r="AC362" s="821"/>
      <c r="AD362" s="821"/>
    </row>
    <row r="363" spans="16:30" x14ac:dyDescent="0.3">
      <c r="P363" s="821"/>
      <c r="Q363" s="821"/>
      <c r="R363" s="821"/>
      <c r="S363" s="821"/>
      <c r="T363" s="821"/>
      <c r="U363" s="821"/>
      <c r="V363" s="821"/>
      <c r="W363" s="821"/>
      <c r="X363" s="821"/>
      <c r="Y363" s="821"/>
      <c r="Z363" s="821"/>
      <c r="AA363" s="821"/>
      <c r="AB363" s="821"/>
      <c r="AC363" s="821"/>
      <c r="AD363" s="821"/>
    </row>
    <row r="364" spans="16:30" x14ac:dyDescent="0.3">
      <c r="P364" s="821"/>
      <c r="Q364" s="821"/>
      <c r="R364" s="821"/>
      <c r="S364" s="821"/>
      <c r="T364" s="821"/>
      <c r="U364" s="821"/>
      <c r="V364" s="821"/>
      <c r="W364" s="821"/>
      <c r="X364" s="821"/>
      <c r="Y364" s="821"/>
      <c r="Z364" s="821"/>
      <c r="AA364" s="821"/>
      <c r="AB364" s="821"/>
      <c r="AC364" s="821"/>
      <c r="AD364" s="821"/>
    </row>
    <row r="365" spans="16:30" x14ac:dyDescent="0.3">
      <c r="P365" s="821"/>
      <c r="Q365" s="821"/>
      <c r="R365" s="821"/>
      <c r="S365" s="821"/>
      <c r="T365" s="821"/>
      <c r="U365" s="821"/>
      <c r="V365" s="821"/>
      <c r="W365" s="821"/>
      <c r="X365" s="821"/>
      <c r="Y365" s="821"/>
      <c r="Z365" s="821"/>
      <c r="AA365" s="821"/>
      <c r="AB365" s="821"/>
      <c r="AC365" s="821"/>
      <c r="AD365" s="821"/>
    </row>
    <row r="366" spans="16:30" x14ac:dyDescent="0.3">
      <c r="P366" s="821"/>
      <c r="Q366" s="821"/>
      <c r="R366" s="821"/>
      <c r="S366" s="821"/>
      <c r="T366" s="821"/>
      <c r="U366" s="821"/>
      <c r="V366" s="821"/>
      <c r="W366" s="821"/>
      <c r="X366" s="821"/>
      <c r="Y366" s="821"/>
      <c r="Z366" s="821"/>
      <c r="AA366" s="821"/>
      <c r="AB366" s="821"/>
      <c r="AC366" s="821"/>
      <c r="AD366" s="821"/>
    </row>
    <row r="367" spans="16:30" x14ac:dyDescent="0.3">
      <c r="P367" s="821"/>
      <c r="Q367" s="821"/>
      <c r="R367" s="821"/>
      <c r="S367" s="821"/>
      <c r="T367" s="821"/>
      <c r="U367" s="821"/>
      <c r="V367" s="821"/>
      <c r="W367" s="821"/>
      <c r="X367" s="821"/>
      <c r="Y367" s="821"/>
      <c r="Z367" s="821"/>
      <c r="AA367" s="821"/>
      <c r="AB367" s="821"/>
      <c r="AC367" s="821"/>
      <c r="AD367" s="821"/>
    </row>
    <row r="368" spans="16:30" x14ac:dyDescent="0.3">
      <c r="P368" s="821"/>
      <c r="Q368" s="821"/>
      <c r="R368" s="821"/>
      <c r="S368" s="821"/>
      <c r="T368" s="821"/>
      <c r="U368" s="821"/>
      <c r="V368" s="821"/>
      <c r="W368" s="821"/>
      <c r="X368" s="821"/>
      <c r="Y368" s="821"/>
      <c r="Z368" s="821"/>
      <c r="AA368" s="821"/>
      <c r="AB368" s="821"/>
      <c r="AC368" s="821"/>
      <c r="AD368" s="821"/>
    </row>
    <row r="369" spans="16:30" x14ac:dyDescent="0.3">
      <c r="P369" s="821"/>
      <c r="Q369" s="821"/>
      <c r="R369" s="821"/>
      <c r="S369" s="821"/>
      <c r="T369" s="821"/>
      <c r="U369" s="821"/>
      <c r="V369" s="821"/>
      <c r="W369" s="821"/>
      <c r="X369" s="821"/>
      <c r="Y369" s="821"/>
      <c r="Z369" s="821"/>
      <c r="AA369" s="821"/>
      <c r="AB369" s="821"/>
      <c r="AC369" s="821"/>
      <c r="AD369" s="821"/>
    </row>
    <row r="370" spans="16:30" x14ac:dyDescent="0.3">
      <c r="P370" s="821"/>
      <c r="Q370" s="821"/>
      <c r="R370" s="821"/>
      <c r="S370" s="821"/>
      <c r="T370" s="821"/>
      <c r="U370" s="821"/>
      <c r="V370" s="821"/>
      <c r="W370" s="821"/>
      <c r="X370" s="821"/>
      <c r="Y370" s="821"/>
      <c r="Z370" s="821"/>
      <c r="AA370" s="821"/>
      <c r="AB370" s="821"/>
      <c r="AC370" s="821"/>
      <c r="AD370" s="821"/>
    </row>
    <row r="371" spans="16:30" x14ac:dyDescent="0.3">
      <c r="P371" s="821"/>
      <c r="Q371" s="821"/>
      <c r="R371" s="821"/>
      <c r="S371" s="821"/>
      <c r="T371" s="821"/>
      <c r="U371" s="821"/>
      <c r="V371" s="821"/>
      <c r="W371" s="821"/>
      <c r="X371" s="821"/>
      <c r="Y371" s="821"/>
      <c r="Z371" s="821"/>
      <c r="AA371" s="821"/>
      <c r="AB371" s="821"/>
      <c r="AC371" s="821"/>
      <c r="AD371" s="821"/>
    </row>
    <row r="372" spans="16:30" x14ac:dyDescent="0.3">
      <c r="P372" s="821"/>
      <c r="Q372" s="821"/>
      <c r="R372" s="821"/>
      <c r="S372" s="821"/>
      <c r="T372" s="821"/>
      <c r="U372" s="821"/>
      <c r="V372" s="821"/>
      <c r="W372" s="821"/>
      <c r="X372" s="821"/>
      <c r="Y372" s="821"/>
      <c r="Z372" s="821"/>
      <c r="AA372" s="821"/>
      <c r="AB372" s="821"/>
      <c r="AC372" s="821"/>
      <c r="AD372" s="821"/>
    </row>
    <row r="373" spans="16:30" x14ac:dyDescent="0.3">
      <c r="P373" s="821"/>
      <c r="Q373" s="821"/>
      <c r="R373" s="821"/>
      <c r="S373" s="821"/>
      <c r="T373" s="821"/>
      <c r="U373" s="821"/>
      <c r="V373" s="821"/>
      <c r="W373" s="821"/>
      <c r="X373" s="821"/>
      <c r="Y373" s="821"/>
      <c r="Z373" s="821"/>
      <c r="AA373" s="821"/>
      <c r="AB373" s="821"/>
      <c r="AC373" s="821"/>
      <c r="AD373" s="821"/>
    </row>
    <row r="374" spans="16:30" x14ac:dyDescent="0.3">
      <c r="P374" s="821"/>
      <c r="Q374" s="821"/>
      <c r="R374" s="821"/>
      <c r="S374" s="821"/>
      <c r="T374" s="821"/>
      <c r="U374" s="821"/>
      <c r="V374" s="821"/>
      <c r="W374" s="821"/>
      <c r="X374" s="821"/>
      <c r="Y374" s="821"/>
      <c r="Z374" s="821"/>
      <c r="AA374" s="821"/>
      <c r="AB374" s="821"/>
      <c r="AC374" s="821"/>
      <c r="AD374" s="821"/>
    </row>
    <row r="375" spans="16:30" x14ac:dyDescent="0.3">
      <c r="P375" s="821"/>
      <c r="Q375" s="821"/>
      <c r="R375" s="821"/>
      <c r="S375" s="821"/>
      <c r="T375" s="821"/>
      <c r="U375" s="821"/>
      <c r="V375" s="821"/>
      <c r="W375" s="821"/>
      <c r="X375" s="821"/>
      <c r="Y375" s="821"/>
      <c r="Z375" s="821"/>
      <c r="AA375" s="821"/>
      <c r="AB375" s="821"/>
      <c r="AC375" s="821"/>
      <c r="AD375" s="821"/>
    </row>
    <row r="376" spans="16:30" x14ac:dyDescent="0.3">
      <c r="P376" s="821"/>
      <c r="Q376" s="821"/>
      <c r="R376" s="821"/>
      <c r="S376" s="821"/>
      <c r="T376" s="821"/>
      <c r="U376" s="821"/>
      <c r="V376" s="821"/>
      <c r="W376" s="821"/>
      <c r="X376" s="821"/>
      <c r="Y376" s="821"/>
      <c r="Z376" s="821"/>
      <c r="AA376" s="821"/>
      <c r="AB376" s="821"/>
      <c r="AC376" s="821"/>
      <c r="AD376" s="821"/>
    </row>
    <row r="377" spans="16:30" x14ac:dyDescent="0.3">
      <c r="P377" s="821"/>
      <c r="Q377" s="821"/>
      <c r="R377" s="821"/>
      <c r="S377" s="821"/>
      <c r="T377" s="821"/>
      <c r="U377" s="821"/>
      <c r="V377" s="821"/>
      <c r="W377" s="821"/>
      <c r="X377" s="821"/>
      <c r="Y377" s="821"/>
      <c r="Z377" s="821"/>
      <c r="AA377" s="821"/>
      <c r="AB377" s="821"/>
      <c r="AC377" s="821"/>
      <c r="AD377" s="821"/>
    </row>
    <row r="378" spans="16:30" x14ac:dyDescent="0.3">
      <c r="P378" s="821"/>
      <c r="Q378" s="821"/>
      <c r="R378" s="821"/>
      <c r="S378" s="821"/>
      <c r="T378" s="821"/>
      <c r="U378" s="821"/>
      <c r="V378" s="821"/>
      <c r="W378" s="821"/>
      <c r="X378" s="821"/>
      <c r="Y378" s="821"/>
      <c r="Z378" s="821"/>
      <c r="AA378" s="821"/>
      <c r="AB378" s="821"/>
      <c r="AC378" s="821"/>
      <c r="AD378" s="821"/>
    </row>
    <row r="379" spans="16:30" x14ac:dyDescent="0.3">
      <c r="P379" s="821"/>
      <c r="Q379" s="821"/>
      <c r="R379" s="821"/>
      <c r="S379" s="821"/>
      <c r="T379" s="821"/>
      <c r="U379" s="821"/>
      <c r="V379" s="821"/>
      <c r="W379" s="821"/>
      <c r="X379" s="821"/>
      <c r="Y379" s="821"/>
      <c r="Z379" s="821"/>
      <c r="AA379" s="821"/>
      <c r="AB379" s="821"/>
      <c r="AC379" s="821"/>
      <c r="AD379" s="821"/>
    </row>
    <row r="380" spans="16:30" x14ac:dyDescent="0.3">
      <c r="P380" s="821"/>
      <c r="Q380" s="821"/>
      <c r="R380" s="821"/>
      <c r="S380" s="821"/>
      <c r="T380" s="821"/>
      <c r="U380" s="821"/>
      <c r="V380" s="821"/>
      <c r="W380" s="821"/>
      <c r="X380" s="821"/>
      <c r="Y380" s="821"/>
      <c r="Z380" s="821"/>
      <c r="AA380" s="821"/>
      <c r="AB380" s="821"/>
      <c r="AC380" s="821"/>
      <c r="AD380" s="821"/>
    </row>
    <row r="381" spans="16:30" x14ac:dyDescent="0.3">
      <c r="P381" s="821"/>
      <c r="Q381" s="821"/>
      <c r="R381" s="821"/>
      <c r="S381" s="821"/>
      <c r="T381" s="821"/>
      <c r="U381" s="821"/>
      <c r="V381" s="821"/>
      <c r="W381" s="821"/>
      <c r="X381" s="821"/>
      <c r="Y381" s="821"/>
      <c r="Z381" s="821"/>
      <c r="AA381" s="821"/>
      <c r="AB381" s="821"/>
      <c r="AC381" s="821"/>
      <c r="AD381" s="821"/>
    </row>
    <row r="382" spans="16:30" x14ac:dyDescent="0.3">
      <c r="P382" s="821"/>
      <c r="Q382" s="821"/>
      <c r="R382" s="821"/>
      <c r="S382" s="821"/>
      <c r="T382" s="821"/>
      <c r="U382" s="821"/>
      <c r="V382" s="821"/>
      <c r="W382" s="821"/>
      <c r="X382" s="821"/>
      <c r="Y382" s="821"/>
      <c r="Z382" s="821"/>
      <c r="AA382" s="821"/>
      <c r="AB382" s="821"/>
      <c r="AC382" s="821"/>
      <c r="AD382" s="821"/>
    </row>
    <row r="383" spans="16:30" x14ac:dyDescent="0.3">
      <c r="P383" s="821"/>
      <c r="Q383" s="821"/>
      <c r="R383" s="821"/>
      <c r="S383" s="821"/>
      <c r="T383" s="821"/>
      <c r="U383" s="821"/>
      <c r="V383" s="821"/>
      <c r="W383" s="821"/>
      <c r="X383" s="821"/>
      <c r="Y383" s="821"/>
      <c r="Z383" s="821"/>
      <c r="AA383" s="821"/>
      <c r="AB383" s="821"/>
      <c r="AC383" s="821"/>
      <c r="AD383" s="821"/>
    </row>
    <row r="384" spans="16:30" x14ac:dyDescent="0.3">
      <c r="P384" s="821"/>
      <c r="Q384" s="821"/>
      <c r="R384" s="821"/>
      <c r="S384" s="821"/>
      <c r="T384" s="821"/>
      <c r="U384" s="821"/>
      <c r="V384" s="821"/>
      <c r="W384" s="821"/>
      <c r="X384" s="821"/>
      <c r="Y384" s="821"/>
      <c r="Z384" s="821"/>
      <c r="AA384" s="821"/>
      <c r="AB384" s="821"/>
      <c r="AC384" s="821"/>
      <c r="AD384" s="821"/>
    </row>
    <row r="385" spans="16:30" x14ac:dyDescent="0.3">
      <c r="P385" s="821"/>
      <c r="Q385" s="821"/>
      <c r="R385" s="821"/>
      <c r="S385" s="821"/>
      <c r="T385" s="821"/>
      <c r="U385" s="821"/>
      <c r="V385" s="821"/>
      <c r="W385" s="821"/>
      <c r="X385" s="821"/>
      <c r="Y385" s="821"/>
      <c r="Z385" s="821"/>
      <c r="AA385" s="821"/>
      <c r="AB385" s="821"/>
      <c r="AC385" s="821"/>
      <c r="AD385" s="821"/>
    </row>
    <row r="386" spans="16:30" x14ac:dyDescent="0.3">
      <c r="P386" s="821"/>
      <c r="Q386" s="821"/>
      <c r="R386" s="821"/>
      <c r="S386" s="821"/>
      <c r="T386" s="821"/>
      <c r="U386" s="821"/>
      <c r="V386" s="821"/>
      <c r="W386" s="821"/>
      <c r="X386" s="821"/>
      <c r="Y386" s="821"/>
      <c r="Z386" s="821"/>
      <c r="AA386" s="821"/>
      <c r="AB386" s="821"/>
      <c r="AC386" s="821"/>
      <c r="AD386" s="821"/>
    </row>
    <row r="387" spans="16:30" x14ac:dyDescent="0.3">
      <c r="P387" s="821"/>
      <c r="Q387" s="821"/>
      <c r="R387" s="821"/>
      <c r="S387" s="821"/>
      <c r="T387" s="821"/>
      <c r="U387" s="821"/>
      <c r="V387" s="821"/>
      <c r="W387" s="821"/>
      <c r="X387" s="821"/>
      <c r="Y387" s="821"/>
      <c r="Z387" s="821"/>
      <c r="AA387" s="821"/>
      <c r="AB387" s="821"/>
      <c r="AC387" s="821"/>
      <c r="AD387" s="821"/>
    </row>
    <row r="388" spans="16:30" x14ac:dyDescent="0.3">
      <c r="P388" s="821"/>
      <c r="Q388" s="821"/>
      <c r="R388" s="821"/>
      <c r="S388" s="821"/>
      <c r="T388" s="821"/>
      <c r="U388" s="821"/>
      <c r="V388" s="821"/>
      <c r="W388" s="821"/>
      <c r="X388" s="821"/>
      <c r="Y388" s="821"/>
      <c r="Z388" s="821"/>
      <c r="AA388" s="821"/>
      <c r="AB388" s="821"/>
      <c r="AC388" s="821"/>
      <c r="AD388" s="821"/>
    </row>
    <row r="389" spans="16:30" x14ac:dyDescent="0.3">
      <c r="P389" s="821"/>
      <c r="Q389" s="821"/>
      <c r="R389" s="821"/>
      <c r="S389" s="821"/>
      <c r="T389" s="821"/>
      <c r="U389" s="821"/>
      <c r="V389" s="821"/>
      <c r="W389" s="821"/>
      <c r="X389" s="821"/>
      <c r="Y389" s="821"/>
      <c r="Z389" s="821"/>
      <c r="AA389" s="821"/>
      <c r="AB389" s="821"/>
      <c r="AC389" s="821"/>
      <c r="AD389" s="821"/>
    </row>
    <row r="390" spans="16:30" x14ac:dyDescent="0.3">
      <c r="P390" s="821"/>
      <c r="Q390" s="821"/>
      <c r="R390" s="821"/>
      <c r="S390" s="821"/>
      <c r="T390" s="821"/>
      <c r="U390" s="821"/>
      <c r="V390" s="821"/>
      <c r="W390" s="821"/>
      <c r="X390" s="821"/>
      <c r="Y390" s="821"/>
      <c r="Z390" s="821"/>
      <c r="AA390" s="821"/>
      <c r="AB390" s="821"/>
      <c r="AC390" s="821"/>
      <c r="AD390" s="821"/>
    </row>
    <row r="391" spans="16:30" x14ac:dyDescent="0.3">
      <c r="P391" s="821"/>
      <c r="Q391" s="821"/>
      <c r="R391" s="821"/>
      <c r="S391" s="821"/>
      <c r="T391" s="821"/>
      <c r="U391" s="821"/>
      <c r="V391" s="821"/>
      <c r="W391" s="821"/>
      <c r="X391" s="821"/>
      <c r="Y391" s="821"/>
      <c r="Z391" s="821"/>
      <c r="AA391" s="821"/>
      <c r="AB391" s="821"/>
      <c r="AC391" s="821"/>
      <c r="AD391" s="821"/>
    </row>
    <row r="392" spans="16:30" x14ac:dyDescent="0.3">
      <c r="P392" s="821"/>
      <c r="Q392" s="821"/>
      <c r="R392" s="821"/>
      <c r="S392" s="821"/>
      <c r="T392" s="821"/>
      <c r="U392" s="821"/>
      <c r="V392" s="821"/>
      <c r="W392" s="821"/>
      <c r="X392" s="821"/>
      <c r="Y392" s="821"/>
      <c r="Z392" s="821"/>
      <c r="AA392" s="821"/>
      <c r="AB392" s="821"/>
      <c r="AC392" s="821"/>
      <c r="AD392" s="821"/>
    </row>
    <row r="393" spans="16:30" x14ac:dyDescent="0.3">
      <c r="P393" s="821"/>
      <c r="Q393" s="821"/>
      <c r="R393" s="821"/>
      <c r="S393" s="821"/>
      <c r="T393" s="821"/>
      <c r="U393" s="821"/>
      <c r="V393" s="821"/>
      <c r="W393" s="821"/>
      <c r="X393" s="821"/>
      <c r="Y393" s="821"/>
      <c r="Z393" s="821"/>
      <c r="AA393" s="821"/>
      <c r="AB393" s="821"/>
      <c r="AC393" s="821"/>
      <c r="AD393" s="821"/>
    </row>
    <row r="394" spans="16:30" x14ac:dyDescent="0.3">
      <c r="P394" s="821"/>
      <c r="Q394" s="821"/>
      <c r="R394" s="821"/>
      <c r="S394" s="821"/>
      <c r="T394" s="821"/>
      <c r="U394" s="821"/>
      <c r="V394" s="821"/>
      <c r="W394" s="821"/>
      <c r="X394" s="821"/>
      <c r="Y394" s="821"/>
      <c r="Z394" s="821"/>
      <c r="AA394" s="821"/>
      <c r="AB394" s="821"/>
      <c r="AC394" s="821"/>
      <c r="AD394" s="821"/>
    </row>
    <row r="395" spans="16:30" x14ac:dyDescent="0.3">
      <c r="P395" s="821"/>
      <c r="Q395" s="821"/>
      <c r="R395" s="821"/>
      <c r="S395" s="821"/>
      <c r="T395" s="821"/>
      <c r="U395" s="821"/>
      <c r="V395" s="821"/>
      <c r="W395" s="821"/>
      <c r="X395" s="821"/>
      <c r="Y395" s="821"/>
      <c r="Z395" s="821"/>
      <c r="AA395" s="821"/>
      <c r="AB395" s="821"/>
      <c r="AC395" s="821"/>
      <c r="AD395" s="821"/>
    </row>
    <row r="396" spans="16:30" x14ac:dyDescent="0.3">
      <c r="P396" s="821"/>
      <c r="Q396" s="821"/>
      <c r="R396" s="821"/>
      <c r="S396" s="821"/>
      <c r="T396" s="821"/>
      <c r="U396" s="821"/>
      <c r="V396" s="821"/>
      <c r="W396" s="821"/>
      <c r="X396" s="821"/>
      <c r="Y396" s="821"/>
      <c r="Z396" s="821"/>
      <c r="AA396" s="821"/>
      <c r="AB396" s="821"/>
      <c r="AC396" s="821"/>
      <c r="AD396" s="821"/>
    </row>
    <row r="397" spans="16:30" x14ac:dyDescent="0.3">
      <c r="P397" s="821"/>
      <c r="Q397" s="821"/>
      <c r="R397" s="821"/>
      <c r="S397" s="821"/>
      <c r="T397" s="821"/>
      <c r="U397" s="821"/>
      <c r="V397" s="821"/>
      <c r="W397" s="821"/>
      <c r="X397" s="821"/>
      <c r="Y397" s="821"/>
      <c r="Z397" s="821"/>
      <c r="AA397" s="821"/>
      <c r="AB397" s="821"/>
      <c r="AC397" s="821"/>
      <c r="AD397" s="821"/>
    </row>
    <row r="398" spans="16:30" x14ac:dyDescent="0.3">
      <c r="P398" s="821"/>
      <c r="Q398" s="821"/>
      <c r="R398" s="821"/>
      <c r="S398" s="821"/>
      <c r="T398" s="821"/>
      <c r="U398" s="821"/>
      <c r="V398" s="821"/>
      <c r="W398" s="821"/>
      <c r="X398" s="821"/>
      <c r="Y398" s="821"/>
      <c r="Z398" s="821"/>
      <c r="AA398" s="821"/>
      <c r="AB398" s="821"/>
      <c r="AC398" s="821"/>
      <c r="AD398" s="821"/>
    </row>
    <row r="399" spans="16:30" x14ac:dyDescent="0.3">
      <c r="P399" s="821"/>
      <c r="Q399" s="821"/>
      <c r="R399" s="821"/>
      <c r="S399" s="821"/>
      <c r="T399" s="821"/>
      <c r="U399" s="821"/>
      <c r="V399" s="821"/>
      <c r="W399" s="821"/>
      <c r="X399" s="821"/>
      <c r="Y399" s="821"/>
      <c r="Z399" s="821"/>
      <c r="AA399" s="821"/>
      <c r="AB399" s="821"/>
      <c r="AC399" s="821"/>
      <c r="AD399" s="821"/>
    </row>
    <row r="400" spans="16:30" x14ac:dyDescent="0.3">
      <c r="P400" s="821"/>
      <c r="Q400" s="821"/>
      <c r="R400" s="821"/>
      <c r="S400" s="821"/>
      <c r="T400" s="821"/>
      <c r="U400" s="821"/>
      <c r="V400" s="821"/>
      <c r="W400" s="821"/>
      <c r="X400" s="821"/>
      <c r="Y400" s="821"/>
      <c r="Z400" s="821"/>
      <c r="AA400" s="821"/>
      <c r="AB400" s="821"/>
      <c r="AC400" s="821"/>
      <c r="AD400" s="821"/>
    </row>
    <row r="401" spans="16:30" x14ac:dyDescent="0.3">
      <c r="P401" s="821"/>
      <c r="Q401" s="821"/>
      <c r="R401" s="821"/>
      <c r="S401" s="821"/>
      <c r="T401" s="821"/>
      <c r="U401" s="821"/>
      <c r="V401" s="821"/>
      <c r="W401" s="821"/>
      <c r="X401" s="821"/>
      <c r="Y401" s="821"/>
      <c r="Z401" s="821"/>
      <c r="AA401" s="821"/>
      <c r="AB401" s="821"/>
      <c r="AC401" s="821"/>
      <c r="AD401" s="821"/>
    </row>
    <row r="402" spans="16:30" x14ac:dyDescent="0.3">
      <c r="P402" s="821"/>
      <c r="Q402" s="821"/>
      <c r="R402" s="821"/>
      <c r="S402" s="821"/>
      <c r="T402" s="821"/>
      <c r="U402" s="821"/>
      <c r="V402" s="821"/>
      <c r="W402" s="821"/>
      <c r="X402" s="821"/>
      <c r="Y402" s="821"/>
      <c r="Z402" s="821"/>
      <c r="AA402" s="821"/>
      <c r="AB402" s="821"/>
      <c r="AC402" s="821"/>
      <c r="AD402" s="821"/>
    </row>
    <row r="403" spans="16:30" x14ac:dyDescent="0.3">
      <c r="P403" s="821"/>
      <c r="Q403" s="821"/>
      <c r="R403" s="821"/>
      <c r="S403" s="821"/>
      <c r="T403" s="821"/>
      <c r="U403" s="821"/>
      <c r="V403" s="821"/>
      <c r="W403" s="821"/>
      <c r="X403" s="821"/>
      <c r="Y403" s="821"/>
      <c r="Z403" s="821"/>
      <c r="AA403" s="821"/>
      <c r="AB403" s="821"/>
      <c r="AC403" s="821"/>
      <c r="AD403" s="821"/>
    </row>
    <row r="404" spans="16:30" x14ac:dyDescent="0.3">
      <c r="P404" s="821"/>
      <c r="Q404" s="821"/>
      <c r="R404" s="821"/>
      <c r="S404" s="821"/>
      <c r="T404" s="821"/>
      <c r="U404" s="821"/>
      <c r="V404" s="821"/>
      <c r="W404" s="821"/>
      <c r="X404" s="821"/>
      <c r="Y404" s="821"/>
      <c r="Z404" s="821"/>
      <c r="AA404" s="821"/>
      <c r="AB404" s="821"/>
      <c r="AC404" s="821"/>
      <c r="AD404" s="821"/>
    </row>
    <row r="405" spans="16:30" x14ac:dyDescent="0.3">
      <c r="P405" s="821"/>
      <c r="Q405" s="821"/>
      <c r="R405" s="821"/>
      <c r="S405" s="821"/>
      <c r="T405" s="821"/>
      <c r="U405" s="821"/>
      <c r="V405" s="821"/>
      <c r="W405" s="821"/>
      <c r="X405" s="821"/>
      <c r="Y405" s="821"/>
      <c r="Z405" s="821"/>
      <c r="AA405" s="821"/>
      <c r="AB405" s="821"/>
      <c r="AC405" s="821"/>
      <c r="AD405" s="821"/>
    </row>
    <row r="406" spans="16:30" x14ac:dyDescent="0.3">
      <c r="P406" s="821"/>
      <c r="Q406" s="821"/>
      <c r="R406" s="821"/>
      <c r="S406" s="821"/>
      <c r="T406" s="821"/>
      <c r="U406" s="821"/>
      <c r="V406" s="821"/>
      <c r="W406" s="821"/>
      <c r="X406" s="821"/>
      <c r="Y406" s="821"/>
      <c r="Z406" s="821"/>
      <c r="AA406" s="821"/>
      <c r="AB406" s="821"/>
      <c r="AC406" s="821"/>
      <c r="AD406" s="821"/>
    </row>
    <row r="407" spans="16:30" x14ac:dyDescent="0.3">
      <c r="P407" s="821"/>
      <c r="Q407" s="821"/>
      <c r="R407" s="821"/>
      <c r="S407" s="821"/>
      <c r="T407" s="821"/>
      <c r="U407" s="821"/>
      <c r="V407" s="821"/>
      <c r="W407" s="821"/>
      <c r="X407" s="821"/>
      <c r="Y407" s="821"/>
      <c r="Z407" s="821"/>
      <c r="AA407" s="821"/>
      <c r="AB407" s="821"/>
      <c r="AC407" s="821"/>
      <c r="AD407" s="821"/>
    </row>
    <row r="408" spans="16:30" x14ac:dyDescent="0.3">
      <c r="P408" s="821"/>
      <c r="Q408" s="821"/>
      <c r="R408" s="821"/>
      <c r="S408" s="821"/>
      <c r="T408" s="821"/>
      <c r="U408" s="821"/>
      <c r="V408" s="821"/>
      <c r="W408" s="821"/>
      <c r="X408" s="821"/>
      <c r="Y408" s="821"/>
      <c r="Z408" s="821"/>
      <c r="AA408" s="821"/>
      <c r="AB408" s="821"/>
      <c r="AC408" s="821"/>
      <c r="AD408" s="821"/>
    </row>
    <row r="409" spans="16:30" x14ac:dyDescent="0.3">
      <c r="P409" s="821"/>
      <c r="Q409" s="821"/>
      <c r="R409" s="821"/>
      <c r="S409" s="821"/>
      <c r="T409" s="821"/>
      <c r="U409" s="821"/>
      <c r="V409" s="821"/>
      <c r="W409" s="821"/>
      <c r="X409" s="821"/>
      <c r="Y409" s="821"/>
      <c r="Z409" s="821"/>
      <c r="AA409" s="821"/>
      <c r="AB409" s="821"/>
      <c r="AC409" s="821"/>
      <c r="AD409" s="821"/>
    </row>
    <row r="410" spans="16:30" x14ac:dyDescent="0.3">
      <c r="P410" s="821"/>
      <c r="Q410" s="821"/>
      <c r="R410" s="821"/>
      <c r="S410" s="821"/>
      <c r="T410" s="821"/>
      <c r="U410" s="821"/>
      <c r="V410" s="821"/>
      <c r="W410" s="821"/>
      <c r="X410" s="821"/>
      <c r="Y410" s="821"/>
      <c r="Z410" s="821"/>
      <c r="AA410" s="821"/>
      <c r="AB410" s="821"/>
      <c r="AC410" s="821"/>
      <c r="AD410" s="821"/>
    </row>
    <row r="411" spans="16:30" x14ac:dyDescent="0.3">
      <c r="P411" s="821"/>
      <c r="Q411" s="821"/>
      <c r="R411" s="821"/>
      <c r="S411" s="821"/>
      <c r="T411" s="821"/>
      <c r="U411" s="821"/>
      <c r="V411" s="821"/>
      <c r="W411" s="821"/>
      <c r="X411" s="821"/>
      <c r="Y411" s="821"/>
      <c r="Z411" s="821"/>
      <c r="AA411" s="821"/>
      <c r="AB411" s="821"/>
      <c r="AC411" s="821"/>
      <c r="AD411" s="821"/>
    </row>
    <row r="412" spans="16:30" x14ac:dyDescent="0.3">
      <c r="P412" s="821"/>
      <c r="Q412" s="821"/>
      <c r="R412" s="821"/>
      <c r="S412" s="821"/>
      <c r="T412" s="821"/>
      <c r="U412" s="821"/>
      <c r="V412" s="821"/>
      <c r="W412" s="821"/>
      <c r="X412" s="821"/>
      <c r="Y412" s="821"/>
      <c r="Z412" s="821"/>
      <c r="AA412" s="821"/>
      <c r="AB412" s="821"/>
      <c r="AC412" s="821"/>
      <c r="AD412" s="821"/>
    </row>
    <row r="413" spans="16:30" x14ac:dyDescent="0.3">
      <c r="P413" s="821"/>
      <c r="Q413" s="821"/>
      <c r="R413" s="821"/>
      <c r="S413" s="821"/>
      <c r="T413" s="821"/>
      <c r="U413" s="821"/>
      <c r="V413" s="821"/>
      <c r="W413" s="821"/>
      <c r="X413" s="821"/>
      <c r="Y413" s="821"/>
      <c r="Z413" s="821"/>
      <c r="AA413" s="821"/>
      <c r="AB413" s="821"/>
      <c r="AC413" s="821"/>
      <c r="AD413" s="821"/>
    </row>
    <row r="414" spans="16:30" x14ac:dyDescent="0.3">
      <c r="P414" s="821"/>
      <c r="Q414" s="821"/>
      <c r="R414" s="821"/>
      <c r="S414" s="821"/>
      <c r="T414" s="821"/>
      <c r="U414" s="821"/>
      <c r="V414" s="821"/>
      <c r="W414" s="821"/>
      <c r="X414" s="821"/>
      <c r="Y414" s="821"/>
      <c r="Z414" s="821"/>
      <c r="AA414" s="821"/>
      <c r="AB414" s="821"/>
      <c r="AC414" s="821"/>
      <c r="AD414" s="821"/>
    </row>
    <row r="415" spans="16:30" x14ac:dyDescent="0.3">
      <c r="P415" s="821"/>
      <c r="Q415" s="821"/>
      <c r="R415" s="821"/>
      <c r="S415" s="821"/>
      <c r="T415" s="821"/>
      <c r="U415" s="821"/>
      <c r="V415" s="821"/>
      <c r="W415" s="821"/>
      <c r="X415" s="821"/>
      <c r="Y415" s="821"/>
      <c r="Z415" s="821"/>
      <c r="AA415" s="821"/>
      <c r="AB415" s="821"/>
      <c r="AC415" s="821"/>
      <c r="AD415" s="821"/>
    </row>
    <row r="416" spans="16:30" x14ac:dyDescent="0.3">
      <c r="P416" s="821"/>
      <c r="Q416" s="821"/>
      <c r="R416" s="821"/>
      <c r="S416" s="821"/>
      <c r="T416" s="821"/>
      <c r="U416" s="821"/>
      <c r="V416" s="821"/>
      <c r="W416" s="821"/>
      <c r="X416" s="821"/>
      <c r="Y416" s="821"/>
      <c r="Z416" s="821"/>
      <c r="AA416" s="821"/>
      <c r="AB416" s="821"/>
      <c r="AC416" s="821"/>
      <c r="AD416" s="821"/>
    </row>
    <row r="417" spans="16:30" x14ac:dyDescent="0.3">
      <c r="P417" s="821"/>
      <c r="Q417" s="821"/>
      <c r="R417" s="821"/>
      <c r="S417" s="821"/>
      <c r="T417" s="821"/>
      <c r="U417" s="821"/>
      <c r="V417" s="821"/>
      <c r="W417" s="821"/>
      <c r="X417" s="821"/>
      <c r="Y417" s="821"/>
      <c r="Z417" s="821"/>
      <c r="AA417" s="821"/>
      <c r="AB417" s="821"/>
      <c r="AC417" s="821"/>
      <c r="AD417" s="821"/>
    </row>
    <row r="418" spans="16:30" x14ac:dyDescent="0.3">
      <c r="P418" s="821"/>
      <c r="Q418" s="821"/>
      <c r="R418" s="821"/>
      <c r="S418" s="821"/>
      <c r="T418" s="821"/>
      <c r="U418" s="821"/>
      <c r="V418" s="821"/>
      <c r="W418" s="821"/>
      <c r="X418" s="821"/>
      <c r="Y418" s="821"/>
      <c r="Z418" s="821"/>
      <c r="AA418" s="821"/>
      <c r="AB418" s="821"/>
      <c r="AC418" s="821"/>
      <c r="AD418" s="821"/>
    </row>
    <row r="419" spans="16:30" x14ac:dyDescent="0.3">
      <c r="P419" s="821"/>
      <c r="Q419" s="821"/>
      <c r="R419" s="821"/>
      <c r="S419" s="821"/>
      <c r="T419" s="821"/>
      <c r="U419" s="821"/>
      <c r="V419" s="821"/>
      <c r="W419" s="821"/>
      <c r="X419" s="821"/>
      <c r="Y419" s="821"/>
      <c r="Z419" s="821"/>
      <c r="AA419" s="821"/>
      <c r="AB419" s="821"/>
      <c r="AC419" s="821"/>
      <c r="AD419" s="821"/>
    </row>
    <row r="420" spans="16:30" x14ac:dyDescent="0.3">
      <c r="P420" s="821"/>
      <c r="Q420" s="821"/>
      <c r="R420" s="821"/>
      <c r="S420" s="821"/>
      <c r="T420" s="821"/>
      <c r="U420" s="821"/>
      <c r="V420" s="821"/>
      <c r="W420" s="821"/>
      <c r="X420" s="821"/>
      <c r="Y420" s="821"/>
      <c r="Z420" s="821"/>
      <c r="AA420" s="821"/>
      <c r="AB420" s="821"/>
      <c r="AC420" s="821"/>
      <c r="AD420" s="821"/>
    </row>
    <row r="421" spans="16:30" x14ac:dyDescent="0.3">
      <c r="P421" s="821"/>
      <c r="Q421" s="821"/>
      <c r="R421" s="821"/>
      <c r="S421" s="821"/>
      <c r="T421" s="821"/>
      <c r="U421" s="821"/>
      <c r="V421" s="821"/>
      <c r="W421" s="821"/>
      <c r="X421" s="821"/>
      <c r="Y421" s="821"/>
      <c r="Z421" s="821"/>
      <c r="AA421" s="821"/>
      <c r="AB421" s="821"/>
      <c r="AC421" s="821"/>
      <c r="AD421" s="821"/>
    </row>
    <row r="422" spans="16:30" x14ac:dyDescent="0.3">
      <c r="P422" s="821"/>
      <c r="Q422" s="821"/>
      <c r="R422" s="821"/>
      <c r="S422" s="821"/>
      <c r="T422" s="821"/>
      <c r="U422" s="821"/>
      <c r="V422" s="821"/>
      <c r="W422" s="821"/>
      <c r="X422" s="821"/>
      <c r="Y422" s="821"/>
      <c r="Z422" s="821"/>
      <c r="AA422" s="821"/>
      <c r="AB422" s="821"/>
      <c r="AC422" s="821"/>
      <c r="AD422" s="821"/>
    </row>
    <row r="423" spans="16:30" x14ac:dyDescent="0.3">
      <c r="P423" s="821"/>
      <c r="Q423" s="821"/>
      <c r="R423" s="821"/>
      <c r="S423" s="821"/>
      <c r="T423" s="821"/>
      <c r="U423" s="821"/>
      <c r="V423" s="821"/>
      <c r="W423" s="821"/>
      <c r="X423" s="821"/>
      <c r="Y423" s="821"/>
      <c r="Z423" s="821"/>
      <c r="AA423" s="821"/>
      <c r="AB423" s="821"/>
      <c r="AC423" s="821"/>
      <c r="AD423" s="821"/>
    </row>
    <row r="424" spans="16:30" x14ac:dyDescent="0.3">
      <c r="P424" s="821"/>
      <c r="Q424" s="821"/>
      <c r="R424" s="821"/>
      <c r="S424" s="821"/>
      <c r="T424" s="821"/>
      <c r="U424" s="821"/>
      <c r="V424" s="821"/>
      <c r="W424" s="821"/>
      <c r="X424" s="821"/>
      <c r="Y424" s="821"/>
      <c r="Z424" s="821"/>
      <c r="AA424" s="821"/>
      <c r="AB424" s="821"/>
      <c r="AC424" s="821"/>
      <c r="AD424" s="821"/>
    </row>
    <row r="425" spans="16:30" x14ac:dyDescent="0.3">
      <c r="P425" s="821"/>
      <c r="Q425" s="821"/>
      <c r="R425" s="821"/>
      <c r="S425" s="821"/>
      <c r="T425" s="821"/>
      <c r="U425" s="821"/>
      <c r="V425" s="821"/>
      <c r="W425" s="821"/>
      <c r="X425" s="821"/>
      <c r="Y425" s="821"/>
      <c r="Z425" s="821"/>
      <c r="AA425" s="821"/>
      <c r="AB425" s="821"/>
      <c r="AC425" s="821"/>
      <c r="AD425" s="821"/>
    </row>
    <row r="426" spans="16:30" x14ac:dyDescent="0.3">
      <c r="P426" s="821"/>
      <c r="Q426" s="821"/>
      <c r="R426" s="821"/>
      <c r="S426" s="821"/>
      <c r="T426" s="821"/>
      <c r="U426" s="821"/>
      <c r="V426" s="821"/>
      <c r="W426" s="821"/>
      <c r="X426" s="821"/>
      <c r="Y426" s="821"/>
      <c r="Z426" s="821"/>
      <c r="AA426" s="821"/>
      <c r="AB426" s="821"/>
      <c r="AC426" s="821"/>
      <c r="AD426" s="821"/>
    </row>
    <row r="427" spans="16:30" x14ac:dyDescent="0.3">
      <c r="P427" s="821"/>
      <c r="Q427" s="821"/>
      <c r="R427" s="821"/>
      <c r="S427" s="821"/>
      <c r="T427" s="821"/>
      <c r="U427" s="821"/>
      <c r="V427" s="821"/>
      <c r="W427" s="821"/>
      <c r="X427" s="821"/>
      <c r="Y427" s="821"/>
      <c r="Z427" s="821"/>
      <c r="AA427" s="821"/>
      <c r="AB427" s="821"/>
      <c r="AC427" s="821"/>
      <c r="AD427" s="821"/>
    </row>
    <row r="428" spans="16:30" x14ac:dyDescent="0.3">
      <c r="P428" s="821"/>
      <c r="Q428" s="821"/>
      <c r="R428" s="821"/>
      <c r="S428" s="821"/>
      <c r="T428" s="821"/>
      <c r="U428" s="821"/>
      <c r="V428" s="821"/>
      <c r="W428" s="821"/>
      <c r="X428" s="821"/>
      <c r="Y428" s="821"/>
      <c r="Z428" s="821"/>
      <c r="AA428" s="821"/>
      <c r="AB428" s="821"/>
      <c r="AC428" s="821"/>
      <c r="AD428" s="821"/>
    </row>
    <row r="429" spans="16:30" x14ac:dyDescent="0.3">
      <c r="P429" s="821"/>
      <c r="Q429" s="821"/>
      <c r="R429" s="821"/>
      <c r="S429" s="821"/>
      <c r="T429" s="821"/>
      <c r="U429" s="821"/>
      <c r="V429" s="821"/>
      <c r="W429" s="821"/>
      <c r="X429" s="821"/>
      <c r="Y429" s="821"/>
      <c r="Z429" s="821"/>
      <c r="AA429" s="821"/>
      <c r="AB429" s="821"/>
      <c r="AC429" s="821"/>
      <c r="AD429" s="821"/>
    </row>
    <row r="430" spans="16:30" x14ac:dyDescent="0.3">
      <c r="P430" s="821"/>
      <c r="Q430" s="821"/>
      <c r="R430" s="821"/>
      <c r="S430" s="821"/>
      <c r="T430" s="821"/>
      <c r="U430" s="821"/>
      <c r="V430" s="821"/>
      <c r="W430" s="821"/>
      <c r="X430" s="821"/>
      <c r="Y430" s="821"/>
      <c r="Z430" s="821"/>
      <c r="AA430" s="821"/>
      <c r="AB430" s="821"/>
      <c r="AC430" s="821"/>
      <c r="AD430" s="821"/>
    </row>
    <row r="431" spans="16:30" x14ac:dyDescent="0.3">
      <c r="P431" s="821"/>
      <c r="Q431" s="821"/>
      <c r="R431" s="821"/>
      <c r="S431" s="821"/>
      <c r="T431" s="821"/>
      <c r="U431" s="821"/>
      <c r="V431" s="821"/>
      <c r="W431" s="821"/>
      <c r="X431" s="821"/>
      <c r="Y431" s="821"/>
      <c r="Z431" s="821"/>
      <c r="AA431" s="821"/>
      <c r="AB431" s="821"/>
      <c r="AC431" s="821"/>
      <c r="AD431" s="821"/>
    </row>
    <row r="432" spans="16:30" x14ac:dyDescent="0.3">
      <c r="P432" s="821"/>
      <c r="Q432" s="821"/>
      <c r="R432" s="821"/>
      <c r="S432" s="821"/>
      <c r="T432" s="821"/>
      <c r="U432" s="821"/>
      <c r="V432" s="821"/>
      <c r="W432" s="821"/>
      <c r="X432" s="821"/>
      <c r="Y432" s="821"/>
      <c r="Z432" s="821"/>
      <c r="AA432" s="821"/>
      <c r="AB432" s="821"/>
      <c r="AC432" s="821"/>
      <c r="AD432" s="821"/>
    </row>
    <row r="433" spans="16:30" x14ac:dyDescent="0.3">
      <c r="P433" s="821"/>
      <c r="Q433" s="821"/>
      <c r="R433" s="821"/>
      <c r="S433" s="821"/>
      <c r="T433" s="821"/>
      <c r="U433" s="821"/>
      <c r="V433" s="821"/>
      <c r="W433" s="821"/>
      <c r="X433" s="821"/>
      <c r="Y433" s="821"/>
      <c r="Z433" s="821"/>
      <c r="AA433" s="821"/>
      <c r="AB433" s="821"/>
      <c r="AC433" s="821"/>
      <c r="AD433" s="821"/>
    </row>
    <row r="434" spans="16:30" x14ac:dyDescent="0.3">
      <c r="P434" s="821"/>
      <c r="Q434" s="821"/>
      <c r="R434" s="821"/>
      <c r="S434" s="821"/>
      <c r="T434" s="821"/>
      <c r="U434" s="821"/>
      <c r="V434" s="821"/>
      <c r="W434" s="821"/>
      <c r="X434" s="821"/>
      <c r="Y434" s="821"/>
      <c r="Z434" s="821"/>
      <c r="AA434" s="821"/>
      <c r="AB434" s="821"/>
      <c r="AC434" s="821"/>
      <c r="AD434" s="821"/>
    </row>
    <row r="435" spans="16:30" x14ac:dyDescent="0.3">
      <c r="P435" s="821"/>
      <c r="Q435" s="821"/>
      <c r="R435" s="821"/>
      <c r="S435" s="821"/>
      <c r="T435" s="821"/>
      <c r="U435" s="821"/>
      <c r="V435" s="821"/>
      <c r="W435" s="821"/>
      <c r="X435" s="821"/>
      <c r="Y435" s="821"/>
      <c r="Z435" s="821"/>
      <c r="AA435" s="821"/>
      <c r="AB435" s="821"/>
      <c r="AC435" s="821"/>
      <c r="AD435" s="821"/>
    </row>
    <row r="436" spans="16:30" x14ac:dyDescent="0.3">
      <c r="P436" s="821"/>
      <c r="Q436" s="821"/>
      <c r="R436" s="821"/>
      <c r="S436" s="821"/>
      <c r="T436" s="821"/>
      <c r="U436" s="821"/>
      <c r="V436" s="821"/>
      <c r="W436" s="821"/>
      <c r="X436" s="821"/>
      <c r="Y436" s="821"/>
      <c r="Z436" s="821"/>
      <c r="AA436" s="821"/>
      <c r="AB436" s="821"/>
      <c r="AC436" s="821"/>
      <c r="AD436" s="821"/>
    </row>
    <row r="437" spans="16:30" x14ac:dyDescent="0.3">
      <c r="P437" s="821"/>
      <c r="Q437" s="821"/>
      <c r="R437" s="821"/>
      <c r="S437" s="821"/>
      <c r="T437" s="821"/>
      <c r="U437" s="821"/>
      <c r="V437" s="821"/>
      <c r="W437" s="821"/>
      <c r="X437" s="821"/>
      <c r="Y437" s="821"/>
      <c r="Z437" s="821"/>
      <c r="AA437" s="821"/>
      <c r="AB437" s="821"/>
      <c r="AC437" s="821"/>
      <c r="AD437" s="821"/>
    </row>
    <row r="438" spans="16:30" x14ac:dyDescent="0.3">
      <c r="P438" s="821"/>
      <c r="Q438" s="821"/>
      <c r="R438" s="821"/>
      <c r="S438" s="821"/>
      <c r="T438" s="821"/>
      <c r="U438" s="821"/>
      <c r="V438" s="821"/>
      <c r="W438" s="821"/>
      <c r="X438" s="821"/>
      <c r="Y438" s="821"/>
      <c r="Z438" s="821"/>
      <c r="AA438" s="821"/>
      <c r="AB438" s="821"/>
      <c r="AC438" s="821"/>
      <c r="AD438" s="821"/>
    </row>
    <row r="439" spans="16:30" x14ac:dyDescent="0.3">
      <c r="P439" s="821"/>
      <c r="Q439" s="821"/>
      <c r="R439" s="821"/>
      <c r="S439" s="821"/>
      <c r="T439" s="821"/>
      <c r="U439" s="821"/>
      <c r="V439" s="821"/>
      <c r="W439" s="821"/>
      <c r="X439" s="821"/>
      <c r="Y439" s="821"/>
      <c r="Z439" s="821"/>
      <c r="AA439" s="821"/>
      <c r="AB439" s="821"/>
      <c r="AC439" s="821"/>
      <c r="AD439" s="821"/>
    </row>
    <row r="440" spans="16:30" x14ac:dyDescent="0.3">
      <c r="P440" s="821"/>
      <c r="Q440" s="821"/>
      <c r="R440" s="821"/>
      <c r="S440" s="821"/>
      <c r="T440" s="821"/>
      <c r="U440" s="821"/>
      <c r="V440" s="821"/>
      <c r="W440" s="821"/>
      <c r="X440" s="821"/>
      <c r="Y440" s="821"/>
      <c r="Z440" s="821"/>
      <c r="AA440" s="821"/>
      <c r="AB440" s="821"/>
      <c r="AC440" s="821"/>
      <c r="AD440" s="821"/>
    </row>
    <row r="441" spans="16:30" x14ac:dyDescent="0.3">
      <c r="P441" s="821"/>
      <c r="Q441" s="821"/>
      <c r="R441" s="821"/>
      <c r="S441" s="821"/>
      <c r="T441" s="821"/>
      <c r="U441" s="821"/>
      <c r="V441" s="821"/>
      <c r="W441" s="821"/>
      <c r="X441" s="821"/>
      <c r="Y441" s="821"/>
      <c r="Z441" s="821"/>
      <c r="AA441" s="821"/>
      <c r="AB441" s="821"/>
      <c r="AC441" s="821"/>
      <c r="AD441" s="821"/>
    </row>
    <row r="442" spans="16:30" x14ac:dyDescent="0.3">
      <c r="P442" s="821"/>
      <c r="Q442" s="821"/>
      <c r="R442" s="821"/>
      <c r="S442" s="821"/>
      <c r="T442" s="821"/>
      <c r="U442" s="821"/>
      <c r="V442" s="821"/>
      <c r="W442" s="821"/>
      <c r="X442" s="821"/>
      <c r="Y442" s="821"/>
      <c r="Z442" s="821"/>
      <c r="AA442" s="821"/>
      <c r="AB442" s="821"/>
      <c r="AC442" s="821"/>
      <c r="AD442" s="821"/>
    </row>
    <row r="443" spans="16:30" x14ac:dyDescent="0.3">
      <c r="P443" s="821"/>
      <c r="Q443" s="821"/>
      <c r="R443" s="821"/>
      <c r="S443" s="821"/>
      <c r="T443" s="821"/>
      <c r="U443" s="821"/>
      <c r="V443" s="821"/>
      <c r="W443" s="821"/>
      <c r="X443" s="821"/>
      <c r="Y443" s="821"/>
      <c r="Z443" s="821"/>
      <c r="AA443" s="821"/>
      <c r="AB443" s="821"/>
      <c r="AC443" s="821"/>
      <c r="AD443" s="821"/>
    </row>
    <row r="444" spans="16:30" x14ac:dyDescent="0.3">
      <c r="P444" s="821"/>
      <c r="Q444" s="821"/>
      <c r="R444" s="821"/>
      <c r="S444" s="821"/>
      <c r="T444" s="821"/>
      <c r="U444" s="821"/>
      <c r="V444" s="821"/>
      <c r="W444" s="821"/>
      <c r="X444" s="821"/>
      <c r="Y444" s="821"/>
      <c r="Z444" s="821"/>
      <c r="AA444" s="821"/>
      <c r="AB444" s="821"/>
      <c r="AC444" s="821"/>
      <c r="AD444" s="821"/>
    </row>
    <row r="445" spans="16:30" x14ac:dyDescent="0.3">
      <c r="P445" s="821"/>
      <c r="Q445" s="821"/>
      <c r="R445" s="821"/>
      <c r="S445" s="821"/>
      <c r="T445" s="821"/>
      <c r="U445" s="821"/>
      <c r="V445" s="821"/>
      <c r="W445" s="821"/>
      <c r="X445" s="821"/>
      <c r="Y445" s="821"/>
      <c r="Z445" s="821"/>
      <c r="AA445" s="821"/>
      <c r="AB445" s="821"/>
      <c r="AC445" s="821"/>
      <c r="AD445" s="821"/>
    </row>
    <row r="446" spans="16:30" x14ac:dyDescent="0.3">
      <c r="P446" s="821"/>
      <c r="Q446" s="821"/>
      <c r="R446" s="821"/>
      <c r="S446" s="821"/>
      <c r="T446" s="821"/>
      <c r="U446" s="821"/>
      <c r="V446" s="821"/>
      <c r="W446" s="821"/>
      <c r="X446" s="821"/>
      <c r="Y446" s="821"/>
      <c r="Z446" s="821"/>
      <c r="AA446" s="821"/>
      <c r="AB446" s="821"/>
      <c r="AC446" s="821"/>
      <c r="AD446" s="821"/>
    </row>
    <row r="447" spans="16:30" x14ac:dyDescent="0.3">
      <c r="P447" s="821"/>
      <c r="Q447" s="821"/>
      <c r="R447" s="821"/>
      <c r="S447" s="821"/>
      <c r="T447" s="821"/>
      <c r="U447" s="821"/>
      <c r="V447" s="821"/>
      <c r="W447" s="821"/>
      <c r="X447" s="821"/>
      <c r="Y447" s="821"/>
      <c r="Z447" s="821"/>
      <c r="AA447" s="821"/>
      <c r="AB447" s="821"/>
      <c r="AC447" s="821"/>
      <c r="AD447" s="821"/>
    </row>
    <row r="448" spans="16:30" x14ac:dyDescent="0.3">
      <c r="P448" s="821"/>
      <c r="Q448" s="821"/>
      <c r="R448" s="821"/>
      <c r="S448" s="821"/>
      <c r="T448" s="821"/>
      <c r="U448" s="821"/>
      <c r="V448" s="821"/>
      <c r="W448" s="821"/>
      <c r="X448" s="821"/>
      <c r="Y448" s="821"/>
      <c r="Z448" s="821"/>
      <c r="AA448" s="821"/>
      <c r="AB448" s="821"/>
      <c r="AC448" s="821"/>
      <c r="AD448" s="821"/>
    </row>
    <row r="449" spans="16:30" x14ac:dyDescent="0.3">
      <c r="P449" s="821"/>
      <c r="Q449" s="821"/>
      <c r="R449" s="821"/>
      <c r="S449" s="821"/>
      <c r="T449" s="821"/>
      <c r="U449" s="821"/>
      <c r="V449" s="821"/>
      <c r="W449" s="821"/>
      <c r="X449" s="821"/>
      <c r="Y449" s="821"/>
      <c r="Z449" s="821"/>
      <c r="AA449" s="821"/>
      <c r="AB449" s="821"/>
      <c r="AC449" s="821"/>
      <c r="AD449" s="821"/>
    </row>
    <row r="450" spans="16:30" x14ac:dyDescent="0.3">
      <c r="P450" s="821"/>
      <c r="Q450" s="821"/>
      <c r="R450" s="821"/>
      <c r="S450" s="821"/>
      <c r="T450" s="821"/>
      <c r="U450" s="821"/>
      <c r="V450" s="821"/>
      <c r="W450" s="821"/>
      <c r="X450" s="821"/>
      <c r="Y450" s="821"/>
      <c r="Z450" s="821"/>
      <c r="AA450" s="821"/>
      <c r="AB450" s="821"/>
      <c r="AC450" s="821"/>
      <c r="AD450" s="821"/>
    </row>
    <row r="451" spans="16:30" x14ac:dyDescent="0.3">
      <c r="P451" s="821"/>
      <c r="Q451" s="821"/>
      <c r="R451" s="821"/>
      <c r="S451" s="821"/>
      <c r="T451" s="821"/>
      <c r="U451" s="821"/>
      <c r="V451" s="821"/>
      <c r="W451" s="821"/>
      <c r="X451" s="821"/>
      <c r="Y451" s="821"/>
      <c r="Z451" s="821"/>
      <c r="AA451" s="821"/>
      <c r="AB451" s="821"/>
      <c r="AC451" s="821"/>
      <c r="AD451" s="821"/>
    </row>
    <row r="452" spans="16:30" x14ac:dyDescent="0.3">
      <c r="P452" s="821"/>
      <c r="Q452" s="821"/>
      <c r="R452" s="821"/>
      <c r="S452" s="821"/>
      <c r="T452" s="821"/>
      <c r="U452" s="821"/>
      <c r="V452" s="821"/>
      <c r="W452" s="821"/>
      <c r="X452" s="821"/>
      <c r="Y452" s="821"/>
      <c r="Z452" s="821"/>
      <c r="AA452" s="821"/>
      <c r="AB452" s="821"/>
      <c r="AC452" s="821"/>
      <c r="AD452" s="821"/>
    </row>
    <row r="453" spans="16:30" x14ac:dyDescent="0.3">
      <c r="P453" s="821"/>
      <c r="Q453" s="821"/>
      <c r="R453" s="821"/>
      <c r="S453" s="821"/>
      <c r="T453" s="821"/>
      <c r="U453" s="821"/>
      <c r="V453" s="821"/>
      <c r="W453" s="821"/>
      <c r="X453" s="821"/>
      <c r="Y453" s="821"/>
      <c r="Z453" s="821"/>
      <c r="AA453" s="821"/>
      <c r="AB453" s="821"/>
      <c r="AC453" s="821"/>
      <c r="AD453" s="821"/>
    </row>
    <row r="454" spans="16:30" x14ac:dyDescent="0.3">
      <c r="P454" s="821"/>
      <c r="Q454" s="821"/>
      <c r="R454" s="821"/>
      <c r="S454" s="821"/>
      <c r="T454" s="821"/>
      <c r="U454" s="821"/>
      <c r="V454" s="821"/>
      <c r="W454" s="821"/>
      <c r="X454" s="821"/>
      <c r="Y454" s="821"/>
      <c r="Z454" s="821"/>
      <c r="AA454" s="821"/>
      <c r="AB454" s="821"/>
      <c r="AC454" s="821"/>
      <c r="AD454" s="821"/>
    </row>
    <row r="455" spans="16:30" x14ac:dyDescent="0.3">
      <c r="P455" s="821"/>
      <c r="Q455" s="821"/>
      <c r="R455" s="821"/>
      <c r="S455" s="821"/>
      <c r="T455" s="821"/>
      <c r="U455" s="821"/>
      <c r="V455" s="821"/>
      <c r="W455" s="821"/>
      <c r="X455" s="821"/>
      <c r="Y455" s="821"/>
      <c r="Z455" s="821"/>
      <c r="AA455" s="821"/>
      <c r="AB455" s="821"/>
      <c r="AC455" s="821"/>
      <c r="AD455" s="821"/>
    </row>
    <row r="456" spans="16:30" x14ac:dyDescent="0.3">
      <c r="P456" s="821"/>
      <c r="Q456" s="821"/>
      <c r="R456" s="821"/>
      <c r="S456" s="821"/>
      <c r="T456" s="821"/>
      <c r="U456" s="821"/>
      <c r="V456" s="821"/>
      <c r="W456" s="821"/>
      <c r="X456" s="821"/>
      <c r="Y456" s="821"/>
      <c r="Z456" s="821"/>
      <c r="AA456" s="821"/>
      <c r="AB456" s="821"/>
      <c r="AC456" s="821"/>
      <c r="AD456" s="821"/>
    </row>
    <row r="457" spans="16:30" x14ac:dyDescent="0.3">
      <c r="P457" s="821"/>
      <c r="Q457" s="821"/>
      <c r="R457" s="821"/>
      <c r="S457" s="821"/>
      <c r="T457" s="821"/>
      <c r="U457" s="821"/>
      <c r="V457" s="821"/>
      <c r="W457" s="821"/>
      <c r="X457" s="821"/>
      <c r="Y457" s="821"/>
      <c r="Z457" s="821"/>
      <c r="AA457" s="821"/>
      <c r="AB457" s="821"/>
      <c r="AC457" s="821"/>
      <c r="AD457" s="821"/>
    </row>
    <row r="458" spans="16:30" x14ac:dyDescent="0.3">
      <c r="P458" s="821"/>
      <c r="Q458" s="821"/>
      <c r="R458" s="821"/>
      <c r="S458" s="821"/>
      <c r="T458" s="821"/>
      <c r="U458" s="821"/>
      <c r="V458" s="821"/>
      <c r="W458" s="821"/>
      <c r="X458" s="821"/>
      <c r="Y458" s="821"/>
      <c r="Z458" s="821"/>
      <c r="AA458" s="821"/>
      <c r="AB458" s="821"/>
      <c r="AC458" s="821"/>
      <c r="AD458" s="821"/>
    </row>
    <row r="459" spans="16:30" x14ac:dyDescent="0.3">
      <c r="P459" s="821"/>
      <c r="Q459" s="821"/>
      <c r="R459" s="821"/>
      <c r="S459" s="821"/>
      <c r="T459" s="821"/>
      <c r="U459" s="821"/>
      <c r="V459" s="821"/>
      <c r="W459" s="821"/>
      <c r="X459" s="821"/>
      <c r="Y459" s="821"/>
      <c r="Z459" s="821"/>
      <c r="AA459" s="821"/>
      <c r="AB459" s="821"/>
      <c r="AC459" s="821"/>
      <c r="AD459" s="821"/>
    </row>
    <row r="460" spans="16:30" x14ac:dyDescent="0.3">
      <c r="P460" s="821"/>
      <c r="Q460" s="821"/>
      <c r="R460" s="821"/>
      <c r="S460" s="821"/>
      <c r="T460" s="821"/>
      <c r="U460" s="821"/>
      <c r="V460" s="821"/>
      <c r="W460" s="821"/>
      <c r="X460" s="821"/>
      <c r="Y460" s="821"/>
      <c r="Z460" s="821"/>
      <c r="AA460" s="821"/>
      <c r="AB460" s="821"/>
      <c r="AC460" s="821"/>
      <c r="AD460" s="821"/>
    </row>
    <row r="461" spans="16:30" x14ac:dyDescent="0.3">
      <c r="P461" s="821"/>
      <c r="Q461" s="821"/>
      <c r="R461" s="821"/>
      <c r="S461" s="821"/>
      <c r="T461" s="821"/>
      <c r="U461" s="821"/>
      <c r="V461" s="821"/>
      <c r="W461" s="821"/>
      <c r="X461" s="821"/>
      <c r="Y461" s="821"/>
      <c r="Z461" s="821"/>
      <c r="AA461" s="821"/>
      <c r="AB461" s="821"/>
      <c r="AC461" s="821"/>
      <c r="AD461" s="821"/>
    </row>
    <row r="462" spans="16:30" x14ac:dyDescent="0.3">
      <c r="P462" s="821"/>
      <c r="Q462" s="821"/>
      <c r="R462" s="821"/>
      <c r="S462" s="821"/>
      <c r="T462" s="821"/>
      <c r="U462" s="821"/>
      <c r="V462" s="821"/>
      <c r="W462" s="821"/>
      <c r="X462" s="821"/>
      <c r="Y462" s="821"/>
      <c r="Z462" s="821"/>
      <c r="AA462" s="821"/>
      <c r="AB462" s="821"/>
      <c r="AC462" s="821"/>
      <c r="AD462" s="821"/>
    </row>
    <row r="463" spans="16:30" x14ac:dyDescent="0.3">
      <c r="P463" s="821"/>
      <c r="Q463" s="821"/>
      <c r="R463" s="821"/>
      <c r="S463" s="821"/>
      <c r="T463" s="821"/>
      <c r="U463" s="821"/>
      <c r="V463" s="821"/>
      <c r="W463" s="821"/>
      <c r="X463" s="821"/>
      <c r="Y463" s="821"/>
      <c r="Z463" s="821"/>
      <c r="AA463" s="821"/>
      <c r="AB463" s="821"/>
      <c r="AC463" s="821"/>
      <c r="AD463" s="821"/>
    </row>
    <row r="464" spans="16:30" x14ac:dyDescent="0.3">
      <c r="P464" s="821"/>
      <c r="Q464" s="821"/>
      <c r="R464" s="821"/>
      <c r="S464" s="821"/>
      <c r="T464" s="821"/>
      <c r="U464" s="821"/>
      <c r="V464" s="821"/>
      <c r="W464" s="821"/>
      <c r="X464" s="821"/>
      <c r="Y464" s="821"/>
      <c r="Z464" s="821"/>
      <c r="AA464" s="821"/>
      <c r="AB464" s="821"/>
      <c r="AC464" s="821"/>
      <c r="AD464" s="821"/>
    </row>
    <row r="465" spans="16:30" x14ac:dyDescent="0.3">
      <c r="P465" s="821"/>
      <c r="Q465" s="821"/>
      <c r="R465" s="821"/>
      <c r="S465" s="821"/>
      <c r="T465" s="821"/>
      <c r="U465" s="821"/>
      <c r="V465" s="821"/>
      <c r="W465" s="821"/>
      <c r="X465" s="821"/>
      <c r="Y465" s="821"/>
      <c r="Z465" s="821"/>
      <c r="AA465" s="821"/>
      <c r="AB465" s="821"/>
      <c r="AC465" s="821"/>
      <c r="AD465" s="821"/>
    </row>
    <row r="466" spans="16:30" x14ac:dyDescent="0.3">
      <c r="P466" s="821"/>
      <c r="Q466" s="821"/>
      <c r="R466" s="821"/>
      <c r="S466" s="821"/>
      <c r="T466" s="821"/>
      <c r="U466" s="821"/>
      <c r="V466" s="821"/>
      <c r="W466" s="821"/>
      <c r="X466" s="821"/>
      <c r="Y466" s="821"/>
      <c r="Z466" s="821"/>
      <c r="AA466" s="821"/>
      <c r="AB466" s="821"/>
      <c r="AC466" s="821"/>
      <c r="AD466" s="821"/>
    </row>
    <row r="467" spans="16:30" x14ac:dyDescent="0.3">
      <c r="P467" s="821"/>
      <c r="Q467" s="821"/>
      <c r="R467" s="821"/>
      <c r="S467" s="821"/>
      <c r="T467" s="821"/>
      <c r="U467" s="821"/>
      <c r="V467" s="821"/>
      <c r="W467" s="821"/>
      <c r="X467" s="821"/>
      <c r="Y467" s="821"/>
      <c r="Z467" s="821"/>
      <c r="AA467" s="821"/>
      <c r="AB467" s="821"/>
      <c r="AC467" s="821"/>
      <c r="AD467" s="821"/>
    </row>
    <row r="468" spans="16:30" x14ac:dyDescent="0.3">
      <c r="P468" s="821"/>
      <c r="Q468" s="821"/>
      <c r="R468" s="821"/>
      <c r="S468" s="821"/>
      <c r="T468" s="821"/>
      <c r="U468" s="821"/>
      <c r="V468" s="821"/>
      <c r="W468" s="821"/>
      <c r="X468" s="821"/>
      <c r="Y468" s="821"/>
      <c r="Z468" s="821"/>
      <c r="AA468" s="821"/>
      <c r="AB468" s="821"/>
      <c r="AC468" s="821"/>
      <c r="AD468" s="821"/>
    </row>
    <row r="469" spans="16:30" x14ac:dyDescent="0.3">
      <c r="P469" s="821"/>
      <c r="Q469" s="821"/>
      <c r="R469" s="821"/>
      <c r="S469" s="821"/>
      <c r="T469" s="821"/>
      <c r="U469" s="821"/>
      <c r="V469" s="821"/>
      <c r="W469" s="821"/>
      <c r="X469" s="821"/>
      <c r="Y469" s="821"/>
      <c r="Z469" s="821"/>
      <c r="AA469" s="821"/>
      <c r="AB469" s="821"/>
      <c r="AC469" s="821"/>
      <c r="AD469" s="821"/>
    </row>
    <row r="470" spans="16:30" x14ac:dyDescent="0.3">
      <c r="P470" s="821"/>
      <c r="Q470" s="821"/>
      <c r="R470" s="821"/>
      <c r="S470" s="821"/>
      <c r="T470" s="821"/>
      <c r="U470" s="821"/>
      <c r="V470" s="821"/>
      <c r="W470" s="821"/>
      <c r="X470" s="821"/>
      <c r="Y470" s="821"/>
      <c r="Z470" s="821"/>
      <c r="AA470" s="821"/>
      <c r="AB470" s="821"/>
      <c r="AC470" s="821"/>
      <c r="AD470" s="821"/>
    </row>
    <row r="471" spans="16:30" x14ac:dyDescent="0.3">
      <c r="P471" s="821"/>
      <c r="Q471" s="821"/>
      <c r="R471" s="821"/>
      <c r="S471" s="821"/>
      <c r="T471" s="821"/>
      <c r="U471" s="821"/>
      <c r="V471" s="821"/>
      <c r="W471" s="821"/>
      <c r="X471" s="821"/>
      <c r="Y471" s="821"/>
      <c r="Z471" s="821"/>
      <c r="AA471" s="821"/>
      <c r="AB471" s="821"/>
      <c r="AC471" s="821"/>
      <c r="AD471" s="821"/>
    </row>
    <row r="472" spans="16:30" x14ac:dyDescent="0.3">
      <c r="P472" s="821"/>
      <c r="Q472" s="821"/>
      <c r="R472" s="821"/>
      <c r="S472" s="821"/>
      <c r="T472" s="821"/>
      <c r="U472" s="821"/>
      <c r="V472" s="821"/>
      <c r="W472" s="821"/>
      <c r="X472" s="821"/>
      <c r="Y472" s="821"/>
      <c r="Z472" s="821"/>
      <c r="AA472" s="821"/>
      <c r="AB472" s="821"/>
      <c r="AC472" s="821"/>
      <c r="AD472" s="821"/>
    </row>
    <row r="473" spans="16:30" x14ac:dyDescent="0.3">
      <c r="P473" s="821"/>
      <c r="Q473" s="821"/>
      <c r="R473" s="821"/>
      <c r="S473" s="821"/>
      <c r="T473" s="821"/>
      <c r="U473" s="821"/>
      <c r="V473" s="821"/>
      <c r="W473" s="821"/>
      <c r="X473" s="821"/>
      <c r="Y473" s="821"/>
      <c r="Z473" s="821"/>
      <c r="AA473" s="821"/>
      <c r="AB473" s="821"/>
      <c r="AC473" s="821"/>
      <c r="AD473" s="821"/>
    </row>
    <row r="474" spans="16:30" x14ac:dyDescent="0.3">
      <c r="P474" s="821"/>
      <c r="Q474" s="821"/>
      <c r="R474" s="821"/>
      <c r="S474" s="821"/>
      <c r="T474" s="821"/>
      <c r="U474" s="821"/>
      <c r="V474" s="821"/>
      <c r="W474" s="821"/>
      <c r="X474" s="821"/>
      <c r="Y474" s="821"/>
      <c r="Z474" s="821"/>
      <c r="AA474" s="821"/>
      <c r="AB474" s="821"/>
      <c r="AC474" s="821"/>
      <c r="AD474" s="821"/>
    </row>
    <row r="475" spans="16:30" x14ac:dyDescent="0.3">
      <c r="P475" s="821"/>
      <c r="Q475" s="821"/>
      <c r="R475" s="821"/>
      <c r="S475" s="821"/>
      <c r="T475" s="821"/>
      <c r="U475" s="821"/>
      <c r="V475" s="821"/>
      <c r="W475" s="821"/>
      <c r="X475" s="821"/>
      <c r="Y475" s="821"/>
      <c r="Z475" s="821"/>
      <c r="AA475" s="821"/>
      <c r="AB475" s="821"/>
      <c r="AC475" s="821"/>
      <c r="AD475" s="821"/>
    </row>
    <row r="476" spans="16:30" x14ac:dyDescent="0.3">
      <c r="P476" s="821"/>
      <c r="Q476" s="821"/>
      <c r="R476" s="821"/>
      <c r="S476" s="821"/>
      <c r="T476" s="821"/>
      <c r="U476" s="821"/>
      <c r="V476" s="821"/>
      <c r="W476" s="821"/>
      <c r="X476" s="821"/>
      <c r="Y476" s="821"/>
      <c r="Z476" s="821"/>
      <c r="AA476" s="821"/>
      <c r="AB476" s="821"/>
      <c r="AC476" s="821"/>
      <c r="AD476" s="821"/>
    </row>
    <row r="477" spans="16:30" x14ac:dyDescent="0.3">
      <c r="P477" s="821"/>
      <c r="Q477" s="821"/>
      <c r="R477" s="821"/>
      <c r="S477" s="821"/>
      <c r="T477" s="821"/>
      <c r="U477" s="821"/>
      <c r="V477" s="821"/>
      <c r="W477" s="821"/>
      <c r="X477" s="821"/>
      <c r="Y477" s="821"/>
      <c r="Z477" s="821"/>
      <c r="AA477" s="821"/>
      <c r="AB477" s="821"/>
      <c r="AC477" s="821"/>
      <c r="AD477" s="821"/>
    </row>
    <row r="478" spans="16:30" x14ac:dyDescent="0.3">
      <c r="P478" s="821"/>
      <c r="Q478" s="821"/>
      <c r="R478" s="821"/>
      <c r="S478" s="821"/>
      <c r="T478" s="821"/>
      <c r="U478" s="821"/>
      <c r="V478" s="821"/>
      <c r="W478" s="821"/>
      <c r="X478" s="821"/>
      <c r="Y478" s="821"/>
      <c r="Z478" s="821"/>
      <c r="AA478" s="821"/>
      <c r="AB478" s="821"/>
      <c r="AC478" s="821"/>
      <c r="AD478" s="821"/>
    </row>
    <row r="479" spans="16:30" x14ac:dyDescent="0.3">
      <c r="P479" s="821"/>
      <c r="Q479" s="821"/>
      <c r="R479" s="821"/>
      <c r="S479" s="821"/>
      <c r="T479" s="821"/>
      <c r="U479" s="821"/>
      <c r="V479" s="821"/>
      <c r="W479" s="821"/>
      <c r="X479" s="821"/>
      <c r="Y479" s="821"/>
      <c r="Z479" s="821"/>
      <c r="AA479" s="821"/>
      <c r="AB479" s="821"/>
      <c r="AC479" s="821"/>
      <c r="AD479" s="821"/>
    </row>
    <row r="480" spans="16:30" x14ac:dyDescent="0.3">
      <c r="P480" s="821"/>
      <c r="Q480" s="821"/>
      <c r="R480" s="821"/>
      <c r="S480" s="821"/>
      <c r="T480" s="821"/>
      <c r="U480" s="821"/>
      <c r="V480" s="821"/>
      <c r="W480" s="821"/>
      <c r="X480" s="821"/>
      <c r="Y480" s="821"/>
      <c r="Z480" s="821"/>
      <c r="AA480" s="821"/>
      <c r="AB480" s="821"/>
      <c r="AC480" s="821"/>
      <c r="AD480" s="821"/>
    </row>
    <row r="481" spans="16:30" x14ac:dyDescent="0.3">
      <c r="P481" s="821"/>
      <c r="Q481" s="821"/>
      <c r="R481" s="821"/>
      <c r="S481" s="821"/>
      <c r="T481" s="821"/>
      <c r="U481" s="821"/>
      <c r="V481" s="821"/>
      <c r="W481" s="821"/>
      <c r="X481" s="821"/>
      <c r="Y481" s="821"/>
      <c r="Z481" s="821"/>
      <c r="AA481" s="821"/>
      <c r="AB481" s="821"/>
      <c r="AC481" s="821"/>
      <c r="AD481" s="821"/>
    </row>
    <row r="482" spans="16:30" x14ac:dyDescent="0.3">
      <c r="P482" s="821"/>
      <c r="Q482" s="821"/>
      <c r="R482" s="821"/>
      <c r="S482" s="821"/>
      <c r="T482" s="821"/>
      <c r="U482" s="821"/>
      <c r="V482" s="821"/>
      <c r="W482" s="821"/>
      <c r="X482" s="821"/>
      <c r="Y482" s="821"/>
      <c r="Z482" s="821"/>
      <c r="AA482" s="821"/>
      <c r="AB482" s="821"/>
      <c r="AC482" s="821"/>
      <c r="AD482" s="821"/>
    </row>
    <row r="483" spans="16:30" x14ac:dyDescent="0.3">
      <c r="P483" s="821"/>
      <c r="Q483" s="821"/>
      <c r="R483" s="821"/>
      <c r="S483" s="821"/>
      <c r="T483" s="821"/>
      <c r="U483" s="821"/>
      <c r="V483" s="821"/>
      <c r="W483" s="821"/>
      <c r="X483" s="821"/>
      <c r="Y483" s="821"/>
      <c r="Z483" s="821"/>
      <c r="AA483" s="821"/>
      <c r="AB483" s="821"/>
      <c r="AC483" s="821"/>
      <c r="AD483" s="821"/>
    </row>
    <row r="484" spans="16:30" x14ac:dyDescent="0.3">
      <c r="P484" s="821"/>
      <c r="Q484" s="821"/>
      <c r="R484" s="821"/>
      <c r="S484" s="821"/>
      <c r="T484" s="821"/>
      <c r="U484" s="821"/>
      <c r="V484" s="821"/>
      <c r="W484" s="821"/>
      <c r="X484" s="821"/>
      <c r="Y484" s="821"/>
      <c r="Z484" s="821"/>
      <c r="AA484" s="821"/>
      <c r="AB484" s="821"/>
      <c r="AC484" s="821"/>
      <c r="AD484" s="821"/>
    </row>
    <row r="485" spans="16:30" x14ac:dyDescent="0.3">
      <c r="P485" s="821"/>
      <c r="Q485" s="821"/>
      <c r="R485" s="821"/>
      <c r="S485" s="821"/>
      <c r="T485" s="821"/>
      <c r="U485" s="821"/>
      <c r="V485" s="821"/>
      <c r="W485" s="821"/>
      <c r="X485" s="821"/>
      <c r="Y485" s="821"/>
      <c r="Z485" s="821"/>
      <c r="AA485" s="821"/>
      <c r="AB485" s="821"/>
      <c r="AC485" s="821"/>
      <c r="AD485" s="821"/>
    </row>
    <row r="486" spans="16:30" x14ac:dyDescent="0.3">
      <c r="P486" s="821"/>
      <c r="Q486" s="821"/>
      <c r="R486" s="821"/>
      <c r="S486" s="821"/>
      <c r="T486" s="821"/>
      <c r="U486" s="821"/>
      <c r="V486" s="821"/>
      <c r="W486" s="821"/>
      <c r="X486" s="821"/>
      <c r="Y486" s="821"/>
      <c r="Z486" s="821"/>
      <c r="AA486" s="821"/>
      <c r="AB486" s="821"/>
      <c r="AC486" s="821"/>
      <c r="AD486" s="821"/>
    </row>
    <row r="487" spans="16:30" x14ac:dyDescent="0.3">
      <c r="P487" s="821"/>
      <c r="Q487" s="821"/>
      <c r="R487" s="821"/>
      <c r="S487" s="821"/>
      <c r="T487" s="821"/>
      <c r="U487" s="821"/>
      <c r="V487" s="821"/>
      <c r="W487" s="821"/>
      <c r="X487" s="821"/>
      <c r="Y487" s="821"/>
      <c r="Z487" s="821"/>
      <c r="AA487" s="821"/>
      <c r="AB487" s="821"/>
      <c r="AC487" s="821"/>
      <c r="AD487" s="821"/>
    </row>
    <row r="488" spans="16:30" x14ac:dyDescent="0.3">
      <c r="P488" s="821"/>
      <c r="Q488" s="821"/>
      <c r="R488" s="821"/>
      <c r="S488" s="821"/>
      <c r="T488" s="821"/>
      <c r="U488" s="821"/>
      <c r="V488" s="821"/>
      <c r="W488" s="821"/>
      <c r="X488" s="821"/>
      <c r="Y488" s="821"/>
      <c r="Z488" s="821"/>
      <c r="AA488" s="821"/>
      <c r="AB488" s="821"/>
      <c r="AC488" s="821"/>
      <c r="AD488" s="821"/>
    </row>
    <row r="489" spans="16:30" x14ac:dyDescent="0.3">
      <c r="P489" s="821"/>
      <c r="Q489" s="821"/>
      <c r="R489" s="821"/>
      <c r="S489" s="821"/>
      <c r="T489" s="821"/>
      <c r="U489" s="821"/>
      <c r="V489" s="821"/>
      <c r="W489" s="821"/>
      <c r="X489" s="821"/>
      <c r="Y489" s="821"/>
      <c r="Z489" s="821"/>
      <c r="AA489" s="821"/>
      <c r="AB489" s="821"/>
      <c r="AC489" s="821"/>
      <c r="AD489" s="821"/>
    </row>
    <row r="490" spans="16:30" x14ac:dyDescent="0.3">
      <c r="P490" s="821"/>
      <c r="Q490" s="821"/>
      <c r="R490" s="821"/>
      <c r="S490" s="821"/>
      <c r="T490" s="821"/>
      <c r="U490" s="821"/>
      <c r="V490" s="821"/>
      <c r="W490" s="821"/>
      <c r="X490" s="821"/>
      <c r="Y490" s="821"/>
      <c r="Z490" s="821"/>
      <c r="AA490" s="821"/>
      <c r="AB490" s="821"/>
      <c r="AC490" s="821"/>
      <c r="AD490" s="821"/>
    </row>
    <row r="491" spans="16:30" x14ac:dyDescent="0.3">
      <c r="P491" s="821"/>
      <c r="Q491" s="821"/>
      <c r="R491" s="821"/>
      <c r="S491" s="821"/>
      <c r="T491" s="821"/>
      <c r="U491" s="821"/>
      <c r="V491" s="821"/>
      <c r="W491" s="821"/>
      <c r="X491" s="821"/>
      <c r="Y491" s="821"/>
      <c r="Z491" s="821"/>
      <c r="AA491" s="821"/>
      <c r="AB491" s="821"/>
      <c r="AC491" s="821"/>
      <c r="AD491" s="821"/>
    </row>
    <row r="492" spans="16:30" x14ac:dyDescent="0.3">
      <c r="P492" s="821"/>
      <c r="Q492" s="821"/>
      <c r="R492" s="821"/>
      <c r="S492" s="821"/>
      <c r="T492" s="821"/>
      <c r="U492" s="821"/>
      <c r="V492" s="821"/>
      <c r="W492" s="821"/>
      <c r="X492" s="821"/>
      <c r="Y492" s="821"/>
      <c r="Z492" s="821"/>
      <c r="AA492" s="821"/>
      <c r="AB492" s="821"/>
      <c r="AC492" s="821"/>
      <c r="AD492" s="821"/>
    </row>
    <row r="493" spans="16:30" x14ac:dyDescent="0.3">
      <c r="P493" s="821"/>
      <c r="Q493" s="821"/>
      <c r="R493" s="821"/>
      <c r="S493" s="821"/>
      <c r="T493" s="821"/>
      <c r="U493" s="821"/>
      <c r="V493" s="821"/>
      <c r="W493" s="821"/>
      <c r="X493" s="821"/>
      <c r="Y493" s="821"/>
      <c r="Z493" s="821"/>
      <c r="AA493" s="821"/>
      <c r="AB493" s="821"/>
      <c r="AC493" s="821"/>
      <c r="AD493" s="821"/>
    </row>
    <row r="494" spans="16:30" x14ac:dyDescent="0.3">
      <c r="P494" s="821"/>
      <c r="Q494" s="821"/>
      <c r="R494" s="821"/>
      <c r="S494" s="821"/>
      <c r="T494" s="821"/>
      <c r="U494" s="821"/>
      <c r="V494" s="821"/>
      <c r="W494" s="821"/>
      <c r="X494" s="821"/>
      <c r="Y494" s="821"/>
      <c r="Z494" s="821"/>
      <c r="AA494" s="821"/>
      <c r="AB494" s="821"/>
      <c r="AC494" s="821"/>
      <c r="AD494" s="821"/>
    </row>
    <row r="495" spans="16:30" x14ac:dyDescent="0.3">
      <c r="P495" s="821"/>
      <c r="Q495" s="821"/>
      <c r="R495" s="821"/>
      <c r="S495" s="821"/>
      <c r="T495" s="821"/>
      <c r="U495" s="821"/>
      <c r="V495" s="821"/>
      <c r="W495" s="821"/>
      <c r="X495" s="821"/>
      <c r="Y495" s="821"/>
      <c r="Z495" s="821"/>
      <c r="AA495" s="821"/>
      <c r="AB495" s="821"/>
      <c r="AC495" s="821"/>
      <c r="AD495" s="821"/>
    </row>
    <row r="496" spans="16:30" x14ac:dyDescent="0.3">
      <c r="P496" s="821"/>
      <c r="Q496" s="821"/>
      <c r="R496" s="821"/>
      <c r="S496" s="821"/>
      <c r="T496" s="821"/>
      <c r="U496" s="821"/>
      <c r="V496" s="821"/>
      <c r="W496" s="821"/>
      <c r="X496" s="821"/>
      <c r="Y496" s="821"/>
      <c r="Z496" s="821"/>
      <c r="AA496" s="821"/>
      <c r="AB496" s="821"/>
      <c r="AC496" s="821"/>
      <c r="AD496" s="821"/>
    </row>
    <row r="497" spans="16:30" x14ac:dyDescent="0.3">
      <c r="P497" s="821"/>
      <c r="Q497" s="821"/>
      <c r="R497" s="821"/>
      <c r="S497" s="821"/>
      <c r="T497" s="821"/>
      <c r="U497" s="821"/>
      <c r="V497" s="821"/>
      <c r="W497" s="821"/>
      <c r="X497" s="821"/>
      <c r="Y497" s="821"/>
      <c r="Z497" s="821"/>
      <c r="AA497" s="821"/>
      <c r="AB497" s="821"/>
      <c r="AC497" s="821"/>
      <c r="AD497" s="821"/>
    </row>
    <row r="498" spans="16:30" x14ac:dyDescent="0.3">
      <c r="P498" s="821"/>
      <c r="Q498" s="821"/>
      <c r="R498" s="821"/>
      <c r="S498" s="821"/>
      <c r="T498" s="821"/>
      <c r="U498" s="821"/>
      <c r="V498" s="821"/>
      <c r="W498" s="821"/>
      <c r="X498" s="821"/>
      <c r="Y498" s="821"/>
      <c r="Z498" s="821"/>
      <c r="AA498" s="821"/>
      <c r="AB498" s="821"/>
      <c r="AC498" s="821"/>
      <c r="AD498" s="821"/>
    </row>
    <row r="499" spans="16:30" x14ac:dyDescent="0.3">
      <c r="P499" s="821"/>
      <c r="Q499" s="821"/>
      <c r="R499" s="821"/>
      <c r="S499" s="821"/>
      <c r="T499" s="821"/>
      <c r="U499" s="821"/>
      <c r="V499" s="821"/>
      <c r="W499" s="821"/>
      <c r="X499" s="821"/>
      <c r="Y499" s="821"/>
      <c r="Z499" s="821"/>
      <c r="AA499" s="821"/>
      <c r="AB499" s="821"/>
      <c r="AC499" s="821"/>
      <c r="AD499" s="821"/>
    </row>
    <row r="500" spans="16:30" x14ac:dyDescent="0.3">
      <c r="P500" s="821"/>
      <c r="Q500" s="821"/>
      <c r="R500" s="821"/>
      <c r="S500" s="821"/>
      <c r="T500" s="821"/>
      <c r="U500" s="821"/>
      <c r="V500" s="821"/>
      <c r="W500" s="821"/>
      <c r="X500" s="821"/>
      <c r="Y500" s="821"/>
      <c r="Z500" s="821"/>
      <c r="AA500" s="821"/>
      <c r="AB500" s="821"/>
      <c r="AC500" s="821"/>
      <c r="AD500" s="821"/>
    </row>
    <row r="501" spans="16:30" x14ac:dyDescent="0.3">
      <c r="P501" s="821"/>
      <c r="Q501" s="821"/>
      <c r="R501" s="821"/>
      <c r="S501" s="821"/>
      <c r="T501" s="821"/>
      <c r="U501" s="821"/>
      <c r="V501" s="821"/>
      <c r="W501" s="821"/>
      <c r="X501" s="821"/>
      <c r="Y501" s="821"/>
      <c r="Z501" s="821"/>
      <c r="AA501" s="821"/>
      <c r="AB501" s="821"/>
      <c r="AC501" s="821"/>
      <c r="AD501" s="821"/>
    </row>
    <row r="502" spans="16:30" x14ac:dyDescent="0.3">
      <c r="P502" s="821"/>
      <c r="Q502" s="821"/>
      <c r="R502" s="821"/>
      <c r="S502" s="821"/>
      <c r="T502" s="821"/>
      <c r="U502" s="821"/>
      <c r="V502" s="821"/>
      <c r="W502" s="821"/>
      <c r="X502" s="821"/>
      <c r="Y502" s="821"/>
      <c r="Z502" s="821"/>
      <c r="AA502" s="821"/>
      <c r="AB502" s="821"/>
      <c r="AC502" s="821"/>
      <c r="AD502" s="821"/>
    </row>
    <row r="503" spans="16:30" x14ac:dyDescent="0.3">
      <c r="P503" s="821"/>
      <c r="Q503" s="821"/>
      <c r="R503" s="821"/>
      <c r="S503" s="821"/>
      <c r="T503" s="821"/>
      <c r="U503" s="821"/>
      <c r="V503" s="821"/>
      <c r="W503" s="821"/>
      <c r="X503" s="821"/>
      <c r="Y503" s="821"/>
      <c r="Z503" s="821"/>
      <c r="AA503" s="821"/>
      <c r="AB503" s="821"/>
      <c r="AC503" s="821"/>
      <c r="AD503" s="821"/>
    </row>
    <row r="504" spans="16:30" x14ac:dyDescent="0.3">
      <c r="P504" s="821"/>
      <c r="Q504" s="821"/>
      <c r="R504" s="821"/>
      <c r="S504" s="821"/>
      <c r="T504" s="821"/>
      <c r="U504" s="821"/>
      <c r="V504" s="821"/>
      <c r="W504" s="821"/>
      <c r="X504" s="821"/>
      <c r="Y504" s="821"/>
      <c r="Z504" s="821"/>
      <c r="AA504" s="821"/>
      <c r="AB504" s="821"/>
      <c r="AC504" s="821"/>
      <c r="AD504" s="821"/>
    </row>
    <row r="505" spans="16:30" x14ac:dyDescent="0.3">
      <c r="P505" s="821"/>
      <c r="Q505" s="821"/>
      <c r="R505" s="821"/>
      <c r="S505" s="821"/>
      <c r="T505" s="821"/>
      <c r="U505" s="821"/>
      <c r="V505" s="821"/>
      <c r="W505" s="821"/>
      <c r="X505" s="821"/>
      <c r="Y505" s="821"/>
      <c r="Z505" s="821"/>
      <c r="AA505" s="821"/>
      <c r="AB505" s="821"/>
      <c r="AC505" s="821"/>
      <c r="AD505" s="821"/>
    </row>
    <row r="506" spans="16:30" x14ac:dyDescent="0.3">
      <c r="P506" s="821"/>
      <c r="Q506" s="821"/>
      <c r="R506" s="821"/>
      <c r="S506" s="821"/>
      <c r="T506" s="821"/>
      <c r="U506" s="821"/>
      <c r="V506" s="821"/>
      <c r="W506" s="821"/>
      <c r="X506" s="821"/>
      <c r="Y506" s="821"/>
      <c r="Z506" s="821"/>
      <c r="AA506" s="821"/>
      <c r="AB506" s="821"/>
      <c r="AC506" s="821"/>
      <c r="AD506" s="821"/>
    </row>
    <row r="507" spans="16:30" x14ac:dyDescent="0.3">
      <c r="P507" s="821"/>
      <c r="Q507" s="821"/>
      <c r="R507" s="821"/>
      <c r="S507" s="821"/>
      <c r="T507" s="821"/>
      <c r="U507" s="821"/>
      <c r="V507" s="821"/>
      <c r="W507" s="821"/>
      <c r="X507" s="821"/>
      <c r="Y507" s="821"/>
      <c r="Z507" s="821"/>
      <c r="AA507" s="821"/>
      <c r="AB507" s="821"/>
      <c r="AC507" s="821"/>
      <c r="AD507" s="821"/>
    </row>
    <row r="508" spans="16:30" x14ac:dyDescent="0.3">
      <c r="P508" s="821"/>
      <c r="Q508" s="821"/>
      <c r="R508" s="821"/>
      <c r="S508" s="821"/>
      <c r="T508" s="821"/>
      <c r="U508" s="821"/>
      <c r="V508" s="821"/>
      <c r="W508" s="821"/>
      <c r="X508" s="821"/>
      <c r="Y508" s="821"/>
      <c r="Z508" s="821"/>
      <c r="AA508" s="821"/>
      <c r="AB508" s="821"/>
      <c r="AC508" s="821"/>
      <c r="AD508" s="821"/>
    </row>
    <row r="509" spans="16:30" x14ac:dyDescent="0.3">
      <c r="P509" s="821"/>
      <c r="Q509" s="821"/>
      <c r="R509" s="821"/>
      <c r="S509" s="821"/>
      <c r="T509" s="821"/>
      <c r="U509" s="821"/>
      <c r="V509" s="821"/>
      <c r="W509" s="821"/>
      <c r="X509" s="821"/>
      <c r="Y509" s="821"/>
      <c r="Z509" s="821"/>
      <c r="AA509" s="821"/>
      <c r="AB509" s="821"/>
      <c r="AC509" s="821"/>
      <c r="AD509" s="821"/>
    </row>
    <row r="510" spans="16:30" x14ac:dyDescent="0.3">
      <c r="P510" s="821"/>
      <c r="Q510" s="821"/>
      <c r="R510" s="821"/>
      <c r="S510" s="821"/>
      <c r="T510" s="821"/>
      <c r="U510" s="821"/>
      <c r="V510" s="821"/>
      <c r="W510" s="821"/>
      <c r="X510" s="821"/>
      <c r="Y510" s="821"/>
      <c r="Z510" s="821"/>
      <c r="AA510" s="821"/>
      <c r="AB510" s="821"/>
      <c r="AC510" s="821"/>
      <c r="AD510" s="821"/>
    </row>
    <row r="511" spans="16:30" x14ac:dyDescent="0.3">
      <c r="P511" s="821"/>
      <c r="Q511" s="821"/>
      <c r="R511" s="821"/>
      <c r="S511" s="821"/>
      <c r="T511" s="821"/>
      <c r="U511" s="821"/>
      <c r="V511" s="821"/>
      <c r="W511" s="821"/>
      <c r="X511" s="821"/>
      <c r="Y511" s="821"/>
      <c r="Z511" s="821"/>
      <c r="AA511" s="821"/>
      <c r="AB511" s="821"/>
      <c r="AC511" s="821"/>
      <c r="AD511" s="821"/>
    </row>
    <row r="512" spans="16:30" x14ac:dyDescent="0.3">
      <c r="P512" s="821"/>
      <c r="Q512" s="821"/>
      <c r="R512" s="821"/>
      <c r="S512" s="821"/>
      <c r="T512" s="821"/>
      <c r="U512" s="821"/>
      <c r="V512" s="821"/>
      <c r="W512" s="821"/>
      <c r="X512" s="821"/>
      <c r="Y512" s="821"/>
      <c r="Z512" s="821"/>
      <c r="AA512" s="821"/>
      <c r="AB512" s="821"/>
      <c r="AC512" s="821"/>
      <c r="AD512" s="821"/>
    </row>
    <row r="513" spans="16:30" x14ac:dyDescent="0.3">
      <c r="P513" s="821"/>
      <c r="Q513" s="821"/>
      <c r="R513" s="821"/>
      <c r="S513" s="821"/>
      <c r="T513" s="821"/>
      <c r="U513" s="821"/>
      <c r="V513" s="821"/>
      <c r="W513" s="821"/>
      <c r="X513" s="821"/>
      <c r="Y513" s="821"/>
      <c r="Z513" s="821"/>
      <c r="AA513" s="821"/>
      <c r="AB513" s="821"/>
      <c r="AC513" s="821"/>
      <c r="AD513" s="821"/>
    </row>
    <row r="514" spans="16:30" x14ac:dyDescent="0.3">
      <c r="P514" s="821"/>
      <c r="Q514" s="821"/>
      <c r="R514" s="821"/>
      <c r="S514" s="821"/>
      <c r="T514" s="821"/>
      <c r="U514" s="821"/>
      <c r="V514" s="821"/>
      <c r="W514" s="821"/>
      <c r="X514" s="821"/>
      <c r="Y514" s="821"/>
      <c r="Z514" s="821"/>
      <c r="AA514" s="821"/>
      <c r="AB514" s="821"/>
      <c r="AC514" s="821"/>
      <c r="AD514" s="821"/>
    </row>
    <row r="515" spans="16:30" x14ac:dyDescent="0.3">
      <c r="P515" s="821"/>
      <c r="Q515" s="821"/>
      <c r="R515" s="821"/>
      <c r="S515" s="821"/>
      <c r="T515" s="821"/>
      <c r="U515" s="821"/>
      <c r="V515" s="821"/>
      <c r="W515" s="821"/>
      <c r="X515" s="821"/>
      <c r="Y515" s="821"/>
      <c r="Z515" s="821"/>
      <c r="AA515" s="821"/>
      <c r="AB515" s="821"/>
      <c r="AC515" s="821"/>
      <c r="AD515" s="821"/>
    </row>
    <row r="516" spans="16:30" x14ac:dyDescent="0.3">
      <c r="P516" s="821"/>
      <c r="Q516" s="821"/>
      <c r="R516" s="821"/>
      <c r="S516" s="821"/>
      <c r="T516" s="821"/>
      <c r="U516" s="821"/>
      <c r="V516" s="821"/>
      <c r="W516" s="821"/>
      <c r="X516" s="821"/>
      <c r="Y516" s="821"/>
      <c r="Z516" s="821"/>
      <c r="AA516" s="821"/>
      <c r="AB516" s="821"/>
      <c r="AC516" s="821"/>
      <c r="AD516" s="821"/>
    </row>
    <row r="517" spans="16:30" x14ac:dyDescent="0.3">
      <c r="P517" s="821"/>
      <c r="Q517" s="821"/>
      <c r="R517" s="821"/>
      <c r="S517" s="821"/>
      <c r="T517" s="821"/>
      <c r="U517" s="821"/>
      <c r="V517" s="821"/>
      <c r="W517" s="821"/>
      <c r="X517" s="821"/>
      <c r="Y517" s="821"/>
      <c r="Z517" s="821"/>
      <c r="AA517" s="821"/>
      <c r="AB517" s="821"/>
      <c r="AC517" s="821"/>
      <c r="AD517" s="821"/>
    </row>
    <row r="518" spans="16:30" x14ac:dyDescent="0.3">
      <c r="P518" s="821"/>
      <c r="Q518" s="821"/>
      <c r="R518" s="821"/>
      <c r="S518" s="821"/>
      <c r="T518" s="821"/>
      <c r="U518" s="821"/>
      <c r="V518" s="821"/>
      <c r="W518" s="821"/>
      <c r="X518" s="821"/>
      <c r="Y518" s="821"/>
      <c r="Z518" s="821"/>
      <c r="AA518" s="821"/>
      <c r="AB518" s="821"/>
      <c r="AC518" s="821"/>
      <c r="AD518" s="821"/>
    </row>
    <row r="519" spans="16:30" x14ac:dyDescent="0.3">
      <c r="P519" s="821"/>
      <c r="Q519" s="821"/>
      <c r="R519" s="821"/>
      <c r="S519" s="821"/>
      <c r="T519" s="821"/>
      <c r="U519" s="821"/>
      <c r="V519" s="821"/>
      <c r="W519" s="821"/>
      <c r="X519" s="821"/>
      <c r="Y519" s="821"/>
      <c r="Z519" s="821"/>
      <c r="AA519" s="821"/>
      <c r="AB519" s="821"/>
      <c r="AC519" s="821"/>
      <c r="AD519" s="821"/>
    </row>
    <row r="520" spans="16:30" x14ac:dyDescent="0.3">
      <c r="P520" s="821"/>
      <c r="Q520" s="821"/>
      <c r="R520" s="821"/>
      <c r="S520" s="821"/>
      <c r="T520" s="821"/>
      <c r="U520" s="821"/>
      <c r="V520" s="821"/>
      <c r="W520" s="821"/>
      <c r="X520" s="821"/>
      <c r="Y520" s="821"/>
      <c r="Z520" s="821"/>
      <c r="AA520" s="821"/>
      <c r="AB520" s="821"/>
      <c r="AC520" s="821"/>
      <c r="AD520" s="821"/>
    </row>
    <row r="521" spans="16:30" x14ac:dyDescent="0.3">
      <c r="P521" s="821"/>
      <c r="Q521" s="821"/>
      <c r="R521" s="821"/>
      <c r="S521" s="821"/>
      <c r="T521" s="821"/>
      <c r="U521" s="821"/>
      <c r="V521" s="821"/>
      <c r="W521" s="821"/>
      <c r="X521" s="821"/>
      <c r="Y521" s="821"/>
      <c r="Z521" s="821"/>
      <c r="AA521" s="821"/>
      <c r="AB521" s="821"/>
      <c r="AC521" s="821"/>
      <c r="AD521" s="821"/>
    </row>
    <row r="522" spans="16:30" x14ac:dyDescent="0.3">
      <c r="P522" s="821"/>
      <c r="Q522" s="821"/>
      <c r="R522" s="821"/>
      <c r="S522" s="821"/>
      <c r="T522" s="821"/>
      <c r="U522" s="821"/>
      <c r="V522" s="821"/>
      <c r="W522" s="821"/>
      <c r="X522" s="821"/>
      <c r="Y522" s="821"/>
      <c r="Z522" s="821"/>
      <c r="AA522" s="821"/>
      <c r="AB522" s="821"/>
      <c r="AC522" s="821"/>
      <c r="AD522" s="821"/>
    </row>
    <row r="523" spans="16:30" x14ac:dyDescent="0.3">
      <c r="P523" s="821"/>
      <c r="Q523" s="821"/>
      <c r="R523" s="821"/>
      <c r="S523" s="821"/>
      <c r="T523" s="821"/>
      <c r="U523" s="821"/>
      <c r="V523" s="821"/>
      <c r="W523" s="821"/>
      <c r="X523" s="821"/>
      <c r="Y523" s="821"/>
      <c r="Z523" s="821"/>
      <c r="AA523" s="821"/>
      <c r="AB523" s="821"/>
      <c r="AC523" s="821"/>
      <c r="AD523" s="821"/>
    </row>
    <row r="524" spans="16:30" x14ac:dyDescent="0.3">
      <c r="P524" s="821"/>
      <c r="Q524" s="821"/>
      <c r="R524" s="821"/>
      <c r="S524" s="821"/>
      <c r="T524" s="821"/>
      <c r="U524" s="821"/>
      <c r="V524" s="821"/>
      <c r="W524" s="821"/>
      <c r="X524" s="821"/>
      <c r="Y524" s="821"/>
      <c r="Z524" s="821"/>
      <c r="AA524" s="821"/>
      <c r="AB524" s="821"/>
      <c r="AC524" s="821"/>
      <c r="AD524" s="821"/>
    </row>
    <row r="525" spans="16:30" x14ac:dyDescent="0.3">
      <c r="P525" s="821"/>
      <c r="Q525" s="821"/>
      <c r="R525" s="821"/>
      <c r="S525" s="821"/>
      <c r="T525" s="821"/>
      <c r="U525" s="821"/>
      <c r="V525" s="821"/>
      <c r="W525" s="821"/>
      <c r="X525" s="821"/>
      <c r="Y525" s="821"/>
      <c r="Z525" s="821"/>
      <c r="AA525" s="821"/>
      <c r="AB525" s="821"/>
      <c r="AC525" s="821"/>
      <c r="AD525" s="821"/>
    </row>
    <row r="526" spans="16:30" x14ac:dyDescent="0.3">
      <c r="P526" s="821"/>
      <c r="Q526" s="821"/>
      <c r="R526" s="821"/>
      <c r="S526" s="821"/>
      <c r="T526" s="821"/>
      <c r="U526" s="821"/>
      <c r="V526" s="821"/>
      <c r="W526" s="821"/>
      <c r="X526" s="821"/>
      <c r="Y526" s="821"/>
      <c r="Z526" s="821"/>
      <c r="AA526" s="821"/>
      <c r="AB526" s="821"/>
      <c r="AC526" s="821"/>
      <c r="AD526" s="821"/>
    </row>
    <row r="527" spans="16:30" x14ac:dyDescent="0.3">
      <c r="P527" s="821"/>
      <c r="Q527" s="821"/>
      <c r="R527" s="821"/>
      <c r="S527" s="821"/>
      <c r="T527" s="821"/>
      <c r="U527" s="821"/>
      <c r="V527" s="821"/>
      <c r="W527" s="821"/>
      <c r="X527" s="821"/>
      <c r="Y527" s="821"/>
      <c r="Z527" s="821"/>
      <c r="AA527" s="821"/>
      <c r="AB527" s="821"/>
      <c r="AC527" s="821"/>
      <c r="AD527" s="821"/>
    </row>
    <row r="528" spans="16:30" x14ac:dyDescent="0.3">
      <c r="P528" s="821"/>
      <c r="Q528" s="821"/>
      <c r="R528" s="821"/>
      <c r="S528" s="821"/>
      <c r="T528" s="821"/>
      <c r="U528" s="821"/>
      <c r="V528" s="821"/>
      <c r="W528" s="821"/>
      <c r="X528" s="821"/>
      <c r="Y528" s="821"/>
      <c r="Z528" s="821"/>
      <c r="AA528" s="821"/>
      <c r="AB528" s="821"/>
      <c r="AC528" s="821"/>
      <c r="AD528" s="821"/>
    </row>
    <row r="529" spans="16:30" x14ac:dyDescent="0.3">
      <c r="P529" s="821"/>
      <c r="Q529" s="821"/>
      <c r="R529" s="821"/>
      <c r="S529" s="821"/>
      <c r="T529" s="821"/>
      <c r="U529" s="821"/>
      <c r="V529" s="821"/>
      <c r="W529" s="821"/>
      <c r="X529" s="821"/>
      <c r="Y529" s="821"/>
      <c r="Z529" s="821"/>
      <c r="AA529" s="821"/>
      <c r="AB529" s="821"/>
      <c r="AC529" s="821"/>
      <c r="AD529" s="821"/>
    </row>
    <row r="530" spans="16:30" x14ac:dyDescent="0.3">
      <c r="P530" s="821"/>
      <c r="Q530" s="821"/>
      <c r="R530" s="821"/>
      <c r="S530" s="821"/>
      <c r="T530" s="821"/>
      <c r="U530" s="821"/>
      <c r="V530" s="821"/>
      <c r="W530" s="821"/>
      <c r="X530" s="821"/>
      <c r="Y530" s="821"/>
      <c r="Z530" s="821"/>
      <c r="AA530" s="821"/>
      <c r="AB530" s="821"/>
      <c r="AC530" s="821"/>
      <c r="AD530" s="821"/>
    </row>
    <row r="531" spans="16:30" x14ac:dyDescent="0.3">
      <c r="P531" s="821"/>
      <c r="Q531" s="821"/>
      <c r="R531" s="821"/>
      <c r="S531" s="821"/>
      <c r="T531" s="821"/>
      <c r="U531" s="821"/>
      <c r="V531" s="821"/>
      <c r="W531" s="821"/>
      <c r="X531" s="821"/>
      <c r="Y531" s="821"/>
      <c r="Z531" s="821"/>
      <c r="AA531" s="821"/>
      <c r="AB531" s="821"/>
      <c r="AC531" s="821"/>
      <c r="AD531" s="821"/>
    </row>
    <row r="532" spans="16:30" x14ac:dyDescent="0.3">
      <c r="P532" s="821"/>
      <c r="Q532" s="821"/>
      <c r="R532" s="821"/>
      <c r="S532" s="821"/>
      <c r="T532" s="821"/>
      <c r="U532" s="821"/>
      <c r="V532" s="821"/>
      <c r="W532" s="821"/>
      <c r="X532" s="821"/>
      <c r="Y532" s="821"/>
      <c r="Z532" s="821"/>
      <c r="AA532" s="821"/>
      <c r="AB532" s="821"/>
      <c r="AC532" s="821"/>
      <c r="AD532" s="821"/>
    </row>
    <row r="533" spans="16:30" x14ac:dyDescent="0.3">
      <c r="P533" s="821"/>
      <c r="Q533" s="821"/>
      <c r="R533" s="821"/>
      <c r="S533" s="821"/>
      <c r="T533" s="821"/>
      <c r="U533" s="821"/>
      <c r="V533" s="821"/>
      <c r="W533" s="821"/>
      <c r="X533" s="821"/>
      <c r="Y533" s="821"/>
      <c r="Z533" s="821"/>
      <c r="AA533" s="821"/>
      <c r="AB533" s="821"/>
      <c r="AC533" s="821"/>
      <c r="AD533" s="821"/>
    </row>
    <row r="534" spans="16:30" x14ac:dyDescent="0.3">
      <c r="P534" s="821"/>
      <c r="Q534" s="821"/>
      <c r="R534" s="821"/>
      <c r="S534" s="821"/>
      <c r="T534" s="821"/>
      <c r="U534" s="821"/>
      <c r="V534" s="821"/>
      <c r="W534" s="821"/>
      <c r="X534" s="821"/>
      <c r="Y534" s="821"/>
      <c r="Z534" s="821"/>
      <c r="AA534" s="821"/>
      <c r="AB534" s="821"/>
      <c r="AC534" s="821"/>
      <c r="AD534" s="821"/>
    </row>
    <row r="535" spans="16:30" x14ac:dyDescent="0.3">
      <c r="P535" s="821"/>
      <c r="Q535" s="821"/>
      <c r="R535" s="821"/>
      <c r="S535" s="821"/>
      <c r="T535" s="821"/>
      <c r="U535" s="821"/>
      <c r="V535" s="821"/>
      <c r="W535" s="821"/>
      <c r="X535" s="821"/>
      <c r="Y535" s="821"/>
      <c r="Z535" s="821"/>
      <c r="AA535" s="821"/>
      <c r="AB535" s="821"/>
      <c r="AC535" s="821"/>
      <c r="AD535" s="821"/>
    </row>
    <row r="536" spans="16:30" x14ac:dyDescent="0.3">
      <c r="P536" s="821"/>
      <c r="Q536" s="821"/>
      <c r="R536" s="821"/>
      <c r="S536" s="821"/>
      <c r="T536" s="821"/>
      <c r="U536" s="821"/>
      <c r="V536" s="821"/>
      <c r="W536" s="821"/>
      <c r="X536" s="821"/>
      <c r="Y536" s="821"/>
      <c r="Z536" s="821"/>
      <c r="AA536" s="821"/>
      <c r="AB536" s="821"/>
      <c r="AC536" s="821"/>
      <c r="AD536" s="821"/>
    </row>
    <row r="537" spans="16:30" x14ac:dyDescent="0.3">
      <c r="P537" s="821"/>
      <c r="Q537" s="821"/>
      <c r="R537" s="821"/>
      <c r="S537" s="821"/>
      <c r="T537" s="821"/>
      <c r="U537" s="821"/>
      <c r="V537" s="821"/>
      <c r="W537" s="821"/>
      <c r="X537" s="821"/>
      <c r="Y537" s="821"/>
      <c r="Z537" s="821"/>
      <c r="AA537" s="821"/>
      <c r="AB537" s="821"/>
      <c r="AC537" s="821"/>
      <c r="AD537" s="821"/>
    </row>
    <row r="538" spans="16:30" x14ac:dyDescent="0.3">
      <c r="P538" s="821"/>
      <c r="Q538" s="821"/>
      <c r="R538" s="821"/>
      <c r="S538" s="821"/>
      <c r="T538" s="821"/>
      <c r="U538" s="821"/>
      <c r="V538" s="821"/>
      <c r="W538" s="821"/>
      <c r="X538" s="821"/>
      <c r="Y538" s="821"/>
      <c r="Z538" s="821"/>
      <c r="AA538" s="821"/>
      <c r="AB538" s="821"/>
      <c r="AC538" s="821"/>
      <c r="AD538" s="821"/>
    </row>
    <row r="539" spans="16:30" x14ac:dyDescent="0.3">
      <c r="P539" s="821"/>
      <c r="Q539" s="821"/>
      <c r="R539" s="821"/>
      <c r="S539" s="821"/>
      <c r="T539" s="821"/>
      <c r="U539" s="821"/>
      <c r="V539" s="821"/>
      <c r="W539" s="821"/>
      <c r="X539" s="821"/>
      <c r="Y539" s="821"/>
      <c r="Z539" s="821"/>
      <c r="AA539" s="821"/>
      <c r="AB539" s="821"/>
      <c r="AC539" s="821"/>
      <c r="AD539" s="821"/>
    </row>
    <row r="540" spans="16:30" x14ac:dyDescent="0.3">
      <c r="P540" s="821"/>
      <c r="Q540" s="821"/>
      <c r="R540" s="821"/>
      <c r="S540" s="821"/>
      <c r="T540" s="821"/>
      <c r="U540" s="821"/>
      <c r="V540" s="821"/>
      <c r="W540" s="821"/>
      <c r="X540" s="821"/>
      <c r="Y540" s="821"/>
      <c r="Z540" s="821"/>
      <c r="AA540" s="821"/>
      <c r="AB540" s="821"/>
      <c r="AC540" s="821"/>
      <c r="AD540" s="821"/>
    </row>
    <row r="541" spans="16:30" x14ac:dyDescent="0.3">
      <c r="P541" s="821"/>
      <c r="Q541" s="821"/>
      <c r="R541" s="821"/>
      <c r="S541" s="821"/>
      <c r="T541" s="821"/>
      <c r="U541" s="821"/>
      <c r="V541" s="821"/>
      <c r="W541" s="821"/>
      <c r="X541" s="821"/>
      <c r="Y541" s="821"/>
      <c r="Z541" s="821"/>
      <c r="AA541" s="821"/>
      <c r="AB541" s="821"/>
      <c r="AC541" s="821"/>
      <c r="AD541" s="821"/>
    </row>
    <row r="542" spans="16:30" x14ac:dyDescent="0.3">
      <c r="P542" s="821"/>
      <c r="Q542" s="821"/>
      <c r="R542" s="821"/>
      <c r="S542" s="821"/>
      <c r="T542" s="821"/>
      <c r="U542" s="821"/>
      <c r="V542" s="821"/>
      <c r="W542" s="821"/>
      <c r="X542" s="821"/>
      <c r="Y542" s="821"/>
      <c r="Z542" s="821"/>
      <c r="AA542" s="821"/>
      <c r="AB542" s="821"/>
      <c r="AC542" s="821"/>
      <c r="AD542" s="821"/>
    </row>
    <row r="543" spans="16:30" x14ac:dyDescent="0.3">
      <c r="P543" s="821"/>
      <c r="Q543" s="821"/>
      <c r="R543" s="821"/>
      <c r="S543" s="821"/>
      <c r="T543" s="821"/>
      <c r="U543" s="821"/>
      <c r="V543" s="821"/>
      <c r="W543" s="821"/>
      <c r="X543" s="821"/>
      <c r="Y543" s="821"/>
      <c r="Z543" s="821"/>
      <c r="AA543" s="821"/>
      <c r="AB543" s="821"/>
      <c r="AC543" s="821"/>
      <c r="AD543" s="821"/>
    </row>
    <row r="544" spans="16:30" x14ac:dyDescent="0.3">
      <c r="P544" s="821"/>
      <c r="Q544" s="821"/>
      <c r="R544" s="821"/>
      <c r="S544" s="821"/>
      <c r="T544" s="821"/>
      <c r="U544" s="821"/>
      <c r="V544" s="821"/>
      <c r="W544" s="821"/>
      <c r="X544" s="821"/>
      <c r="Y544" s="821"/>
      <c r="Z544" s="821"/>
      <c r="AA544" s="821"/>
      <c r="AB544" s="821"/>
      <c r="AC544" s="821"/>
      <c r="AD544" s="821"/>
    </row>
    <row r="545" spans="16:30" x14ac:dyDescent="0.3">
      <c r="P545" s="821"/>
      <c r="Q545" s="821"/>
      <c r="R545" s="821"/>
      <c r="S545" s="821"/>
      <c r="T545" s="821"/>
      <c r="U545" s="821"/>
      <c r="V545" s="821"/>
      <c r="W545" s="821"/>
      <c r="X545" s="821"/>
      <c r="Y545" s="821"/>
      <c r="Z545" s="821"/>
      <c r="AA545" s="821"/>
      <c r="AB545" s="821"/>
      <c r="AC545" s="821"/>
      <c r="AD545" s="821"/>
    </row>
    <row r="546" spans="16:30" x14ac:dyDescent="0.3">
      <c r="P546" s="821"/>
      <c r="Q546" s="821"/>
      <c r="R546" s="821"/>
      <c r="S546" s="821"/>
      <c r="T546" s="821"/>
      <c r="U546" s="821"/>
      <c r="V546" s="821"/>
      <c r="W546" s="821"/>
      <c r="X546" s="821"/>
      <c r="Y546" s="821"/>
      <c r="Z546" s="821"/>
      <c r="AA546" s="821"/>
      <c r="AB546" s="821"/>
      <c r="AC546" s="821"/>
      <c r="AD546" s="821"/>
    </row>
    <row r="547" spans="16:30" x14ac:dyDescent="0.3">
      <c r="P547" s="821"/>
      <c r="Q547" s="821"/>
      <c r="R547" s="821"/>
      <c r="S547" s="821"/>
      <c r="T547" s="821"/>
      <c r="U547" s="821"/>
      <c r="V547" s="821"/>
      <c r="W547" s="821"/>
      <c r="X547" s="821"/>
      <c r="Y547" s="821"/>
      <c r="Z547" s="821"/>
      <c r="AA547" s="821"/>
      <c r="AB547" s="821"/>
      <c r="AC547" s="821"/>
      <c r="AD547" s="821"/>
    </row>
    <row r="548" spans="16:30" x14ac:dyDescent="0.3">
      <c r="P548" s="821"/>
      <c r="Q548" s="821"/>
      <c r="R548" s="821"/>
      <c r="S548" s="821"/>
      <c r="T548" s="821"/>
      <c r="U548" s="821"/>
      <c r="V548" s="821"/>
      <c r="W548" s="821"/>
      <c r="X548" s="821"/>
      <c r="Y548" s="821"/>
      <c r="Z548" s="821"/>
      <c r="AA548" s="821"/>
      <c r="AB548" s="821"/>
      <c r="AC548" s="821"/>
      <c r="AD548" s="821"/>
    </row>
    <row r="549" spans="16:30" x14ac:dyDescent="0.3">
      <c r="P549" s="821"/>
      <c r="Q549" s="821"/>
      <c r="R549" s="821"/>
      <c r="S549" s="821"/>
      <c r="T549" s="821"/>
      <c r="U549" s="821"/>
      <c r="V549" s="821"/>
      <c r="W549" s="821"/>
      <c r="X549" s="821"/>
      <c r="Y549" s="821"/>
      <c r="Z549" s="821"/>
      <c r="AA549" s="821"/>
      <c r="AB549" s="821"/>
      <c r="AC549" s="821"/>
      <c r="AD549" s="821"/>
    </row>
    <row r="550" spans="16:30" x14ac:dyDescent="0.3">
      <c r="P550" s="821"/>
      <c r="Q550" s="821"/>
      <c r="R550" s="821"/>
      <c r="S550" s="821"/>
      <c r="T550" s="821"/>
      <c r="U550" s="821"/>
      <c r="V550" s="821"/>
      <c r="W550" s="821"/>
      <c r="X550" s="821"/>
      <c r="Y550" s="821"/>
      <c r="Z550" s="821"/>
      <c r="AA550" s="821"/>
      <c r="AB550" s="821"/>
      <c r="AC550" s="821"/>
      <c r="AD550" s="821"/>
    </row>
    <row r="551" spans="16:30" x14ac:dyDescent="0.3">
      <c r="P551" s="821"/>
      <c r="Q551" s="821"/>
      <c r="R551" s="821"/>
      <c r="S551" s="821"/>
      <c r="T551" s="821"/>
      <c r="U551" s="821"/>
      <c r="V551" s="821"/>
      <c r="W551" s="821"/>
      <c r="X551" s="821"/>
      <c r="Y551" s="821"/>
      <c r="Z551" s="821"/>
      <c r="AA551" s="821"/>
      <c r="AB551" s="821"/>
      <c r="AC551" s="821"/>
      <c r="AD551" s="821"/>
    </row>
    <row r="552" spans="16:30" x14ac:dyDescent="0.3">
      <c r="P552" s="821"/>
      <c r="Q552" s="821"/>
      <c r="R552" s="821"/>
      <c r="S552" s="821"/>
      <c r="T552" s="821"/>
      <c r="U552" s="821"/>
      <c r="V552" s="821"/>
      <c r="W552" s="821"/>
      <c r="X552" s="821"/>
      <c r="Y552" s="821"/>
      <c r="Z552" s="821"/>
      <c r="AA552" s="821"/>
      <c r="AB552" s="821"/>
      <c r="AC552" s="821"/>
      <c r="AD552" s="821"/>
    </row>
    <row r="553" spans="16:30" x14ac:dyDescent="0.3">
      <c r="P553" s="821"/>
      <c r="Q553" s="821"/>
      <c r="R553" s="821"/>
      <c r="S553" s="821"/>
      <c r="T553" s="821"/>
      <c r="U553" s="821"/>
      <c r="V553" s="821"/>
      <c r="W553" s="821"/>
      <c r="X553" s="821"/>
      <c r="Y553" s="821"/>
      <c r="Z553" s="821"/>
      <c r="AA553" s="821"/>
      <c r="AB553" s="821"/>
      <c r="AC553" s="821"/>
      <c r="AD553" s="821"/>
    </row>
    <row r="554" spans="16:30" x14ac:dyDescent="0.3">
      <c r="P554" s="821"/>
      <c r="Q554" s="821"/>
      <c r="R554" s="821"/>
      <c r="S554" s="821"/>
      <c r="T554" s="821"/>
      <c r="U554" s="821"/>
      <c r="V554" s="821"/>
      <c r="W554" s="821"/>
      <c r="X554" s="821"/>
      <c r="Y554" s="821"/>
      <c r="Z554" s="821"/>
      <c r="AA554" s="821"/>
      <c r="AB554" s="821"/>
      <c r="AC554" s="821"/>
      <c r="AD554" s="821"/>
    </row>
    <row r="555" spans="16:30" x14ac:dyDescent="0.3">
      <c r="P555" s="821"/>
      <c r="Q555" s="821"/>
      <c r="R555" s="821"/>
      <c r="S555" s="821"/>
      <c r="T555" s="821"/>
      <c r="U555" s="821"/>
      <c r="V555" s="821"/>
      <c r="W555" s="821"/>
      <c r="X555" s="821"/>
      <c r="Y555" s="821"/>
      <c r="Z555" s="821"/>
      <c r="AA555" s="821"/>
      <c r="AB555" s="821"/>
      <c r="AC555" s="821"/>
      <c r="AD555" s="821"/>
    </row>
    <row r="556" spans="16:30" x14ac:dyDescent="0.3">
      <c r="P556" s="821"/>
      <c r="Q556" s="821"/>
      <c r="R556" s="821"/>
      <c r="S556" s="821"/>
      <c r="T556" s="821"/>
      <c r="U556" s="821"/>
      <c r="V556" s="821"/>
      <c r="W556" s="821"/>
      <c r="X556" s="821"/>
      <c r="Y556" s="821"/>
      <c r="Z556" s="821"/>
      <c r="AA556" s="821"/>
      <c r="AB556" s="821"/>
      <c r="AC556" s="821"/>
      <c r="AD556" s="821"/>
    </row>
    <row r="557" spans="16:30" x14ac:dyDescent="0.3">
      <c r="P557" s="821"/>
      <c r="Q557" s="821"/>
      <c r="R557" s="821"/>
      <c r="S557" s="821"/>
      <c r="T557" s="821"/>
      <c r="U557" s="821"/>
      <c r="V557" s="821"/>
      <c r="W557" s="821"/>
      <c r="X557" s="821"/>
      <c r="Y557" s="821"/>
      <c r="Z557" s="821"/>
      <c r="AA557" s="821"/>
      <c r="AB557" s="821"/>
      <c r="AC557" s="821"/>
      <c r="AD557" s="821"/>
    </row>
    <row r="558" spans="16:30" x14ac:dyDescent="0.3">
      <c r="P558" s="821"/>
      <c r="Q558" s="821"/>
      <c r="R558" s="821"/>
      <c r="S558" s="821"/>
      <c r="T558" s="821"/>
      <c r="U558" s="821"/>
      <c r="V558" s="821"/>
      <c r="W558" s="821"/>
      <c r="X558" s="821"/>
      <c r="Y558" s="821"/>
      <c r="Z558" s="821"/>
      <c r="AA558" s="821"/>
      <c r="AB558" s="821"/>
      <c r="AC558" s="821"/>
      <c r="AD558" s="821"/>
    </row>
    <row r="559" spans="16:30" x14ac:dyDescent="0.3">
      <c r="P559" s="821"/>
      <c r="Q559" s="821"/>
      <c r="R559" s="821"/>
      <c r="S559" s="821"/>
      <c r="T559" s="821"/>
      <c r="U559" s="821"/>
      <c r="V559" s="821"/>
      <c r="W559" s="821"/>
      <c r="X559" s="821"/>
      <c r="Y559" s="821"/>
      <c r="Z559" s="821"/>
      <c r="AA559" s="821"/>
      <c r="AB559" s="821"/>
      <c r="AC559" s="821"/>
      <c r="AD559" s="821"/>
    </row>
    <row r="560" spans="16:30" x14ac:dyDescent="0.3">
      <c r="P560" s="821"/>
      <c r="Q560" s="821"/>
      <c r="R560" s="821"/>
      <c r="S560" s="821"/>
      <c r="T560" s="821"/>
      <c r="U560" s="821"/>
      <c r="V560" s="821"/>
      <c r="W560" s="821"/>
      <c r="X560" s="821"/>
      <c r="Y560" s="821"/>
      <c r="Z560" s="821"/>
      <c r="AA560" s="821"/>
      <c r="AB560" s="821"/>
      <c r="AC560" s="821"/>
      <c r="AD560" s="821"/>
    </row>
    <row r="561" spans="16:30" x14ac:dyDescent="0.3">
      <c r="P561" s="821"/>
      <c r="Q561" s="821"/>
      <c r="R561" s="821"/>
      <c r="S561" s="821"/>
      <c r="T561" s="821"/>
      <c r="U561" s="821"/>
      <c r="V561" s="821"/>
      <c r="W561" s="821"/>
      <c r="X561" s="821"/>
      <c r="Y561" s="821"/>
      <c r="Z561" s="821"/>
      <c r="AA561" s="821"/>
      <c r="AB561" s="821"/>
      <c r="AC561" s="821"/>
      <c r="AD561" s="821"/>
    </row>
    <row r="562" spans="16:30" x14ac:dyDescent="0.3">
      <c r="P562" s="821"/>
      <c r="Q562" s="821"/>
      <c r="R562" s="821"/>
      <c r="S562" s="821"/>
      <c r="T562" s="821"/>
      <c r="U562" s="821"/>
      <c r="V562" s="821"/>
      <c r="W562" s="821"/>
      <c r="X562" s="821"/>
      <c r="Y562" s="821"/>
      <c r="Z562" s="821"/>
      <c r="AA562" s="821"/>
      <c r="AB562" s="821"/>
      <c r="AC562" s="821"/>
      <c r="AD562" s="821"/>
    </row>
    <row r="563" spans="16:30" x14ac:dyDescent="0.3">
      <c r="P563" s="821"/>
      <c r="Q563" s="821"/>
      <c r="R563" s="821"/>
      <c r="S563" s="821"/>
      <c r="T563" s="821"/>
      <c r="U563" s="821"/>
      <c r="V563" s="821"/>
      <c r="W563" s="821"/>
      <c r="X563" s="821"/>
      <c r="Y563" s="821"/>
      <c r="Z563" s="821"/>
      <c r="AA563" s="821"/>
      <c r="AB563" s="821"/>
      <c r="AC563" s="821"/>
      <c r="AD563" s="821"/>
    </row>
    <row r="564" spans="16:30" x14ac:dyDescent="0.3">
      <c r="P564" s="821"/>
      <c r="Q564" s="821"/>
      <c r="R564" s="821"/>
      <c r="S564" s="821"/>
      <c r="T564" s="821"/>
      <c r="U564" s="821"/>
      <c r="V564" s="821"/>
      <c r="W564" s="821"/>
      <c r="X564" s="821"/>
      <c r="Y564" s="821"/>
      <c r="Z564" s="821"/>
      <c r="AA564" s="821"/>
      <c r="AB564" s="821"/>
      <c r="AC564" s="821"/>
      <c r="AD564" s="821"/>
    </row>
    <row r="565" spans="16:30" x14ac:dyDescent="0.3">
      <c r="P565" s="821"/>
      <c r="Q565" s="821"/>
      <c r="R565" s="821"/>
      <c r="S565" s="821"/>
      <c r="T565" s="821"/>
      <c r="U565" s="821"/>
      <c r="V565" s="821"/>
      <c r="W565" s="821"/>
      <c r="X565" s="821"/>
      <c r="Y565" s="821"/>
      <c r="Z565" s="821"/>
      <c r="AA565" s="821"/>
      <c r="AB565" s="821"/>
      <c r="AC565" s="821"/>
      <c r="AD565" s="821"/>
    </row>
    <row r="566" spans="16:30" x14ac:dyDescent="0.3">
      <c r="P566" s="821"/>
      <c r="Q566" s="821"/>
      <c r="R566" s="821"/>
      <c r="S566" s="821"/>
      <c r="T566" s="821"/>
      <c r="U566" s="821"/>
      <c r="V566" s="821"/>
      <c r="W566" s="821"/>
      <c r="X566" s="821"/>
      <c r="Y566" s="821"/>
      <c r="Z566" s="821"/>
      <c r="AA566" s="821"/>
      <c r="AB566" s="821"/>
      <c r="AC566" s="821"/>
      <c r="AD566" s="821"/>
    </row>
    <row r="567" spans="16:30" x14ac:dyDescent="0.3">
      <c r="P567" s="821"/>
      <c r="Q567" s="821"/>
      <c r="R567" s="821"/>
      <c r="S567" s="821"/>
      <c r="T567" s="821"/>
      <c r="U567" s="821"/>
      <c r="V567" s="821"/>
      <c r="W567" s="821"/>
      <c r="X567" s="821"/>
      <c r="Y567" s="821"/>
      <c r="Z567" s="821"/>
      <c r="AA567" s="821"/>
      <c r="AB567" s="821"/>
      <c r="AC567" s="821"/>
      <c r="AD567" s="821"/>
    </row>
    <row r="568" spans="16:30" x14ac:dyDescent="0.3">
      <c r="P568" s="821"/>
      <c r="Q568" s="821"/>
      <c r="R568" s="821"/>
      <c r="S568" s="821"/>
      <c r="T568" s="821"/>
      <c r="U568" s="821"/>
      <c r="V568" s="821"/>
      <c r="W568" s="821"/>
      <c r="X568" s="821"/>
      <c r="Y568" s="821"/>
      <c r="Z568" s="821"/>
      <c r="AA568" s="821"/>
      <c r="AB568" s="821"/>
      <c r="AC568" s="821"/>
      <c r="AD568" s="821"/>
    </row>
    <row r="569" spans="16:30" x14ac:dyDescent="0.3">
      <c r="P569" s="821"/>
      <c r="Q569" s="821"/>
      <c r="R569" s="821"/>
      <c r="S569" s="821"/>
      <c r="T569" s="821"/>
      <c r="U569" s="821"/>
      <c r="V569" s="821"/>
      <c r="W569" s="821"/>
      <c r="X569" s="821"/>
      <c r="Y569" s="821"/>
      <c r="Z569" s="821"/>
      <c r="AA569" s="821"/>
      <c r="AB569" s="821"/>
      <c r="AC569" s="821"/>
      <c r="AD569" s="821"/>
    </row>
    <row r="570" spans="16:30" x14ac:dyDescent="0.3">
      <c r="P570" s="821"/>
      <c r="Q570" s="821"/>
      <c r="R570" s="821"/>
      <c r="S570" s="821"/>
      <c r="T570" s="821"/>
      <c r="U570" s="821"/>
      <c r="V570" s="821"/>
      <c r="W570" s="821"/>
      <c r="X570" s="821"/>
      <c r="Y570" s="821"/>
      <c r="Z570" s="821"/>
      <c r="AA570" s="821"/>
      <c r="AB570" s="821"/>
      <c r="AC570" s="821"/>
      <c r="AD570" s="821"/>
    </row>
    <row r="571" spans="16:30" x14ac:dyDescent="0.3">
      <c r="P571" s="821"/>
      <c r="Q571" s="821"/>
      <c r="R571" s="821"/>
      <c r="S571" s="821"/>
      <c r="T571" s="821"/>
      <c r="U571" s="821"/>
      <c r="V571" s="821"/>
      <c r="W571" s="821"/>
      <c r="X571" s="821"/>
      <c r="Y571" s="821"/>
      <c r="Z571" s="821"/>
      <c r="AA571" s="821"/>
      <c r="AB571" s="821"/>
      <c r="AC571" s="821"/>
      <c r="AD571" s="821"/>
    </row>
    <row r="572" spans="16:30" x14ac:dyDescent="0.3">
      <c r="P572" s="821"/>
      <c r="Q572" s="821"/>
      <c r="R572" s="821"/>
      <c r="S572" s="821"/>
      <c r="T572" s="821"/>
      <c r="U572" s="821"/>
      <c r="V572" s="821"/>
      <c r="W572" s="821"/>
      <c r="X572" s="821"/>
      <c r="Y572" s="821"/>
      <c r="Z572" s="821"/>
      <c r="AA572" s="821"/>
      <c r="AB572" s="821"/>
      <c r="AC572" s="821"/>
      <c r="AD572" s="821"/>
    </row>
    <row r="573" spans="16:30" x14ac:dyDescent="0.3">
      <c r="P573" s="821"/>
      <c r="Q573" s="821"/>
      <c r="R573" s="821"/>
      <c r="S573" s="821"/>
      <c r="T573" s="821"/>
      <c r="U573" s="821"/>
      <c r="V573" s="821"/>
      <c r="W573" s="821"/>
      <c r="X573" s="821"/>
      <c r="Y573" s="821"/>
      <c r="Z573" s="821"/>
      <c r="AA573" s="821"/>
      <c r="AB573" s="821"/>
      <c r="AC573" s="821"/>
      <c r="AD573" s="821"/>
    </row>
    <row r="574" spans="16:30" x14ac:dyDescent="0.3">
      <c r="P574" s="821"/>
      <c r="Q574" s="821"/>
      <c r="R574" s="821"/>
      <c r="S574" s="821"/>
      <c r="T574" s="821"/>
      <c r="U574" s="821"/>
      <c r="V574" s="821"/>
      <c r="W574" s="821"/>
      <c r="X574" s="821"/>
      <c r="Y574" s="821"/>
      <c r="Z574" s="821"/>
      <c r="AA574" s="821"/>
      <c r="AB574" s="821"/>
      <c r="AC574" s="821"/>
      <c r="AD574" s="821"/>
    </row>
    <row r="575" spans="16:30" x14ac:dyDescent="0.3">
      <c r="P575" s="821"/>
      <c r="Q575" s="821"/>
      <c r="R575" s="821"/>
      <c r="S575" s="821"/>
      <c r="T575" s="821"/>
      <c r="U575" s="821"/>
      <c r="V575" s="821"/>
      <c r="W575" s="821"/>
      <c r="X575" s="821"/>
      <c r="Y575" s="821"/>
      <c r="Z575" s="821"/>
      <c r="AA575" s="821"/>
      <c r="AB575" s="821"/>
      <c r="AC575" s="821"/>
      <c r="AD575" s="821"/>
    </row>
    <row r="576" spans="16:30" x14ac:dyDescent="0.3">
      <c r="P576" s="821"/>
      <c r="Q576" s="821"/>
      <c r="R576" s="821"/>
      <c r="S576" s="821"/>
      <c r="T576" s="821"/>
      <c r="U576" s="821"/>
      <c r="V576" s="821"/>
      <c r="W576" s="821"/>
      <c r="X576" s="821"/>
      <c r="Y576" s="821"/>
      <c r="Z576" s="821"/>
      <c r="AA576" s="821"/>
      <c r="AB576" s="821"/>
      <c r="AC576" s="821"/>
      <c r="AD576" s="821"/>
    </row>
    <row r="577" spans="16:30" x14ac:dyDescent="0.3">
      <c r="P577" s="821"/>
      <c r="Q577" s="821"/>
      <c r="R577" s="821"/>
      <c r="S577" s="821"/>
      <c r="T577" s="821"/>
      <c r="U577" s="821"/>
      <c r="V577" s="821"/>
      <c r="W577" s="821"/>
      <c r="X577" s="821"/>
      <c r="Y577" s="821"/>
      <c r="Z577" s="821"/>
      <c r="AA577" s="821"/>
      <c r="AB577" s="821"/>
      <c r="AC577" s="821"/>
      <c r="AD577" s="821"/>
    </row>
    <row r="578" spans="16:30" x14ac:dyDescent="0.3">
      <c r="P578" s="821"/>
      <c r="Q578" s="821"/>
      <c r="R578" s="821"/>
      <c r="S578" s="821"/>
      <c r="T578" s="821"/>
      <c r="U578" s="821"/>
      <c r="V578" s="821"/>
      <c r="W578" s="821"/>
      <c r="X578" s="821"/>
      <c r="Y578" s="821"/>
      <c r="Z578" s="821"/>
      <c r="AA578" s="821"/>
      <c r="AB578" s="821"/>
      <c r="AC578" s="821"/>
      <c r="AD578" s="821"/>
    </row>
    <row r="579" spans="16:30" x14ac:dyDescent="0.3">
      <c r="P579" s="821"/>
      <c r="Q579" s="821"/>
      <c r="R579" s="821"/>
      <c r="S579" s="821"/>
      <c r="T579" s="821"/>
      <c r="U579" s="821"/>
      <c r="V579" s="821"/>
      <c r="W579" s="821"/>
      <c r="X579" s="821"/>
      <c r="Y579" s="821"/>
      <c r="Z579" s="821"/>
      <c r="AA579" s="821"/>
      <c r="AB579" s="821"/>
      <c r="AC579" s="821"/>
      <c r="AD579" s="821"/>
    </row>
    <row r="580" spans="16:30" x14ac:dyDescent="0.3">
      <c r="P580" s="821"/>
      <c r="Q580" s="821"/>
      <c r="R580" s="821"/>
      <c r="S580" s="821"/>
      <c r="T580" s="821"/>
      <c r="U580" s="821"/>
      <c r="V580" s="821"/>
      <c r="W580" s="821"/>
      <c r="X580" s="821"/>
      <c r="Y580" s="821"/>
      <c r="Z580" s="821"/>
      <c r="AA580" s="821"/>
      <c r="AB580" s="821"/>
      <c r="AC580" s="821"/>
      <c r="AD580" s="821"/>
    </row>
    <row r="581" spans="16:30" x14ac:dyDescent="0.3">
      <c r="P581" s="821"/>
      <c r="Q581" s="821"/>
      <c r="R581" s="821"/>
      <c r="S581" s="821"/>
      <c r="T581" s="821"/>
      <c r="U581" s="821"/>
      <c r="V581" s="821"/>
      <c r="W581" s="821"/>
      <c r="X581" s="821"/>
      <c r="Y581" s="821"/>
      <c r="Z581" s="821"/>
      <c r="AA581" s="821"/>
      <c r="AB581" s="821"/>
      <c r="AC581" s="821"/>
      <c r="AD581" s="821"/>
    </row>
    <row r="582" spans="16:30" x14ac:dyDescent="0.3">
      <c r="P582" s="821"/>
      <c r="Q582" s="821"/>
      <c r="R582" s="821"/>
      <c r="S582" s="821"/>
      <c r="T582" s="821"/>
      <c r="U582" s="821"/>
      <c r="V582" s="821"/>
      <c r="W582" s="821"/>
      <c r="X582" s="821"/>
      <c r="Y582" s="821"/>
      <c r="Z582" s="821"/>
      <c r="AA582" s="821"/>
      <c r="AB582" s="821"/>
      <c r="AC582" s="821"/>
      <c r="AD582" s="821"/>
    </row>
    <row r="583" spans="16:30" x14ac:dyDescent="0.3">
      <c r="P583" s="821"/>
      <c r="Q583" s="821"/>
      <c r="R583" s="821"/>
      <c r="S583" s="821"/>
      <c r="T583" s="821"/>
      <c r="U583" s="821"/>
      <c r="V583" s="821"/>
      <c r="W583" s="821"/>
      <c r="X583" s="821"/>
      <c r="Y583" s="821"/>
      <c r="Z583" s="821"/>
      <c r="AA583" s="821"/>
      <c r="AB583" s="821"/>
      <c r="AC583" s="821"/>
      <c r="AD583" s="821"/>
    </row>
    <row r="584" spans="16:30" x14ac:dyDescent="0.3">
      <c r="P584" s="821"/>
      <c r="Q584" s="821"/>
      <c r="R584" s="821"/>
      <c r="S584" s="821"/>
      <c r="T584" s="821"/>
      <c r="U584" s="821"/>
      <c r="V584" s="821"/>
      <c r="W584" s="821"/>
      <c r="X584" s="821"/>
      <c r="Y584" s="821"/>
      <c r="Z584" s="821"/>
      <c r="AA584" s="821"/>
      <c r="AB584" s="821"/>
      <c r="AC584" s="821"/>
      <c r="AD584" s="821"/>
    </row>
    <row r="585" spans="16:30" x14ac:dyDescent="0.3">
      <c r="P585" s="821"/>
      <c r="Q585" s="821"/>
      <c r="R585" s="821"/>
      <c r="S585" s="821"/>
      <c r="T585" s="821"/>
      <c r="U585" s="821"/>
      <c r="V585" s="821"/>
      <c r="W585" s="821"/>
      <c r="X585" s="821"/>
      <c r="Y585" s="821"/>
      <c r="Z585" s="821"/>
      <c r="AA585" s="821"/>
      <c r="AB585" s="821"/>
      <c r="AC585" s="821"/>
      <c r="AD585" s="821"/>
    </row>
    <row r="586" spans="16:30" x14ac:dyDescent="0.3">
      <c r="P586" s="821"/>
      <c r="Q586" s="821"/>
      <c r="R586" s="821"/>
      <c r="S586" s="821"/>
      <c r="T586" s="821"/>
      <c r="U586" s="821"/>
      <c r="V586" s="821"/>
      <c r="W586" s="821"/>
      <c r="X586" s="821"/>
      <c r="Y586" s="821"/>
      <c r="Z586" s="821"/>
      <c r="AA586" s="821"/>
      <c r="AB586" s="821"/>
      <c r="AC586" s="821"/>
      <c r="AD586" s="821"/>
    </row>
    <row r="587" spans="16:30" x14ac:dyDescent="0.3">
      <c r="P587" s="821"/>
      <c r="Q587" s="821"/>
      <c r="R587" s="821"/>
      <c r="S587" s="821"/>
      <c r="T587" s="821"/>
      <c r="U587" s="821"/>
      <c r="V587" s="821"/>
      <c r="W587" s="821"/>
      <c r="X587" s="821"/>
      <c r="Y587" s="821"/>
      <c r="Z587" s="821"/>
      <c r="AA587" s="821"/>
      <c r="AB587" s="821"/>
      <c r="AC587" s="821"/>
      <c r="AD587" s="821"/>
    </row>
    <row r="588" spans="16:30" x14ac:dyDescent="0.3">
      <c r="P588" s="821"/>
      <c r="Q588" s="821"/>
      <c r="R588" s="821"/>
      <c r="S588" s="821"/>
      <c r="T588" s="821"/>
      <c r="U588" s="821"/>
      <c r="V588" s="821"/>
      <c r="W588" s="821"/>
      <c r="X588" s="821"/>
      <c r="Y588" s="821"/>
      <c r="Z588" s="821"/>
      <c r="AA588" s="821"/>
      <c r="AB588" s="821"/>
      <c r="AC588" s="821"/>
      <c r="AD588" s="821"/>
    </row>
    <row r="589" spans="16:30" x14ac:dyDescent="0.3">
      <c r="P589" s="821"/>
      <c r="Q589" s="821"/>
      <c r="R589" s="821"/>
      <c r="S589" s="821"/>
      <c r="T589" s="821"/>
      <c r="U589" s="821"/>
      <c r="V589" s="821"/>
      <c r="W589" s="821"/>
      <c r="X589" s="821"/>
      <c r="Y589" s="821"/>
      <c r="Z589" s="821"/>
      <c r="AA589" s="821"/>
      <c r="AB589" s="821"/>
      <c r="AC589" s="821"/>
      <c r="AD589" s="821"/>
    </row>
    <row r="590" spans="16:30" x14ac:dyDescent="0.3">
      <c r="P590" s="821"/>
      <c r="Q590" s="821"/>
      <c r="R590" s="821"/>
      <c r="S590" s="821"/>
      <c r="T590" s="821"/>
      <c r="U590" s="821"/>
      <c r="V590" s="821"/>
      <c r="W590" s="821"/>
      <c r="X590" s="821"/>
      <c r="Y590" s="821"/>
      <c r="Z590" s="821"/>
      <c r="AA590" s="821"/>
      <c r="AB590" s="821"/>
      <c r="AC590" s="821"/>
      <c r="AD590" s="821"/>
    </row>
    <row r="591" spans="16:30" x14ac:dyDescent="0.3">
      <c r="P591" s="821"/>
      <c r="Q591" s="821"/>
      <c r="R591" s="821"/>
      <c r="S591" s="821"/>
      <c r="T591" s="821"/>
      <c r="U591" s="821"/>
      <c r="V591" s="821"/>
      <c r="W591" s="821"/>
      <c r="X591" s="821"/>
      <c r="Y591" s="821"/>
      <c r="Z591" s="821"/>
      <c r="AA591" s="821"/>
      <c r="AB591" s="821"/>
      <c r="AC591" s="821"/>
      <c r="AD591" s="821"/>
    </row>
    <row r="592" spans="16:30" x14ac:dyDescent="0.3">
      <c r="P592" s="821"/>
      <c r="Q592" s="821"/>
      <c r="R592" s="821"/>
      <c r="S592" s="821"/>
      <c r="T592" s="821"/>
      <c r="U592" s="821"/>
      <c r="V592" s="821"/>
      <c r="W592" s="821"/>
      <c r="X592" s="821"/>
      <c r="Y592" s="821"/>
      <c r="Z592" s="821"/>
      <c r="AA592" s="821"/>
      <c r="AB592" s="821"/>
      <c r="AC592" s="821"/>
      <c r="AD592" s="821"/>
    </row>
    <row r="593" spans="16:30" x14ac:dyDescent="0.3">
      <c r="P593" s="821"/>
      <c r="Q593" s="821"/>
      <c r="R593" s="821"/>
      <c r="S593" s="821"/>
      <c r="T593" s="821"/>
      <c r="U593" s="821"/>
      <c r="V593" s="821"/>
      <c r="W593" s="821"/>
      <c r="X593" s="821"/>
      <c r="Y593" s="821"/>
      <c r="Z593" s="821"/>
      <c r="AA593" s="821"/>
      <c r="AB593" s="821"/>
      <c r="AC593" s="821"/>
      <c r="AD593" s="821"/>
    </row>
    <row r="594" spans="16:30" x14ac:dyDescent="0.3">
      <c r="P594" s="821"/>
      <c r="Q594" s="821"/>
      <c r="R594" s="821"/>
      <c r="S594" s="821"/>
      <c r="T594" s="821"/>
      <c r="U594" s="821"/>
      <c r="V594" s="821"/>
      <c r="W594" s="821"/>
      <c r="X594" s="821"/>
      <c r="Y594" s="821"/>
      <c r="Z594" s="821"/>
      <c r="AA594" s="821"/>
      <c r="AB594" s="821"/>
      <c r="AC594" s="821"/>
      <c r="AD594" s="821"/>
    </row>
    <row r="595" spans="16:30" x14ac:dyDescent="0.3">
      <c r="P595" s="821"/>
      <c r="Q595" s="821"/>
      <c r="R595" s="821"/>
      <c r="S595" s="821"/>
      <c r="T595" s="821"/>
      <c r="U595" s="821"/>
      <c r="V595" s="821"/>
      <c r="W595" s="821"/>
      <c r="X595" s="821"/>
      <c r="Y595" s="821"/>
      <c r="Z595" s="821"/>
      <c r="AA595" s="821"/>
      <c r="AB595" s="821"/>
      <c r="AC595" s="821"/>
      <c r="AD595" s="821"/>
    </row>
    <row r="596" spans="16:30" x14ac:dyDescent="0.3">
      <c r="P596" s="821"/>
      <c r="Q596" s="821"/>
      <c r="R596" s="821"/>
      <c r="S596" s="821"/>
      <c r="T596" s="821"/>
      <c r="U596" s="821"/>
      <c r="V596" s="821"/>
      <c r="W596" s="821"/>
      <c r="X596" s="821"/>
      <c r="Y596" s="821"/>
      <c r="Z596" s="821"/>
      <c r="AA596" s="821"/>
      <c r="AB596" s="821"/>
      <c r="AC596" s="821"/>
      <c r="AD596" s="821"/>
    </row>
    <row r="597" spans="16:30" x14ac:dyDescent="0.3">
      <c r="P597" s="821"/>
      <c r="Q597" s="821"/>
      <c r="R597" s="821"/>
      <c r="S597" s="821"/>
      <c r="T597" s="821"/>
      <c r="U597" s="821"/>
      <c r="V597" s="821"/>
      <c r="W597" s="821"/>
      <c r="X597" s="821"/>
      <c r="Y597" s="821"/>
      <c r="Z597" s="821"/>
      <c r="AA597" s="821"/>
      <c r="AB597" s="821"/>
      <c r="AC597" s="821"/>
      <c r="AD597" s="821"/>
    </row>
    <row r="598" spans="16:30" x14ac:dyDescent="0.3">
      <c r="P598" s="821"/>
      <c r="Q598" s="821"/>
      <c r="R598" s="821"/>
      <c r="S598" s="821"/>
      <c r="T598" s="821"/>
      <c r="U598" s="821"/>
      <c r="V598" s="821"/>
      <c r="W598" s="821"/>
      <c r="X598" s="821"/>
      <c r="Y598" s="821"/>
      <c r="Z598" s="821"/>
      <c r="AA598" s="821"/>
      <c r="AB598" s="821"/>
      <c r="AC598" s="821"/>
      <c r="AD598" s="821"/>
    </row>
    <row r="599" spans="16:30" x14ac:dyDescent="0.3">
      <c r="P599" s="821"/>
      <c r="Q599" s="821"/>
      <c r="R599" s="821"/>
      <c r="S599" s="821"/>
      <c r="T599" s="821"/>
      <c r="U599" s="821"/>
      <c r="V599" s="821"/>
      <c r="W599" s="821"/>
      <c r="X599" s="821"/>
      <c r="Y599" s="821"/>
      <c r="Z599" s="821"/>
      <c r="AA599" s="821"/>
      <c r="AB599" s="821"/>
      <c r="AC599" s="821"/>
      <c r="AD599" s="821"/>
    </row>
    <row r="600" spans="16:30" x14ac:dyDescent="0.3">
      <c r="P600" s="821"/>
      <c r="Q600" s="821"/>
      <c r="R600" s="821"/>
      <c r="S600" s="821"/>
      <c r="T600" s="821"/>
      <c r="U600" s="821"/>
      <c r="V600" s="821"/>
      <c r="W600" s="821"/>
      <c r="X600" s="821"/>
      <c r="Y600" s="821"/>
      <c r="Z600" s="821"/>
      <c r="AA600" s="821"/>
      <c r="AB600" s="821"/>
      <c r="AC600" s="821"/>
      <c r="AD600" s="821"/>
    </row>
    <row r="601" spans="16:30" x14ac:dyDescent="0.3">
      <c r="P601" s="821"/>
      <c r="Q601" s="821"/>
      <c r="R601" s="821"/>
      <c r="S601" s="821"/>
      <c r="T601" s="821"/>
      <c r="U601" s="821"/>
      <c r="V601" s="821"/>
      <c r="W601" s="821"/>
      <c r="X601" s="821"/>
      <c r="Y601" s="821"/>
      <c r="Z601" s="821"/>
      <c r="AA601" s="821"/>
      <c r="AB601" s="821"/>
      <c r="AC601" s="821"/>
      <c r="AD601" s="821"/>
    </row>
    <row r="602" spans="16:30" x14ac:dyDescent="0.3">
      <c r="P602" s="821"/>
      <c r="Q602" s="821"/>
      <c r="R602" s="821"/>
      <c r="S602" s="821"/>
      <c r="T602" s="821"/>
      <c r="U602" s="821"/>
      <c r="V602" s="821"/>
      <c r="W602" s="821"/>
      <c r="X602" s="821"/>
      <c r="Y602" s="821"/>
      <c r="Z602" s="821"/>
      <c r="AA602" s="821"/>
      <c r="AB602" s="821"/>
      <c r="AC602" s="821"/>
      <c r="AD602" s="821"/>
    </row>
    <row r="603" spans="16:30" x14ac:dyDescent="0.3">
      <c r="P603" s="821"/>
      <c r="Q603" s="821"/>
      <c r="R603" s="821"/>
      <c r="S603" s="821"/>
      <c r="T603" s="821"/>
      <c r="U603" s="821"/>
      <c r="V603" s="821"/>
      <c r="W603" s="821"/>
      <c r="X603" s="821"/>
      <c r="Y603" s="821"/>
      <c r="Z603" s="821"/>
      <c r="AA603" s="821"/>
      <c r="AB603" s="821"/>
      <c r="AC603" s="821"/>
      <c r="AD603" s="821"/>
    </row>
    <row r="604" spans="16:30" x14ac:dyDescent="0.3">
      <c r="P604" s="821"/>
      <c r="Q604" s="821"/>
      <c r="R604" s="821"/>
      <c r="S604" s="821"/>
      <c r="T604" s="821"/>
      <c r="U604" s="821"/>
      <c r="V604" s="821"/>
      <c r="W604" s="821"/>
      <c r="X604" s="821"/>
      <c r="Y604" s="821"/>
      <c r="Z604" s="821"/>
      <c r="AA604" s="821"/>
      <c r="AB604" s="821"/>
      <c r="AC604" s="821"/>
      <c r="AD604" s="821"/>
    </row>
    <row r="605" spans="16:30" x14ac:dyDescent="0.3">
      <c r="P605" s="821"/>
      <c r="Q605" s="821"/>
      <c r="R605" s="821"/>
      <c r="S605" s="821"/>
      <c r="T605" s="821"/>
      <c r="U605" s="821"/>
      <c r="V605" s="821"/>
      <c r="W605" s="821"/>
      <c r="X605" s="821"/>
      <c r="Y605" s="821"/>
      <c r="Z605" s="821"/>
      <c r="AA605" s="821"/>
      <c r="AB605" s="821"/>
      <c r="AC605" s="821"/>
      <c r="AD605" s="821"/>
    </row>
    <row r="606" spans="16:30" x14ac:dyDescent="0.3">
      <c r="P606" s="821"/>
      <c r="Q606" s="821"/>
      <c r="R606" s="821"/>
      <c r="S606" s="821"/>
      <c r="T606" s="821"/>
      <c r="U606" s="821"/>
      <c r="V606" s="821"/>
      <c r="W606" s="821"/>
      <c r="X606" s="821"/>
      <c r="Y606" s="821"/>
      <c r="Z606" s="821"/>
      <c r="AA606" s="821"/>
      <c r="AB606" s="821"/>
      <c r="AC606" s="821"/>
      <c r="AD606" s="821"/>
    </row>
    <row r="607" spans="16:30" x14ac:dyDescent="0.3">
      <c r="P607" s="821"/>
      <c r="Q607" s="821"/>
      <c r="R607" s="821"/>
      <c r="S607" s="821"/>
      <c r="T607" s="821"/>
      <c r="U607" s="821"/>
      <c r="V607" s="821"/>
      <c r="W607" s="821"/>
      <c r="X607" s="821"/>
      <c r="Y607" s="821"/>
      <c r="Z607" s="821"/>
      <c r="AA607" s="821"/>
      <c r="AB607" s="821"/>
      <c r="AC607" s="821"/>
      <c r="AD607" s="821"/>
    </row>
    <row r="608" spans="16:30" x14ac:dyDescent="0.3">
      <c r="P608" s="821"/>
      <c r="Q608" s="821"/>
      <c r="R608" s="821"/>
      <c r="S608" s="821"/>
      <c r="T608" s="821"/>
      <c r="U608" s="821"/>
      <c r="V608" s="821"/>
      <c r="W608" s="821"/>
      <c r="X608" s="821"/>
      <c r="Y608" s="821"/>
      <c r="Z608" s="821"/>
      <c r="AA608" s="821"/>
      <c r="AB608" s="821"/>
      <c r="AC608" s="821"/>
      <c r="AD608" s="821"/>
    </row>
    <row r="609" spans="16:30" x14ac:dyDescent="0.3">
      <c r="P609" s="821"/>
      <c r="Q609" s="821"/>
      <c r="R609" s="821"/>
      <c r="S609" s="821"/>
      <c r="T609" s="821"/>
      <c r="U609" s="821"/>
      <c r="V609" s="821"/>
      <c r="W609" s="821"/>
      <c r="X609" s="821"/>
      <c r="Y609" s="821"/>
      <c r="Z609" s="821"/>
      <c r="AA609" s="821"/>
      <c r="AB609" s="821"/>
      <c r="AC609" s="821"/>
      <c r="AD609" s="821"/>
    </row>
    <row r="610" spans="16:30" x14ac:dyDescent="0.3">
      <c r="P610" s="821"/>
      <c r="Q610" s="821"/>
      <c r="R610" s="821"/>
      <c r="S610" s="821"/>
      <c r="T610" s="821"/>
      <c r="U610" s="821"/>
      <c r="V610" s="821"/>
      <c r="W610" s="821"/>
      <c r="X610" s="821"/>
      <c r="Y610" s="821"/>
      <c r="Z610" s="821"/>
      <c r="AA610" s="821"/>
      <c r="AB610" s="821"/>
      <c r="AC610" s="821"/>
      <c r="AD610" s="821"/>
    </row>
    <row r="611" spans="16:30" x14ac:dyDescent="0.3">
      <c r="P611" s="821"/>
      <c r="Q611" s="821"/>
      <c r="R611" s="821"/>
      <c r="S611" s="821"/>
      <c r="T611" s="821"/>
      <c r="U611" s="821"/>
      <c r="V611" s="821"/>
      <c r="W611" s="821"/>
      <c r="X611" s="821"/>
      <c r="Y611" s="821"/>
      <c r="Z611" s="821"/>
      <c r="AA611" s="821"/>
      <c r="AB611" s="821"/>
      <c r="AC611" s="821"/>
      <c r="AD611" s="821"/>
    </row>
    <row r="612" spans="16:30" x14ac:dyDescent="0.3">
      <c r="P612" s="821"/>
      <c r="Q612" s="821"/>
      <c r="R612" s="821"/>
      <c r="S612" s="821"/>
      <c r="T612" s="821"/>
      <c r="U612" s="821"/>
      <c r="V612" s="821"/>
      <c r="W612" s="821"/>
      <c r="X612" s="821"/>
      <c r="Y612" s="821"/>
      <c r="Z612" s="821"/>
      <c r="AA612" s="821"/>
      <c r="AB612" s="821"/>
      <c r="AC612" s="821"/>
      <c r="AD612" s="821"/>
    </row>
    <row r="613" spans="16:30" x14ac:dyDescent="0.3">
      <c r="P613" s="821"/>
      <c r="Q613" s="821"/>
      <c r="R613" s="821"/>
      <c r="S613" s="821"/>
      <c r="T613" s="821"/>
      <c r="U613" s="821"/>
      <c r="V613" s="821"/>
      <c r="W613" s="821"/>
      <c r="X613" s="821"/>
      <c r="Y613" s="821"/>
      <c r="Z613" s="821"/>
      <c r="AA613" s="821"/>
      <c r="AB613" s="821"/>
      <c r="AC613" s="821"/>
      <c r="AD613" s="821"/>
    </row>
    <row r="614" spans="16:30" x14ac:dyDescent="0.3">
      <c r="P614" s="821"/>
      <c r="Q614" s="821"/>
      <c r="R614" s="821"/>
      <c r="S614" s="821"/>
      <c r="T614" s="821"/>
      <c r="U614" s="821"/>
      <c r="V614" s="821"/>
      <c r="W614" s="821"/>
      <c r="X614" s="821"/>
      <c r="Y614" s="821"/>
      <c r="Z614" s="821"/>
      <c r="AA614" s="821"/>
      <c r="AB614" s="821"/>
      <c r="AC614" s="821"/>
      <c r="AD614" s="821"/>
    </row>
    <row r="615" spans="16:30" x14ac:dyDescent="0.3">
      <c r="P615" s="821"/>
      <c r="Q615" s="821"/>
      <c r="R615" s="821"/>
      <c r="S615" s="821"/>
      <c r="T615" s="821"/>
      <c r="U615" s="821"/>
      <c r="V615" s="821"/>
      <c r="W615" s="821"/>
      <c r="X615" s="821"/>
      <c r="Y615" s="821"/>
      <c r="Z615" s="821"/>
      <c r="AA615" s="821"/>
      <c r="AB615" s="821"/>
      <c r="AC615" s="821"/>
      <c r="AD615" s="821"/>
    </row>
    <row r="616" spans="16:30" x14ac:dyDescent="0.3">
      <c r="P616" s="821"/>
      <c r="Q616" s="821"/>
      <c r="R616" s="821"/>
      <c r="S616" s="821"/>
      <c r="T616" s="821"/>
      <c r="U616" s="821"/>
      <c r="V616" s="821"/>
      <c r="W616" s="821"/>
      <c r="X616" s="821"/>
      <c r="Y616" s="821"/>
      <c r="Z616" s="821"/>
      <c r="AA616" s="821"/>
      <c r="AB616" s="821"/>
      <c r="AC616" s="821"/>
      <c r="AD616" s="821"/>
    </row>
    <row r="617" spans="16:30" x14ac:dyDescent="0.3">
      <c r="P617" s="821"/>
      <c r="Q617" s="821"/>
      <c r="R617" s="821"/>
      <c r="S617" s="821"/>
      <c r="T617" s="821"/>
      <c r="U617" s="821"/>
      <c r="V617" s="821"/>
      <c r="W617" s="821"/>
      <c r="X617" s="821"/>
      <c r="Y617" s="821"/>
      <c r="Z617" s="821"/>
      <c r="AA617" s="821"/>
      <c r="AB617" s="821"/>
      <c r="AC617" s="821"/>
      <c r="AD617" s="821"/>
    </row>
    <row r="618" spans="16:30" x14ac:dyDescent="0.3">
      <c r="P618" s="821"/>
      <c r="Q618" s="821"/>
      <c r="R618" s="821"/>
      <c r="S618" s="821"/>
      <c r="T618" s="821"/>
      <c r="U618" s="821"/>
      <c r="V618" s="821"/>
      <c r="W618" s="821"/>
      <c r="X618" s="821"/>
      <c r="Y618" s="821"/>
      <c r="Z618" s="821"/>
      <c r="AA618" s="821"/>
      <c r="AB618" s="821"/>
      <c r="AC618" s="821"/>
      <c r="AD618" s="821"/>
    </row>
    <row r="619" spans="16:30" x14ac:dyDescent="0.3">
      <c r="P619" s="821"/>
      <c r="Q619" s="821"/>
      <c r="R619" s="821"/>
      <c r="S619" s="821"/>
      <c r="T619" s="821"/>
      <c r="U619" s="821"/>
      <c r="V619" s="821"/>
      <c r="W619" s="821"/>
      <c r="X619" s="821"/>
      <c r="Y619" s="821"/>
      <c r="Z619" s="821"/>
      <c r="AA619" s="821"/>
      <c r="AB619" s="821"/>
      <c r="AC619" s="821"/>
      <c r="AD619" s="821"/>
    </row>
    <row r="620" spans="16:30" x14ac:dyDescent="0.3">
      <c r="P620" s="821"/>
      <c r="Q620" s="821"/>
      <c r="R620" s="821"/>
      <c r="S620" s="821"/>
      <c r="T620" s="821"/>
      <c r="U620" s="821"/>
      <c r="V620" s="821"/>
      <c r="W620" s="821"/>
      <c r="X620" s="821"/>
      <c r="Y620" s="821"/>
      <c r="Z620" s="821"/>
      <c r="AA620" s="821"/>
      <c r="AB620" s="821"/>
      <c r="AC620" s="821"/>
      <c r="AD620" s="821"/>
    </row>
    <row r="621" spans="16:30" x14ac:dyDescent="0.3">
      <c r="P621" s="821"/>
      <c r="Q621" s="821"/>
      <c r="R621" s="821"/>
      <c r="S621" s="821"/>
      <c r="T621" s="821"/>
      <c r="U621" s="821"/>
      <c r="V621" s="821"/>
      <c r="W621" s="821"/>
      <c r="X621" s="821"/>
      <c r="Y621" s="821"/>
      <c r="Z621" s="821"/>
      <c r="AA621" s="821"/>
      <c r="AB621" s="821"/>
      <c r="AC621" s="821"/>
      <c r="AD621" s="821"/>
    </row>
    <row r="622" spans="16:30" x14ac:dyDescent="0.3">
      <c r="P622" s="821"/>
      <c r="Q622" s="821"/>
      <c r="R622" s="821"/>
      <c r="S622" s="821"/>
      <c r="T622" s="821"/>
      <c r="U622" s="821"/>
      <c r="V622" s="821"/>
      <c r="W622" s="821"/>
      <c r="X622" s="821"/>
      <c r="Y622" s="821"/>
      <c r="Z622" s="821"/>
      <c r="AA622" s="821"/>
      <c r="AB622" s="821"/>
      <c r="AC622" s="821"/>
      <c r="AD622" s="821"/>
    </row>
    <row r="623" spans="16:30" x14ac:dyDescent="0.3">
      <c r="P623" s="821"/>
      <c r="Q623" s="821"/>
      <c r="R623" s="821"/>
      <c r="S623" s="821"/>
      <c r="T623" s="821"/>
      <c r="U623" s="821"/>
      <c r="V623" s="821"/>
      <c r="W623" s="821"/>
      <c r="X623" s="821"/>
      <c r="Y623" s="821"/>
      <c r="Z623" s="821"/>
      <c r="AA623" s="821"/>
      <c r="AB623" s="821"/>
      <c r="AC623" s="821"/>
      <c r="AD623" s="821"/>
    </row>
    <row r="624" spans="16:30" x14ac:dyDescent="0.3">
      <c r="P624" s="821"/>
      <c r="Q624" s="821"/>
      <c r="R624" s="821"/>
      <c r="S624" s="821"/>
      <c r="T624" s="821"/>
      <c r="U624" s="821"/>
      <c r="V624" s="821"/>
      <c r="W624" s="821"/>
      <c r="X624" s="821"/>
      <c r="Y624" s="821"/>
      <c r="Z624" s="821"/>
      <c r="AA624" s="821"/>
      <c r="AB624" s="821"/>
      <c r="AC624" s="821"/>
      <c r="AD624" s="821"/>
    </row>
    <row r="625" spans="16:30" x14ac:dyDescent="0.3">
      <c r="P625" s="821"/>
      <c r="Q625" s="821"/>
      <c r="R625" s="821"/>
      <c r="S625" s="821"/>
      <c r="T625" s="821"/>
      <c r="U625" s="821"/>
      <c r="V625" s="821"/>
      <c r="W625" s="821"/>
      <c r="X625" s="821"/>
      <c r="Y625" s="821"/>
      <c r="Z625" s="821"/>
      <c r="AA625" s="821"/>
      <c r="AB625" s="821"/>
      <c r="AC625" s="821"/>
      <c r="AD625" s="821"/>
    </row>
    <row r="626" spans="16:30" x14ac:dyDescent="0.3">
      <c r="P626" s="821"/>
      <c r="Q626" s="821"/>
      <c r="R626" s="821"/>
      <c r="S626" s="821"/>
      <c r="T626" s="821"/>
      <c r="U626" s="821"/>
      <c r="V626" s="821"/>
      <c r="W626" s="821"/>
      <c r="X626" s="821"/>
      <c r="Y626" s="821"/>
      <c r="Z626" s="821"/>
      <c r="AA626" s="821"/>
      <c r="AB626" s="821"/>
      <c r="AC626" s="821"/>
      <c r="AD626" s="821"/>
    </row>
    <row r="627" spans="16:30" x14ac:dyDescent="0.3">
      <c r="P627" s="821"/>
      <c r="Q627" s="821"/>
      <c r="R627" s="821"/>
      <c r="S627" s="821"/>
      <c r="T627" s="821"/>
      <c r="U627" s="821"/>
      <c r="V627" s="821"/>
      <c r="W627" s="821"/>
      <c r="X627" s="821"/>
      <c r="Y627" s="821"/>
      <c r="Z627" s="821"/>
      <c r="AA627" s="821"/>
      <c r="AB627" s="821"/>
      <c r="AC627" s="821"/>
      <c r="AD627" s="821"/>
    </row>
    <row r="628" spans="16:30" x14ac:dyDescent="0.3">
      <c r="P628" s="821"/>
      <c r="Q628" s="821"/>
      <c r="R628" s="821"/>
      <c r="S628" s="821"/>
      <c r="T628" s="821"/>
      <c r="U628" s="821"/>
      <c r="V628" s="821"/>
      <c r="W628" s="821"/>
      <c r="X628" s="821"/>
      <c r="Y628" s="821"/>
      <c r="Z628" s="821"/>
      <c r="AA628" s="821"/>
      <c r="AB628" s="821"/>
      <c r="AC628" s="821"/>
      <c r="AD628" s="821"/>
    </row>
    <row r="629" spans="16:30" x14ac:dyDescent="0.3">
      <c r="P629" s="821"/>
      <c r="Q629" s="821"/>
      <c r="R629" s="821"/>
      <c r="S629" s="821"/>
      <c r="T629" s="821"/>
      <c r="U629" s="821"/>
      <c r="V629" s="821"/>
      <c r="W629" s="821"/>
      <c r="X629" s="821"/>
      <c r="Y629" s="821"/>
      <c r="Z629" s="821"/>
      <c r="AA629" s="821"/>
      <c r="AB629" s="821"/>
      <c r="AC629" s="821"/>
      <c r="AD629" s="821"/>
    </row>
    <row r="630" spans="16:30" x14ac:dyDescent="0.3">
      <c r="P630" s="821"/>
      <c r="Q630" s="821"/>
      <c r="R630" s="821"/>
      <c r="S630" s="821"/>
      <c r="T630" s="821"/>
      <c r="U630" s="821"/>
      <c r="V630" s="821"/>
      <c r="W630" s="821"/>
      <c r="X630" s="821"/>
      <c r="Y630" s="821"/>
      <c r="Z630" s="821"/>
      <c r="AA630" s="821"/>
      <c r="AB630" s="821"/>
      <c r="AC630" s="821"/>
      <c r="AD630" s="821"/>
    </row>
    <row r="631" spans="16:30" x14ac:dyDescent="0.3">
      <c r="P631" s="821"/>
      <c r="Q631" s="821"/>
      <c r="R631" s="821"/>
      <c r="S631" s="821"/>
      <c r="T631" s="821"/>
      <c r="U631" s="821"/>
      <c r="V631" s="821"/>
      <c r="W631" s="821"/>
      <c r="X631" s="821"/>
      <c r="Y631" s="821"/>
      <c r="Z631" s="821"/>
      <c r="AA631" s="821"/>
      <c r="AB631" s="821"/>
      <c r="AC631" s="821"/>
      <c r="AD631" s="821"/>
    </row>
    <row r="632" spans="16:30" x14ac:dyDescent="0.3">
      <c r="P632" s="821"/>
      <c r="Q632" s="821"/>
      <c r="R632" s="821"/>
      <c r="S632" s="821"/>
      <c r="T632" s="821"/>
      <c r="U632" s="821"/>
      <c r="V632" s="821"/>
      <c r="W632" s="821"/>
      <c r="X632" s="821"/>
      <c r="Y632" s="821"/>
      <c r="Z632" s="821"/>
      <c r="AA632" s="821"/>
      <c r="AB632" s="821"/>
      <c r="AC632" s="821"/>
      <c r="AD632" s="821"/>
    </row>
    <row r="633" spans="16:30" x14ac:dyDescent="0.3">
      <c r="P633" s="821"/>
      <c r="Q633" s="821"/>
      <c r="R633" s="821"/>
      <c r="S633" s="821"/>
      <c r="T633" s="821"/>
      <c r="U633" s="821"/>
      <c r="V633" s="821"/>
      <c r="W633" s="821"/>
      <c r="X633" s="821"/>
      <c r="Y633" s="821"/>
      <c r="Z633" s="821"/>
      <c r="AA633" s="821"/>
      <c r="AB633" s="821"/>
      <c r="AC633" s="821"/>
      <c r="AD633" s="821"/>
    </row>
    <row r="634" spans="16:30" x14ac:dyDescent="0.3">
      <c r="P634" s="821"/>
      <c r="Q634" s="821"/>
      <c r="R634" s="821"/>
      <c r="S634" s="821"/>
      <c r="T634" s="821"/>
      <c r="U634" s="821"/>
      <c r="V634" s="821"/>
      <c r="W634" s="821"/>
      <c r="X634" s="821"/>
      <c r="Y634" s="821"/>
      <c r="Z634" s="821"/>
      <c r="AA634" s="821"/>
      <c r="AB634" s="821"/>
      <c r="AC634" s="821"/>
      <c r="AD634" s="821"/>
    </row>
    <row r="635" spans="16:30" x14ac:dyDescent="0.3">
      <c r="P635" s="821"/>
      <c r="Q635" s="821"/>
      <c r="R635" s="821"/>
      <c r="S635" s="821"/>
      <c r="T635" s="821"/>
      <c r="U635" s="821"/>
      <c r="V635" s="821"/>
      <c r="W635" s="821"/>
      <c r="X635" s="821"/>
      <c r="Y635" s="821"/>
      <c r="Z635" s="821"/>
      <c r="AA635" s="821"/>
      <c r="AB635" s="821"/>
      <c r="AC635" s="821"/>
      <c r="AD635" s="821"/>
    </row>
    <row r="636" spans="16:30" x14ac:dyDescent="0.3">
      <c r="P636" s="821"/>
      <c r="Q636" s="821"/>
      <c r="R636" s="821"/>
      <c r="S636" s="821"/>
      <c r="T636" s="821"/>
      <c r="U636" s="821"/>
      <c r="V636" s="821"/>
      <c r="W636" s="821"/>
      <c r="X636" s="821"/>
      <c r="Y636" s="821"/>
      <c r="Z636" s="821"/>
      <c r="AA636" s="821"/>
      <c r="AB636" s="821"/>
      <c r="AC636" s="821"/>
      <c r="AD636" s="821"/>
    </row>
    <row r="637" spans="16:30" x14ac:dyDescent="0.3">
      <c r="P637" s="821"/>
      <c r="Q637" s="821"/>
      <c r="R637" s="821"/>
      <c r="S637" s="821"/>
      <c r="T637" s="821"/>
      <c r="U637" s="821"/>
      <c r="V637" s="821"/>
      <c r="W637" s="821"/>
      <c r="X637" s="821"/>
      <c r="Y637" s="821"/>
      <c r="Z637" s="821"/>
      <c r="AA637" s="821"/>
      <c r="AB637" s="821"/>
      <c r="AC637" s="821"/>
      <c r="AD637" s="821"/>
    </row>
    <row r="638" spans="16:30" x14ac:dyDescent="0.3">
      <c r="P638" s="821"/>
      <c r="Q638" s="821"/>
      <c r="R638" s="821"/>
      <c r="S638" s="821"/>
      <c r="T638" s="821"/>
      <c r="U638" s="821"/>
      <c r="V638" s="821"/>
      <c r="W638" s="821"/>
      <c r="X638" s="821"/>
      <c r="Y638" s="821"/>
      <c r="Z638" s="821"/>
      <c r="AA638" s="821"/>
      <c r="AB638" s="821"/>
      <c r="AC638" s="821"/>
      <c r="AD638" s="821"/>
    </row>
    <row r="639" spans="16:30" x14ac:dyDescent="0.3">
      <c r="P639" s="821"/>
      <c r="Q639" s="821"/>
      <c r="R639" s="821"/>
      <c r="S639" s="821"/>
      <c r="T639" s="821"/>
      <c r="U639" s="821"/>
      <c r="V639" s="821"/>
      <c r="W639" s="821"/>
      <c r="X639" s="821"/>
      <c r="Y639" s="821"/>
      <c r="Z639" s="821"/>
      <c r="AA639" s="821"/>
      <c r="AB639" s="821"/>
      <c r="AC639" s="821"/>
      <c r="AD639" s="821"/>
    </row>
    <row r="640" spans="16:30" x14ac:dyDescent="0.3">
      <c r="P640" s="821"/>
      <c r="Q640" s="821"/>
      <c r="R640" s="821"/>
      <c r="S640" s="821"/>
      <c r="T640" s="821"/>
      <c r="U640" s="821"/>
      <c r="V640" s="821"/>
      <c r="W640" s="821"/>
      <c r="X640" s="821"/>
      <c r="Y640" s="821"/>
      <c r="Z640" s="821"/>
      <c r="AA640" s="821"/>
      <c r="AB640" s="821"/>
      <c r="AC640" s="821"/>
      <c r="AD640" s="821"/>
    </row>
    <row r="641" spans="16:30" x14ac:dyDescent="0.3">
      <c r="P641" s="821"/>
      <c r="Q641" s="821"/>
      <c r="R641" s="821"/>
      <c r="S641" s="821"/>
      <c r="T641" s="821"/>
      <c r="U641" s="821"/>
      <c r="V641" s="821"/>
      <c r="W641" s="821"/>
      <c r="X641" s="821"/>
      <c r="Y641" s="821"/>
      <c r="Z641" s="821"/>
      <c r="AA641" s="821"/>
      <c r="AB641" s="821"/>
      <c r="AC641" s="821"/>
      <c r="AD641" s="821"/>
    </row>
    <row r="642" spans="16:30" x14ac:dyDescent="0.3">
      <c r="P642" s="821"/>
      <c r="Q642" s="821"/>
      <c r="R642" s="821"/>
      <c r="S642" s="821"/>
      <c r="T642" s="821"/>
      <c r="U642" s="821"/>
      <c r="V642" s="821"/>
      <c r="W642" s="821"/>
      <c r="X642" s="821"/>
      <c r="Y642" s="821"/>
      <c r="Z642" s="821"/>
      <c r="AA642" s="821"/>
      <c r="AB642" s="821"/>
      <c r="AC642" s="821"/>
      <c r="AD642" s="821"/>
    </row>
    <row r="643" spans="16:30" x14ac:dyDescent="0.3">
      <c r="P643" s="821"/>
      <c r="Q643" s="821"/>
      <c r="R643" s="821"/>
      <c r="S643" s="821"/>
      <c r="T643" s="821"/>
      <c r="U643" s="821"/>
      <c r="V643" s="821"/>
      <c r="W643" s="821"/>
      <c r="X643" s="821"/>
      <c r="Y643" s="821"/>
      <c r="Z643" s="821"/>
      <c r="AA643" s="821"/>
      <c r="AB643" s="821"/>
      <c r="AC643" s="821"/>
      <c r="AD643" s="821"/>
    </row>
    <row r="644" spans="16:30" x14ac:dyDescent="0.3">
      <c r="P644" s="821"/>
      <c r="Q644" s="821"/>
      <c r="R644" s="821"/>
      <c r="S644" s="821"/>
      <c r="T644" s="821"/>
      <c r="U644" s="821"/>
      <c r="V644" s="821"/>
      <c r="W644" s="821"/>
      <c r="X644" s="821"/>
      <c r="Y644" s="821"/>
      <c r="Z644" s="821"/>
      <c r="AA644" s="821"/>
      <c r="AB644" s="821"/>
      <c r="AC644" s="821"/>
      <c r="AD644" s="821"/>
    </row>
    <row r="645" spans="16:30" x14ac:dyDescent="0.3">
      <c r="P645" s="821"/>
      <c r="Q645" s="821"/>
      <c r="R645" s="821"/>
      <c r="S645" s="821"/>
      <c r="T645" s="821"/>
      <c r="U645" s="821"/>
      <c r="V645" s="821"/>
      <c r="W645" s="821"/>
      <c r="X645" s="821"/>
      <c r="Y645" s="821"/>
      <c r="Z645" s="821"/>
      <c r="AA645" s="821"/>
      <c r="AB645" s="821"/>
      <c r="AC645" s="821"/>
      <c r="AD645" s="821"/>
    </row>
    <row r="646" spans="16:30" x14ac:dyDescent="0.3">
      <c r="P646" s="821"/>
      <c r="Q646" s="821"/>
      <c r="R646" s="821"/>
      <c r="S646" s="821"/>
      <c r="T646" s="821"/>
      <c r="U646" s="821"/>
      <c r="V646" s="821"/>
      <c r="W646" s="821"/>
      <c r="X646" s="821"/>
      <c r="Y646" s="821"/>
      <c r="Z646" s="821"/>
      <c r="AA646" s="821"/>
      <c r="AB646" s="821"/>
      <c r="AC646" s="821"/>
      <c r="AD646" s="821"/>
    </row>
    <row r="647" spans="16:30" x14ac:dyDescent="0.3">
      <c r="P647" s="821"/>
      <c r="Q647" s="821"/>
      <c r="R647" s="821"/>
      <c r="S647" s="821"/>
      <c r="T647" s="821"/>
      <c r="U647" s="821"/>
      <c r="V647" s="821"/>
      <c r="W647" s="821"/>
      <c r="X647" s="821"/>
      <c r="Y647" s="821"/>
      <c r="Z647" s="821"/>
      <c r="AA647" s="821"/>
      <c r="AB647" s="821"/>
      <c r="AC647" s="821"/>
      <c r="AD647" s="821"/>
    </row>
    <row r="648" spans="16:30" x14ac:dyDescent="0.3">
      <c r="P648" s="821"/>
      <c r="Q648" s="821"/>
      <c r="R648" s="821"/>
      <c r="S648" s="821"/>
      <c r="T648" s="821"/>
      <c r="U648" s="821"/>
      <c r="V648" s="821"/>
      <c r="W648" s="821"/>
      <c r="X648" s="821"/>
      <c r="Y648" s="821"/>
      <c r="Z648" s="821"/>
      <c r="AA648" s="821"/>
      <c r="AB648" s="821"/>
      <c r="AC648" s="821"/>
      <c r="AD648" s="821"/>
    </row>
    <row r="649" spans="16:30" x14ac:dyDescent="0.3">
      <c r="P649" s="821"/>
      <c r="Q649" s="821"/>
      <c r="R649" s="821"/>
      <c r="S649" s="821"/>
      <c r="T649" s="821"/>
      <c r="U649" s="821"/>
      <c r="V649" s="821"/>
      <c r="W649" s="821"/>
      <c r="X649" s="821"/>
      <c r="Y649" s="821"/>
      <c r="Z649" s="821"/>
      <c r="AA649" s="821"/>
      <c r="AB649" s="821"/>
      <c r="AC649" s="821"/>
      <c r="AD649" s="821"/>
    </row>
    <row r="650" spans="16:30" x14ac:dyDescent="0.3">
      <c r="P650" s="821"/>
      <c r="Q650" s="821"/>
      <c r="R650" s="821"/>
      <c r="S650" s="821"/>
      <c r="T650" s="821"/>
      <c r="U650" s="821"/>
      <c r="V650" s="821"/>
      <c r="W650" s="821"/>
      <c r="X650" s="821"/>
      <c r="Y650" s="821"/>
      <c r="Z650" s="821"/>
      <c r="AA650" s="821"/>
      <c r="AB650" s="821"/>
      <c r="AC650" s="821"/>
      <c r="AD650" s="821"/>
    </row>
    <row r="651" spans="16:30" x14ac:dyDescent="0.3">
      <c r="P651" s="821"/>
      <c r="Q651" s="821"/>
      <c r="R651" s="821"/>
      <c r="S651" s="821"/>
      <c r="T651" s="821"/>
      <c r="U651" s="821"/>
      <c r="V651" s="821"/>
      <c r="W651" s="821"/>
      <c r="X651" s="821"/>
      <c r="Y651" s="821"/>
      <c r="Z651" s="821"/>
      <c r="AA651" s="821"/>
      <c r="AB651" s="821"/>
      <c r="AC651" s="821"/>
      <c r="AD651" s="821"/>
    </row>
    <row r="652" spans="16:30" x14ac:dyDescent="0.3">
      <c r="P652" s="821"/>
      <c r="Q652" s="821"/>
      <c r="R652" s="821"/>
      <c r="S652" s="821"/>
      <c r="T652" s="821"/>
      <c r="U652" s="821"/>
      <c r="V652" s="821"/>
      <c r="W652" s="821"/>
      <c r="X652" s="821"/>
      <c r="Y652" s="821"/>
      <c r="Z652" s="821"/>
      <c r="AA652" s="821"/>
      <c r="AB652" s="821"/>
      <c r="AC652" s="821"/>
      <c r="AD652" s="821"/>
    </row>
    <row r="653" spans="16:30" x14ac:dyDescent="0.3">
      <c r="P653" s="821"/>
      <c r="Q653" s="821"/>
      <c r="R653" s="821"/>
      <c r="S653" s="821"/>
      <c r="T653" s="821"/>
      <c r="U653" s="821"/>
      <c r="V653" s="821"/>
      <c r="W653" s="821"/>
      <c r="X653" s="821"/>
      <c r="Y653" s="821"/>
      <c r="Z653" s="821"/>
      <c r="AA653" s="821"/>
      <c r="AB653" s="821"/>
      <c r="AC653" s="821"/>
      <c r="AD653" s="821"/>
    </row>
    <row r="654" spans="16:30" x14ac:dyDescent="0.3">
      <c r="P654" s="821"/>
      <c r="Q654" s="821"/>
      <c r="R654" s="821"/>
      <c r="S654" s="821"/>
      <c r="T654" s="821"/>
      <c r="U654" s="821"/>
      <c r="V654" s="821"/>
      <c r="W654" s="821"/>
      <c r="X654" s="821"/>
      <c r="Y654" s="821"/>
      <c r="Z654" s="821"/>
      <c r="AA654" s="821"/>
      <c r="AB654" s="821"/>
      <c r="AC654" s="821"/>
      <c r="AD654" s="821"/>
    </row>
    <row r="655" spans="16:30" x14ac:dyDescent="0.3">
      <c r="P655" s="821"/>
      <c r="Q655" s="821"/>
      <c r="R655" s="821"/>
      <c r="S655" s="821"/>
      <c r="T655" s="821"/>
      <c r="U655" s="821"/>
      <c r="V655" s="821"/>
      <c r="W655" s="821"/>
      <c r="X655" s="821"/>
      <c r="Y655" s="821"/>
      <c r="Z655" s="821"/>
      <c r="AA655" s="821"/>
      <c r="AB655" s="821"/>
      <c r="AC655" s="821"/>
      <c r="AD655" s="821"/>
    </row>
    <row r="656" spans="16:30" x14ac:dyDescent="0.3">
      <c r="P656" s="821"/>
      <c r="Q656" s="821"/>
      <c r="R656" s="821"/>
      <c r="S656" s="821"/>
      <c r="T656" s="821"/>
      <c r="U656" s="821"/>
      <c r="V656" s="821"/>
      <c r="W656" s="821"/>
      <c r="X656" s="821"/>
      <c r="Y656" s="821"/>
      <c r="Z656" s="821"/>
      <c r="AA656" s="821"/>
      <c r="AB656" s="821"/>
      <c r="AC656" s="821"/>
      <c r="AD656" s="821"/>
    </row>
    <row r="657" spans="16:30" x14ac:dyDescent="0.3">
      <c r="P657" s="821"/>
      <c r="Q657" s="821"/>
      <c r="R657" s="821"/>
      <c r="S657" s="821"/>
      <c r="T657" s="821"/>
      <c r="U657" s="821"/>
      <c r="V657" s="821"/>
      <c r="W657" s="821"/>
      <c r="X657" s="821"/>
      <c r="Y657" s="821"/>
      <c r="Z657" s="821"/>
      <c r="AA657" s="821"/>
      <c r="AB657" s="821"/>
      <c r="AC657" s="821"/>
      <c r="AD657" s="821"/>
    </row>
    <row r="658" spans="16:30" x14ac:dyDescent="0.3">
      <c r="P658" s="821"/>
      <c r="Q658" s="821"/>
      <c r="R658" s="821"/>
      <c r="S658" s="821"/>
      <c r="T658" s="821"/>
      <c r="U658" s="821"/>
      <c r="V658" s="821"/>
      <c r="W658" s="821"/>
      <c r="X658" s="821"/>
      <c r="Y658" s="821"/>
      <c r="Z658" s="821"/>
      <c r="AA658" s="821"/>
      <c r="AB658" s="821"/>
      <c r="AC658" s="821"/>
      <c r="AD658" s="821"/>
    </row>
    <row r="659" spans="16:30" x14ac:dyDescent="0.3">
      <c r="P659" s="821"/>
      <c r="Q659" s="821"/>
      <c r="R659" s="821"/>
      <c r="S659" s="821"/>
      <c r="T659" s="821"/>
      <c r="U659" s="821"/>
      <c r="V659" s="821"/>
      <c r="W659" s="821"/>
      <c r="X659" s="821"/>
      <c r="Y659" s="821"/>
      <c r="Z659" s="821"/>
      <c r="AA659" s="821"/>
      <c r="AB659" s="821"/>
      <c r="AC659" s="821"/>
      <c r="AD659" s="821"/>
    </row>
    <row r="660" spans="16:30" x14ac:dyDescent="0.3">
      <c r="P660" s="821"/>
      <c r="Q660" s="821"/>
      <c r="R660" s="821"/>
      <c r="S660" s="821"/>
      <c r="T660" s="821"/>
      <c r="U660" s="821"/>
      <c r="V660" s="821"/>
      <c r="W660" s="821"/>
      <c r="X660" s="821"/>
      <c r="Y660" s="821"/>
      <c r="Z660" s="821"/>
      <c r="AA660" s="821"/>
      <c r="AB660" s="821"/>
      <c r="AC660" s="821"/>
      <c r="AD660" s="821"/>
    </row>
    <row r="661" spans="16:30" x14ac:dyDescent="0.3">
      <c r="P661" s="821"/>
      <c r="Q661" s="821"/>
      <c r="R661" s="821"/>
      <c r="S661" s="821"/>
      <c r="T661" s="821"/>
      <c r="U661" s="821"/>
      <c r="V661" s="821"/>
      <c r="W661" s="821"/>
      <c r="X661" s="821"/>
      <c r="Y661" s="821"/>
      <c r="Z661" s="821"/>
      <c r="AA661" s="821"/>
      <c r="AB661" s="821"/>
      <c r="AC661" s="821"/>
      <c r="AD661" s="821"/>
    </row>
    <row r="662" spans="16:30" x14ac:dyDescent="0.3">
      <c r="P662" s="821"/>
      <c r="Q662" s="821"/>
      <c r="R662" s="821"/>
      <c r="S662" s="821"/>
      <c r="T662" s="821"/>
      <c r="U662" s="821"/>
      <c r="V662" s="821"/>
      <c r="W662" s="821"/>
      <c r="X662" s="821"/>
      <c r="Y662" s="821"/>
      <c r="Z662" s="821"/>
      <c r="AA662" s="821"/>
      <c r="AB662" s="821"/>
      <c r="AC662" s="821"/>
      <c r="AD662" s="821"/>
    </row>
    <row r="663" spans="16:30" x14ac:dyDescent="0.3">
      <c r="P663" s="821"/>
      <c r="Q663" s="821"/>
      <c r="R663" s="821"/>
      <c r="S663" s="821"/>
      <c r="T663" s="821"/>
      <c r="U663" s="821"/>
      <c r="V663" s="821"/>
      <c r="W663" s="821"/>
      <c r="X663" s="821"/>
      <c r="Y663" s="821"/>
      <c r="Z663" s="821"/>
      <c r="AA663" s="821"/>
      <c r="AB663" s="821"/>
      <c r="AC663" s="821"/>
      <c r="AD663" s="821"/>
    </row>
    <row r="664" spans="16:30" x14ac:dyDescent="0.3">
      <c r="P664" s="821"/>
      <c r="Q664" s="821"/>
      <c r="R664" s="821"/>
      <c r="S664" s="821"/>
      <c r="T664" s="821"/>
      <c r="U664" s="821"/>
      <c r="V664" s="821"/>
      <c r="W664" s="821"/>
      <c r="X664" s="821"/>
      <c r="Y664" s="821"/>
      <c r="Z664" s="821"/>
      <c r="AA664" s="821"/>
      <c r="AB664" s="821"/>
      <c r="AC664" s="821"/>
      <c r="AD664" s="821"/>
    </row>
    <row r="665" spans="16:30" x14ac:dyDescent="0.3">
      <c r="P665" s="821"/>
      <c r="Q665" s="821"/>
      <c r="R665" s="821"/>
      <c r="S665" s="821"/>
      <c r="T665" s="821"/>
      <c r="U665" s="821"/>
      <c r="V665" s="821"/>
      <c r="W665" s="821"/>
      <c r="X665" s="821"/>
      <c r="Y665" s="821"/>
      <c r="Z665" s="821"/>
      <c r="AA665" s="821"/>
      <c r="AB665" s="821"/>
      <c r="AC665" s="821"/>
      <c r="AD665" s="821"/>
    </row>
    <row r="666" spans="16:30" x14ac:dyDescent="0.3">
      <c r="P666" s="821"/>
      <c r="Q666" s="821"/>
      <c r="R666" s="821"/>
      <c r="S666" s="821"/>
      <c r="T666" s="821"/>
      <c r="U666" s="821"/>
      <c r="V666" s="821"/>
      <c r="W666" s="821"/>
      <c r="X666" s="821"/>
      <c r="Y666" s="821"/>
      <c r="Z666" s="821"/>
      <c r="AA666" s="821"/>
      <c r="AB666" s="821"/>
      <c r="AC666" s="821"/>
      <c r="AD666" s="821"/>
    </row>
    <row r="667" spans="16:30" x14ac:dyDescent="0.3">
      <c r="P667" s="821"/>
      <c r="Q667" s="821"/>
      <c r="R667" s="821"/>
      <c r="S667" s="821"/>
      <c r="T667" s="821"/>
      <c r="U667" s="821"/>
      <c r="V667" s="821"/>
      <c r="W667" s="821"/>
      <c r="X667" s="821"/>
      <c r="Y667" s="821"/>
      <c r="Z667" s="821"/>
      <c r="AA667" s="821"/>
      <c r="AB667" s="821"/>
      <c r="AC667" s="821"/>
      <c r="AD667" s="821"/>
    </row>
    <row r="668" spans="16:30" x14ac:dyDescent="0.3">
      <c r="P668" s="821"/>
      <c r="Q668" s="821"/>
      <c r="R668" s="821"/>
      <c r="S668" s="821"/>
      <c r="T668" s="821"/>
      <c r="U668" s="821"/>
      <c r="V668" s="821"/>
      <c r="W668" s="821"/>
      <c r="X668" s="821"/>
      <c r="Y668" s="821"/>
      <c r="Z668" s="821"/>
      <c r="AA668" s="821"/>
      <c r="AB668" s="821"/>
      <c r="AC668" s="821"/>
      <c r="AD668" s="821"/>
    </row>
    <row r="669" spans="16:30" x14ac:dyDescent="0.3">
      <c r="P669" s="821"/>
      <c r="Q669" s="821"/>
      <c r="R669" s="821"/>
      <c r="S669" s="821"/>
      <c r="T669" s="821"/>
      <c r="U669" s="821"/>
      <c r="V669" s="821"/>
      <c r="W669" s="821"/>
      <c r="X669" s="821"/>
      <c r="Y669" s="821"/>
      <c r="Z669" s="821"/>
      <c r="AA669" s="821"/>
      <c r="AB669" s="821"/>
      <c r="AC669" s="821"/>
      <c r="AD669" s="821"/>
    </row>
    <row r="670" spans="16:30" x14ac:dyDescent="0.3">
      <c r="P670" s="821"/>
      <c r="Q670" s="821"/>
      <c r="R670" s="821"/>
      <c r="S670" s="821"/>
      <c r="T670" s="821"/>
      <c r="U670" s="821"/>
      <c r="V670" s="821"/>
      <c r="W670" s="821"/>
      <c r="X670" s="821"/>
      <c r="Y670" s="821"/>
      <c r="Z670" s="821"/>
      <c r="AA670" s="821"/>
      <c r="AB670" s="821"/>
      <c r="AC670" s="821"/>
      <c r="AD670" s="821"/>
    </row>
    <row r="671" spans="16:30" x14ac:dyDescent="0.3">
      <c r="P671" s="821"/>
      <c r="Q671" s="821"/>
      <c r="R671" s="821"/>
      <c r="S671" s="821"/>
      <c r="T671" s="821"/>
      <c r="U671" s="821"/>
      <c r="V671" s="821"/>
      <c r="W671" s="821"/>
      <c r="X671" s="821"/>
      <c r="Y671" s="821"/>
      <c r="Z671" s="821"/>
      <c r="AA671" s="821"/>
      <c r="AB671" s="821"/>
      <c r="AC671" s="821"/>
      <c r="AD671" s="821"/>
    </row>
    <row r="672" spans="16:30" x14ac:dyDescent="0.3">
      <c r="P672" s="821"/>
      <c r="Q672" s="821"/>
      <c r="R672" s="821"/>
      <c r="S672" s="821"/>
      <c r="T672" s="821"/>
      <c r="U672" s="821"/>
      <c r="V672" s="821"/>
      <c r="W672" s="821"/>
      <c r="X672" s="821"/>
      <c r="Y672" s="821"/>
      <c r="Z672" s="821"/>
      <c r="AA672" s="821"/>
      <c r="AB672" s="821"/>
      <c r="AC672" s="821"/>
      <c r="AD672" s="821"/>
    </row>
    <row r="673" spans="16:30" x14ac:dyDescent="0.3">
      <c r="P673" s="821"/>
      <c r="Q673" s="821"/>
      <c r="R673" s="821"/>
      <c r="S673" s="821"/>
      <c r="T673" s="821"/>
      <c r="U673" s="821"/>
      <c r="V673" s="821"/>
      <c r="W673" s="821"/>
      <c r="X673" s="821"/>
      <c r="Y673" s="821"/>
      <c r="Z673" s="821"/>
      <c r="AA673" s="821"/>
      <c r="AB673" s="821"/>
      <c r="AC673" s="821"/>
      <c r="AD673" s="821"/>
    </row>
    <row r="674" spans="16:30" x14ac:dyDescent="0.3">
      <c r="P674" s="821"/>
      <c r="Q674" s="821"/>
      <c r="R674" s="821"/>
      <c r="S674" s="821"/>
      <c r="T674" s="821"/>
      <c r="U674" s="821"/>
      <c r="V674" s="821"/>
      <c r="W674" s="821"/>
      <c r="X674" s="821"/>
      <c r="Y674" s="821"/>
      <c r="Z674" s="821"/>
      <c r="AA674" s="821"/>
      <c r="AB674" s="821"/>
      <c r="AC674" s="821"/>
      <c r="AD674" s="821"/>
    </row>
    <row r="675" spans="16:30" x14ac:dyDescent="0.3">
      <c r="P675" s="821"/>
      <c r="Q675" s="821"/>
      <c r="R675" s="821"/>
      <c r="S675" s="821"/>
      <c r="T675" s="821"/>
      <c r="U675" s="821"/>
      <c r="V675" s="821"/>
      <c r="W675" s="821"/>
      <c r="X675" s="821"/>
      <c r="Y675" s="821"/>
      <c r="Z675" s="821"/>
      <c r="AA675" s="821"/>
      <c r="AB675" s="821"/>
      <c r="AC675" s="821"/>
      <c r="AD675" s="821"/>
    </row>
    <row r="676" spans="16:30" x14ac:dyDescent="0.3">
      <c r="P676" s="821"/>
      <c r="Q676" s="821"/>
      <c r="R676" s="821"/>
      <c r="S676" s="821"/>
      <c r="T676" s="821"/>
      <c r="U676" s="821"/>
      <c r="V676" s="821"/>
      <c r="W676" s="821"/>
      <c r="X676" s="821"/>
      <c r="Y676" s="821"/>
      <c r="Z676" s="821"/>
      <c r="AA676" s="821"/>
      <c r="AB676" s="821"/>
      <c r="AC676" s="821"/>
      <c r="AD676" s="821"/>
    </row>
    <row r="677" spans="16:30" x14ac:dyDescent="0.3">
      <c r="P677" s="821"/>
      <c r="Q677" s="821"/>
      <c r="R677" s="821"/>
      <c r="S677" s="821"/>
      <c r="T677" s="821"/>
      <c r="U677" s="821"/>
      <c r="V677" s="821"/>
      <c r="W677" s="821"/>
      <c r="X677" s="821"/>
      <c r="Y677" s="821"/>
      <c r="Z677" s="821"/>
      <c r="AA677" s="821"/>
      <c r="AB677" s="821"/>
      <c r="AC677" s="821"/>
      <c r="AD677" s="821"/>
    </row>
    <row r="678" spans="16:30" x14ac:dyDescent="0.3">
      <c r="P678" s="821"/>
      <c r="Q678" s="821"/>
      <c r="R678" s="821"/>
      <c r="S678" s="821"/>
      <c r="T678" s="821"/>
      <c r="U678" s="821"/>
      <c r="V678" s="821"/>
      <c r="W678" s="821"/>
      <c r="X678" s="821"/>
      <c r="Y678" s="821"/>
      <c r="Z678" s="821"/>
      <c r="AA678" s="821"/>
      <c r="AB678" s="821"/>
      <c r="AC678" s="821"/>
      <c r="AD678" s="821"/>
    </row>
    <row r="679" spans="16:30" x14ac:dyDescent="0.3">
      <c r="P679" s="821"/>
      <c r="Q679" s="821"/>
      <c r="R679" s="821"/>
      <c r="S679" s="821"/>
      <c r="T679" s="821"/>
      <c r="U679" s="821"/>
      <c r="V679" s="821"/>
      <c r="W679" s="821"/>
      <c r="X679" s="821"/>
      <c r="Y679" s="821"/>
      <c r="Z679" s="821"/>
      <c r="AA679" s="821"/>
      <c r="AB679" s="821"/>
      <c r="AC679" s="821"/>
      <c r="AD679" s="821"/>
    </row>
    <row r="680" spans="16:30" x14ac:dyDescent="0.3">
      <c r="P680" s="821"/>
      <c r="Q680" s="821"/>
      <c r="R680" s="821"/>
      <c r="S680" s="821"/>
      <c r="T680" s="821"/>
      <c r="U680" s="821"/>
      <c r="V680" s="821"/>
      <c r="W680" s="821"/>
      <c r="X680" s="821"/>
      <c r="Y680" s="821"/>
      <c r="Z680" s="821"/>
      <c r="AA680" s="821"/>
      <c r="AB680" s="821"/>
      <c r="AC680" s="821"/>
      <c r="AD680" s="821"/>
    </row>
    <row r="681" spans="16:30" x14ac:dyDescent="0.3">
      <c r="P681" s="821"/>
      <c r="Q681" s="821"/>
      <c r="R681" s="821"/>
      <c r="S681" s="821"/>
      <c r="T681" s="821"/>
      <c r="U681" s="821"/>
      <c r="V681" s="821"/>
      <c r="W681" s="821"/>
      <c r="X681" s="821"/>
      <c r="Y681" s="821"/>
      <c r="Z681" s="821"/>
      <c r="AA681" s="821"/>
      <c r="AB681" s="821"/>
      <c r="AC681" s="821"/>
      <c r="AD681" s="821"/>
    </row>
    <row r="682" spans="16:30" x14ac:dyDescent="0.3">
      <c r="P682" s="821"/>
      <c r="Q682" s="821"/>
      <c r="R682" s="821"/>
      <c r="S682" s="821"/>
      <c r="T682" s="821"/>
      <c r="U682" s="821"/>
      <c r="V682" s="821"/>
      <c r="W682" s="821"/>
      <c r="X682" s="821"/>
      <c r="Y682" s="821"/>
      <c r="Z682" s="821"/>
      <c r="AA682" s="821"/>
      <c r="AB682" s="821"/>
      <c r="AC682" s="821"/>
      <c r="AD682" s="821"/>
    </row>
    <row r="683" spans="16:30" x14ac:dyDescent="0.3">
      <c r="P683" s="821"/>
      <c r="Q683" s="821"/>
      <c r="R683" s="821"/>
      <c r="S683" s="821"/>
      <c r="T683" s="821"/>
      <c r="U683" s="821"/>
      <c r="V683" s="821"/>
      <c r="W683" s="821"/>
      <c r="X683" s="821"/>
      <c r="Y683" s="821"/>
      <c r="Z683" s="821"/>
      <c r="AA683" s="821"/>
      <c r="AB683" s="821"/>
      <c r="AC683" s="821"/>
      <c r="AD683" s="821"/>
    </row>
    <row r="684" spans="16:30" x14ac:dyDescent="0.3">
      <c r="P684" s="821"/>
      <c r="Q684" s="821"/>
      <c r="R684" s="821"/>
      <c r="S684" s="821"/>
      <c r="T684" s="821"/>
      <c r="U684" s="821"/>
      <c r="V684" s="821"/>
      <c r="W684" s="821"/>
      <c r="X684" s="821"/>
      <c r="Y684" s="821"/>
      <c r="Z684" s="821"/>
      <c r="AA684" s="821"/>
      <c r="AB684" s="821"/>
      <c r="AC684" s="821"/>
      <c r="AD684" s="821"/>
    </row>
    <row r="685" spans="16:30" x14ac:dyDescent="0.3">
      <c r="P685" s="821"/>
      <c r="Q685" s="821"/>
      <c r="R685" s="821"/>
      <c r="S685" s="821"/>
      <c r="T685" s="821"/>
      <c r="U685" s="821"/>
      <c r="V685" s="821"/>
      <c r="W685" s="821"/>
      <c r="X685" s="821"/>
      <c r="Y685" s="821"/>
      <c r="Z685" s="821"/>
      <c r="AA685" s="821"/>
      <c r="AB685" s="821"/>
      <c r="AC685" s="821"/>
      <c r="AD685" s="821"/>
    </row>
    <row r="686" spans="16:30" x14ac:dyDescent="0.3">
      <c r="P686" s="821"/>
      <c r="Q686" s="821"/>
      <c r="R686" s="821"/>
      <c r="S686" s="821"/>
      <c r="T686" s="821"/>
      <c r="U686" s="821"/>
      <c r="V686" s="821"/>
      <c r="W686" s="821"/>
      <c r="X686" s="821"/>
      <c r="Y686" s="821"/>
      <c r="Z686" s="821"/>
      <c r="AA686" s="821"/>
      <c r="AB686" s="821"/>
      <c r="AC686" s="821"/>
      <c r="AD686" s="821"/>
    </row>
    <row r="687" spans="16:30" x14ac:dyDescent="0.3">
      <c r="P687" s="821"/>
      <c r="Q687" s="821"/>
      <c r="R687" s="821"/>
      <c r="S687" s="821"/>
      <c r="T687" s="821"/>
      <c r="U687" s="821"/>
      <c r="V687" s="821"/>
      <c r="W687" s="821"/>
      <c r="X687" s="821"/>
      <c r="Y687" s="821"/>
      <c r="Z687" s="821"/>
      <c r="AA687" s="821"/>
      <c r="AB687" s="821"/>
      <c r="AC687" s="821"/>
      <c r="AD687" s="821"/>
    </row>
    <row r="688" spans="16:30" x14ac:dyDescent="0.3">
      <c r="P688" s="821"/>
      <c r="Q688" s="821"/>
      <c r="R688" s="821"/>
      <c r="S688" s="821"/>
      <c r="T688" s="821"/>
      <c r="U688" s="821"/>
      <c r="V688" s="821"/>
      <c r="W688" s="821"/>
      <c r="X688" s="821"/>
      <c r="Y688" s="821"/>
      <c r="Z688" s="821"/>
      <c r="AA688" s="821"/>
      <c r="AB688" s="821"/>
      <c r="AC688" s="821"/>
      <c r="AD688" s="821"/>
    </row>
    <row r="689" spans="16:30" x14ac:dyDescent="0.3">
      <c r="P689" s="821"/>
      <c r="Q689" s="821"/>
      <c r="R689" s="821"/>
      <c r="S689" s="821"/>
      <c r="T689" s="821"/>
      <c r="U689" s="821"/>
      <c r="V689" s="821"/>
      <c r="W689" s="821"/>
      <c r="X689" s="821"/>
      <c r="Y689" s="821"/>
      <c r="Z689" s="821"/>
      <c r="AA689" s="821"/>
      <c r="AB689" s="821"/>
      <c r="AC689" s="821"/>
      <c r="AD689" s="821"/>
    </row>
    <row r="690" spans="16:30" x14ac:dyDescent="0.3">
      <c r="P690" s="821"/>
      <c r="Q690" s="821"/>
      <c r="R690" s="821"/>
      <c r="S690" s="821"/>
      <c r="T690" s="821"/>
      <c r="U690" s="821"/>
      <c r="V690" s="821"/>
      <c r="W690" s="821"/>
      <c r="X690" s="821"/>
      <c r="Y690" s="821"/>
      <c r="Z690" s="821"/>
      <c r="AA690" s="821"/>
      <c r="AB690" s="821"/>
      <c r="AC690" s="821"/>
      <c r="AD690" s="821"/>
    </row>
    <row r="691" spans="16:30" x14ac:dyDescent="0.3">
      <c r="P691" s="821"/>
      <c r="Q691" s="821"/>
      <c r="R691" s="821"/>
      <c r="S691" s="821"/>
      <c r="T691" s="821"/>
      <c r="U691" s="821"/>
      <c r="V691" s="821"/>
      <c r="W691" s="821"/>
      <c r="X691" s="821"/>
      <c r="Y691" s="821"/>
      <c r="Z691" s="821"/>
      <c r="AA691" s="821"/>
      <c r="AB691" s="821"/>
      <c r="AC691" s="821"/>
      <c r="AD691" s="821"/>
    </row>
    <row r="692" spans="16:30" x14ac:dyDescent="0.3">
      <c r="P692" s="821"/>
      <c r="Q692" s="821"/>
      <c r="R692" s="821"/>
      <c r="S692" s="821"/>
      <c r="T692" s="821"/>
      <c r="U692" s="821"/>
      <c r="V692" s="821"/>
      <c r="W692" s="821"/>
      <c r="X692" s="821"/>
      <c r="Y692" s="821"/>
      <c r="Z692" s="821"/>
      <c r="AA692" s="821"/>
      <c r="AB692" s="821"/>
      <c r="AC692" s="821"/>
      <c r="AD692" s="821"/>
    </row>
    <row r="693" spans="16:30" x14ac:dyDescent="0.3">
      <c r="P693" s="821"/>
      <c r="Q693" s="821"/>
      <c r="R693" s="821"/>
      <c r="S693" s="821"/>
      <c r="T693" s="821"/>
      <c r="U693" s="821"/>
      <c r="V693" s="821"/>
      <c r="W693" s="821"/>
      <c r="X693" s="821"/>
      <c r="Y693" s="821"/>
      <c r="Z693" s="821"/>
      <c r="AA693" s="821"/>
      <c r="AB693" s="821"/>
      <c r="AC693" s="821"/>
      <c r="AD693" s="821"/>
    </row>
    <row r="694" spans="16:30" x14ac:dyDescent="0.3">
      <c r="P694" s="821"/>
      <c r="Q694" s="821"/>
      <c r="R694" s="821"/>
      <c r="S694" s="821"/>
      <c r="T694" s="821"/>
      <c r="U694" s="821"/>
      <c r="V694" s="821"/>
      <c r="W694" s="821"/>
      <c r="X694" s="821"/>
      <c r="Y694" s="821"/>
      <c r="Z694" s="821"/>
      <c r="AA694" s="821"/>
      <c r="AB694" s="821"/>
      <c r="AC694" s="821"/>
      <c r="AD694" s="821"/>
    </row>
    <row r="695" spans="16:30" x14ac:dyDescent="0.3">
      <c r="P695" s="821"/>
      <c r="Q695" s="821"/>
      <c r="R695" s="821"/>
      <c r="S695" s="821"/>
      <c r="T695" s="821"/>
      <c r="U695" s="821"/>
      <c r="V695" s="821"/>
      <c r="W695" s="821"/>
      <c r="X695" s="821"/>
      <c r="Y695" s="821"/>
      <c r="Z695" s="821"/>
      <c r="AA695" s="821"/>
      <c r="AB695" s="821"/>
      <c r="AC695" s="821"/>
      <c r="AD695" s="821"/>
    </row>
    <row r="696" spans="16:30" x14ac:dyDescent="0.3">
      <c r="P696" s="821"/>
      <c r="Q696" s="821"/>
      <c r="R696" s="821"/>
      <c r="S696" s="821"/>
      <c r="T696" s="821"/>
      <c r="U696" s="821"/>
      <c r="V696" s="821"/>
      <c r="W696" s="821"/>
      <c r="X696" s="821"/>
      <c r="Y696" s="821"/>
      <c r="Z696" s="821"/>
      <c r="AA696" s="821"/>
      <c r="AB696" s="821"/>
      <c r="AC696" s="821"/>
      <c r="AD696" s="821"/>
    </row>
    <row r="697" spans="16:30" x14ac:dyDescent="0.3">
      <c r="P697" s="821"/>
      <c r="Q697" s="821"/>
      <c r="R697" s="821"/>
      <c r="S697" s="821"/>
      <c r="T697" s="821"/>
      <c r="U697" s="821"/>
      <c r="V697" s="821"/>
      <c r="W697" s="821"/>
      <c r="X697" s="821"/>
      <c r="Y697" s="821"/>
      <c r="Z697" s="821"/>
      <c r="AA697" s="821"/>
      <c r="AB697" s="821"/>
      <c r="AC697" s="821"/>
      <c r="AD697" s="821"/>
    </row>
    <row r="698" spans="16:30" x14ac:dyDescent="0.3">
      <c r="P698" s="821"/>
      <c r="Q698" s="821"/>
      <c r="R698" s="821"/>
      <c r="S698" s="821"/>
      <c r="T698" s="821"/>
      <c r="U698" s="821"/>
      <c r="V698" s="821"/>
      <c r="W698" s="821"/>
      <c r="X698" s="821"/>
      <c r="Y698" s="821"/>
      <c r="Z698" s="821"/>
      <c r="AA698" s="821"/>
      <c r="AB698" s="821"/>
      <c r="AC698" s="821"/>
      <c r="AD698" s="821"/>
    </row>
    <row r="699" spans="16:30" x14ac:dyDescent="0.3">
      <c r="P699" s="821"/>
      <c r="Q699" s="821"/>
      <c r="R699" s="821"/>
      <c r="S699" s="821"/>
      <c r="T699" s="821"/>
      <c r="U699" s="821"/>
      <c r="V699" s="821"/>
      <c r="W699" s="821"/>
      <c r="X699" s="821"/>
      <c r="Y699" s="821"/>
      <c r="Z699" s="821"/>
      <c r="AA699" s="821"/>
      <c r="AB699" s="821"/>
      <c r="AC699" s="821"/>
      <c r="AD699" s="821"/>
    </row>
    <row r="700" spans="16:30" x14ac:dyDescent="0.3">
      <c r="P700" s="821"/>
      <c r="Q700" s="821"/>
      <c r="R700" s="821"/>
      <c r="S700" s="821"/>
      <c r="T700" s="821"/>
      <c r="U700" s="821"/>
      <c r="V700" s="821"/>
      <c r="W700" s="821"/>
      <c r="X700" s="821"/>
      <c r="Y700" s="821"/>
      <c r="Z700" s="821"/>
      <c r="AA700" s="821"/>
      <c r="AB700" s="821"/>
      <c r="AC700" s="821"/>
      <c r="AD700" s="821"/>
    </row>
    <row r="701" spans="16:30" x14ac:dyDescent="0.3">
      <c r="P701" s="821"/>
      <c r="Q701" s="821"/>
      <c r="R701" s="821"/>
      <c r="S701" s="821"/>
      <c r="T701" s="821"/>
      <c r="U701" s="821"/>
      <c r="V701" s="821"/>
      <c r="W701" s="821"/>
      <c r="X701" s="821"/>
      <c r="Y701" s="821"/>
      <c r="Z701" s="821"/>
      <c r="AA701" s="821"/>
      <c r="AB701" s="821"/>
      <c r="AC701" s="821"/>
      <c r="AD701" s="821"/>
    </row>
    <row r="702" spans="16:30" x14ac:dyDescent="0.3">
      <c r="P702" s="821"/>
      <c r="Q702" s="821"/>
      <c r="R702" s="821"/>
      <c r="S702" s="821"/>
      <c r="T702" s="821"/>
      <c r="U702" s="821"/>
      <c r="V702" s="821"/>
      <c r="W702" s="821"/>
      <c r="X702" s="821"/>
      <c r="Y702" s="821"/>
      <c r="Z702" s="821"/>
      <c r="AA702" s="821"/>
      <c r="AB702" s="821"/>
      <c r="AC702" s="821"/>
      <c r="AD702" s="821"/>
    </row>
    <row r="703" spans="16:30" x14ac:dyDescent="0.3">
      <c r="P703" s="821"/>
      <c r="Q703" s="821"/>
      <c r="R703" s="821"/>
      <c r="S703" s="821"/>
      <c r="T703" s="821"/>
      <c r="U703" s="821"/>
      <c r="V703" s="821"/>
      <c r="W703" s="821"/>
      <c r="X703" s="821"/>
      <c r="Y703" s="821"/>
      <c r="Z703" s="821"/>
      <c r="AA703" s="821"/>
      <c r="AB703" s="821"/>
      <c r="AC703" s="821"/>
      <c r="AD703" s="821"/>
    </row>
    <row r="704" spans="16:30" x14ac:dyDescent="0.3">
      <c r="P704" s="821"/>
      <c r="Q704" s="821"/>
      <c r="R704" s="821"/>
      <c r="S704" s="821"/>
      <c r="T704" s="821"/>
      <c r="U704" s="821"/>
      <c r="V704" s="821"/>
      <c r="W704" s="821"/>
      <c r="X704" s="821"/>
      <c r="Y704" s="821"/>
      <c r="Z704" s="821"/>
      <c r="AA704" s="821"/>
      <c r="AB704" s="821"/>
      <c r="AC704" s="821"/>
      <c r="AD704" s="821"/>
    </row>
    <row r="705" spans="16:30" x14ac:dyDescent="0.3">
      <c r="P705" s="821"/>
      <c r="Q705" s="821"/>
      <c r="R705" s="821"/>
      <c r="S705" s="821"/>
      <c r="T705" s="821"/>
      <c r="U705" s="821"/>
      <c r="V705" s="821"/>
      <c r="W705" s="821"/>
      <c r="X705" s="821"/>
      <c r="Y705" s="821"/>
      <c r="Z705" s="821"/>
      <c r="AA705" s="821"/>
      <c r="AB705" s="821"/>
      <c r="AC705" s="821"/>
      <c r="AD705" s="821"/>
    </row>
    <row r="706" spans="16:30" x14ac:dyDescent="0.3">
      <c r="P706" s="821"/>
      <c r="Q706" s="821"/>
      <c r="R706" s="821"/>
      <c r="S706" s="821"/>
      <c r="T706" s="821"/>
      <c r="U706" s="821"/>
      <c r="V706" s="821"/>
      <c r="W706" s="821"/>
      <c r="X706" s="821"/>
      <c r="Y706" s="821"/>
      <c r="Z706" s="821"/>
      <c r="AA706" s="821"/>
      <c r="AB706" s="821"/>
      <c r="AC706" s="821"/>
      <c r="AD706" s="821"/>
    </row>
    <row r="707" spans="16:30" x14ac:dyDescent="0.3">
      <c r="P707" s="821"/>
      <c r="Q707" s="821"/>
      <c r="R707" s="821"/>
      <c r="S707" s="821"/>
      <c r="T707" s="821"/>
      <c r="U707" s="821"/>
      <c r="V707" s="821"/>
      <c r="W707" s="821"/>
      <c r="X707" s="821"/>
      <c r="Y707" s="821"/>
      <c r="Z707" s="821"/>
      <c r="AA707" s="821"/>
      <c r="AB707" s="821"/>
      <c r="AC707" s="821"/>
      <c r="AD707" s="821"/>
    </row>
    <row r="708" spans="16:30" x14ac:dyDescent="0.3">
      <c r="P708" s="821"/>
      <c r="Q708" s="821"/>
      <c r="R708" s="821"/>
      <c r="S708" s="821"/>
      <c r="T708" s="821"/>
      <c r="U708" s="821"/>
      <c r="V708" s="821"/>
      <c r="W708" s="821"/>
      <c r="X708" s="821"/>
      <c r="Y708" s="821"/>
      <c r="Z708" s="821"/>
      <c r="AA708" s="821"/>
      <c r="AB708" s="821"/>
      <c r="AC708" s="821"/>
      <c r="AD708" s="821"/>
    </row>
    <row r="709" spans="16:30" x14ac:dyDescent="0.3">
      <c r="P709" s="821"/>
      <c r="Q709" s="821"/>
      <c r="R709" s="821"/>
      <c r="S709" s="821"/>
      <c r="T709" s="821"/>
      <c r="U709" s="821"/>
      <c r="V709" s="821"/>
      <c r="W709" s="821"/>
      <c r="X709" s="821"/>
      <c r="Y709" s="821"/>
      <c r="Z709" s="821"/>
      <c r="AA709" s="821"/>
      <c r="AB709" s="821"/>
      <c r="AC709" s="821"/>
      <c r="AD709" s="821"/>
    </row>
    <row r="710" spans="16:30" x14ac:dyDescent="0.3">
      <c r="P710" s="821"/>
      <c r="Q710" s="821"/>
      <c r="R710" s="821"/>
      <c r="S710" s="821"/>
      <c r="T710" s="821"/>
      <c r="U710" s="821"/>
      <c r="V710" s="821"/>
      <c r="W710" s="821"/>
      <c r="X710" s="821"/>
      <c r="Y710" s="821"/>
      <c r="Z710" s="821"/>
      <c r="AA710" s="821"/>
      <c r="AB710" s="821"/>
      <c r="AC710" s="821"/>
      <c r="AD710" s="821"/>
    </row>
    <row r="711" spans="16:30" x14ac:dyDescent="0.3">
      <c r="P711" s="821"/>
      <c r="Q711" s="821"/>
      <c r="R711" s="821"/>
      <c r="S711" s="821"/>
      <c r="T711" s="821"/>
      <c r="U711" s="821"/>
      <c r="V711" s="821"/>
      <c r="W711" s="821"/>
      <c r="X711" s="821"/>
      <c r="Y711" s="821"/>
      <c r="Z711" s="821"/>
      <c r="AA711" s="821"/>
      <c r="AB711" s="821"/>
      <c r="AC711" s="821"/>
      <c r="AD711" s="821"/>
    </row>
    <row r="712" spans="16:30" x14ac:dyDescent="0.3">
      <c r="P712" s="821"/>
      <c r="Q712" s="821"/>
      <c r="R712" s="821"/>
      <c r="S712" s="821"/>
      <c r="T712" s="821"/>
      <c r="U712" s="821"/>
      <c r="V712" s="821"/>
      <c r="W712" s="821"/>
      <c r="X712" s="821"/>
      <c r="Y712" s="821"/>
      <c r="Z712" s="821"/>
      <c r="AA712" s="821"/>
      <c r="AB712" s="821"/>
      <c r="AC712" s="821"/>
      <c r="AD712" s="821"/>
    </row>
    <row r="713" spans="16:30" x14ac:dyDescent="0.3">
      <c r="P713" s="821"/>
      <c r="Q713" s="821"/>
      <c r="R713" s="821"/>
      <c r="S713" s="821"/>
      <c r="T713" s="821"/>
      <c r="U713" s="821"/>
      <c r="V713" s="821"/>
      <c r="W713" s="821"/>
      <c r="X713" s="821"/>
      <c r="Y713" s="821"/>
      <c r="Z713" s="821"/>
      <c r="AA713" s="821"/>
      <c r="AB713" s="821"/>
      <c r="AC713" s="821"/>
      <c r="AD713" s="821"/>
    </row>
    <row r="714" spans="16:30" x14ac:dyDescent="0.3">
      <c r="P714" s="821"/>
      <c r="Q714" s="821"/>
      <c r="R714" s="821"/>
      <c r="S714" s="821"/>
      <c r="T714" s="821"/>
      <c r="U714" s="821"/>
      <c r="V714" s="821"/>
      <c r="W714" s="821"/>
      <c r="X714" s="821"/>
      <c r="Y714" s="821"/>
      <c r="Z714" s="821"/>
      <c r="AA714" s="821"/>
      <c r="AB714" s="821"/>
      <c r="AC714" s="821"/>
      <c r="AD714" s="821"/>
    </row>
    <row r="715" spans="16:30" x14ac:dyDescent="0.3">
      <c r="P715" s="821"/>
      <c r="Q715" s="821"/>
      <c r="R715" s="821"/>
      <c r="S715" s="821"/>
      <c r="T715" s="821"/>
      <c r="U715" s="821"/>
      <c r="V715" s="821"/>
      <c r="W715" s="821"/>
      <c r="X715" s="821"/>
      <c r="Y715" s="821"/>
      <c r="Z715" s="821"/>
      <c r="AA715" s="821"/>
      <c r="AB715" s="821"/>
      <c r="AC715" s="821"/>
      <c r="AD715" s="821"/>
    </row>
    <row r="716" spans="16:30" x14ac:dyDescent="0.3">
      <c r="P716" s="821"/>
      <c r="Q716" s="821"/>
      <c r="R716" s="821"/>
      <c r="S716" s="821"/>
      <c r="T716" s="821"/>
      <c r="U716" s="821"/>
      <c r="V716" s="821"/>
      <c r="W716" s="821"/>
      <c r="X716" s="821"/>
      <c r="Y716" s="821"/>
      <c r="Z716" s="821"/>
      <c r="AA716" s="821"/>
      <c r="AB716" s="821"/>
      <c r="AC716" s="821"/>
      <c r="AD716" s="821"/>
    </row>
    <row r="717" spans="16:30" x14ac:dyDescent="0.3">
      <c r="P717" s="821"/>
      <c r="Q717" s="821"/>
      <c r="R717" s="821"/>
      <c r="S717" s="821"/>
      <c r="T717" s="821"/>
      <c r="U717" s="821"/>
      <c r="V717" s="821"/>
      <c r="W717" s="821"/>
      <c r="X717" s="821"/>
      <c r="Y717" s="821"/>
      <c r="Z717" s="821"/>
      <c r="AA717" s="821"/>
      <c r="AB717" s="821"/>
      <c r="AC717" s="821"/>
      <c r="AD717" s="821"/>
    </row>
    <row r="718" spans="16:30" x14ac:dyDescent="0.3">
      <c r="P718" s="821"/>
      <c r="Q718" s="821"/>
      <c r="R718" s="821"/>
      <c r="S718" s="821"/>
      <c r="T718" s="821"/>
      <c r="U718" s="821"/>
      <c r="V718" s="821"/>
      <c r="W718" s="821"/>
      <c r="X718" s="821"/>
      <c r="Y718" s="821"/>
      <c r="Z718" s="821"/>
      <c r="AA718" s="821"/>
      <c r="AB718" s="821"/>
      <c r="AC718" s="821"/>
      <c r="AD718" s="821"/>
    </row>
    <row r="719" spans="16:30" x14ac:dyDescent="0.3">
      <c r="P719" s="821"/>
      <c r="Q719" s="821"/>
      <c r="R719" s="821"/>
      <c r="S719" s="821"/>
      <c r="T719" s="821"/>
      <c r="U719" s="821"/>
      <c r="V719" s="821"/>
      <c r="W719" s="821"/>
      <c r="X719" s="821"/>
      <c r="Y719" s="821"/>
      <c r="Z719" s="821"/>
      <c r="AA719" s="821"/>
      <c r="AB719" s="821"/>
      <c r="AC719" s="821"/>
      <c r="AD719" s="821"/>
    </row>
    <row r="720" spans="16:30" x14ac:dyDescent="0.3">
      <c r="P720" s="821"/>
      <c r="Q720" s="821"/>
      <c r="R720" s="821"/>
      <c r="S720" s="821"/>
      <c r="T720" s="821"/>
      <c r="U720" s="821"/>
      <c r="V720" s="821"/>
      <c r="W720" s="821"/>
      <c r="X720" s="821"/>
      <c r="Y720" s="821"/>
      <c r="Z720" s="821"/>
      <c r="AA720" s="821"/>
      <c r="AB720" s="821"/>
      <c r="AC720" s="821"/>
      <c r="AD720" s="821"/>
    </row>
    <row r="721" spans="16:30" x14ac:dyDescent="0.3">
      <c r="P721" s="821"/>
      <c r="Q721" s="821"/>
      <c r="R721" s="821"/>
      <c r="S721" s="821"/>
      <c r="T721" s="821"/>
      <c r="U721" s="821"/>
      <c r="V721" s="821"/>
      <c r="W721" s="821"/>
      <c r="X721" s="821"/>
      <c r="Y721" s="821"/>
      <c r="Z721" s="821"/>
      <c r="AA721" s="821"/>
      <c r="AB721" s="821"/>
      <c r="AC721" s="821"/>
      <c r="AD721" s="821"/>
    </row>
    <row r="722" spans="16:30" x14ac:dyDescent="0.3">
      <c r="P722" s="821"/>
      <c r="Q722" s="821"/>
      <c r="R722" s="821"/>
      <c r="S722" s="821"/>
      <c r="T722" s="821"/>
      <c r="U722" s="821"/>
      <c r="V722" s="821"/>
      <c r="W722" s="821"/>
      <c r="X722" s="821"/>
      <c r="Y722" s="821"/>
      <c r="Z722" s="821"/>
      <c r="AA722" s="821"/>
      <c r="AB722" s="821"/>
      <c r="AC722" s="821"/>
      <c r="AD722" s="821"/>
    </row>
    <row r="723" spans="16:30" x14ac:dyDescent="0.3">
      <c r="P723" s="821"/>
      <c r="Q723" s="821"/>
      <c r="R723" s="821"/>
      <c r="S723" s="821"/>
      <c r="T723" s="821"/>
      <c r="U723" s="821"/>
      <c r="V723" s="821"/>
      <c r="W723" s="821"/>
      <c r="X723" s="821"/>
      <c r="Y723" s="821"/>
      <c r="Z723" s="821"/>
      <c r="AA723" s="821"/>
      <c r="AB723" s="821"/>
      <c r="AC723" s="821"/>
      <c r="AD723" s="821"/>
    </row>
    <row r="724" spans="16:30" x14ac:dyDescent="0.3">
      <c r="P724" s="821"/>
      <c r="Q724" s="821"/>
      <c r="R724" s="821"/>
      <c r="S724" s="821"/>
      <c r="T724" s="821"/>
      <c r="U724" s="821"/>
      <c r="V724" s="821"/>
      <c r="W724" s="821"/>
      <c r="X724" s="821"/>
      <c r="Y724" s="821"/>
      <c r="Z724" s="821"/>
      <c r="AA724" s="821"/>
      <c r="AB724" s="821"/>
      <c r="AC724" s="821"/>
      <c r="AD724" s="821"/>
    </row>
    <row r="725" spans="16:30" x14ac:dyDescent="0.3">
      <c r="P725" s="821"/>
      <c r="Q725" s="821"/>
      <c r="R725" s="821"/>
      <c r="S725" s="821"/>
      <c r="T725" s="821"/>
      <c r="U725" s="821"/>
      <c r="V725" s="821"/>
      <c r="W725" s="821"/>
      <c r="X725" s="821"/>
      <c r="Y725" s="821"/>
      <c r="Z725" s="821"/>
      <c r="AA725" s="821"/>
      <c r="AB725" s="821"/>
      <c r="AC725" s="821"/>
      <c r="AD725" s="821"/>
    </row>
    <row r="726" spans="16:30" x14ac:dyDescent="0.3">
      <c r="P726" s="821"/>
      <c r="Q726" s="821"/>
      <c r="R726" s="821"/>
      <c r="S726" s="821"/>
      <c r="T726" s="821"/>
      <c r="U726" s="821"/>
      <c r="V726" s="821"/>
      <c r="W726" s="821"/>
      <c r="X726" s="821"/>
      <c r="Y726" s="821"/>
      <c r="Z726" s="821"/>
      <c r="AA726" s="821"/>
      <c r="AB726" s="821"/>
      <c r="AC726" s="821"/>
      <c r="AD726" s="821"/>
    </row>
    <row r="727" spans="16:30" x14ac:dyDescent="0.3">
      <c r="P727" s="821"/>
      <c r="Q727" s="821"/>
      <c r="R727" s="821"/>
      <c r="S727" s="821"/>
      <c r="T727" s="821"/>
      <c r="U727" s="821"/>
      <c r="V727" s="821"/>
      <c r="W727" s="821"/>
      <c r="X727" s="821"/>
      <c r="Y727" s="821"/>
      <c r="Z727" s="821"/>
      <c r="AA727" s="821"/>
      <c r="AB727" s="821"/>
      <c r="AC727" s="821"/>
      <c r="AD727" s="821"/>
    </row>
    <row r="728" spans="16:30" x14ac:dyDescent="0.3">
      <c r="P728" s="821"/>
      <c r="Q728" s="821"/>
      <c r="R728" s="821"/>
      <c r="S728" s="821"/>
      <c r="T728" s="821"/>
      <c r="U728" s="821"/>
      <c r="V728" s="821"/>
      <c r="W728" s="821"/>
      <c r="X728" s="821"/>
      <c r="Y728" s="821"/>
      <c r="Z728" s="821"/>
      <c r="AA728" s="821"/>
      <c r="AB728" s="821"/>
      <c r="AC728" s="821"/>
      <c r="AD728" s="821"/>
    </row>
    <row r="729" spans="16:30" x14ac:dyDescent="0.3">
      <c r="P729" s="821"/>
      <c r="Q729" s="821"/>
      <c r="R729" s="821"/>
      <c r="S729" s="821"/>
      <c r="T729" s="821"/>
      <c r="U729" s="821"/>
      <c r="V729" s="821"/>
      <c r="W729" s="821"/>
      <c r="X729" s="821"/>
      <c r="Y729" s="821"/>
      <c r="Z729" s="821"/>
      <c r="AA729" s="821"/>
      <c r="AB729" s="821"/>
      <c r="AC729" s="821"/>
      <c r="AD729" s="821"/>
    </row>
    <row r="730" spans="16:30" x14ac:dyDescent="0.3">
      <c r="P730" s="821"/>
      <c r="Q730" s="821"/>
      <c r="R730" s="821"/>
      <c r="S730" s="821"/>
      <c r="T730" s="821"/>
      <c r="U730" s="821"/>
      <c r="V730" s="821"/>
      <c r="W730" s="821"/>
      <c r="X730" s="821"/>
      <c r="Y730" s="821"/>
      <c r="Z730" s="821"/>
      <c r="AA730" s="821"/>
      <c r="AB730" s="821"/>
      <c r="AC730" s="821"/>
      <c r="AD730" s="821"/>
    </row>
    <row r="731" spans="16:30" x14ac:dyDescent="0.3">
      <c r="P731" s="821"/>
      <c r="Q731" s="821"/>
      <c r="R731" s="821"/>
      <c r="S731" s="821"/>
      <c r="T731" s="821"/>
      <c r="U731" s="821"/>
      <c r="V731" s="821"/>
      <c r="W731" s="821"/>
      <c r="X731" s="821"/>
      <c r="Y731" s="821"/>
      <c r="Z731" s="821"/>
      <c r="AA731" s="821"/>
      <c r="AB731" s="821"/>
      <c r="AC731" s="821"/>
      <c r="AD731" s="821"/>
    </row>
    <row r="732" spans="16:30" x14ac:dyDescent="0.3">
      <c r="P732" s="821"/>
      <c r="Q732" s="821"/>
      <c r="R732" s="821"/>
      <c r="S732" s="821"/>
      <c r="T732" s="821"/>
      <c r="U732" s="821"/>
      <c r="V732" s="821"/>
      <c r="W732" s="821"/>
      <c r="X732" s="821"/>
      <c r="Y732" s="821"/>
      <c r="Z732" s="821"/>
      <c r="AA732" s="821"/>
      <c r="AB732" s="821"/>
      <c r="AC732" s="821"/>
      <c r="AD732" s="821"/>
    </row>
    <row r="733" spans="16:30" x14ac:dyDescent="0.3">
      <c r="P733" s="821"/>
      <c r="Q733" s="821"/>
      <c r="R733" s="821"/>
      <c r="S733" s="821"/>
      <c r="T733" s="821"/>
      <c r="U733" s="821"/>
      <c r="V733" s="821"/>
      <c r="W733" s="821"/>
      <c r="X733" s="821"/>
      <c r="Y733" s="821"/>
      <c r="Z733" s="821"/>
      <c r="AA733" s="821"/>
      <c r="AB733" s="821"/>
      <c r="AC733" s="821"/>
      <c r="AD733" s="821"/>
    </row>
    <row r="734" spans="16:30" x14ac:dyDescent="0.3">
      <c r="P734" s="821"/>
      <c r="Q734" s="821"/>
      <c r="R734" s="821"/>
      <c r="S734" s="821"/>
      <c r="T734" s="821"/>
      <c r="U734" s="821"/>
      <c r="V734" s="821"/>
      <c r="W734" s="821"/>
      <c r="X734" s="821"/>
      <c r="Y734" s="821"/>
      <c r="Z734" s="821"/>
      <c r="AA734" s="821"/>
      <c r="AB734" s="821"/>
      <c r="AC734" s="821"/>
      <c r="AD734" s="821"/>
    </row>
    <row r="735" spans="16:30" x14ac:dyDescent="0.3">
      <c r="P735" s="821"/>
      <c r="Q735" s="821"/>
      <c r="R735" s="821"/>
      <c r="S735" s="821"/>
      <c r="T735" s="821"/>
      <c r="U735" s="821"/>
      <c r="V735" s="821"/>
      <c r="W735" s="821"/>
      <c r="X735" s="821"/>
      <c r="Y735" s="821"/>
      <c r="Z735" s="821"/>
      <c r="AA735" s="821"/>
      <c r="AB735" s="821"/>
      <c r="AC735" s="821"/>
      <c r="AD735" s="821"/>
    </row>
    <row r="736" spans="16:30" x14ac:dyDescent="0.3">
      <c r="P736" s="821"/>
      <c r="Q736" s="821"/>
      <c r="R736" s="821"/>
      <c r="S736" s="821"/>
      <c r="T736" s="821"/>
      <c r="U736" s="821"/>
      <c r="V736" s="821"/>
      <c r="W736" s="821"/>
      <c r="X736" s="821"/>
      <c r="Y736" s="821"/>
      <c r="Z736" s="821"/>
      <c r="AA736" s="821"/>
      <c r="AB736" s="821"/>
      <c r="AC736" s="821"/>
      <c r="AD736" s="821"/>
    </row>
    <row r="737" spans="16:30" x14ac:dyDescent="0.3">
      <c r="P737" s="821"/>
      <c r="Q737" s="821"/>
      <c r="R737" s="821"/>
      <c r="S737" s="821"/>
      <c r="T737" s="821"/>
      <c r="U737" s="821"/>
      <c r="V737" s="821"/>
      <c r="W737" s="821"/>
      <c r="X737" s="821"/>
      <c r="Y737" s="821"/>
      <c r="Z737" s="821"/>
      <c r="AA737" s="821"/>
      <c r="AB737" s="821"/>
      <c r="AC737" s="821"/>
      <c r="AD737" s="821"/>
    </row>
    <row r="738" spans="16:30" x14ac:dyDescent="0.3">
      <c r="P738" s="821"/>
      <c r="Q738" s="821"/>
      <c r="R738" s="821"/>
      <c r="S738" s="821"/>
      <c r="T738" s="821"/>
      <c r="U738" s="821"/>
      <c r="V738" s="821"/>
      <c r="W738" s="821"/>
      <c r="X738" s="821"/>
      <c r="Y738" s="821"/>
      <c r="Z738" s="821"/>
      <c r="AA738" s="821"/>
      <c r="AB738" s="821"/>
      <c r="AC738" s="821"/>
      <c r="AD738" s="821"/>
    </row>
    <row r="739" spans="16:30" x14ac:dyDescent="0.3">
      <c r="P739" s="821"/>
      <c r="Q739" s="821"/>
      <c r="R739" s="821"/>
      <c r="S739" s="821"/>
      <c r="T739" s="821"/>
      <c r="U739" s="821"/>
      <c r="V739" s="821"/>
      <c r="W739" s="821"/>
      <c r="X739" s="821"/>
      <c r="Y739" s="821"/>
      <c r="Z739" s="821"/>
      <c r="AA739" s="821"/>
      <c r="AB739" s="821"/>
      <c r="AC739" s="821"/>
      <c r="AD739" s="821"/>
    </row>
    <row r="740" spans="16:30" x14ac:dyDescent="0.3">
      <c r="P740" s="821"/>
      <c r="Q740" s="821"/>
      <c r="R740" s="821"/>
      <c r="S740" s="821"/>
      <c r="T740" s="821"/>
      <c r="U740" s="821"/>
      <c r="V740" s="821"/>
      <c r="W740" s="821"/>
      <c r="X740" s="821"/>
      <c r="Y740" s="821"/>
      <c r="Z740" s="821"/>
      <c r="AA740" s="821"/>
      <c r="AB740" s="821"/>
      <c r="AC740" s="821"/>
      <c r="AD740" s="821"/>
    </row>
    <row r="741" spans="16:30" x14ac:dyDescent="0.3">
      <c r="P741" s="821"/>
      <c r="Q741" s="821"/>
      <c r="R741" s="821"/>
      <c r="S741" s="821"/>
      <c r="T741" s="821"/>
      <c r="U741" s="821"/>
      <c r="V741" s="821"/>
      <c r="W741" s="821"/>
      <c r="X741" s="821"/>
      <c r="Y741" s="821"/>
      <c r="Z741" s="821"/>
      <c r="AA741" s="821"/>
      <c r="AB741" s="821"/>
      <c r="AC741" s="821"/>
      <c r="AD741" s="821"/>
    </row>
    <row r="742" spans="16:30" x14ac:dyDescent="0.3">
      <c r="P742" s="821"/>
      <c r="Q742" s="821"/>
      <c r="R742" s="821"/>
      <c r="S742" s="821"/>
      <c r="T742" s="821"/>
      <c r="U742" s="821"/>
      <c r="V742" s="821"/>
      <c r="W742" s="821"/>
      <c r="X742" s="821"/>
      <c r="Y742" s="821"/>
      <c r="Z742" s="821"/>
      <c r="AA742" s="821"/>
      <c r="AB742" s="821"/>
      <c r="AC742" s="821"/>
      <c r="AD742" s="821"/>
    </row>
    <row r="743" spans="16:30" x14ac:dyDescent="0.3">
      <c r="P743" s="821"/>
      <c r="Q743" s="821"/>
      <c r="R743" s="821"/>
      <c r="S743" s="821"/>
      <c r="T743" s="821"/>
      <c r="U743" s="821"/>
      <c r="V743" s="821"/>
      <c r="W743" s="821"/>
      <c r="X743" s="821"/>
      <c r="Y743" s="821"/>
      <c r="Z743" s="821"/>
      <c r="AA743" s="821"/>
      <c r="AB743" s="821"/>
      <c r="AC743" s="821"/>
      <c r="AD743" s="821"/>
    </row>
    <row r="744" spans="16:30" x14ac:dyDescent="0.3">
      <c r="P744" s="821"/>
      <c r="Q744" s="821"/>
      <c r="R744" s="821"/>
      <c r="S744" s="821"/>
      <c r="T744" s="821"/>
      <c r="U744" s="821"/>
      <c r="V744" s="821"/>
      <c r="W744" s="821"/>
      <c r="X744" s="821"/>
      <c r="Y744" s="821"/>
      <c r="Z744" s="821"/>
      <c r="AA744" s="821"/>
      <c r="AB744" s="821"/>
      <c r="AC744" s="821"/>
      <c r="AD744" s="821"/>
    </row>
    <row r="745" spans="16:30" x14ac:dyDescent="0.3">
      <c r="P745" s="821"/>
      <c r="Q745" s="821"/>
      <c r="R745" s="821"/>
      <c r="S745" s="821"/>
      <c r="T745" s="821"/>
      <c r="U745" s="821"/>
      <c r="V745" s="821"/>
      <c r="W745" s="821"/>
      <c r="X745" s="821"/>
      <c r="Y745" s="821"/>
      <c r="Z745" s="821"/>
      <c r="AA745" s="821"/>
      <c r="AB745" s="821"/>
      <c r="AC745" s="821"/>
      <c r="AD745" s="821"/>
    </row>
    <row r="746" spans="16:30" x14ac:dyDescent="0.3">
      <c r="P746" s="821"/>
      <c r="Q746" s="821"/>
      <c r="R746" s="821"/>
      <c r="S746" s="821"/>
      <c r="T746" s="821"/>
      <c r="U746" s="821"/>
      <c r="V746" s="821"/>
      <c r="W746" s="821"/>
      <c r="X746" s="821"/>
      <c r="Y746" s="821"/>
      <c r="Z746" s="821"/>
      <c r="AA746" s="821"/>
      <c r="AB746" s="821"/>
      <c r="AC746" s="821"/>
      <c r="AD746" s="821"/>
    </row>
    <row r="747" spans="16:30" x14ac:dyDescent="0.3">
      <c r="P747" s="821"/>
      <c r="Q747" s="821"/>
      <c r="R747" s="821"/>
      <c r="S747" s="821"/>
      <c r="T747" s="821"/>
      <c r="U747" s="821"/>
      <c r="V747" s="821"/>
      <c r="W747" s="821"/>
      <c r="X747" s="821"/>
      <c r="Y747" s="821"/>
      <c r="Z747" s="821"/>
      <c r="AA747" s="821"/>
      <c r="AB747" s="821"/>
      <c r="AC747" s="821"/>
      <c r="AD747" s="821"/>
    </row>
    <row r="748" spans="16:30" x14ac:dyDescent="0.3">
      <c r="P748" s="821"/>
      <c r="Q748" s="821"/>
      <c r="R748" s="821"/>
      <c r="S748" s="821"/>
      <c r="T748" s="821"/>
      <c r="U748" s="821"/>
      <c r="V748" s="821"/>
      <c r="W748" s="821"/>
      <c r="X748" s="821"/>
      <c r="Y748" s="821"/>
      <c r="Z748" s="821"/>
      <c r="AA748" s="821"/>
      <c r="AB748" s="821"/>
      <c r="AC748" s="821"/>
      <c r="AD748" s="821"/>
    </row>
    <row r="749" spans="16:30" x14ac:dyDescent="0.3">
      <c r="P749" s="821"/>
      <c r="Q749" s="821"/>
      <c r="R749" s="821"/>
      <c r="S749" s="821"/>
      <c r="T749" s="821"/>
      <c r="U749" s="821"/>
      <c r="V749" s="821"/>
      <c r="W749" s="821"/>
      <c r="X749" s="821"/>
      <c r="Y749" s="821"/>
      <c r="Z749" s="821"/>
      <c r="AA749" s="821"/>
      <c r="AB749" s="821"/>
      <c r="AC749" s="821"/>
      <c r="AD749" s="821"/>
    </row>
    <row r="750" spans="16:30" x14ac:dyDescent="0.3">
      <c r="P750" s="821"/>
      <c r="Q750" s="821"/>
      <c r="R750" s="821"/>
      <c r="S750" s="821"/>
      <c r="T750" s="821"/>
      <c r="U750" s="821"/>
      <c r="V750" s="821"/>
      <c r="W750" s="821"/>
      <c r="X750" s="821"/>
      <c r="Y750" s="821"/>
      <c r="Z750" s="821"/>
      <c r="AA750" s="821"/>
      <c r="AB750" s="821"/>
      <c r="AC750" s="821"/>
      <c r="AD750" s="821"/>
    </row>
    <row r="751" spans="16:30" x14ac:dyDescent="0.3">
      <c r="P751" s="821"/>
      <c r="Q751" s="821"/>
      <c r="R751" s="821"/>
      <c r="S751" s="821"/>
      <c r="T751" s="821"/>
      <c r="U751" s="821"/>
      <c r="V751" s="821"/>
      <c r="W751" s="821"/>
      <c r="X751" s="821"/>
      <c r="Y751" s="821"/>
      <c r="Z751" s="821"/>
      <c r="AA751" s="821"/>
      <c r="AB751" s="821"/>
      <c r="AC751" s="821"/>
      <c r="AD751" s="821"/>
    </row>
    <row r="752" spans="16:30" x14ac:dyDescent="0.3">
      <c r="P752" s="821"/>
      <c r="Q752" s="821"/>
      <c r="R752" s="821"/>
      <c r="S752" s="821"/>
      <c r="T752" s="821"/>
      <c r="U752" s="821"/>
      <c r="V752" s="821"/>
      <c r="W752" s="821"/>
      <c r="X752" s="821"/>
      <c r="Y752" s="821"/>
      <c r="Z752" s="821"/>
      <c r="AA752" s="821"/>
      <c r="AB752" s="821"/>
      <c r="AC752" s="821"/>
      <c r="AD752" s="821"/>
    </row>
    <row r="753" spans="16:30" x14ac:dyDescent="0.3">
      <c r="P753" s="821"/>
      <c r="Q753" s="821"/>
      <c r="R753" s="821"/>
      <c r="S753" s="821"/>
      <c r="T753" s="821"/>
      <c r="U753" s="821"/>
      <c r="V753" s="821"/>
      <c r="W753" s="821"/>
      <c r="X753" s="821"/>
      <c r="Y753" s="821"/>
      <c r="Z753" s="821"/>
      <c r="AA753" s="821"/>
      <c r="AB753" s="821"/>
      <c r="AC753" s="821"/>
      <c r="AD753" s="821"/>
    </row>
    <row r="754" spans="16:30" x14ac:dyDescent="0.3">
      <c r="P754" s="821"/>
      <c r="Q754" s="821"/>
      <c r="R754" s="821"/>
      <c r="S754" s="821"/>
      <c r="T754" s="821"/>
      <c r="U754" s="821"/>
      <c r="V754" s="821"/>
      <c r="W754" s="821"/>
      <c r="X754" s="821"/>
      <c r="Y754" s="821"/>
      <c r="Z754" s="821"/>
      <c r="AA754" s="821"/>
      <c r="AB754" s="821"/>
      <c r="AC754" s="821"/>
      <c r="AD754" s="821"/>
    </row>
    <row r="755" spans="16:30" x14ac:dyDescent="0.3">
      <c r="P755" s="821"/>
      <c r="Q755" s="821"/>
      <c r="R755" s="821"/>
      <c r="S755" s="821"/>
      <c r="T755" s="821"/>
      <c r="U755" s="821"/>
      <c r="V755" s="821"/>
      <c r="W755" s="821"/>
      <c r="X755" s="821"/>
      <c r="Y755" s="821"/>
      <c r="Z755" s="821"/>
      <c r="AA755" s="821"/>
      <c r="AB755" s="821"/>
      <c r="AC755" s="821"/>
      <c r="AD755" s="821"/>
    </row>
    <row r="756" spans="16:30" x14ac:dyDescent="0.3">
      <c r="P756" s="821"/>
      <c r="Q756" s="821"/>
      <c r="R756" s="821"/>
      <c r="S756" s="821"/>
      <c r="T756" s="821"/>
      <c r="U756" s="821"/>
      <c r="V756" s="821"/>
      <c r="W756" s="821"/>
      <c r="X756" s="821"/>
      <c r="Y756" s="821"/>
      <c r="Z756" s="821"/>
      <c r="AA756" s="821"/>
      <c r="AB756" s="821"/>
      <c r="AC756" s="821"/>
      <c r="AD756" s="821"/>
    </row>
    <row r="757" spans="16:30" x14ac:dyDescent="0.3">
      <c r="P757" s="821"/>
      <c r="Q757" s="821"/>
      <c r="R757" s="821"/>
      <c r="S757" s="821"/>
      <c r="T757" s="821"/>
      <c r="U757" s="821"/>
      <c r="V757" s="821"/>
      <c r="W757" s="821"/>
      <c r="X757" s="821"/>
      <c r="Y757" s="821"/>
      <c r="Z757" s="821"/>
      <c r="AA757" s="821"/>
      <c r="AB757" s="821"/>
      <c r="AC757" s="821"/>
      <c r="AD757" s="821"/>
    </row>
    <row r="758" spans="16:30" x14ac:dyDescent="0.3">
      <c r="P758" s="821"/>
      <c r="Q758" s="821"/>
      <c r="R758" s="821"/>
      <c r="S758" s="821"/>
      <c r="T758" s="821"/>
      <c r="U758" s="821"/>
      <c r="V758" s="821"/>
      <c r="W758" s="821"/>
      <c r="X758" s="821"/>
      <c r="Y758" s="821"/>
      <c r="Z758" s="821"/>
      <c r="AA758" s="821"/>
      <c r="AB758" s="821"/>
      <c r="AC758" s="821"/>
      <c r="AD758" s="821"/>
    </row>
    <row r="759" spans="16:30" x14ac:dyDescent="0.3">
      <c r="P759" s="821"/>
      <c r="Q759" s="821"/>
      <c r="R759" s="821"/>
      <c r="S759" s="821"/>
      <c r="T759" s="821"/>
      <c r="U759" s="821"/>
      <c r="V759" s="821"/>
      <c r="W759" s="821"/>
      <c r="X759" s="821"/>
      <c r="Y759" s="821"/>
      <c r="Z759" s="821"/>
      <c r="AA759" s="821"/>
      <c r="AB759" s="821"/>
      <c r="AC759" s="821"/>
      <c r="AD759" s="821"/>
    </row>
    <row r="760" spans="16:30" x14ac:dyDescent="0.3">
      <c r="P760" s="821"/>
      <c r="Q760" s="821"/>
      <c r="R760" s="821"/>
      <c r="S760" s="821"/>
      <c r="T760" s="821"/>
      <c r="U760" s="821"/>
      <c r="V760" s="821"/>
      <c r="W760" s="821"/>
      <c r="X760" s="821"/>
      <c r="Y760" s="821"/>
      <c r="Z760" s="821"/>
      <c r="AA760" s="821"/>
      <c r="AB760" s="821"/>
      <c r="AC760" s="821"/>
      <c r="AD760" s="821"/>
    </row>
    <row r="761" spans="16:30" x14ac:dyDescent="0.3">
      <c r="P761" s="821"/>
      <c r="Q761" s="821"/>
      <c r="R761" s="821"/>
      <c r="S761" s="821"/>
      <c r="T761" s="821"/>
      <c r="U761" s="821"/>
      <c r="V761" s="821"/>
      <c r="W761" s="821"/>
      <c r="X761" s="821"/>
      <c r="Y761" s="821"/>
      <c r="Z761" s="821"/>
      <c r="AA761" s="821"/>
      <c r="AB761" s="821"/>
      <c r="AC761" s="821"/>
      <c r="AD761" s="821"/>
    </row>
    <row r="762" spans="16:30" x14ac:dyDescent="0.3">
      <c r="P762" s="821"/>
      <c r="Q762" s="821"/>
      <c r="R762" s="821"/>
      <c r="S762" s="821"/>
      <c r="T762" s="821"/>
      <c r="U762" s="821"/>
      <c r="V762" s="821"/>
      <c r="W762" s="821"/>
      <c r="X762" s="821"/>
      <c r="Y762" s="821"/>
      <c r="Z762" s="821"/>
      <c r="AA762" s="821"/>
      <c r="AB762" s="821"/>
      <c r="AC762" s="821"/>
      <c r="AD762" s="821"/>
    </row>
    <row r="763" spans="16:30" x14ac:dyDescent="0.3">
      <c r="P763" s="821"/>
      <c r="Q763" s="821"/>
      <c r="R763" s="821"/>
      <c r="S763" s="821"/>
      <c r="T763" s="821"/>
      <c r="U763" s="821"/>
      <c r="V763" s="821"/>
      <c r="W763" s="821"/>
      <c r="X763" s="821"/>
      <c r="Y763" s="821"/>
      <c r="Z763" s="821"/>
      <c r="AA763" s="821"/>
      <c r="AB763" s="821"/>
      <c r="AC763" s="821"/>
      <c r="AD763" s="821"/>
    </row>
    <row r="764" spans="16:30" x14ac:dyDescent="0.3">
      <c r="P764" s="821"/>
      <c r="Q764" s="821"/>
      <c r="R764" s="821"/>
      <c r="S764" s="821"/>
      <c r="T764" s="821"/>
      <c r="U764" s="821"/>
      <c r="V764" s="821"/>
      <c r="W764" s="821"/>
      <c r="X764" s="821"/>
      <c r="Y764" s="821"/>
      <c r="Z764" s="821"/>
      <c r="AA764" s="821"/>
      <c r="AB764" s="821"/>
      <c r="AC764" s="821"/>
      <c r="AD764" s="821"/>
    </row>
    <row r="765" spans="16:30" x14ac:dyDescent="0.3">
      <c r="P765" s="821"/>
      <c r="Q765" s="821"/>
      <c r="R765" s="821"/>
      <c r="S765" s="821"/>
      <c r="T765" s="821"/>
      <c r="U765" s="821"/>
      <c r="V765" s="821"/>
      <c r="W765" s="821"/>
      <c r="X765" s="821"/>
      <c r="Y765" s="821"/>
      <c r="Z765" s="821"/>
      <c r="AA765" s="821"/>
      <c r="AB765" s="821"/>
      <c r="AC765" s="821"/>
      <c r="AD765" s="821"/>
    </row>
    <row r="766" spans="16:30" x14ac:dyDescent="0.3">
      <c r="P766" s="821"/>
      <c r="Q766" s="821"/>
      <c r="R766" s="821"/>
      <c r="S766" s="821"/>
      <c r="T766" s="821"/>
      <c r="U766" s="821"/>
      <c r="V766" s="821"/>
      <c r="W766" s="821"/>
      <c r="X766" s="821"/>
      <c r="Y766" s="821"/>
      <c r="Z766" s="821"/>
      <c r="AA766" s="821"/>
      <c r="AB766" s="821"/>
      <c r="AC766" s="821"/>
      <c r="AD766" s="821"/>
    </row>
    <row r="767" spans="16:30" x14ac:dyDescent="0.3">
      <c r="P767" s="821"/>
      <c r="Q767" s="821"/>
      <c r="R767" s="821"/>
      <c r="S767" s="821"/>
      <c r="T767" s="821"/>
      <c r="U767" s="821"/>
      <c r="V767" s="821"/>
      <c r="W767" s="821"/>
      <c r="X767" s="821"/>
      <c r="Y767" s="821"/>
      <c r="Z767" s="821"/>
      <c r="AA767" s="821"/>
      <c r="AB767" s="821"/>
      <c r="AC767" s="821"/>
      <c r="AD767" s="821"/>
    </row>
    <row r="768" spans="16:30" x14ac:dyDescent="0.3">
      <c r="P768" s="821"/>
      <c r="Q768" s="821"/>
      <c r="R768" s="821"/>
      <c r="S768" s="821"/>
      <c r="T768" s="821"/>
      <c r="U768" s="821"/>
      <c r="V768" s="821"/>
      <c r="W768" s="821"/>
      <c r="X768" s="821"/>
      <c r="Y768" s="821"/>
      <c r="Z768" s="821"/>
      <c r="AA768" s="821"/>
      <c r="AB768" s="821"/>
      <c r="AC768" s="821"/>
      <c r="AD768" s="821"/>
    </row>
    <row r="769" spans="16:30" x14ac:dyDescent="0.3">
      <c r="P769" s="821"/>
      <c r="Q769" s="821"/>
      <c r="R769" s="821"/>
      <c r="S769" s="821"/>
      <c r="T769" s="821"/>
      <c r="U769" s="821"/>
      <c r="V769" s="821"/>
      <c r="W769" s="821"/>
      <c r="X769" s="821"/>
      <c r="Y769" s="821"/>
      <c r="Z769" s="821"/>
      <c r="AA769" s="821"/>
      <c r="AB769" s="821"/>
      <c r="AC769" s="821"/>
      <c r="AD769" s="821"/>
    </row>
    <row r="770" spans="16:30" x14ac:dyDescent="0.3">
      <c r="P770" s="821"/>
      <c r="Q770" s="821"/>
      <c r="R770" s="821"/>
      <c r="S770" s="821"/>
      <c r="T770" s="821"/>
      <c r="U770" s="821"/>
      <c r="V770" s="821"/>
      <c r="W770" s="821"/>
      <c r="X770" s="821"/>
      <c r="Y770" s="821"/>
      <c r="Z770" s="821"/>
      <c r="AA770" s="821"/>
      <c r="AB770" s="821"/>
      <c r="AC770" s="821"/>
      <c r="AD770" s="821"/>
    </row>
    <row r="771" spans="16:30" x14ac:dyDescent="0.3">
      <c r="P771" s="821"/>
      <c r="Q771" s="821"/>
      <c r="R771" s="821"/>
      <c r="S771" s="821"/>
      <c r="T771" s="821"/>
      <c r="U771" s="821"/>
      <c r="V771" s="821"/>
      <c r="W771" s="821"/>
      <c r="X771" s="821"/>
      <c r="Y771" s="821"/>
      <c r="Z771" s="821"/>
      <c r="AA771" s="821"/>
      <c r="AB771" s="821"/>
      <c r="AC771" s="821"/>
      <c r="AD771" s="821"/>
    </row>
    <row r="772" spans="16:30" x14ac:dyDescent="0.3">
      <c r="P772" s="821"/>
      <c r="Q772" s="821"/>
      <c r="R772" s="821"/>
      <c r="S772" s="821"/>
      <c r="T772" s="821"/>
      <c r="U772" s="821"/>
      <c r="V772" s="821"/>
      <c r="W772" s="821"/>
      <c r="X772" s="821"/>
      <c r="Y772" s="821"/>
      <c r="Z772" s="821"/>
      <c r="AA772" s="821"/>
      <c r="AB772" s="821"/>
      <c r="AC772" s="821"/>
      <c r="AD772" s="821"/>
    </row>
    <row r="773" spans="16:30" x14ac:dyDescent="0.3">
      <c r="P773" s="821"/>
      <c r="Q773" s="821"/>
      <c r="R773" s="821"/>
      <c r="S773" s="821"/>
      <c r="T773" s="821"/>
      <c r="U773" s="821"/>
      <c r="V773" s="821"/>
      <c r="W773" s="821"/>
      <c r="X773" s="821"/>
      <c r="Y773" s="821"/>
      <c r="Z773" s="821"/>
      <c r="AA773" s="821"/>
      <c r="AB773" s="821"/>
      <c r="AC773" s="821"/>
      <c r="AD773" s="821"/>
    </row>
    <row r="774" spans="16:30" x14ac:dyDescent="0.3">
      <c r="P774" s="821"/>
      <c r="Q774" s="821"/>
      <c r="R774" s="821"/>
      <c r="S774" s="821"/>
      <c r="T774" s="821"/>
      <c r="U774" s="821"/>
      <c r="V774" s="821"/>
      <c r="W774" s="821"/>
      <c r="X774" s="821"/>
      <c r="Y774" s="821"/>
      <c r="Z774" s="821"/>
      <c r="AA774" s="821"/>
      <c r="AB774" s="821"/>
      <c r="AC774" s="821"/>
      <c r="AD774" s="821"/>
    </row>
    <row r="775" spans="16:30" x14ac:dyDescent="0.3">
      <c r="P775" s="821"/>
      <c r="Q775" s="821"/>
      <c r="R775" s="821"/>
      <c r="S775" s="821"/>
      <c r="T775" s="821"/>
      <c r="U775" s="821"/>
      <c r="V775" s="821"/>
      <c r="W775" s="821"/>
      <c r="X775" s="821"/>
      <c r="Y775" s="821"/>
      <c r="Z775" s="821"/>
      <c r="AA775" s="821"/>
      <c r="AB775" s="821"/>
      <c r="AC775" s="821"/>
      <c r="AD775" s="821"/>
    </row>
    <row r="776" spans="16:30" x14ac:dyDescent="0.3">
      <c r="P776" s="821"/>
      <c r="Q776" s="821"/>
      <c r="R776" s="821"/>
      <c r="S776" s="821"/>
      <c r="T776" s="821"/>
      <c r="U776" s="821"/>
      <c r="V776" s="821"/>
      <c r="W776" s="821"/>
      <c r="X776" s="821"/>
      <c r="Y776" s="821"/>
      <c r="Z776" s="821"/>
      <c r="AA776" s="821"/>
      <c r="AB776" s="821"/>
      <c r="AC776" s="821"/>
      <c r="AD776" s="821"/>
    </row>
    <row r="777" spans="16:30" x14ac:dyDescent="0.3">
      <c r="P777" s="821"/>
      <c r="Q777" s="821"/>
      <c r="R777" s="821"/>
      <c r="S777" s="821"/>
      <c r="T777" s="821"/>
      <c r="U777" s="821"/>
      <c r="V777" s="821"/>
      <c r="W777" s="821"/>
      <c r="X777" s="821"/>
      <c r="Y777" s="821"/>
      <c r="Z777" s="821"/>
      <c r="AA777" s="821"/>
      <c r="AB777" s="821"/>
      <c r="AC777" s="821"/>
      <c r="AD777" s="821"/>
    </row>
    <row r="778" spans="16:30" x14ac:dyDescent="0.3">
      <c r="P778" s="821"/>
      <c r="Q778" s="821"/>
      <c r="R778" s="821"/>
      <c r="S778" s="821"/>
      <c r="T778" s="821"/>
      <c r="U778" s="821"/>
      <c r="V778" s="821"/>
      <c r="W778" s="821"/>
      <c r="X778" s="821"/>
      <c r="Y778" s="821"/>
      <c r="Z778" s="821"/>
      <c r="AA778" s="821"/>
      <c r="AB778" s="821"/>
      <c r="AC778" s="821"/>
      <c r="AD778" s="821"/>
    </row>
    <row r="779" spans="16:30" x14ac:dyDescent="0.3">
      <c r="P779" s="821"/>
      <c r="Q779" s="821"/>
      <c r="R779" s="821"/>
      <c r="S779" s="821"/>
      <c r="T779" s="821"/>
      <c r="U779" s="821"/>
      <c r="V779" s="821"/>
      <c r="W779" s="821"/>
      <c r="X779" s="821"/>
      <c r="Y779" s="821"/>
      <c r="Z779" s="821"/>
      <c r="AA779" s="821"/>
      <c r="AB779" s="821"/>
      <c r="AC779" s="821"/>
      <c r="AD779" s="821"/>
    </row>
    <row r="780" spans="16:30" x14ac:dyDescent="0.3">
      <c r="P780" s="821"/>
      <c r="Q780" s="821"/>
      <c r="R780" s="821"/>
      <c r="S780" s="821"/>
      <c r="T780" s="821"/>
      <c r="U780" s="821"/>
      <c r="V780" s="821"/>
      <c r="W780" s="821"/>
      <c r="X780" s="821"/>
      <c r="Y780" s="821"/>
      <c r="Z780" s="821"/>
      <c r="AA780" s="821"/>
      <c r="AB780" s="821"/>
      <c r="AC780" s="821"/>
      <c r="AD780" s="821"/>
    </row>
    <row r="781" spans="16:30" x14ac:dyDescent="0.3">
      <c r="P781" s="821"/>
      <c r="Q781" s="821"/>
      <c r="R781" s="821"/>
      <c r="S781" s="821"/>
      <c r="T781" s="821"/>
      <c r="U781" s="821"/>
      <c r="V781" s="821"/>
      <c r="W781" s="821"/>
      <c r="X781" s="821"/>
      <c r="Y781" s="821"/>
      <c r="Z781" s="821"/>
      <c r="AA781" s="821"/>
      <c r="AB781" s="821"/>
      <c r="AC781" s="821"/>
      <c r="AD781" s="821"/>
    </row>
    <row r="782" spans="16:30" x14ac:dyDescent="0.3">
      <c r="P782" s="821"/>
      <c r="Q782" s="821"/>
      <c r="R782" s="821"/>
      <c r="S782" s="821"/>
      <c r="T782" s="821"/>
      <c r="U782" s="821"/>
      <c r="V782" s="821"/>
      <c r="W782" s="821"/>
      <c r="X782" s="821"/>
      <c r="Y782" s="821"/>
      <c r="Z782" s="821"/>
      <c r="AA782" s="821"/>
      <c r="AB782" s="821"/>
      <c r="AC782" s="821"/>
      <c r="AD782" s="821"/>
    </row>
    <row r="783" spans="16:30" x14ac:dyDescent="0.3">
      <c r="P783" s="821"/>
      <c r="Q783" s="821"/>
      <c r="R783" s="821"/>
      <c r="S783" s="821"/>
      <c r="T783" s="821"/>
      <c r="U783" s="821"/>
      <c r="V783" s="821"/>
      <c r="W783" s="821"/>
      <c r="X783" s="821"/>
      <c r="Y783" s="821"/>
      <c r="Z783" s="821"/>
      <c r="AA783" s="821"/>
      <c r="AB783" s="821"/>
      <c r="AC783" s="821"/>
      <c r="AD783" s="821"/>
    </row>
    <row r="784" spans="16:30" x14ac:dyDescent="0.3">
      <c r="P784" s="821"/>
      <c r="Q784" s="821"/>
      <c r="R784" s="821"/>
      <c r="S784" s="821"/>
      <c r="T784" s="821"/>
      <c r="U784" s="821"/>
      <c r="V784" s="821"/>
      <c r="W784" s="821"/>
      <c r="X784" s="821"/>
      <c r="Y784" s="821"/>
      <c r="Z784" s="821"/>
      <c r="AA784" s="821"/>
      <c r="AB784" s="821"/>
      <c r="AC784" s="821"/>
      <c r="AD784" s="821"/>
    </row>
    <row r="785" spans="16:30" x14ac:dyDescent="0.3">
      <c r="P785" s="821"/>
      <c r="Q785" s="821"/>
      <c r="R785" s="821"/>
      <c r="S785" s="821"/>
      <c r="T785" s="821"/>
      <c r="U785" s="821"/>
      <c r="V785" s="821"/>
      <c r="W785" s="821"/>
      <c r="X785" s="821"/>
      <c r="Y785" s="821"/>
      <c r="Z785" s="821"/>
      <c r="AA785" s="821"/>
      <c r="AB785" s="821"/>
      <c r="AC785" s="821"/>
      <c r="AD785" s="821"/>
    </row>
    <row r="786" spans="16:30" x14ac:dyDescent="0.3">
      <c r="P786" s="821"/>
      <c r="Q786" s="821"/>
      <c r="R786" s="821"/>
      <c r="S786" s="821"/>
      <c r="T786" s="821"/>
      <c r="U786" s="821"/>
      <c r="V786" s="821"/>
      <c r="W786" s="821"/>
      <c r="X786" s="821"/>
      <c r="Y786" s="821"/>
      <c r="Z786" s="821"/>
      <c r="AA786" s="821"/>
      <c r="AB786" s="821"/>
      <c r="AC786" s="821"/>
      <c r="AD786" s="821"/>
    </row>
    <row r="787" spans="16:30" x14ac:dyDescent="0.3">
      <c r="P787" s="821"/>
      <c r="Q787" s="821"/>
      <c r="R787" s="821"/>
      <c r="S787" s="821"/>
      <c r="T787" s="821"/>
      <c r="U787" s="821"/>
      <c r="V787" s="821"/>
      <c r="W787" s="821"/>
      <c r="X787" s="821"/>
      <c r="Y787" s="821"/>
      <c r="Z787" s="821"/>
      <c r="AA787" s="821"/>
      <c r="AB787" s="821"/>
      <c r="AC787" s="821"/>
      <c r="AD787" s="821"/>
    </row>
    <row r="788" spans="16:30" x14ac:dyDescent="0.3">
      <c r="P788" s="821"/>
      <c r="Q788" s="821"/>
      <c r="R788" s="821"/>
      <c r="S788" s="821"/>
      <c r="T788" s="821"/>
      <c r="U788" s="821"/>
      <c r="V788" s="821"/>
      <c r="W788" s="821"/>
      <c r="X788" s="821"/>
      <c r="Y788" s="821"/>
      <c r="Z788" s="821"/>
      <c r="AA788" s="821"/>
      <c r="AB788" s="821"/>
      <c r="AC788" s="821"/>
      <c r="AD788" s="821"/>
    </row>
    <row r="789" spans="16:30" x14ac:dyDescent="0.3">
      <c r="P789" s="821"/>
      <c r="Q789" s="821"/>
      <c r="R789" s="821"/>
      <c r="S789" s="821"/>
      <c r="T789" s="821"/>
      <c r="U789" s="821"/>
      <c r="V789" s="821"/>
      <c r="W789" s="821"/>
      <c r="X789" s="821"/>
      <c r="Y789" s="821"/>
      <c r="Z789" s="821"/>
      <c r="AA789" s="821"/>
      <c r="AB789" s="821"/>
      <c r="AC789" s="821"/>
      <c r="AD789" s="821"/>
    </row>
    <row r="790" spans="16:30" x14ac:dyDescent="0.3">
      <c r="P790" s="821"/>
      <c r="Q790" s="821"/>
      <c r="R790" s="821"/>
      <c r="S790" s="821"/>
      <c r="T790" s="821"/>
      <c r="U790" s="821"/>
      <c r="V790" s="821"/>
      <c r="W790" s="821"/>
      <c r="X790" s="821"/>
      <c r="Y790" s="821"/>
      <c r="Z790" s="821"/>
      <c r="AA790" s="821"/>
      <c r="AB790" s="821"/>
      <c r="AC790" s="821"/>
      <c r="AD790" s="821"/>
    </row>
    <row r="791" spans="16:30" x14ac:dyDescent="0.3">
      <c r="P791" s="821"/>
      <c r="Q791" s="821"/>
      <c r="R791" s="821"/>
      <c r="S791" s="821"/>
      <c r="T791" s="821"/>
      <c r="U791" s="821"/>
      <c r="V791" s="821"/>
      <c r="W791" s="821"/>
      <c r="X791" s="821"/>
      <c r="Y791" s="821"/>
      <c r="Z791" s="821"/>
      <c r="AA791" s="821"/>
      <c r="AB791" s="821"/>
      <c r="AC791" s="821"/>
      <c r="AD791" s="821"/>
    </row>
    <row r="792" spans="16:30" x14ac:dyDescent="0.3">
      <c r="P792" s="821"/>
      <c r="Q792" s="821"/>
      <c r="R792" s="821"/>
      <c r="S792" s="821"/>
      <c r="T792" s="821"/>
      <c r="U792" s="821"/>
      <c r="V792" s="821"/>
      <c r="W792" s="821"/>
      <c r="X792" s="821"/>
      <c r="Y792" s="821"/>
      <c r="Z792" s="821"/>
      <c r="AA792" s="821"/>
      <c r="AB792" s="821"/>
      <c r="AC792" s="821"/>
      <c r="AD792" s="821"/>
    </row>
    <row r="793" spans="16:30" x14ac:dyDescent="0.3">
      <c r="P793" s="821"/>
      <c r="Q793" s="821"/>
      <c r="R793" s="821"/>
      <c r="S793" s="821"/>
      <c r="T793" s="821"/>
      <c r="U793" s="821"/>
      <c r="V793" s="821"/>
      <c r="W793" s="821"/>
      <c r="X793" s="821"/>
      <c r="Y793" s="821"/>
      <c r="Z793" s="821"/>
      <c r="AA793" s="821"/>
      <c r="AB793" s="821"/>
      <c r="AC793" s="821"/>
      <c r="AD793" s="821"/>
    </row>
    <row r="794" spans="16:30" x14ac:dyDescent="0.3">
      <c r="P794" s="821"/>
      <c r="Q794" s="821"/>
      <c r="R794" s="821"/>
      <c r="S794" s="821"/>
      <c r="T794" s="821"/>
      <c r="U794" s="821"/>
      <c r="V794" s="821"/>
      <c r="W794" s="821"/>
      <c r="X794" s="821"/>
      <c r="Y794" s="821"/>
      <c r="Z794" s="821"/>
      <c r="AA794" s="821"/>
      <c r="AB794" s="821"/>
      <c r="AC794" s="821"/>
      <c r="AD794" s="821"/>
    </row>
    <row r="795" spans="16:30" x14ac:dyDescent="0.3">
      <c r="P795" s="821"/>
      <c r="Q795" s="821"/>
      <c r="R795" s="821"/>
      <c r="S795" s="821"/>
      <c r="T795" s="821"/>
      <c r="U795" s="821"/>
      <c r="V795" s="821"/>
      <c r="W795" s="821"/>
      <c r="X795" s="821"/>
      <c r="Y795" s="821"/>
      <c r="Z795" s="821"/>
      <c r="AA795" s="821"/>
      <c r="AB795" s="821"/>
      <c r="AC795" s="821"/>
      <c r="AD795" s="821"/>
    </row>
    <row r="796" spans="16:30" x14ac:dyDescent="0.3">
      <c r="P796" s="821"/>
      <c r="Q796" s="821"/>
      <c r="R796" s="821"/>
      <c r="S796" s="821"/>
      <c r="T796" s="821"/>
      <c r="U796" s="821"/>
      <c r="V796" s="821"/>
      <c r="W796" s="821"/>
      <c r="X796" s="821"/>
      <c r="Y796" s="821"/>
      <c r="Z796" s="821"/>
      <c r="AA796" s="821"/>
      <c r="AB796" s="821"/>
      <c r="AC796" s="821"/>
      <c r="AD796" s="821"/>
    </row>
    <row r="797" spans="16:30" x14ac:dyDescent="0.3">
      <c r="P797" s="821"/>
      <c r="Q797" s="821"/>
      <c r="R797" s="821"/>
      <c r="S797" s="821"/>
      <c r="T797" s="821"/>
      <c r="U797" s="821"/>
      <c r="V797" s="821"/>
      <c r="W797" s="821"/>
      <c r="X797" s="821"/>
      <c r="Y797" s="821"/>
      <c r="Z797" s="821"/>
      <c r="AA797" s="821"/>
      <c r="AB797" s="821"/>
      <c r="AC797" s="821"/>
      <c r="AD797" s="821"/>
    </row>
    <row r="798" spans="16:30" x14ac:dyDescent="0.3">
      <c r="P798" s="821"/>
      <c r="Q798" s="821"/>
      <c r="R798" s="821"/>
      <c r="S798" s="821"/>
      <c r="T798" s="821"/>
      <c r="U798" s="821"/>
      <c r="V798" s="821"/>
      <c r="W798" s="821"/>
      <c r="X798" s="821"/>
      <c r="Y798" s="821"/>
      <c r="Z798" s="821"/>
      <c r="AA798" s="821"/>
      <c r="AB798" s="821"/>
      <c r="AC798" s="821"/>
      <c r="AD798" s="821"/>
    </row>
    <row r="799" spans="16:30" x14ac:dyDescent="0.3">
      <c r="P799" s="821"/>
      <c r="Q799" s="821"/>
      <c r="R799" s="821"/>
      <c r="S799" s="821"/>
      <c r="T799" s="821"/>
      <c r="U799" s="821"/>
      <c r="V799" s="821"/>
      <c r="W799" s="821"/>
      <c r="X799" s="821"/>
      <c r="Y799" s="821"/>
      <c r="Z799" s="821"/>
      <c r="AA799" s="821"/>
      <c r="AB799" s="821"/>
      <c r="AC799" s="821"/>
      <c r="AD799" s="821"/>
    </row>
    <row r="800" spans="16:30" x14ac:dyDescent="0.3">
      <c r="P800" s="821"/>
      <c r="Q800" s="821"/>
      <c r="R800" s="821"/>
      <c r="S800" s="821"/>
      <c r="T800" s="821"/>
      <c r="U800" s="821"/>
      <c r="V800" s="821"/>
      <c r="W800" s="821"/>
      <c r="X800" s="821"/>
      <c r="Y800" s="821"/>
      <c r="Z800" s="821"/>
      <c r="AA800" s="821"/>
      <c r="AB800" s="821"/>
      <c r="AC800" s="821"/>
      <c r="AD800" s="821"/>
    </row>
    <row r="801" spans="16:30" x14ac:dyDescent="0.3">
      <c r="P801" s="821"/>
      <c r="Q801" s="821"/>
      <c r="R801" s="821"/>
      <c r="S801" s="821"/>
      <c r="T801" s="821"/>
      <c r="U801" s="821"/>
      <c r="V801" s="821"/>
      <c r="W801" s="821"/>
      <c r="X801" s="821"/>
      <c r="Y801" s="821"/>
      <c r="Z801" s="821"/>
      <c r="AA801" s="821"/>
      <c r="AB801" s="821"/>
      <c r="AC801" s="821"/>
      <c r="AD801" s="821"/>
    </row>
    <row r="802" spans="16:30" x14ac:dyDescent="0.3">
      <c r="P802" s="821"/>
      <c r="Q802" s="821"/>
      <c r="R802" s="821"/>
      <c r="S802" s="821"/>
      <c r="T802" s="821"/>
      <c r="U802" s="821"/>
      <c r="V802" s="821"/>
      <c r="W802" s="821"/>
      <c r="X802" s="821"/>
      <c r="Y802" s="821"/>
      <c r="Z802" s="821"/>
      <c r="AA802" s="821"/>
      <c r="AB802" s="821"/>
      <c r="AC802" s="821"/>
      <c r="AD802" s="821"/>
    </row>
    <row r="803" spans="16:30" x14ac:dyDescent="0.3">
      <c r="P803" s="821"/>
      <c r="Q803" s="821"/>
      <c r="R803" s="821"/>
      <c r="S803" s="821"/>
      <c r="T803" s="821"/>
      <c r="U803" s="821"/>
      <c r="V803" s="821"/>
      <c r="W803" s="821"/>
      <c r="X803" s="821"/>
      <c r="Y803" s="821"/>
      <c r="Z803" s="821"/>
      <c r="AA803" s="821"/>
      <c r="AB803" s="821"/>
      <c r="AC803" s="821"/>
      <c r="AD803" s="821"/>
    </row>
    <row r="804" spans="16:30" x14ac:dyDescent="0.3">
      <c r="P804" s="821"/>
      <c r="Q804" s="821"/>
      <c r="R804" s="821"/>
      <c r="S804" s="821"/>
      <c r="T804" s="821"/>
      <c r="U804" s="821"/>
      <c r="V804" s="821"/>
      <c r="W804" s="821"/>
      <c r="X804" s="821"/>
      <c r="Y804" s="821"/>
      <c r="Z804" s="821"/>
      <c r="AA804" s="821"/>
      <c r="AB804" s="821"/>
      <c r="AC804" s="821"/>
      <c r="AD804" s="821"/>
    </row>
    <row r="805" spans="16:30" x14ac:dyDescent="0.3">
      <c r="P805" s="821"/>
      <c r="Q805" s="821"/>
      <c r="R805" s="821"/>
      <c r="S805" s="821"/>
      <c r="T805" s="821"/>
      <c r="U805" s="821"/>
      <c r="V805" s="821"/>
      <c r="W805" s="821"/>
      <c r="X805" s="821"/>
      <c r="Y805" s="821"/>
      <c r="Z805" s="821"/>
      <c r="AA805" s="821"/>
      <c r="AB805" s="821"/>
      <c r="AC805" s="821"/>
      <c r="AD805" s="821"/>
    </row>
    <row r="806" spans="16:30" x14ac:dyDescent="0.3">
      <c r="P806" s="821"/>
      <c r="Q806" s="821"/>
      <c r="R806" s="821"/>
      <c r="S806" s="821"/>
      <c r="T806" s="821"/>
      <c r="U806" s="821"/>
      <c r="V806" s="821"/>
      <c r="W806" s="821"/>
      <c r="X806" s="821"/>
      <c r="Y806" s="821"/>
      <c r="Z806" s="821"/>
      <c r="AA806" s="821"/>
      <c r="AB806" s="821"/>
      <c r="AC806" s="821"/>
      <c r="AD806" s="821"/>
    </row>
    <row r="807" spans="16:30" x14ac:dyDescent="0.3">
      <c r="P807" s="821"/>
      <c r="Q807" s="821"/>
      <c r="R807" s="821"/>
      <c r="S807" s="821"/>
      <c r="T807" s="821"/>
      <c r="U807" s="821"/>
      <c r="V807" s="821"/>
      <c r="W807" s="821"/>
      <c r="X807" s="821"/>
      <c r="Y807" s="821"/>
      <c r="Z807" s="821"/>
      <c r="AA807" s="821"/>
      <c r="AB807" s="821"/>
      <c r="AC807" s="821"/>
      <c r="AD807" s="821"/>
    </row>
    <row r="808" spans="16:30" x14ac:dyDescent="0.3">
      <c r="P808" s="821"/>
      <c r="Q808" s="821"/>
      <c r="R808" s="821"/>
      <c r="S808" s="821"/>
      <c r="T808" s="821"/>
      <c r="U808" s="821"/>
      <c r="V808" s="821"/>
      <c r="W808" s="821"/>
      <c r="X808" s="821"/>
      <c r="Y808" s="821"/>
      <c r="Z808" s="821"/>
      <c r="AA808" s="821"/>
      <c r="AB808" s="821"/>
      <c r="AC808" s="821"/>
      <c r="AD808" s="821"/>
    </row>
    <row r="809" spans="16:30" x14ac:dyDescent="0.3">
      <c r="P809" s="821"/>
      <c r="Q809" s="821"/>
      <c r="R809" s="821"/>
      <c r="S809" s="821"/>
      <c r="T809" s="821"/>
      <c r="U809" s="821"/>
      <c r="V809" s="821"/>
      <c r="W809" s="821"/>
      <c r="X809" s="821"/>
      <c r="Y809" s="821"/>
      <c r="Z809" s="821"/>
      <c r="AA809" s="821"/>
      <c r="AB809" s="821"/>
      <c r="AC809" s="821"/>
      <c r="AD809" s="821"/>
    </row>
    <row r="810" spans="16:30" x14ac:dyDescent="0.3">
      <c r="P810" s="821"/>
      <c r="Q810" s="821"/>
      <c r="R810" s="821"/>
      <c r="S810" s="821"/>
      <c r="T810" s="821"/>
      <c r="U810" s="821"/>
      <c r="V810" s="821"/>
      <c r="W810" s="821"/>
      <c r="X810" s="821"/>
      <c r="Y810" s="821"/>
      <c r="Z810" s="821"/>
      <c r="AA810" s="821"/>
      <c r="AB810" s="821"/>
      <c r="AC810" s="821"/>
      <c r="AD810" s="821"/>
    </row>
    <row r="811" spans="16:30" x14ac:dyDescent="0.3">
      <c r="P811" s="821"/>
      <c r="Q811" s="821"/>
      <c r="R811" s="821"/>
      <c r="S811" s="821"/>
      <c r="T811" s="821"/>
      <c r="U811" s="821"/>
      <c r="V811" s="821"/>
      <c r="W811" s="821"/>
      <c r="X811" s="821"/>
      <c r="Y811" s="821"/>
      <c r="Z811" s="821"/>
      <c r="AA811" s="821"/>
      <c r="AB811" s="821"/>
      <c r="AC811" s="821"/>
      <c r="AD811" s="821"/>
    </row>
    <row r="812" spans="16:30" x14ac:dyDescent="0.3">
      <c r="P812" s="821"/>
      <c r="Q812" s="821"/>
      <c r="R812" s="821"/>
      <c r="S812" s="821"/>
      <c r="T812" s="821"/>
      <c r="U812" s="821"/>
      <c r="V812" s="821"/>
      <c r="W812" s="821"/>
      <c r="X812" s="821"/>
      <c r="Y812" s="821"/>
      <c r="Z812" s="821"/>
      <c r="AA812" s="821"/>
      <c r="AB812" s="821"/>
      <c r="AC812" s="821"/>
      <c r="AD812" s="821"/>
    </row>
    <row r="813" spans="16:30" x14ac:dyDescent="0.3">
      <c r="P813" s="821"/>
      <c r="Q813" s="821"/>
      <c r="R813" s="821"/>
      <c r="S813" s="821"/>
      <c r="T813" s="821"/>
      <c r="U813" s="821"/>
      <c r="V813" s="821"/>
      <c r="W813" s="821"/>
      <c r="X813" s="821"/>
      <c r="Y813" s="821"/>
      <c r="Z813" s="821"/>
      <c r="AA813" s="821"/>
      <c r="AB813" s="821"/>
      <c r="AC813" s="821"/>
      <c r="AD813" s="821"/>
    </row>
    <row r="814" spans="16:30" x14ac:dyDescent="0.3">
      <c r="P814" s="821"/>
      <c r="Q814" s="821"/>
      <c r="R814" s="821"/>
      <c r="S814" s="821"/>
      <c r="T814" s="821"/>
      <c r="U814" s="821"/>
      <c r="V814" s="821"/>
      <c r="W814" s="821"/>
      <c r="X814" s="821"/>
      <c r="Y814" s="821"/>
      <c r="Z814" s="821"/>
      <c r="AA814" s="821"/>
      <c r="AB814" s="821"/>
      <c r="AC814" s="821"/>
      <c r="AD814" s="821"/>
    </row>
    <row r="815" spans="16:30" x14ac:dyDescent="0.3">
      <c r="P815" s="821"/>
      <c r="Q815" s="821"/>
      <c r="R815" s="821"/>
      <c r="S815" s="821"/>
      <c r="T815" s="821"/>
      <c r="U815" s="821"/>
      <c r="V815" s="821"/>
      <c r="W815" s="821"/>
      <c r="X815" s="821"/>
      <c r="Y815" s="821"/>
      <c r="Z815" s="821"/>
      <c r="AA815" s="821"/>
      <c r="AB815" s="821"/>
      <c r="AC815" s="821"/>
      <c r="AD815" s="821"/>
    </row>
    <row r="816" spans="16:30" x14ac:dyDescent="0.3">
      <c r="P816" s="821"/>
      <c r="Q816" s="821"/>
      <c r="R816" s="821"/>
      <c r="S816" s="821"/>
      <c r="T816" s="821"/>
      <c r="U816" s="821"/>
      <c r="V816" s="821"/>
      <c r="W816" s="821"/>
      <c r="X816" s="821"/>
      <c r="Y816" s="821"/>
      <c r="Z816" s="821"/>
      <c r="AA816" s="821"/>
      <c r="AB816" s="821"/>
      <c r="AC816" s="821"/>
      <c r="AD816" s="821"/>
    </row>
    <row r="817" spans="16:30" x14ac:dyDescent="0.3">
      <c r="P817" s="821"/>
      <c r="Q817" s="821"/>
      <c r="R817" s="821"/>
      <c r="S817" s="821"/>
      <c r="T817" s="821"/>
      <c r="U817" s="821"/>
      <c r="V817" s="821"/>
      <c r="W817" s="821"/>
      <c r="X817" s="821"/>
      <c r="Y817" s="821"/>
      <c r="Z817" s="821"/>
      <c r="AA817" s="821"/>
      <c r="AB817" s="821"/>
      <c r="AC817" s="821"/>
      <c r="AD817" s="821"/>
    </row>
    <row r="818" spans="16:30" x14ac:dyDescent="0.3">
      <c r="P818" s="821"/>
      <c r="Q818" s="821"/>
      <c r="R818" s="821"/>
      <c r="S818" s="821"/>
      <c r="T818" s="821"/>
      <c r="U818" s="821"/>
      <c r="V818" s="821"/>
      <c r="W818" s="821"/>
      <c r="X818" s="821"/>
      <c r="Y818" s="821"/>
      <c r="Z818" s="821"/>
      <c r="AA818" s="821"/>
      <c r="AB818" s="821"/>
      <c r="AC818" s="821"/>
      <c r="AD818" s="821"/>
    </row>
    <row r="819" spans="16:30" x14ac:dyDescent="0.3">
      <c r="P819" s="821"/>
      <c r="Q819" s="821"/>
      <c r="R819" s="821"/>
      <c r="S819" s="821"/>
      <c r="T819" s="821"/>
      <c r="U819" s="821"/>
      <c r="V819" s="821"/>
      <c r="W819" s="821"/>
      <c r="X819" s="821"/>
      <c r="Y819" s="821"/>
      <c r="Z819" s="821"/>
      <c r="AA819" s="821"/>
      <c r="AB819" s="821"/>
      <c r="AC819" s="821"/>
      <c r="AD819" s="821"/>
    </row>
    <row r="820" spans="16:30" x14ac:dyDescent="0.3">
      <c r="P820" s="821"/>
      <c r="Q820" s="821"/>
      <c r="R820" s="821"/>
      <c r="S820" s="821"/>
      <c r="T820" s="821"/>
      <c r="U820" s="821"/>
      <c r="V820" s="821"/>
      <c r="W820" s="821"/>
      <c r="X820" s="821"/>
      <c r="Y820" s="821"/>
      <c r="Z820" s="821"/>
      <c r="AA820" s="821"/>
      <c r="AB820" s="821"/>
      <c r="AC820" s="821"/>
      <c r="AD820" s="821"/>
    </row>
    <row r="821" spans="16:30" x14ac:dyDescent="0.3">
      <c r="P821" s="821"/>
      <c r="Q821" s="821"/>
      <c r="R821" s="821"/>
      <c r="S821" s="821"/>
      <c r="T821" s="821"/>
      <c r="U821" s="821"/>
      <c r="V821" s="821"/>
      <c r="W821" s="821"/>
      <c r="X821" s="821"/>
      <c r="Y821" s="821"/>
      <c r="Z821" s="821"/>
      <c r="AA821" s="821"/>
      <c r="AB821" s="821"/>
      <c r="AC821" s="821"/>
      <c r="AD821" s="821"/>
    </row>
    <row r="822" spans="16:30" x14ac:dyDescent="0.3">
      <c r="P822" s="821"/>
      <c r="Q822" s="821"/>
      <c r="R822" s="821"/>
      <c r="S822" s="821"/>
      <c r="T822" s="821"/>
      <c r="U822" s="821"/>
      <c r="V822" s="821"/>
      <c r="W822" s="821"/>
      <c r="X822" s="821"/>
      <c r="Y822" s="821"/>
      <c r="Z822" s="821"/>
      <c r="AA822" s="821"/>
      <c r="AB822" s="821"/>
      <c r="AC822" s="821"/>
      <c r="AD822" s="821"/>
    </row>
    <row r="823" spans="16:30" x14ac:dyDescent="0.3">
      <c r="P823" s="821"/>
      <c r="Q823" s="821"/>
      <c r="R823" s="821"/>
      <c r="S823" s="821"/>
      <c r="T823" s="821"/>
      <c r="U823" s="821"/>
      <c r="V823" s="821"/>
      <c r="W823" s="821"/>
      <c r="X823" s="821"/>
      <c r="Y823" s="821"/>
      <c r="Z823" s="821"/>
      <c r="AA823" s="821"/>
      <c r="AB823" s="821"/>
      <c r="AC823" s="821"/>
      <c r="AD823" s="821"/>
    </row>
    <row r="824" spans="16:30" x14ac:dyDescent="0.3">
      <c r="P824" s="821"/>
      <c r="Q824" s="821"/>
      <c r="R824" s="821"/>
      <c r="S824" s="821"/>
      <c r="T824" s="821"/>
      <c r="U824" s="821"/>
      <c r="V824" s="821"/>
      <c r="W824" s="821"/>
      <c r="X824" s="821"/>
      <c r="Y824" s="821"/>
      <c r="Z824" s="821"/>
      <c r="AA824" s="821"/>
      <c r="AB824" s="821"/>
      <c r="AC824" s="821"/>
      <c r="AD824" s="821"/>
    </row>
    <row r="825" spans="16:30" x14ac:dyDescent="0.3">
      <c r="P825" s="821"/>
      <c r="Q825" s="821"/>
      <c r="R825" s="821"/>
      <c r="S825" s="821"/>
      <c r="T825" s="821"/>
      <c r="U825" s="821"/>
      <c r="V825" s="821"/>
      <c r="W825" s="821"/>
      <c r="X825" s="821"/>
      <c r="Y825" s="821"/>
      <c r="Z825" s="821"/>
      <c r="AA825" s="821"/>
      <c r="AB825" s="821"/>
      <c r="AC825" s="821"/>
      <c r="AD825" s="821"/>
    </row>
    <row r="826" spans="16:30" x14ac:dyDescent="0.3">
      <c r="P826" s="821"/>
      <c r="Q826" s="821"/>
      <c r="R826" s="821"/>
      <c r="S826" s="821"/>
      <c r="T826" s="821"/>
      <c r="U826" s="821"/>
      <c r="V826" s="821"/>
      <c r="W826" s="821"/>
      <c r="X826" s="821"/>
      <c r="Y826" s="821"/>
      <c r="Z826" s="821"/>
      <c r="AA826" s="821"/>
      <c r="AB826" s="821"/>
      <c r="AC826" s="821"/>
      <c r="AD826" s="821"/>
    </row>
    <row r="827" spans="16:30" x14ac:dyDescent="0.3">
      <c r="P827" s="821"/>
      <c r="Q827" s="821"/>
      <c r="R827" s="821"/>
      <c r="S827" s="821"/>
      <c r="T827" s="821"/>
      <c r="U827" s="821"/>
      <c r="V827" s="821"/>
      <c r="W827" s="821"/>
      <c r="X827" s="821"/>
      <c r="Y827" s="821"/>
      <c r="Z827" s="821"/>
      <c r="AA827" s="821"/>
      <c r="AB827" s="821"/>
      <c r="AC827" s="821"/>
      <c r="AD827" s="821"/>
    </row>
    <row r="828" spans="16:30" x14ac:dyDescent="0.3">
      <c r="P828" s="821"/>
      <c r="Q828" s="821"/>
      <c r="R828" s="821"/>
      <c r="S828" s="821"/>
      <c r="T828" s="821"/>
      <c r="U828" s="821"/>
      <c r="V828" s="821"/>
      <c r="W828" s="821"/>
      <c r="X828" s="821"/>
      <c r="Y828" s="821"/>
      <c r="Z828" s="821"/>
      <c r="AA828" s="821"/>
      <c r="AB828" s="821"/>
      <c r="AC828" s="821"/>
      <c r="AD828" s="821"/>
    </row>
    <row r="829" spans="16:30" x14ac:dyDescent="0.3">
      <c r="P829" s="821"/>
      <c r="Q829" s="821"/>
      <c r="R829" s="821"/>
      <c r="S829" s="821"/>
      <c r="T829" s="821"/>
      <c r="U829" s="821"/>
      <c r="V829" s="821"/>
      <c r="W829" s="821"/>
      <c r="X829" s="821"/>
      <c r="Y829" s="821"/>
      <c r="Z829" s="821"/>
      <c r="AA829" s="821"/>
      <c r="AB829" s="821"/>
      <c r="AC829" s="821"/>
      <c r="AD829" s="821"/>
    </row>
    <row r="830" spans="16:30" x14ac:dyDescent="0.3">
      <c r="P830" s="821"/>
      <c r="Q830" s="821"/>
      <c r="R830" s="821"/>
      <c r="S830" s="821"/>
      <c r="T830" s="821"/>
      <c r="U830" s="821"/>
      <c r="V830" s="821"/>
      <c r="W830" s="821"/>
      <c r="X830" s="821"/>
      <c r="Y830" s="821"/>
      <c r="Z830" s="821"/>
      <c r="AA830" s="821"/>
      <c r="AB830" s="821"/>
      <c r="AC830" s="821"/>
      <c r="AD830" s="821"/>
    </row>
    <row r="831" spans="16:30" x14ac:dyDescent="0.3">
      <c r="P831" s="821"/>
      <c r="Q831" s="821"/>
      <c r="R831" s="821"/>
      <c r="S831" s="821"/>
      <c r="T831" s="821"/>
      <c r="U831" s="821"/>
      <c r="V831" s="821"/>
      <c r="W831" s="821"/>
      <c r="X831" s="821"/>
      <c r="Y831" s="821"/>
      <c r="Z831" s="821"/>
      <c r="AA831" s="821"/>
      <c r="AB831" s="821"/>
      <c r="AC831" s="821"/>
      <c r="AD831" s="821"/>
    </row>
    <row r="832" spans="16:30" x14ac:dyDescent="0.3">
      <c r="P832" s="821"/>
      <c r="Q832" s="821"/>
      <c r="R832" s="821"/>
      <c r="S832" s="821"/>
      <c r="T832" s="821"/>
      <c r="U832" s="821"/>
      <c r="V832" s="821"/>
      <c r="W832" s="821"/>
      <c r="X832" s="821"/>
      <c r="Y832" s="821"/>
      <c r="Z832" s="821"/>
      <c r="AA832" s="821"/>
      <c r="AB832" s="821"/>
      <c r="AC832" s="821"/>
      <c r="AD832" s="821"/>
    </row>
    <row r="833" spans="16:30" x14ac:dyDescent="0.3">
      <c r="P833" s="821"/>
      <c r="Q833" s="821"/>
      <c r="R833" s="821"/>
      <c r="S833" s="821"/>
      <c r="T833" s="821"/>
      <c r="U833" s="821"/>
      <c r="V833" s="821"/>
      <c r="W833" s="821"/>
      <c r="X833" s="821"/>
      <c r="Y833" s="821"/>
      <c r="Z833" s="821"/>
      <c r="AA833" s="821"/>
      <c r="AB833" s="821"/>
      <c r="AC833" s="821"/>
      <c r="AD833" s="821"/>
    </row>
    <row r="834" spans="16:30" x14ac:dyDescent="0.3">
      <c r="P834" s="821"/>
      <c r="Q834" s="821"/>
      <c r="R834" s="821"/>
      <c r="S834" s="821"/>
      <c r="T834" s="821"/>
      <c r="U834" s="821"/>
      <c r="V834" s="821"/>
      <c r="W834" s="821"/>
      <c r="X834" s="821"/>
      <c r="Y834" s="821"/>
      <c r="Z834" s="821"/>
      <c r="AA834" s="821"/>
      <c r="AB834" s="821"/>
      <c r="AC834" s="821"/>
      <c r="AD834" s="821"/>
    </row>
    <row r="835" spans="16:30" x14ac:dyDescent="0.3">
      <c r="P835" s="821"/>
      <c r="Q835" s="821"/>
      <c r="R835" s="821"/>
      <c r="S835" s="821"/>
      <c r="T835" s="821"/>
      <c r="U835" s="821"/>
      <c r="V835" s="821"/>
      <c r="W835" s="821"/>
      <c r="X835" s="821"/>
      <c r="Y835" s="821"/>
      <c r="Z835" s="821"/>
      <c r="AA835" s="821"/>
      <c r="AB835" s="821"/>
      <c r="AC835" s="821"/>
      <c r="AD835" s="821"/>
    </row>
    <row r="836" spans="16:30" x14ac:dyDescent="0.3">
      <c r="P836" s="821"/>
      <c r="Q836" s="821"/>
      <c r="R836" s="821"/>
      <c r="S836" s="821"/>
      <c r="T836" s="821"/>
      <c r="U836" s="821"/>
      <c r="V836" s="821"/>
      <c r="W836" s="821"/>
      <c r="X836" s="821"/>
      <c r="Y836" s="821"/>
      <c r="Z836" s="821"/>
      <c r="AA836" s="821"/>
      <c r="AB836" s="821"/>
      <c r="AC836" s="821"/>
      <c r="AD836" s="821"/>
    </row>
    <row r="837" spans="16:30" x14ac:dyDescent="0.3">
      <c r="P837" s="821"/>
      <c r="Q837" s="821"/>
      <c r="R837" s="821"/>
      <c r="S837" s="821"/>
      <c r="T837" s="821"/>
      <c r="U837" s="821"/>
      <c r="V837" s="821"/>
      <c r="W837" s="821"/>
      <c r="X837" s="821"/>
      <c r="Y837" s="821"/>
      <c r="Z837" s="821"/>
      <c r="AA837" s="821"/>
      <c r="AB837" s="821"/>
      <c r="AC837" s="821"/>
      <c r="AD837" s="821"/>
    </row>
    <row r="838" spans="16:30" x14ac:dyDescent="0.3">
      <c r="P838" s="821"/>
      <c r="Q838" s="821"/>
      <c r="R838" s="821"/>
      <c r="S838" s="821"/>
      <c r="T838" s="821"/>
      <c r="U838" s="821"/>
      <c r="V838" s="821"/>
      <c r="W838" s="821"/>
      <c r="X838" s="821"/>
      <c r="Y838" s="821"/>
      <c r="Z838" s="821"/>
      <c r="AA838" s="821"/>
      <c r="AB838" s="821"/>
      <c r="AC838" s="821"/>
      <c r="AD838" s="821"/>
    </row>
    <row r="839" spans="16:30" x14ac:dyDescent="0.3">
      <c r="P839" s="821"/>
      <c r="Q839" s="821"/>
      <c r="R839" s="821"/>
      <c r="S839" s="821"/>
      <c r="T839" s="821"/>
      <c r="U839" s="821"/>
      <c r="V839" s="821"/>
      <c r="W839" s="821"/>
      <c r="X839" s="821"/>
      <c r="Y839" s="821"/>
      <c r="Z839" s="821"/>
      <c r="AA839" s="821"/>
      <c r="AB839" s="821"/>
      <c r="AC839" s="821"/>
      <c r="AD839" s="821"/>
    </row>
    <row r="840" spans="16:30" x14ac:dyDescent="0.3">
      <c r="P840" s="821"/>
      <c r="Q840" s="821"/>
      <c r="R840" s="821"/>
      <c r="S840" s="821"/>
      <c r="T840" s="821"/>
      <c r="U840" s="821"/>
      <c r="V840" s="821"/>
      <c r="W840" s="821"/>
      <c r="X840" s="821"/>
      <c r="Y840" s="821"/>
      <c r="Z840" s="821"/>
      <c r="AA840" s="821"/>
      <c r="AB840" s="821"/>
      <c r="AC840" s="821"/>
      <c r="AD840" s="821"/>
    </row>
    <row r="841" spans="16:30" x14ac:dyDescent="0.3">
      <c r="P841" s="821"/>
      <c r="Q841" s="821"/>
      <c r="R841" s="821"/>
      <c r="S841" s="821"/>
      <c r="T841" s="821"/>
      <c r="U841" s="821"/>
      <c r="V841" s="821"/>
      <c r="W841" s="821"/>
      <c r="X841" s="821"/>
      <c r="Y841" s="821"/>
      <c r="Z841" s="821"/>
      <c r="AA841" s="821"/>
      <c r="AB841" s="821"/>
      <c r="AC841" s="821"/>
      <c r="AD841" s="821"/>
    </row>
    <row r="842" spans="16:30" x14ac:dyDescent="0.3">
      <c r="P842" s="821"/>
      <c r="Q842" s="821"/>
      <c r="R842" s="821"/>
      <c r="S842" s="821"/>
      <c r="T842" s="821"/>
      <c r="U842" s="821"/>
      <c r="V842" s="821"/>
      <c r="W842" s="821"/>
      <c r="X842" s="821"/>
      <c r="Y842" s="821"/>
      <c r="Z842" s="821"/>
      <c r="AA842" s="821"/>
      <c r="AB842" s="821"/>
      <c r="AC842" s="821"/>
      <c r="AD842" s="821"/>
    </row>
    <row r="843" spans="16:30" x14ac:dyDescent="0.3">
      <c r="P843" s="821"/>
      <c r="Q843" s="821"/>
      <c r="R843" s="821"/>
      <c r="S843" s="821"/>
      <c r="T843" s="821"/>
      <c r="U843" s="821"/>
      <c r="V843" s="821"/>
      <c r="W843" s="821"/>
      <c r="X843" s="821"/>
      <c r="Y843" s="821"/>
      <c r="Z843" s="821"/>
      <c r="AA843" s="821"/>
      <c r="AB843" s="821"/>
      <c r="AC843" s="821"/>
      <c r="AD843" s="821"/>
    </row>
    <row r="844" spans="16:30" x14ac:dyDescent="0.3">
      <c r="P844" s="821"/>
      <c r="Q844" s="821"/>
      <c r="R844" s="821"/>
      <c r="S844" s="821"/>
      <c r="T844" s="821"/>
      <c r="U844" s="821"/>
      <c r="V844" s="821"/>
      <c r="W844" s="821"/>
      <c r="X844" s="821"/>
      <c r="Y844" s="821"/>
      <c r="Z844" s="821"/>
      <c r="AA844" s="821"/>
      <c r="AB844" s="821"/>
      <c r="AC844" s="821"/>
      <c r="AD844" s="821"/>
    </row>
    <row r="845" spans="16:30" x14ac:dyDescent="0.3">
      <c r="P845" s="821"/>
      <c r="Q845" s="821"/>
      <c r="R845" s="821"/>
      <c r="S845" s="821"/>
      <c r="T845" s="821"/>
      <c r="U845" s="821"/>
      <c r="V845" s="821"/>
      <c r="W845" s="821"/>
      <c r="X845" s="821"/>
      <c r="Y845" s="821"/>
      <c r="Z845" s="821"/>
      <c r="AA845" s="821"/>
      <c r="AB845" s="821"/>
      <c r="AC845" s="821"/>
      <c r="AD845" s="821"/>
    </row>
    <row r="846" spans="16:30" x14ac:dyDescent="0.3">
      <c r="P846" s="821"/>
      <c r="Q846" s="821"/>
      <c r="R846" s="821"/>
      <c r="S846" s="821"/>
      <c r="T846" s="821"/>
      <c r="U846" s="821"/>
      <c r="V846" s="821"/>
      <c r="W846" s="821"/>
      <c r="X846" s="821"/>
      <c r="Y846" s="821"/>
      <c r="Z846" s="821"/>
      <c r="AA846" s="821"/>
      <c r="AB846" s="821"/>
      <c r="AC846" s="821"/>
      <c r="AD846" s="821"/>
    </row>
    <row r="847" spans="16:30" x14ac:dyDescent="0.3">
      <c r="P847" s="821"/>
      <c r="Q847" s="821"/>
      <c r="R847" s="821"/>
      <c r="S847" s="821"/>
      <c r="T847" s="821"/>
      <c r="U847" s="821"/>
      <c r="V847" s="821"/>
      <c r="W847" s="821"/>
      <c r="X847" s="821"/>
      <c r="Y847" s="821"/>
      <c r="Z847" s="821"/>
      <c r="AA847" s="821"/>
      <c r="AB847" s="821"/>
      <c r="AC847" s="821"/>
      <c r="AD847" s="821"/>
    </row>
    <row r="848" spans="16:30" x14ac:dyDescent="0.3">
      <c r="P848" s="821"/>
      <c r="Q848" s="821"/>
      <c r="R848" s="821"/>
      <c r="S848" s="821"/>
      <c r="T848" s="821"/>
      <c r="U848" s="821"/>
      <c r="V848" s="821"/>
      <c r="W848" s="821"/>
      <c r="X848" s="821"/>
      <c r="Y848" s="821"/>
      <c r="Z848" s="821"/>
      <c r="AA848" s="821"/>
      <c r="AB848" s="821"/>
      <c r="AC848" s="821"/>
      <c r="AD848" s="821"/>
    </row>
    <row r="849" spans="16:30" x14ac:dyDescent="0.3">
      <c r="P849" s="821"/>
      <c r="Q849" s="821"/>
      <c r="R849" s="821"/>
      <c r="S849" s="821"/>
      <c r="T849" s="821"/>
      <c r="U849" s="821"/>
      <c r="V849" s="821"/>
      <c r="W849" s="821"/>
      <c r="X849" s="821"/>
      <c r="Y849" s="821"/>
      <c r="Z849" s="821"/>
      <c r="AA849" s="821"/>
      <c r="AB849" s="821"/>
      <c r="AC849" s="821"/>
      <c r="AD849" s="821"/>
    </row>
    <row r="850" spans="16:30" x14ac:dyDescent="0.3">
      <c r="P850" s="821"/>
      <c r="Q850" s="821"/>
      <c r="R850" s="821"/>
      <c r="S850" s="821"/>
      <c r="T850" s="821"/>
      <c r="U850" s="821"/>
      <c r="V850" s="821"/>
      <c r="W850" s="821"/>
      <c r="X850" s="821"/>
      <c r="Y850" s="821"/>
      <c r="Z850" s="821"/>
      <c r="AA850" s="821"/>
      <c r="AB850" s="821"/>
      <c r="AC850" s="821"/>
      <c r="AD850" s="821"/>
    </row>
    <row r="851" spans="16:30" x14ac:dyDescent="0.3">
      <c r="P851" s="821"/>
      <c r="Q851" s="821"/>
      <c r="R851" s="821"/>
      <c r="S851" s="821"/>
      <c r="T851" s="821"/>
      <c r="U851" s="821"/>
      <c r="V851" s="821"/>
      <c r="W851" s="821"/>
      <c r="X851" s="821"/>
      <c r="Y851" s="821"/>
      <c r="Z851" s="821"/>
      <c r="AA851" s="821"/>
      <c r="AB851" s="821"/>
      <c r="AC851" s="821"/>
      <c r="AD851" s="821"/>
    </row>
    <row r="852" spans="16:30" x14ac:dyDescent="0.3">
      <c r="P852" s="821"/>
      <c r="Q852" s="821"/>
      <c r="R852" s="821"/>
      <c r="S852" s="821"/>
      <c r="T852" s="821"/>
      <c r="U852" s="821"/>
      <c r="V852" s="821"/>
      <c r="W852" s="821"/>
      <c r="X852" s="821"/>
      <c r="Y852" s="821"/>
      <c r="Z852" s="821"/>
      <c r="AA852" s="821"/>
      <c r="AB852" s="821"/>
      <c r="AC852" s="821"/>
      <c r="AD852" s="821"/>
    </row>
    <row r="853" spans="16:30" x14ac:dyDescent="0.3">
      <c r="P853" s="821"/>
      <c r="Q853" s="821"/>
      <c r="R853" s="821"/>
      <c r="S853" s="821"/>
      <c r="T853" s="821"/>
      <c r="U853" s="821"/>
      <c r="V853" s="821"/>
      <c r="W853" s="821"/>
      <c r="X853" s="821"/>
      <c r="Y853" s="821"/>
      <c r="Z853" s="821"/>
      <c r="AA853" s="821"/>
      <c r="AB853" s="821"/>
      <c r="AC853" s="821"/>
      <c r="AD853" s="821"/>
    </row>
    <row r="854" spans="16:30" x14ac:dyDescent="0.3">
      <c r="P854" s="821"/>
      <c r="Q854" s="821"/>
      <c r="R854" s="821"/>
      <c r="S854" s="821"/>
      <c r="T854" s="821"/>
      <c r="U854" s="821"/>
      <c r="V854" s="821"/>
      <c r="W854" s="821"/>
      <c r="X854" s="821"/>
      <c r="Y854" s="821"/>
      <c r="Z854" s="821"/>
      <c r="AA854" s="821"/>
      <c r="AB854" s="821"/>
      <c r="AC854" s="821"/>
      <c r="AD854" s="821"/>
    </row>
    <row r="855" spans="16:30" x14ac:dyDescent="0.3">
      <c r="P855" s="821"/>
      <c r="Q855" s="821"/>
      <c r="R855" s="821"/>
      <c r="S855" s="821"/>
      <c r="T855" s="821"/>
      <c r="U855" s="821"/>
      <c r="V855" s="821"/>
      <c r="W855" s="821"/>
      <c r="X855" s="821"/>
      <c r="Y855" s="821"/>
      <c r="Z855" s="821"/>
      <c r="AA855" s="821"/>
      <c r="AB855" s="821"/>
      <c r="AC855" s="821"/>
      <c r="AD855" s="821"/>
    </row>
    <row r="856" spans="16:30" x14ac:dyDescent="0.3">
      <c r="P856" s="821"/>
      <c r="Q856" s="821"/>
      <c r="R856" s="821"/>
      <c r="S856" s="821"/>
      <c r="T856" s="821"/>
      <c r="U856" s="821"/>
      <c r="V856" s="821"/>
      <c r="W856" s="821"/>
      <c r="X856" s="821"/>
      <c r="Y856" s="821"/>
      <c r="Z856" s="821"/>
      <c r="AA856" s="821"/>
      <c r="AB856" s="821"/>
      <c r="AC856" s="821"/>
      <c r="AD856" s="821"/>
    </row>
    <row r="857" spans="16:30" x14ac:dyDescent="0.3">
      <c r="P857" s="821"/>
      <c r="Q857" s="821"/>
      <c r="R857" s="821"/>
      <c r="S857" s="821"/>
      <c r="T857" s="821"/>
      <c r="U857" s="821"/>
      <c r="V857" s="821"/>
      <c r="W857" s="821"/>
      <c r="X857" s="821"/>
      <c r="Y857" s="821"/>
      <c r="Z857" s="821"/>
      <c r="AA857" s="821"/>
      <c r="AB857" s="821"/>
      <c r="AC857" s="821"/>
      <c r="AD857" s="821"/>
    </row>
    <row r="858" spans="16:30" x14ac:dyDescent="0.3">
      <c r="P858" s="821"/>
      <c r="Q858" s="821"/>
      <c r="R858" s="821"/>
      <c r="S858" s="821"/>
      <c r="T858" s="821"/>
      <c r="U858" s="821"/>
      <c r="V858" s="821"/>
      <c r="W858" s="821"/>
      <c r="X858" s="821"/>
      <c r="Y858" s="821"/>
      <c r="Z858" s="821"/>
      <c r="AA858" s="821"/>
      <c r="AB858" s="821"/>
      <c r="AC858" s="821"/>
      <c r="AD858" s="821"/>
    </row>
    <row r="859" spans="16:30" x14ac:dyDescent="0.3">
      <c r="P859" s="821"/>
      <c r="Q859" s="821"/>
      <c r="R859" s="821"/>
      <c r="S859" s="821"/>
      <c r="T859" s="821"/>
      <c r="U859" s="821"/>
      <c r="V859" s="821"/>
      <c r="W859" s="821"/>
      <c r="X859" s="821"/>
      <c r="Y859" s="821"/>
      <c r="Z859" s="821"/>
      <c r="AA859" s="821"/>
      <c r="AB859" s="821"/>
      <c r="AC859" s="821"/>
      <c r="AD859" s="821"/>
    </row>
    <row r="860" spans="16:30" x14ac:dyDescent="0.3">
      <c r="P860" s="821"/>
      <c r="Q860" s="821"/>
      <c r="R860" s="821"/>
      <c r="S860" s="821"/>
      <c r="T860" s="821"/>
      <c r="U860" s="821"/>
      <c r="V860" s="821"/>
      <c r="W860" s="821"/>
      <c r="X860" s="821"/>
      <c r="Y860" s="821"/>
      <c r="Z860" s="821"/>
      <c r="AA860" s="821"/>
      <c r="AB860" s="821"/>
      <c r="AC860" s="821"/>
      <c r="AD860" s="821"/>
    </row>
    <row r="861" spans="16:30" x14ac:dyDescent="0.3">
      <c r="P861" s="821"/>
      <c r="Q861" s="821"/>
      <c r="R861" s="821"/>
      <c r="S861" s="821"/>
      <c r="T861" s="821"/>
      <c r="U861" s="821"/>
      <c r="V861" s="821"/>
      <c r="W861" s="821"/>
      <c r="X861" s="821"/>
      <c r="Y861" s="821"/>
      <c r="Z861" s="821"/>
      <c r="AA861" s="821"/>
      <c r="AB861" s="821"/>
      <c r="AC861" s="821"/>
      <c r="AD861" s="821"/>
    </row>
    <row r="862" spans="16:30" x14ac:dyDescent="0.3">
      <c r="P862" s="821"/>
      <c r="Q862" s="821"/>
      <c r="R862" s="821"/>
      <c r="S862" s="821"/>
      <c r="T862" s="821"/>
      <c r="U862" s="821"/>
      <c r="V862" s="821"/>
      <c r="W862" s="821"/>
      <c r="X862" s="821"/>
      <c r="Y862" s="821"/>
      <c r="Z862" s="821"/>
      <c r="AA862" s="821"/>
      <c r="AB862" s="821"/>
      <c r="AC862" s="821"/>
      <c r="AD862" s="821"/>
    </row>
    <row r="863" spans="16:30" x14ac:dyDescent="0.3">
      <c r="P863" s="821"/>
      <c r="Q863" s="821"/>
      <c r="R863" s="821"/>
      <c r="S863" s="821"/>
      <c r="T863" s="821"/>
      <c r="U863" s="821"/>
      <c r="V863" s="821"/>
      <c r="W863" s="821"/>
      <c r="X863" s="821"/>
      <c r="Y863" s="821"/>
      <c r="Z863" s="821"/>
      <c r="AA863" s="821"/>
      <c r="AB863" s="821"/>
      <c r="AC863" s="821"/>
      <c r="AD863" s="821"/>
    </row>
    <row r="864" spans="16:30" x14ac:dyDescent="0.3">
      <c r="P864" s="821"/>
      <c r="Q864" s="821"/>
      <c r="R864" s="821"/>
      <c r="S864" s="821"/>
      <c r="T864" s="821"/>
      <c r="U864" s="821"/>
      <c r="V864" s="821"/>
      <c r="W864" s="821"/>
      <c r="X864" s="821"/>
      <c r="Y864" s="821"/>
      <c r="Z864" s="821"/>
      <c r="AA864" s="821"/>
      <c r="AB864" s="821"/>
      <c r="AC864" s="821"/>
      <c r="AD864" s="821"/>
    </row>
    <row r="865" spans="16:30" x14ac:dyDescent="0.3">
      <c r="P865" s="821"/>
      <c r="Q865" s="821"/>
      <c r="R865" s="821"/>
      <c r="S865" s="821"/>
      <c r="T865" s="821"/>
      <c r="U865" s="821"/>
      <c r="V865" s="821"/>
      <c r="W865" s="821"/>
      <c r="X865" s="821"/>
      <c r="Y865" s="821"/>
      <c r="Z865" s="821"/>
      <c r="AA865" s="821"/>
      <c r="AB865" s="821"/>
      <c r="AC865" s="821"/>
      <c r="AD865" s="821"/>
    </row>
    <row r="866" spans="16:30" x14ac:dyDescent="0.3">
      <c r="P866" s="821"/>
      <c r="Q866" s="821"/>
      <c r="R866" s="821"/>
      <c r="S866" s="821"/>
      <c r="T866" s="821"/>
      <c r="U866" s="821"/>
      <c r="V866" s="821"/>
      <c r="W866" s="821"/>
      <c r="X866" s="821"/>
      <c r="Y866" s="821"/>
      <c r="Z866" s="821"/>
      <c r="AA866" s="821"/>
      <c r="AB866" s="821"/>
      <c r="AC866" s="821"/>
      <c r="AD866" s="821"/>
    </row>
    <row r="867" spans="16:30" x14ac:dyDescent="0.3">
      <c r="P867" s="821"/>
      <c r="Q867" s="821"/>
      <c r="R867" s="821"/>
      <c r="S867" s="821"/>
      <c r="T867" s="821"/>
      <c r="U867" s="821"/>
      <c r="V867" s="821"/>
      <c r="W867" s="821"/>
      <c r="X867" s="821"/>
      <c r="Y867" s="821"/>
      <c r="Z867" s="821"/>
      <c r="AA867" s="821"/>
      <c r="AB867" s="821"/>
      <c r="AC867" s="821"/>
      <c r="AD867" s="821"/>
    </row>
    <row r="868" spans="16:30" x14ac:dyDescent="0.3">
      <c r="P868" s="821"/>
      <c r="Q868" s="821"/>
      <c r="R868" s="821"/>
      <c r="S868" s="821"/>
      <c r="T868" s="821"/>
      <c r="U868" s="821"/>
      <c r="V868" s="821"/>
      <c r="W868" s="821"/>
      <c r="X868" s="821"/>
      <c r="Y868" s="821"/>
      <c r="Z868" s="821"/>
      <c r="AA868" s="821"/>
      <c r="AB868" s="821"/>
      <c r="AC868" s="821"/>
      <c r="AD868" s="821"/>
    </row>
    <row r="869" spans="16:30" x14ac:dyDescent="0.3">
      <c r="P869" s="821"/>
      <c r="Q869" s="821"/>
      <c r="R869" s="821"/>
      <c r="S869" s="821"/>
      <c r="T869" s="821"/>
      <c r="U869" s="821"/>
      <c r="V869" s="821"/>
      <c r="W869" s="821"/>
      <c r="X869" s="821"/>
      <c r="Y869" s="821"/>
      <c r="Z869" s="821"/>
      <c r="AA869" s="821"/>
      <c r="AB869" s="821"/>
      <c r="AC869" s="821"/>
      <c r="AD869" s="821"/>
    </row>
    <row r="870" spans="16:30" x14ac:dyDescent="0.3">
      <c r="P870" s="821"/>
      <c r="Q870" s="821"/>
      <c r="R870" s="821"/>
      <c r="S870" s="821"/>
      <c r="T870" s="821"/>
      <c r="U870" s="821"/>
      <c r="V870" s="821"/>
      <c r="W870" s="821"/>
      <c r="X870" s="821"/>
      <c r="Y870" s="821"/>
      <c r="Z870" s="821"/>
      <c r="AA870" s="821"/>
      <c r="AB870" s="821"/>
      <c r="AC870" s="821"/>
      <c r="AD870" s="821"/>
    </row>
    <row r="871" spans="16:30" x14ac:dyDescent="0.3">
      <c r="P871" s="821"/>
      <c r="Q871" s="821"/>
      <c r="R871" s="821"/>
      <c r="S871" s="821"/>
      <c r="T871" s="821"/>
      <c r="U871" s="821"/>
      <c r="V871" s="821"/>
      <c r="W871" s="821"/>
      <c r="X871" s="821"/>
      <c r="Y871" s="821"/>
      <c r="Z871" s="821"/>
      <c r="AA871" s="821"/>
      <c r="AB871" s="821"/>
      <c r="AC871" s="821"/>
      <c r="AD871" s="821"/>
    </row>
    <row r="872" spans="16:30" x14ac:dyDescent="0.3">
      <c r="P872" s="821"/>
      <c r="Q872" s="821"/>
      <c r="R872" s="821"/>
      <c r="S872" s="821"/>
      <c r="T872" s="821"/>
      <c r="U872" s="821"/>
      <c r="V872" s="821"/>
      <c r="W872" s="821"/>
      <c r="X872" s="821"/>
      <c r="Y872" s="821"/>
      <c r="Z872" s="821"/>
      <c r="AA872" s="821"/>
      <c r="AB872" s="821"/>
      <c r="AC872" s="821"/>
      <c r="AD872" s="821"/>
    </row>
    <row r="873" spans="16:30" x14ac:dyDescent="0.3">
      <c r="P873" s="821"/>
      <c r="Q873" s="821"/>
      <c r="R873" s="821"/>
      <c r="S873" s="821"/>
      <c r="T873" s="821"/>
      <c r="U873" s="821"/>
      <c r="V873" s="821"/>
      <c r="W873" s="821"/>
      <c r="X873" s="821"/>
      <c r="Y873" s="821"/>
      <c r="Z873" s="821"/>
      <c r="AA873" s="821"/>
      <c r="AB873" s="821"/>
      <c r="AC873" s="821"/>
      <c r="AD873" s="821"/>
    </row>
    <row r="874" spans="16:30" x14ac:dyDescent="0.3">
      <c r="P874" s="821"/>
      <c r="Q874" s="821"/>
      <c r="R874" s="821"/>
      <c r="S874" s="821"/>
      <c r="T874" s="821"/>
      <c r="U874" s="821"/>
      <c r="V874" s="821"/>
      <c r="W874" s="821"/>
      <c r="X874" s="821"/>
      <c r="Y874" s="821"/>
      <c r="Z874" s="821"/>
      <c r="AA874" s="821"/>
      <c r="AB874" s="821"/>
      <c r="AC874" s="821"/>
      <c r="AD874" s="821"/>
    </row>
    <row r="875" spans="16:30" x14ac:dyDescent="0.3">
      <c r="P875" s="821"/>
      <c r="Q875" s="821"/>
      <c r="R875" s="821"/>
      <c r="S875" s="821"/>
      <c r="T875" s="821"/>
      <c r="U875" s="821"/>
      <c r="V875" s="821"/>
      <c r="W875" s="821"/>
      <c r="X875" s="821"/>
      <c r="Y875" s="821"/>
      <c r="Z875" s="821"/>
      <c r="AA875" s="821"/>
      <c r="AB875" s="821"/>
      <c r="AC875" s="821"/>
      <c r="AD875" s="821"/>
    </row>
    <row r="876" spans="16:30" x14ac:dyDescent="0.3">
      <c r="P876" s="821"/>
      <c r="Q876" s="821"/>
      <c r="R876" s="821"/>
      <c r="S876" s="821"/>
      <c r="T876" s="821"/>
      <c r="U876" s="821"/>
      <c r="V876" s="821"/>
      <c r="W876" s="821"/>
      <c r="X876" s="821"/>
      <c r="Y876" s="821"/>
      <c r="Z876" s="821"/>
      <c r="AA876" s="821"/>
      <c r="AB876" s="821"/>
      <c r="AC876" s="821"/>
      <c r="AD876" s="821"/>
    </row>
    <row r="877" spans="16:30" x14ac:dyDescent="0.3">
      <c r="P877" s="821"/>
      <c r="Q877" s="821"/>
      <c r="R877" s="821"/>
      <c r="S877" s="821"/>
      <c r="T877" s="821"/>
      <c r="U877" s="821"/>
      <c r="V877" s="821"/>
      <c r="W877" s="821"/>
      <c r="X877" s="821"/>
      <c r="Y877" s="821"/>
      <c r="Z877" s="821"/>
      <c r="AA877" s="821"/>
      <c r="AB877" s="821"/>
      <c r="AC877" s="821"/>
      <c r="AD877" s="821"/>
    </row>
    <row r="878" spans="16:30" x14ac:dyDescent="0.3">
      <c r="P878" s="821"/>
      <c r="Q878" s="821"/>
      <c r="R878" s="821"/>
      <c r="S878" s="821"/>
      <c r="T878" s="821"/>
      <c r="U878" s="821"/>
      <c r="V878" s="821"/>
      <c r="W878" s="821"/>
      <c r="X878" s="821"/>
      <c r="Y878" s="821"/>
      <c r="Z878" s="821"/>
      <c r="AA878" s="821"/>
      <c r="AB878" s="821"/>
      <c r="AC878" s="821"/>
      <c r="AD878" s="821"/>
    </row>
    <row r="879" spans="16:30" x14ac:dyDescent="0.3">
      <c r="P879" s="821"/>
      <c r="Q879" s="821"/>
      <c r="R879" s="821"/>
      <c r="S879" s="821"/>
      <c r="T879" s="821"/>
      <c r="U879" s="821"/>
      <c r="V879" s="821"/>
      <c r="W879" s="821"/>
      <c r="X879" s="821"/>
      <c r="Y879" s="821"/>
      <c r="Z879" s="821"/>
      <c r="AA879" s="821"/>
      <c r="AB879" s="821"/>
      <c r="AC879" s="821"/>
      <c r="AD879" s="821"/>
    </row>
    <row r="880" spans="16:30" x14ac:dyDescent="0.3">
      <c r="P880" s="821"/>
      <c r="Q880" s="821"/>
      <c r="R880" s="821"/>
      <c r="S880" s="821"/>
      <c r="T880" s="821"/>
      <c r="U880" s="821"/>
      <c r="V880" s="821"/>
      <c r="W880" s="821"/>
      <c r="X880" s="821"/>
      <c r="Y880" s="821"/>
      <c r="Z880" s="821"/>
      <c r="AA880" s="821"/>
      <c r="AB880" s="821"/>
      <c r="AC880" s="821"/>
      <c r="AD880" s="821"/>
    </row>
    <row r="881" spans="16:30" x14ac:dyDescent="0.3">
      <c r="P881" s="821"/>
      <c r="Q881" s="821"/>
      <c r="R881" s="821"/>
      <c r="S881" s="821"/>
      <c r="T881" s="821"/>
      <c r="U881" s="821"/>
      <c r="V881" s="821"/>
      <c r="W881" s="821"/>
      <c r="X881" s="821"/>
      <c r="Y881" s="821"/>
      <c r="Z881" s="821"/>
      <c r="AA881" s="821"/>
      <c r="AB881" s="821"/>
      <c r="AC881" s="821"/>
      <c r="AD881" s="821"/>
    </row>
    <row r="882" spans="16:30" x14ac:dyDescent="0.3">
      <c r="P882" s="821"/>
      <c r="Q882" s="821"/>
      <c r="R882" s="821"/>
      <c r="S882" s="821"/>
      <c r="T882" s="821"/>
      <c r="U882" s="821"/>
      <c r="V882" s="821"/>
      <c r="W882" s="821"/>
      <c r="X882" s="821"/>
      <c r="Y882" s="821"/>
      <c r="Z882" s="821"/>
      <c r="AA882" s="821"/>
      <c r="AB882" s="821"/>
      <c r="AC882" s="821"/>
      <c r="AD882" s="821"/>
    </row>
    <row r="883" spans="16:30" x14ac:dyDescent="0.3">
      <c r="P883" s="821"/>
      <c r="Q883" s="821"/>
      <c r="R883" s="821"/>
      <c r="S883" s="821"/>
      <c r="T883" s="821"/>
      <c r="U883" s="821"/>
      <c r="V883" s="821"/>
      <c r="W883" s="821"/>
      <c r="X883" s="821"/>
      <c r="Y883" s="821"/>
      <c r="Z883" s="821"/>
      <c r="AA883" s="821"/>
      <c r="AB883" s="821"/>
      <c r="AC883" s="821"/>
      <c r="AD883" s="821"/>
    </row>
    <row r="884" spans="16:30" x14ac:dyDescent="0.3">
      <c r="P884" s="821"/>
      <c r="Q884" s="821"/>
      <c r="R884" s="821"/>
      <c r="S884" s="821"/>
      <c r="T884" s="821"/>
      <c r="U884" s="821"/>
      <c r="V884" s="821"/>
      <c r="W884" s="821"/>
      <c r="X884" s="821"/>
      <c r="Y884" s="821"/>
      <c r="Z884" s="821"/>
      <c r="AA884" s="821"/>
      <c r="AB884" s="821"/>
      <c r="AC884" s="821"/>
      <c r="AD884" s="821"/>
    </row>
    <row r="885" spans="16:30" x14ac:dyDescent="0.3">
      <c r="P885" s="821"/>
      <c r="Q885" s="821"/>
      <c r="R885" s="821"/>
      <c r="S885" s="821"/>
      <c r="T885" s="821"/>
      <c r="U885" s="821"/>
      <c r="V885" s="821"/>
      <c r="W885" s="821"/>
      <c r="X885" s="821"/>
      <c r="Y885" s="821"/>
      <c r="Z885" s="821"/>
      <c r="AA885" s="821"/>
      <c r="AB885" s="821"/>
      <c r="AC885" s="821"/>
      <c r="AD885" s="821"/>
    </row>
    <row r="886" spans="16:30" x14ac:dyDescent="0.3">
      <c r="P886" s="821"/>
      <c r="Q886" s="821"/>
      <c r="R886" s="821"/>
      <c r="S886" s="821"/>
      <c r="T886" s="821"/>
      <c r="U886" s="821"/>
      <c r="V886" s="821"/>
      <c r="W886" s="821"/>
      <c r="X886" s="821"/>
      <c r="Y886" s="821"/>
      <c r="Z886" s="821"/>
      <c r="AA886" s="821"/>
      <c r="AB886" s="821"/>
      <c r="AC886" s="821"/>
      <c r="AD886" s="821"/>
    </row>
    <row r="887" spans="16:30" x14ac:dyDescent="0.3">
      <c r="P887" s="821"/>
      <c r="Q887" s="821"/>
      <c r="R887" s="821"/>
      <c r="S887" s="821"/>
      <c r="T887" s="821"/>
      <c r="U887" s="821"/>
      <c r="V887" s="821"/>
      <c r="W887" s="821"/>
      <c r="X887" s="821"/>
      <c r="Y887" s="821"/>
      <c r="Z887" s="821"/>
      <c r="AA887" s="821"/>
      <c r="AB887" s="821"/>
      <c r="AC887" s="821"/>
      <c r="AD887" s="821"/>
    </row>
    <row r="888" spans="16:30" x14ac:dyDescent="0.3">
      <c r="P888" s="821"/>
      <c r="Q888" s="821"/>
      <c r="R888" s="821"/>
      <c r="S888" s="821"/>
      <c r="T888" s="821"/>
      <c r="U888" s="821"/>
      <c r="V888" s="821"/>
      <c r="W888" s="821"/>
      <c r="X888" s="821"/>
      <c r="Y888" s="821"/>
      <c r="Z888" s="821"/>
      <c r="AA888" s="821"/>
      <c r="AB888" s="821"/>
      <c r="AC888" s="821"/>
      <c r="AD888" s="821"/>
    </row>
    <row r="889" spans="16:30" x14ac:dyDescent="0.3">
      <c r="P889" s="821"/>
      <c r="Q889" s="821"/>
      <c r="R889" s="821"/>
      <c r="S889" s="821"/>
      <c r="T889" s="821"/>
      <c r="U889" s="821"/>
      <c r="V889" s="821"/>
      <c r="W889" s="821"/>
      <c r="X889" s="821"/>
      <c r="Y889" s="821"/>
      <c r="Z889" s="821"/>
      <c r="AA889" s="821"/>
      <c r="AB889" s="821"/>
      <c r="AC889" s="821"/>
      <c r="AD889" s="821"/>
    </row>
    <row r="890" spans="16:30" x14ac:dyDescent="0.3">
      <c r="P890" s="821"/>
      <c r="Q890" s="821"/>
      <c r="R890" s="821"/>
      <c r="S890" s="821"/>
      <c r="T890" s="821"/>
      <c r="U890" s="821"/>
      <c r="V890" s="821"/>
      <c r="W890" s="821"/>
      <c r="X890" s="821"/>
      <c r="Y890" s="821"/>
      <c r="Z890" s="821"/>
      <c r="AA890" s="821"/>
      <c r="AB890" s="821"/>
      <c r="AC890" s="821"/>
      <c r="AD890" s="821"/>
    </row>
    <row r="891" spans="16:30" x14ac:dyDescent="0.3">
      <c r="P891" s="821"/>
      <c r="Q891" s="821"/>
      <c r="R891" s="821"/>
      <c r="S891" s="821"/>
      <c r="T891" s="821"/>
      <c r="U891" s="821"/>
      <c r="V891" s="821"/>
      <c r="W891" s="821"/>
      <c r="X891" s="821"/>
      <c r="Y891" s="821"/>
      <c r="Z891" s="821"/>
      <c r="AA891" s="821"/>
      <c r="AB891" s="821"/>
      <c r="AC891" s="821"/>
      <c r="AD891" s="821"/>
    </row>
    <row r="892" spans="16:30" x14ac:dyDescent="0.3">
      <c r="P892" s="821"/>
      <c r="Q892" s="821"/>
      <c r="R892" s="821"/>
      <c r="S892" s="821"/>
      <c r="T892" s="821"/>
      <c r="U892" s="821"/>
      <c r="V892" s="821"/>
      <c r="W892" s="821"/>
      <c r="X892" s="821"/>
      <c r="Y892" s="821"/>
      <c r="Z892" s="821"/>
      <c r="AA892" s="821"/>
      <c r="AB892" s="821"/>
      <c r="AC892" s="821"/>
      <c r="AD892" s="821"/>
    </row>
    <row r="893" spans="16:30" x14ac:dyDescent="0.3">
      <c r="P893" s="821"/>
      <c r="Q893" s="821"/>
      <c r="R893" s="821"/>
      <c r="S893" s="821"/>
      <c r="T893" s="821"/>
      <c r="U893" s="821"/>
      <c r="V893" s="821"/>
      <c r="W893" s="821"/>
      <c r="X893" s="821"/>
      <c r="Y893" s="821"/>
      <c r="Z893" s="821"/>
      <c r="AA893" s="821"/>
      <c r="AB893" s="821"/>
      <c r="AC893" s="821"/>
      <c r="AD893" s="821"/>
    </row>
    <row r="894" spans="16:30" x14ac:dyDescent="0.3">
      <c r="P894" s="821"/>
      <c r="Q894" s="821"/>
      <c r="R894" s="821"/>
      <c r="S894" s="821"/>
      <c r="T894" s="821"/>
      <c r="U894" s="821"/>
      <c r="V894" s="821"/>
      <c r="W894" s="821"/>
      <c r="X894" s="821"/>
      <c r="Y894" s="821"/>
      <c r="Z894" s="821"/>
      <c r="AA894" s="821"/>
      <c r="AB894" s="821"/>
      <c r="AC894" s="821"/>
      <c r="AD894" s="821"/>
    </row>
    <row r="895" spans="16:30" x14ac:dyDescent="0.3">
      <c r="P895" s="821"/>
      <c r="Q895" s="821"/>
      <c r="R895" s="821"/>
      <c r="S895" s="821"/>
      <c r="T895" s="821"/>
      <c r="U895" s="821"/>
      <c r="V895" s="821"/>
      <c r="W895" s="821"/>
      <c r="X895" s="821"/>
      <c r="Y895" s="821"/>
      <c r="Z895" s="821"/>
      <c r="AA895" s="821"/>
      <c r="AB895" s="821"/>
      <c r="AC895" s="821"/>
      <c r="AD895" s="821"/>
    </row>
    <row r="896" spans="16:30" x14ac:dyDescent="0.3">
      <c r="P896" s="821"/>
      <c r="Q896" s="821"/>
      <c r="R896" s="821"/>
      <c r="S896" s="821"/>
      <c r="T896" s="821"/>
      <c r="U896" s="821"/>
      <c r="V896" s="821"/>
      <c r="W896" s="821"/>
      <c r="X896" s="821"/>
      <c r="Y896" s="821"/>
      <c r="Z896" s="821"/>
      <c r="AA896" s="821"/>
      <c r="AB896" s="821"/>
      <c r="AC896" s="821"/>
      <c r="AD896" s="821"/>
    </row>
    <row r="897" spans="16:30" x14ac:dyDescent="0.3">
      <c r="P897" s="821"/>
      <c r="Q897" s="821"/>
      <c r="R897" s="821"/>
      <c r="S897" s="821"/>
      <c r="T897" s="821"/>
      <c r="U897" s="821"/>
      <c r="V897" s="821"/>
      <c r="W897" s="821"/>
      <c r="X897" s="821"/>
      <c r="Y897" s="821"/>
      <c r="Z897" s="821"/>
      <c r="AA897" s="821"/>
      <c r="AB897" s="821"/>
      <c r="AC897" s="821"/>
      <c r="AD897" s="821"/>
    </row>
    <row r="898" spans="16:30" x14ac:dyDescent="0.3">
      <c r="P898" s="821"/>
      <c r="Q898" s="821"/>
      <c r="R898" s="821"/>
      <c r="S898" s="821"/>
      <c r="T898" s="821"/>
      <c r="U898" s="821"/>
      <c r="V898" s="821"/>
      <c r="W898" s="821"/>
      <c r="X898" s="821"/>
      <c r="Y898" s="821"/>
      <c r="Z898" s="821"/>
      <c r="AA898" s="821"/>
      <c r="AB898" s="821"/>
      <c r="AC898" s="821"/>
      <c r="AD898" s="821"/>
    </row>
    <row r="899" spans="16:30" x14ac:dyDescent="0.3">
      <c r="P899" s="821"/>
      <c r="Q899" s="821"/>
      <c r="R899" s="821"/>
      <c r="S899" s="821"/>
      <c r="T899" s="821"/>
      <c r="U899" s="821"/>
      <c r="V899" s="821"/>
      <c r="W899" s="821"/>
      <c r="X899" s="821"/>
      <c r="Y899" s="821"/>
      <c r="Z899" s="821"/>
      <c r="AA899" s="821"/>
      <c r="AB899" s="821"/>
      <c r="AC899" s="821"/>
      <c r="AD899" s="821"/>
    </row>
    <row r="900" spans="16:30" x14ac:dyDescent="0.3">
      <c r="P900" s="821"/>
      <c r="Q900" s="821"/>
      <c r="R900" s="821"/>
      <c r="S900" s="821"/>
      <c r="T900" s="821"/>
      <c r="U900" s="821"/>
      <c r="V900" s="821"/>
      <c r="W900" s="821"/>
      <c r="X900" s="821"/>
      <c r="Y900" s="821"/>
      <c r="Z900" s="821"/>
      <c r="AA900" s="821"/>
      <c r="AB900" s="821"/>
      <c r="AC900" s="821"/>
      <c r="AD900" s="821"/>
    </row>
    <row r="901" spans="16:30" x14ac:dyDescent="0.3">
      <c r="P901" s="821"/>
      <c r="Q901" s="821"/>
      <c r="R901" s="821"/>
      <c r="S901" s="821"/>
      <c r="T901" s="821"/>
      <c r="U901" s="821"/>
      <c r="V901" s="821"/>
      <c r="W901" s="821"/>
      <c r="X901" s="821"/>
      <c r="Y901" s="821"/>
      <c r="Z901" s="821"/>
      <c r="AA901" s="821"/>
      <c r="AB901" s="821"/>
      <c r="AC901" s="821"/>
      <c r="AD901" s="821"/>
    </row>
    <row r="902" spans="16:30" x14ac:dyDescent="0.3">
      <c r="P902" s="821"/>
      <c r="Q902" s="821"/>
      <c r="R902" s="821"/>
      <c r="S902" s="821"/>
      <c r="T902" s="821"/>
      <c r="U902" s="821"/>
      <c r="V902" s="821"/>
      <c r="W902" s="821"/>
      <c r="X902" s="821"/>
      <c r="Y902" s="821"/>
      <c r="Z902" s="821"/>
      <c r="AA902" s="821"/>
      <c r="AB902" s="821"/>
      <c r="AC902" s="821"/>
      <c r="AD902" s="821"/>
    </row>
    <row r="903" spans="16:30" x14ac:dyDescent="0.3">
      <c r="P903" s="821"/>
      <c r="Q903" s="821"/>
      <c r="R903" s="821"/>
      <c r="S903" s="821"/>
      <c r="T903" s="821"/>
      <c r="U903" s="821"/>
      <c r="V903" s="821"/>
      <c r="W903" s="821"/>
      <c r="X903" s="821"/>
      <c r="Y903" s="821"/>
      <c r="Z903" s="821"/>
      <c r="AA903" s="821"/>
      <c r="AB903" s="821"/>
      <c r="AC903" s="821"/>
      <c r="AD903" s="821"/>
    </row>
    <row r="904" spans="16:30" x14ac:dyDescent="0.3">
      <c r="P904" s="821"/>
      <c r="Q904" s="821"/>
      <c r="R904" s="821"/>
      <c r="S904" s="821"/>
      <c r="T904" s="821"/>
      <c r="U904" s="821"/>
      <c r="V904" s="821"/>
      <c r="W904" s="821"/>
      <c r="X904" s="821"/>
      <c r="Y904" s="821"/>
      <c r="Z904" s="821"/>
      <c r="AA904" s="821"/>
      <c r="AB904" s="821"/>
      <c r="AC904" s="821"/>
      <c r="AD904" s="821"/>
    </row>
    <row r="905" spans="16:30" x14ac:dyDescent="0.3">
      <c r="P905" s="821"/>
      <c r="Q905" s="821"/>
      <c r="R905" s="821"/>
      <c r="S905" s="821"/>
      <c r="T905" s="821"/>
      <c r="U905" s="821"/>
      <c r="V905" s="821"/>
      <c r="W905" s="821"/>
      <c r="X905" s="821"/>
      <c r="Y905" s="821"/>
      <c r="Z905" s="821"/>
      <c r="AA905" s="821"/>
      <c r="AB905" s="821"/>
      <c r="AC905" s="821"/>
      <c r="AD905" s="821"/>
    </row>
    <row r="906" spans="16:30" x14ac:dyDescent="0.3">
      <c r="P906" s="821"/>
      <c r="Q906" s="821"/>
      <c r="R906" s="821"/>
      <c r="S906" s="821"/>
      <c r="T906" s="821"/>
      <c r="U906" s="821"/>
      <c r="V906" s="821"/>
      <c r="W906" s="821"/>
      <c r="X906" s="821"/>
      <c r="Y906" s="821"/>
      <c r="Z906" s="821"/>
      <c r="AA906" s="821"/>
      <c r="AB906" s="821"/>
      <c r="AC906" s="821"/>
      <c r="AD906" s="821"/>
    </row>
    <row r="907" spans="16:30" x14ac:dyDescent="0.3">
      <c r="P907" s="821"/>
      <c r="Q907" s="821"/>
      <c r="R907" s="821"/>
      <c r="S907" s="821"/>
      <c r="T907" s="821"/>
      <c r="U907" s="821"/>
      <c r="V907" s="821"/>
      <c r="W907" s="821"/>
      <c r="X907" s="821"/>
      <c r="Y907" s="821"/>
      <c r="Z907" s="821"/>
      <c r="AA907" s="821"/>
      <c r="AB907" s="821"/>
      <c r="AC907" s="821"/>
      <c r="AD907" s="821"/>
    </row>
    <row r="908" spans="16:30" x14ac:dyDescent="0.3">
      <c r="P908" s="821"/>
      <c r="Q908" s="821"/>
      <c r="R908" s="821"/>
      <c r="S908" s="821"/>
      <c r="T908" s="821"/>
      <c r="U908" s="821"/>
      <c r="V908" s="821"/>
      <c r="W908" s="821"/>
      <c r="X908" s="821"/>
      <c r="Y908" s="821"/>
      <c r="Z908" s="821"/>
      <c r="AA908" s="821"/>
      <c r="AB908" s="821"/>
      <c r="AC908" s="821"/>
      <c r="AD908" s="821"/>
    </row>
    <row r="909" spans="16:30" x14ac:dyDescent="0.3">
      <c r="P909" s="821"/>
      <c r="Q909" s="821"/>
      <c r="R909" s="821"/>
      <c r="S909" s="821"/>
      <c r="T909" s="821"/>
      <c r="U909" s="821"/>
      <c r="V909" s="821"/>
      <c r="W909" s="821"/>
      <c r="X909" s="821"/>
      <c r="Y909" s="821"/>
      <c r="Z909" s="821"/>
      <c r="AA909" s="821"/>
      <c r="AB909" s="821"/>
      <c r="AC909" s="821"/>
      <c r="AD909" s="821"/>
    </row>
    <row r="910" spans="16:30" x14ac:dyDescent="0.3">
      <c r="P910" s="821"/>
      <c r="Q910" s="821"/>
      <c r="R910" s="821"/>
      <c r="S910" s="821"/>
      <c r="T910" s="821"/>
      <c r="U910" s="821"/>
      <c r="V910" s="821"/>
      <c r="W910" s="821"/>
      <c r="X910" s="821"/>
      <c r="Y910" s="821"/>
      <c r="Z910" s="821"/>
      <c r="AA910" s="821"/>
      <c r="AB910" s="821"/>
      <c r="AC910" s="821"/>
      <c r="AD910" s="821"/>
    </row>
    <row r="911" spans="16:30" x14ac:dyDescent="0.3">
      <c r="P911" s="821"/>
      <c r="Q911" s="821"/>
      <c r="R911" s="821"/>
      <c r="S911" s="821"/>
      <c r="T911" s="821"/>
      <c r="U911" s="821"/>
      <c r="V911" s="821"/>
      <c r="W911" s="821"/>
      <c r="X911" s="821"/>
      <c r="Y911" s="821"/>
      <c r="Z911" s="821"/>
      <c r="AA911" s="821"/>
      <c r="AB911" s="821"/>
      <c r="AC911" s="821"/>
      <c r="AD911" s="821"/>
    </row>
    <row r="912" spans="16:30" x14ac:dyDescent="0.3">
      <c r="P912" s="821"/>
      <c r="Q912" s="821"/>
      <c r="R912" s="821"/>
      <c r="S912" s="821"/>
      <c r="T912" s="821"/>
      <c r="U912" s="821"/>
      <c r="V912" s="821"/>
      <c r="W912" s="821"/>
      <c r="X912" s="821"/>
      <c r="Y912" s="821"/>
      <c r="Z912" s="821"/>
      <c r="AA912" s="821"/>
      <c r="AB912" s="821"/>
      <c r="AC912" s="821"/>
      <c r="AD912" s="821"/>
    </row>
    <row r="913" spans="16:30" x14ac:dyDescent="0.3">
      <c r="P913" s="821"/>
      <c r="Q913" s="821"/>
      <c r="R913" s="821"/>
      <c r="S913" s="821"/>
      <c r="T913" s="821"/>
      <c r="U913" s="821"/>
      <c r="V913" s="821"/>
      <c r="W913" s="821"/>
      <c r="X913" s="821"/>
      <c r="Y913" s="821"/>
      <c r="Z913" s="821"/>
      <c r="AA913" s="821"/>
      <c r="AB913" s="821"/>
      <c r="AC913" s="821"/>
      <c r="AD913" s="821"/>
    </row>
    <row r="914" spans="16:30" x14ac:dyDescent="0.3">
      <c r="P914" s="821"/>
      <c r="Q914" s="821"/>
      <c r="R914" s="821"/>
      <c r="S914" s="821"/>
      <c r="T914" s="821"/>
      <c r="U914" s="821"/>
      <c r="V914" s="821"/>
      <c r="W914" s="821"/>
      <c r="X914" s="821"/>
      <c r="Y914" s="821"/>
      <c r="Z914" s="821"/>
      <c r="AA914" s="821"/>
      <c r="AB914" s="821"/>
      <c r="AC914" s="821"/>
      <c r="AD914" s="821"/>
    </row>
    <row r="915" spans="16:30" x14ac:dyDescent="0.3">
      <c r="P915" s="821"/>
      <c r="Q915" s="821"/>
      <c r="R915" s="821"/>
      <c r="S915" s="821"/>
      <c r="T915" s="821"/>
      <c r="U915" s="821"/>
      <c r="V915" s="821"/>
      <c r="W915" s="821"/>
      <c r="X915" s="821"/>
      <c r="Y915" s="821"/>
      <c r="Z915" s="821"/>
      <c r="AA915" s="821"/>
      <c r="AB915" s="821"/>
      <c r="AC915" s="821"/>
      <c r="AD915" s="821"/>
    </row>
    <row r="916" spans="16:30" x14ac:dyDescent="0.3">
      <c r="P916" s="821"/>
      <c r="Q916" s="821"/>
      <c r="R916" s="821"/>
      <c r="S916" s="821"/>
      <c r="T916" s="821"/>
      <c r="U916" s="821"/>
      <c r="V916" s="821"/>
      <c r="W916" s="821"/>
      <c r="X916" s="821"/>
      <c r="Y916" s="821"/>
      <c r="Z916" s="821"/>
      <c r="AA916" s="821"/>
      <c r="AB916" s="821"/>
      <c r="AC916" s="821"/>
      <c r="AD916" s="821"/>
    </row>
    <row r="917" spans="16:30" x14ac:dyDescent="0.3">
      <c r="P917" s="821"/>
      <c r="Q917" s="821"/>
      <c r="R917" s="821"/>
      <c r="S917" s="821"/>
      <c r="T917" s="821"/>
      <c r="U917" s="821"/>
      <c r="V917" s="821"/>
      <c r="W917" s="821"/>
      <c r="X917" s="821"/>
      <c r="Y917" s="821"/>
      <c r="Z917" s="821"/>
      <c r="AA917" s="821"/>
      <c r="AB917" s="821"/>
      <c r="AC917" s="821"/>
      <c r="AD917" s="821"/>
    </row>
    <row r="918" spans="16:30" x14ac:dyDescent="0.3">
      <c r="P918" s="821"/>
      <c r="Q918" s="821"/>
      <c r="R918" s="821"/>
      <c r="S918" s="821"/>
      <c r="T918" s="821"/>
      <c r="U918" s="821"/>
      <c r="V918" s="821"/>
      <c r="W918" s="821"/>
      <c r="X918" s="821"/>
      <c r="Y918" s="821"/>
      <c r="Z918" s="821"/>
      <c r="AA918" s="821"/>
      <c r="AB918" s="821"/>
      <c r="AC918" s="821"/>
      <c r="AD918" s="821"/>
    </row>
    <row r="919" spans="16:30" x14ac:dyDescent="0.3">
      <c r="P919" s="821"/>
      <c r="Q919" s="821"/>
      <c r="R919" s="821"/>
      <c r="S919" s="821"/>
      <c r="T919" s="821"/>
      <c r="U919" s="821"/>
      <c r="V919" s="821"/>
      <c r="W919" s="821"/>
      <c r="X919" s="821"/>
      <c r="Y919" s="821"/>
      <c r="Z919" s="821"/>
      <c r="AA919" s="821"/>
      <c r="AB919" s="821"/>
      <c r="AC919" s="821"/>
      <c r="AD919" s="821"/>
    </row>
    <row r="920" spans="16:30" x14ac:dyDescent="0.3">
      <c r="P920" s="821"/>
      <c r="Q920" s="821"/>
      <c r="R920" s="821"/>
      <c r="S920" s="821"/>
      <c r="T920" s="821"/>
      <c r="U920" s="821"/>
      <c r="V920" s="821"/>
      <c r="W920" s="821"/>
      <c r="X920" s="821"/>
      <c r="Y920" s="821"/>
      <c r="Z920" s="821"/>
      <c r="AA920" s="821"/>
      <c r="AB920" s="821"/>
      <c r="AC920" s="821"/>
      <c r="AD920" s="821"/>
    </row>
    <row r="921" spans="16:30" x14ac:dyDescent="0.3">
      <c r="P921" s="821"/>
      <c r="Q921" s="821"/>
      <c r="R921" s="821"/>
      <c r="S921" s="821"/>
      <c r="T921" s="821"/>
      <c r="U921" s="821"/>
      <c r="V921" s="821"/>
      <c r="W921" s="821"/>
      <c r="X921" s="821"/>
      <c r="Y921" s="821"/>
      <c r="Z921" s="821"/>
      <c r="AA921" s="821"/>
      <c r="AB921" s="821"/>
      <c r="AC921" s="821"/>
      <c r="AD921" s="821"/>
    </row>
    <row r="922" spans="16:30" x14ac:dyDescent="0.3">
      <c r="P922" s="821"/>
      <c r="Q922" s="821"/>
      <c r="R922" s="821"/>
      <c r="S922" s="821"/>
      <c r="T922" s="821"/>
      <c r="U922" s="821"/>
      <c r="V922" s="821"/>
      <c r="W922" s="821"/>
      <c r="X922" s="821"/>
      <c r="Y922" s="821"/>
      <c r="Z922" s="821"/>
      <c r="AA922" s="821"/>
      <c r="AB922" s="821"/>
      <c r="AC922" s="821"/>
      <c r="AD922" s="821"/>
    </row>
    <row r="923" spans="16:30" x14ac:dyDescent="0.3">
      <c r="P923" s="821"/>
      <c r="Q923" s="821"/>
      <c r="R923" s="821"/>
      <c r="S923" s="821"/>
      <c r="T923" s="821"/>
      <c r="U923" s="821"/>
      <c r="V923" s="821"/>
      <c r="W923" s="821"/>
      <c r="X923" s="821"/>
      <c r="Y923" s="821"/>
      <c r="Z923" s="821"/>
      <c r="AA923" s="821"/>
      <c r="AB923" s="821"/>
      <c r="AC923" s="821"/>
      <c r="AD923" s="821"/>
    </row>
    <row r="924" spans="16:30" x14ac:dyDescent="0.3">
      <c r="P924" s="821"/>
      <c r="Q924" s="821"/>
      <c r="R924" s="821"/>
      <c r="S924" s="821"/>
      <c r="T924" s="821"/>
      <c r="U924" s="821"/>
      <c r="V924" s="821"/>
      <c r="W924" s="821"/>
      <c r="X924" s="821"/>
      <c r="Y924" s="821"/>
      <c r="Z924" s="821"/>
      <c r="AA924" s="821"/>
      <c r="AB924" s="821"/>
      <c r="AC924" s="821"/>
      <c r="AD924" s="821"/>
    </row>
    <row r="925" spans="16:30" x14ac:dyDescent="0.3">
      <c r="P925" s="821"/>
      <c r="Q925" s="821"/>
      <c r="R925" s="821"/>
      <c r="S925" s="821"/>
      <c r="T925" s="821"/>
      <c r="U925" s="821"/>
      <c r="V925" s="821"/>
      <c r="W925" s="821"/>
      <c r="X925" s="821"/>
      <c r="Y925" s="821"/>
      <c r="Z925" s="821"/>
      <c r="AA925" s="821"/>
      <c r="AB925" s="821"/>
      <c r="AC925" s="821"/>
      <c r="AD925" s="821"/>
    </row>
    <row r="926" spans="16:30" x14ac:dyDescent="0.3">
      <c r="P926" s="821"/>
      <c r="Q926" s="821"/>
      <c r="R926" s="821"/>
      <c r="S926" s="821"/>
      <c r="T926" s="821"/>
      <c r="U926" s="821"/>
      <c r="V926" s="821"/>
      <c r="W926" s="821"/>
      <c r="X926" s="821"/>
      <c r="Y926" s="821"/>
      <c r="Z926" s="821"/>
      <c r="AA926" s="821"/>
      <c r="AB926" s="821"/>
      <c r="AC926" s="821"/>
      <c r="AD926" s="821"/>
    </row>
    <row r="927" spans="16:30" x14ac:dyDescent="0.3">
      <c r="P927" s="821"/>
      <c r="Q927" s="821"/>
      <c r="R927" s="821"/>
      <c r="S927" s="821"/>
      <c r="T927" s="821"/>
      <c r="U927" s="821"/>
      <c r="V927" s="821"/>
      <c r="W927" s="821"/>
      <c r="X927" s="821"/>
      <c r="Y927" s="821"/>
      <c r="Z927" s="821"/>
      <c r="AA927" s="821"/>
      <c r="AB927" s="821"/>
      <c r="AC927" s="821"/>
      <c r="AD927" s="821"/>
    </row>
    <row r="928" spans="16:30" x14ac:dyDescent="0.3">
      <c r="P928" s="821"/>
      <c r="Q928" s="821"/>
      <c r="R928" s="821"/>
      <c r="S928" s="821"/>
      <c r="T928" s="821"/>
      <c r="U928" s="821"/>
      <c r="V928" s="821"/>
      <c r="W928" s="821"/>
      <c r="X928" s="821"/>
      <c r="Y928" s="821"/>
      <c r="Z928" s="821"/>
      <c r="AA928" s="821"/>
      <c r="AB928" s="821"/>
      <c r="AC928" s="821"/>
      <c r="AD928" s="821"/>
    </row>
    <row r="929" spans="16:30" x14ac:dyDescent="0.3">
      <c r="P929" s="821"/>
      <c r="Q929" s="821"/>
      <c r="R929" s="821"/>
      <c r="S929" s="821"/>
      <c r="T929" s="821"/>
      <c r="U929" s="821"/>
      <c r="V929" s="821"/>
      <c r="W929" s="821"/>
      <c r="X929" s="821"/>
      <c r="Y929" s="821"/>
      <c r="Z929" s="821"/>
      <c r="AA929" s="821"/>
      <c r="AB929" s="821"/>
      <c r="AC929" s="821"/>
      <c r="AD929" s="821"/>
    </row>
    <row r="930" spans="16:30" x14ac:dyDescent="0.3">
      <c r="P930" s="821"/>
      <c r="Q930" s="821"/>
      <c r="R930" s="821"/>
      <c r="S930" s="821"/>
      <c r="T930" s="821"/>
      <c r="U930" s="821"/>
      <c r="V930" s="821"/>
      <c r="W930" s="821"/>
      <c r="X930" s="821"/>
      <c r="Y930" s="821"/>
      <c r="Z930" s="821"/>
      <c r="AA930" s="821"/>
      <c r="AB930" s="821"/>
      <c r="AC930" s="821"/>
      <c r="AD930" s="821"/>
    </row>
    <row r="931" spans="16:30" x14ac:dyDescent="0.3">
      <c r="P931" s="821"/>
      <c r="Q931" s="821"/>
      <c r="R931" s="821"/>
      <c r="S931" s="821"/>
      <c r="T931" s="821"/>
      <c r="U931" s="821"/>
      <c r="V931" s="821"/>
      <c r="W931" s="821"/>
      <c r="X931" s="821"/>
      <c r="Y931" s="821"/>
      <c r="Z931" s="821"/>
      <c r="AA931" s="821"/>
      <c r="AB931" s="821"/>
      <c r="AC931" s="821"/>
      <c r="AD931" s="821"/>
    </row>
    <row r="932" spans="16:30" x14ac:dyDescent="0.3">
      <c r="P932" s="821"/>
      <c r="Q932" s="821"/>
      <c r="R932" s="821"/>
      <c r="S932" s="821"/>
      <c r="T932" s="821"/>
      <c r="U932" s="821"/>
      <c r="V932" s="821"/>
      <c r="W932" s="821"/>
      <c r="X932" s="821"/>
      <c r="Y932" s="821"/>
      <c r="Z932" s="821"/>
      <c r="AA932" s="821"/>
      <c r="AB932" s="821"/>
      <c r="AC932" s="821"/>
      <c r="AD932" s="821"/>
    </row>
    <row r="933" spans="16:30" x14ac:dyDescent="0.3">
      <c r="P933" s="821"/>
      <c r="Q933" s="821"/>
      <c r="R933" s="821"/>
      <c r="S933" s="821"/>
      <c r="T933" s="821"/>
      <c r="U933" s="821"/>
      <c r="V933" s="821"/>
      <c r="W933" s="821"/>
      <c r="X933" s="821"/>
      <c r="Y933" s="821"/>
      <c r="Z933" s="821"/>
      <c r="AA933" s="821"/>
      <c r="AB933" s="821"/>
      <c r="AC933" s="821"/>
      <c r="AD933" s="821"/>
    </row>
    <row r="934" spans="16:30" x14ac:dyDescent="0.3">
      <c r="P934" s="821"/>
      <c r="Q934" s="821"/>
      <c r="R934" s="821"/>
      <c r="S934" s="821"/>
      <c r="T934" s="821"/>
      <c r="U934" s="821"/>
      <c r="V934" s="821"/>
      <c r="W934" s="821"/>
      <c r="X934" s="821"/>
      <c r="Y934" s="821"/>
      <c r="Z934" s="821"/>
      <c r="AA934" s="821"/>
      <c r="AB934" s="821"/>
      <c r="AC934" s="821"/>
      <c r="AD934" s="821"/>
    </row>
    <row r="935" spans="16:30" x14ac:dyDescent="0.3">
      <c r="P935" s="821"/>
      <c r="Q935" s="821"/>
      <c r="R935" s="821"/>
      <c r="S935" s="821"/>
      <c r="T935" s="821"/>
      <c r="U935" s="821"/>
      <c r="V935" s="821"/>
      <c r="W935" s="821"/>
      <c r="X935" s="821"/>
      <c r="Y935" s="821"/>
      <c r="Z935" s="821"/>
      <c r="AA935" s="821"/>
      <c r="AB935" s="821"/>
      <c r="AC935" s="821"/>
      <c r="AD935" s="821"/>
    </row>
    <row r="936" spans="16:30" x14ac:dyDescent="0.3">
      <c r="P936" s="821"/>
      <c r="Q936" s="821"/>
      <c r="R936" s="821"/>
      <c r="S936" s="821"/>
      <c r="T936" s="821"/>
      <c r="U936" s="821"/>
      <c r="V936" s="821"/>
      <c r="W936" s="821"/>
      <c r="X936" s="821"/>
      <c r="Y936" s="821"/>
      <c r="Z936" s="821"/>
      <c r="AA936" s="821"/>
      <c r="AB936" s="821"/>
      <c r="AC936" s="821"/>
      <c r="AD936" s="821"/>
    </row>
    <row r="937" spans="16:30" x14ac:dyDescent="0.3">
      <c r="P937" s="821"/>
      <c r="Q937" s="821"/>
      <c r="R937" s="821"/>
      <c r="S937" s="821"/>
      <c r="T937" s="821"/>
      <c r="U937" s="821"/>
      <c r="V937" s="821"/>
      <c r="W937" s="821"/>
      <c r="X937" s="821"/>
      <c r="Y937" s="821"/>
      <c r="Z937" s="821"/>
      <c r="AA937" s="821"/>
      <c r="AB937" s="821"/>
      <c r="AC937" s="821"/>
      <c r="AD937" s="821"/>
    </row>
    <row r="938" spans="16:30" x14ac:dyDescent="0.3">
      <c r="P938" s="821"/>
      <c r="Q938" s="821"/>
      <c r="R938" s="821"/>
      <c r="S938" s="821"/>
      <c r="T938" s="821"/>
      <c r="U938" s="821"/>
      <c r="V938" s="821"/>
      <c r="W938" s="821"/>
      <c r="X938" s="821"/>
      <c r="Y938" s="821"/>
      <c r="Z938" s="821"/>
      <c r="AA938" s="821"/>
      <c r="AB938" s="821"/>
      <c r="AC938" s="821"/>
      <c r="AD938" s="821"/>
    </row>
    <row r="939" spans="16:30" x14ac:dyDescent="0.3">
      <c r="P939" s="821"/>
      <c r="Q939" s="821"/>
      <c r="R939" s="821"/>
      <c r="S939" s="821"/>
      <c r="T939" s="821"/>
      <c r="U939" s="821"/>
      <c r="V939" s="821"/>
      <c r="W939" s="821"/>
      <c r="X939" s="821"/>
      <c r="Y939" s="821"/>
      <c r="Z939" s="821"/>
      <c r="AA939" s="821"/>
      <c r="AB939" s="821"/>
      <c r="AC939" s="821"/>
      <c r="AD939" s="821"/>
    </row>
    <row r="940" spans="16:30" x14ac:dyDescent="0.3">
      <c r="P940" s="821"/>
      <c r="Q940" s="821"/>
      <c r="R940" s="821"/>
      <c r="S940" s="821"/>
      <c r="T940" s="821"/>
      <c r="U940" s="821"/>
      <c r="V940" s="821"/>
      <c r="W940" s="821"/>
      <c r="X940" s="821"/>
      <c r="Y940" s="821"/>
      <c r="Z940" s="821"/>
      <c r="AA940" s="821"/>
      <c r="AB940" s="821"/>
      <c r="AC940" s="821"/>
      <c r="AD940" s="821"/>
    </row>
    <row r="941" spans="16:30" x14ac:dyDescent="0.3">
      <c r="P941" s="821"/>
      <c r="Q941" s="821"/>
      <c r="R941" s="821"/>
      <c r="S941" s="821"/>
      <c r="T941" s="821"/>
      <c r="U941" s="821"/>
      <c r="V941" s="821"/>
      <c r="W941" s="821"/>
      <c r="X941" s="821"/>
      <c r="Y941" s="821"/>
      <c r="Z941" s="821"/>
      <c r="AA941" s="821"/>
      <c r="AB941" s="821"/>
      <c r="AC941" s="821"/>
      <c r="AD941" s="821"/>
    </row>
    <row r="942" spans="16:30" x14ac:dyDescent="0.3">
      <c r="P942" s="821"/>
      <c r="Q942" s="821"/>
      <c r="R942" s="821"/>
      <c r="S942" s="821"/>
      <c r="T942" s="821"/>
      <c r="U942" s="821"/>
      <c r="V942" s="821"/>
      <c r="W942" s="821"/>
      <c r="X942" s="821"/>
      <c r="Y942" s="821"/>
      <c r="Z942" s="821"/>
      <c r="AA942" s="821"/>
      <c r="AB942" s="821"/>
      <c r="AC942" s="821"/>
      <c r="AD942" s="821"/>
    </row>
    <row r="943" spans="16:30" x14ac:dyDescent="0.3">
      <c r="P943" s="821"/>
      <c r="Q943" s="821"/>
      <c r="R943" s="821"/>
      <c r="S943" s="821"/>
      <c r="T943" s="821"/>
      <c r="U943" s="821"/>
      <c r="V943" s="821"/>
      <c r="W943" s="821"/>
      <c r="X943" s="821"/>
      <c r="Y943" s="821"/>
      <c r="Z943" s="821"/>
      <c r="AA943" s="821"/>
      <c r="AB943" s="821"/>
      <c r="AC943" s="821"/>
      <c r="AD943" s="821"/>
    </row>
    <row r="944" spans="16:30" x14ac:dyDescent="0.3">
      <c r="P944" s="821"/>
      <c r="Q944" s="821"/>
      <c r="R944" s="821"/>
      <c r="S944" s="821"/>
      <c r="T944" s="821"/>
      <c r="U944" s="821"/>
      <c r="V944" s="821"/>
      <c r="W944" s="821"/>
      <c r="X944" s="821"/>
      <c r="Y944" s="821"/>
      <c r="Z944" s="821"/>
      <c r="AA944" s="821"/>
      <c r="AB944" s="821"/>
      <c r="AC944" s="821"/>
      <c r="AD944" s="821"/>
    </row>
    <row r="945" spans="16:30" x14ac:dyDescent="0.3">
      <c r="P945" s="821"/>
      <c r="Q945" s="821"/>
      <c r="R945" s="821"/>
      <c r="S945" s="821"/>
      <c r="T945" s="821"/>
      <c r="U945" s="821"/>
      <c r="V945" s="821"/>
      <c r="W945" s="821"/>
      <c r="X945" s="821"/>
      <c r="Y945" s="821"/>
      <c r="Z945" s="821"/>
      <c r="AA945" s="821"/>
      <c r="AB945" s="821"/>
      <c r="AC945" s="821"/>
      <c r="AD945" s="821"/>
    </row>
    <row r="946" spans="16:30" x14ac:dyDescent="0.3">
      <c r="P946" s="821"/>
      <c r="Q946" s="821"/>
      <c r="R946" s="821"/>
      <c r="S946" s="821"/>
      <c r="T946" s="821"/>
      <c r="U946" s="821"/>
      <c r="V946" s="821"/>
      <c r="W946" s="821"/>
      <c r="X946" s="821"/>
      <c r="Y946" s="821"/>
      <c r="Z946" s="821"/>
      <c r="AA946" s="821"/>
      <c r="AB946" s="821"/>
      <c r="AC946" s="821"/>
      <c r="AD946" s="821"/>
    </row>
    <row r="947" spans="16:30" x14ac:dyDescent="0.3">
      <c r="P947" s="821"/>
      <c r="Q947" s="821"/>
      <c r="R947" s="821"/>
      <c r="S947" s="821"/>
      <c r="T947" s="821"/>
      <c r="U947" s="821"/>
      <c r="V947" s="821"/>
      <c r="W947" s="821"/>
      <c r="X947" s="821"/>
      <c r="Y947" s="821"/>
      <c r="Z947" s="821"/>
      <c r="AA947" s="821"/>
      <c r="AB947" s="821"/>
      <c r="AC947" s="821"/>
      <c r="AD947" s="821"/>
    </row>
    <row r="948" spans="16:30" x14ac:dyDescent="0.3">
      <c r="P948" s="821"/>
      <c r="Q948" s="821"/>
      <c r="R948" s="821"/>
      <c r="S948" s="821"/>
      <c r="T948" s="821"/>
      <c r="U948" s="821"/>
      <c r="V948" s="821"/>
      <c r="W948" s="821"/>
      <c r="X948" s="821"/>
      <c r="Y948" s="821"/>
      <c r="Z948" s="821"/>
      <c r="AA948" s="821"/>
      <c r="AB948" s="821"/>
      <c r="AC948" s="821"/>
      <c r="AD948" s="821"/>
    </row>
    <row r="949" spans="16:30" x14ac:dyDescent="0.3">
      <c r="P949" s="821"/>
      <c r="Q949" s="821"/>
      <c r="R949" s="821"/>
      <c r="S949" s="821"/>
      <c r="T949" s="821"/>
      <c r="U949" s="821"/>
      <c r="V949" s="821"/>
      <c r="W949" s="821"/>
      <c r="X949" s="821"/>
      <c r="Y949" s="821"/>
      <c r="Z949" s="821"/>
      <c r="AA949" s="821"/>
      <c r="AB949" s="821"/>
      <c r="AC949" s="821"/>
      <c r="AD949" s="821"/>
    </row>
    <row r="950" spans="16:30" x14ac:dyDescent="0.3">
      <c r="P950" s="821"/>
      <c r="Q950" s="821"/>
      <c r="R950" s="821"/>
      <c r="S950" s="821"/>
      <c r="T950" s="821"/>
      <c r="U950" s="821"/>
      <c r="V950" s="821"/>
      <c r="W950" s="821"/>
      <c r="X950" s="821"/>
      <c r="Y950" s="821"/>
      <c r="Z950" s="821"/>
      <c r="AA950" s="821"/>
      <c r="AB950" s="821"/>
      <c r="AC950" s="821"/>
      <c r="AD950" s="821"/>
    </row>
    <row r="951" spans="16:30" x14ac:dyDescent="0.3">
      <c r="P951" s="821"/>
      <c r="Q951" s="821"/>
      <c r="R951" s="821"/>
      <c r="S951" s="821"/>
      <c r="T951" s="821"/>
      <c r="U951" s="821"/>
      <c r="V951" s="821"/>
      <c r="W951" s="821"/>
      <c r="X951" s="821"/>
      <c r="Y951" s="821"/>
      <c r="Z951" s="821"/>
      <c r="AA951" s="821"/>
      <c r="AB951" s="821"/>
      <c r="AC951" s="821"/>
      <c r="AD951" s="821"/>
    </row>
    <row r="952" spans="16:30" x14ac:dyDescent="0.3">
      <c r="P952" s="821"/>
      <c r="Q952" s="821"/>
      <c r="R952" s="821"/>
      <c r="S952" s="821"/>
      <c r="T952" s="821"/>
      <c r="U952" s="821"/>
      <c r="V952" s="821"/>
      <c r="W952" s="821"/>
      <c r="X952" s="821"/>
      <c r="Y952" s="821"/>
      <c r="Z952" s="821"/>
      <c r="AA952" s="821"/>
      <c r="AB952" s="821"/>
      <c r="AC952" s="821"/>
      <c r="AD952" s="821"/>
    </row>
    <row r="953" spans="16:30" x14ac:dyDescent="0.3">
      <c r="P953" s="821"/>
      <c r="Q953" s="821"/>
      <c r="R953" s="821"/>
      <c r="S953" s="821"/>
      <c r="T953" s="821"/>
      <c r="U953" s="821"/>
      <c r="V953" s="821"/>
      <c r="W953" s="821"/>
      <c r="X953" s="821"/>
      <c r="Y953" s="821"/>
      <c r="Z953" s="821"/>
      <c r="AA953" s="821"/>
      <c r="AB953" s="821"/>
      <c r="AC953" s="821"/>
      <c r="AD953" s="821"/>
    </row>
    <row r="954" spans="16:30" x14ac:dyDescent="0.3">
      <c r="P954" s="821"/>
      <c r="Q954" s="821"/>
      <c r="R954" s="821"/>
      <c r="S954" s="821"/>
      <c r="T954" s="821"/>
      <c r="U954" s="821"/>
      <c r="V954" s="821"/>
      <c r="W954" s="821"/>
      <c r="X954" s="821"/>
      <c r="Y954" s="821"/>
      <c r="Z954" s="821"/>
      <c r="AA954" s="821"/>
      <c r="AB954" s="821"/>
      <c r="AC954" s="821"/>
      <c r="AD954" s="821"/>
    </row>
    <row r="955" spans="16:30" x14ac:dyDescent="0.3">
      <c r="P955" s="821"/>
      <c r="Q955" s="821"/>
      <c r="R955" s="821"/>
      <c r="S955" s="821"/>
      <c r="T955" s="821"/>
      <c r="U955" s="821"/>
      <c r="V955" s="821"/>
      <c r="W955" s="821"/>
      <c r="X955" s="821"/>
      <c r="Y955" s="821"/>
      <c r="Z955" s="821"/>
      <c r="AA955" s="821"/>
      <c r="AB955" s="821"/>
      <c r="AC955" s="821"/>
      <c r="AD955" s="821"/>
    </row>
    <row r="956" spans="16:30" x14ac:dyDescent="0.3">
      <c r="P956" s="821"/>
      <c r="Q956" s="821"/>
      <c r="R956" s="821"/>
      <c r="S956" s="821"/>
      <c r="T956" s="821"/>
      <c r="U956" s="821"/>
      <c r="V956" s="821"/>
      <c r="W956" s="821"/>
      <c r="X956" s="821"/>
      <c r="Y956" s="821"/>
      <c r="Z956" s="821"/>
      <c r="AA956" s="821"/>
      <c r="AB956" s="821"/>
      <c r="AC956" s="821"/>
      <c r="AD956" s="821"/>
    </row>
    <row r="957" spans="16:30" x14ac:dyDescent="0.3">
      <c r="P957" s="821"/>
      <c r="Q957" s="821"/>
      <c r="R957" s="821"/>
      <c r="S957" s="821"/>
      <c r="T957" s="821"/>
      <c r="U957" s="821"/>
      <c r="V957" s="821"/>
      <c r="W957" s="821"/>
      <c r="X957" s="821"/>
      <c r="Y957" s="821"/>
      <c r="Z957" s="821"/>
      <c r="AA957" s="821"/>
      <c r="AB957" s="821"/>
      <c r="AC957" s="821"/>
      <c r="AD957" s="821"/>
    </row>
    <row r="958" spans="16:30" x14ac:dyDescent="0.3">
      <c r="P958" s="821"/>
      <c r="Q958" s="821"/>
      <c r="R958" s="821"/>
      <c r="S958" s="821"/>
      <c r="T958" s="821"/>
      <c r="U958" s="821"/>
      <c r="V958" s="821"/>
      <c r="W958" s="821"/>
      <c r="X958" s="821"/>
      <c r="Y958" s="821"/>
      <c r="Z958" s="821"/>
      <c r="AA958" s="821"/>
      <c r="AB958" s="821"/>
      <c r="AC958" s="821"/>
      <c r="AD958" s="821"/>
    </row>
    <row r="959" spans="16:30" x14ac:dyDescent="0.3">
      <c r="P959" s="821"/>
      <c r="Q959" s="821"/>
      <c r="R959" s="821"/>
      <c r="S959" s="821"/>
      <c r="T959" s="821"/>
      <c r="U959" s="821"/>
      <c r="V959" s="821"/>
      <c r="W959" s="821"/>
      <c r="X959" s="821"/>
      <c r="Y959" s="821"/>
      <c r="Z959" s="821"/>
      <c r="AA959" s="821"/>
      <c r="AB959" s="821"/>
      <c r="AC959" s="821"/>
      <c r="AD959" s="821"/>
    </row>
    <row r="960" spans="16:30" x14ac:dyDescent="0.3">
      <c r="P960" s="821"/>
      <c r="Q960" s="821"/>
      <c r="R960" s="821"/>
      <c r="S960" s="821"/>
      <c r="T960" s="821"/>
      <c r="U960" s="821"/>
      <c r="V960" s="821"/>
      <c r="W960" s="821"/>
      <c r="X960" s="821"/>
      <c r="Y960" s="821"/>
      <c r="Z960" s="821"/>
      <c r="AA960" s="821"/>
      <c r="AB960" s="821"/>
      <c r="AC960" s="821"/>
      <c r="AD960" s="821"/>
    </row>
    <row r="961" spans="16:30" x14ac:dyDescent="0.3">
      <c r="P961" s="821"/>
      <c r="Q961" s="821"/>
      <c r="R961" s="821"/>
      <c r="S961" s="821"/>
      <c r="T961" s="821"/>
      <c r="U961" s="821"/>
      <c r="V961" s="821"/>
      <c r="W961" s="821"/>
      <c r="X961" s="821"/>
      <c r="Y961" s="821"/>
      <c r="Z961" s="821"/>
      <c r="AA961" s="821"/>
      <c r="AB961" s="821"/>
      <c r="AC961" s="821"/>
      <c r="AD961" s="821"/>
    </row>
    <row r="962" spans="16:30" x14ac:dyDescent="0.3">
      <c r="P962" s="821"/>
      <c r="Q962" s="821"/>
      <c r="R962" s="821"/>
      <c r="S962" s="821"/>
      <c r="T962" s="821"/>
      <c r="U962" s="821"/>
      <c r="V962" s="821"/>
      <c r="W962" s="821"/>
      <c r="X962" s="821"/>
      <c r="Y962" s="821"/>
      <c r="Z962" s="821"/>
      <c r="AA962" s="821"/>
      <c r="AB962" s="821"/>
      <c r="AC962" s="821"/>
      <c r="AD962" s="821"/>
    </row>
    <row r="963" spans="16:30" x14ac:dyDescent="0.3">
      <c r="P963" s="821"/>
      <c r="Q963" s="821"/>
      <c r="R963" s="821"/>
      <c r="S963" s="821"/>
      <c r="T963" s="821"/>
      <c r="U963" s="821"/>
      <c r="V963" s="821"/>
      <c r="W963" s="821"/>
      <c r="X963" s="821"/>
      <c r="Y963" s="821"/>
      <c r="Z963" s="821"/>
      <c r="AA963" s="821"/>
      <c r="AB963" s="821"/>
      <c r="AC963" s="821"/>
      <c r="AD963" s="821"/>
    </row>
    <row r="964" spans="16:30" x14ac:dyDescent="0.3">
      <c r="P964" s="821"/>
      <c r="Q964" s="821"/>
      <c r="R964" s="821"/>
      <c r="S964" s="821"/>
      <c r="T964" s="821"/>
      <c r="U964" s="821"/>
      <c r="V964" s="821"/>
      <c r="W964" s="821"/>
      <c r="X964" s="821"/>
      <c r="Y964" s="821"/>
      <c r="Z964" s="821"/>
      <c r="AA964" s="821"/>
      <c r="AB964" s="821"/>
      <c r="AC964" s="821"/>
      <c r="AD964" s="821"/>
    </row>
    <row r="965" spans="16:30" x14ac:dyDescent="0.3">
      <c r="P965" s="821"/>
      <c r="Q965" s="821"/>
      <c r="R965" s="821"/>
      <c r="S965" s="821"/>
      <c r="T965" s="821"/>
      <c r="U965" s="821"/>
      <c r="V965" s="821"/>
      <c r="W965" s="821"/>
      <c r="X965" s="821"/>
      <c r="Y965" s="821"/>
      <c r="Z965" s="821"/>
      <c r="AA965" s="821"/>
      <c r="AB965" s="821"/>
      <c r="AC965" s="821"/>
      <c r="AD965" s="821"/>
    </row>
    <row r="966" spans="16:30" x14ac:dyDescent="0.3">
      <c r="P966" s="821"/>
      <c r="Q966" s="821"/>
      <c r="R966" s="821"/>
      <c r="S966" s="821"/>
      <c r="T966" s="821"/>
      <c r="U966" s="821"/>
      <c r="V966" s="821"/>
      <c r="W966" s="821"/>
      <c r="X966" s="821"/>
      <c r="Y966" s="821"/>
      <c r="Z966" s="821"/>
      <c r="AA966" s="821"/>
      <c r="AB966" s="821"/>
      <c r="AC966" s="821"/>
      <c r="AD966" s="821"/>
    </row>
    <row r="967" spans="16:30" x14ac:dyDescent="0.3">
      <c r="P967" s="821"/>
      <c r="Q967" s="821"/>
      <c r="R967" s="821"/>
      <c r="S967" s="821"/>
      <c r="T967" s="821"/>
      <c r="U967" s="821"/>
      <c r="V967" s="821"/>
      <c r="W967" s="821"/>
      <c r="X967" s="821"/>
      <c r="Y967" s="821"/>
      <c r="Z967" s="821"/>
      <c r="AA967" s="821"/>
      <c r="AB967" s="821"/>
      <c r="AC967" s="821"/>
      <c r="AD967" s="821"/>
    </row>
    <row r="968" spans="16:30" x14ac:dyDescent="0.3">
      <c r="P968" s="821"/>
      <c r="Q968" s="821"/>
      <c r="R968" s="821"/>
      <c r="S968" s="821"/>
      <c r="T968" s="821"/>
      <c r="U968" s="821"/>
      <c r="V968" s="821"/>
      <c r="W968" s="821"/>
      <c r="X968" s="821"/>
      <c r="Y968" s="821"/>
      <c r="Z968" s="821"/>
      <c r="AA968" s="821"/>
      <c r="AB968" s="821"/>
      <c r="AC968" s="821"/>
      <c r="AD968" s="821"/>
    </row>
    <row r="969" spans="16:30" x14ac:dyDescent="0.3">
      <c r="P969" s="821"/>
      <c r="Q969" s="821"/>
      <c r="R969" s="821"/>
      <c r="S969" s="821"/>
      <c r="T969" s="821"/>
      <c r="U969" s="821"/>
      <c r="V969" s="821"/>
      <c r="W969" s="821"/>
      <c r="X969" s="821"/>
      <c r="Y969" s="821"/>
      <c r="Z969" s="821"/>
      <c r="AA969" s="821"/>
      <c r="AB969" s="821"/>
      <c r="AC969" s="821"/>
      <c r="AD969" s="821"/>
    </row>
    <row r="970" spans="16:30" x14ac:dyDescent="0.3">
      <c r="P970" s="821"/>
      <c r="Q970" s="821"/>
      <c r="R970" s="821"/>
      <c r="S970" s="821"/>
      <c r="T970" s="821"/>
      <c r="U970" s="821"/>
      <c r="V970" s="821"/>
      <c r="W970" s="821"/>
      <c r="X970" s="821"/>
      <c r="Y970" s="821"/>
      <c r="Z970" s="821"/>
      <c r="AA970" s="821"/>
      <c r="AB970" s="821"/>
      <c r="AC970" s="821"/>
      <c r="AD970" s="821"/>
    </row>
    <row r="971" spans="16:30" x14ac:dyDescent="0.3">
      <c r="P971" s="821"/>
      <c r="Q971" s="821"/>
      <c r="R971" s="821"/>
      <c r="S971" s="821"/>
      <c r="T971" s="821"/>
      <c r="U971" s="821"/>
      <c r="V971" s="821"/>
      <c r="W971" s="821"/>
      <c r="X971" s="821"/>
      <c r="Y971" s="821"/>
      <c r="Z971" s="821"/>
      <c r="AA971" s="821"/>
      <c r="AB971" s="821"/>
      <c r="AC971" s="821"/>
      <c r="AD971" s="821"/>
    </row>
    <row r="972" spans="16:30" x14ac:dyDescent="0.3">
      <c r="P972" s="821"/>
      <c r="Q972" s="821"/>
      <c r="R972" s="821"/>
      <c r="S972" s="821"/>
      <c r="T972" s="821"/>
      <c r="U972" s="821"/>
      <c r="V972" s="821"/>
      <c r="W972" s="821"/>
      <c r="X972" s="821"/>
      <c r="Y972" s="821"/>
      <c r="Z972" s="821"/>
      <c r="AA972" s="821"/>
      <c r="AB972" s="821"/>
      <c r="AC972" s="821"/>
      <c r="AD972" s="821"/>
    </row>
    <row r="973" spans="16:30" x14ac:dyDescent="0.3">
      <c r="P973" s="821"/>
      <c r="Q973" s="821"/>
      <c r="R973" s="821"/>
      <c r="S973" s="821"/>
      <c r="T973" s="821"/>
      <c r="U973" s="821"/>
      <c r="V973" s="821"/>
      <c r="W973" s="821"/>
      <c r="X973" s="821"/>
      <c r="Y973" s="821"/>
      <c r="Z973" s="821"/>
      <c r="AA973" s="821"/>
      <c r="AB973" s="821"/>
      <c r="AC973" s="821"/>
      <c r="AD973" s="821"/>
    </row>
    <row r="974" spans="16:30" x14ac:dyDescent="0.3">
      <c r="P974" s="821"/>
      <c r="Q974" s="821"/>
      <c r="R974" s="821"/>
      <c r="S974" s="821"/>
      <c r="T974" s="821"/>
      <c r="U974" s="821"/>
      <c r="V974" s="821"/>
      <c r="W974" s="821"/>
      <c r="X974" s="821"/>
      <c r="Y974" s="821"/>
      <c r="Z974" s="821"/>
      <c r="AA974" s="821"/>
      <c r="AB974" s="821"/>
      <c r="AC974" s="821"/>
      <c r="AD974" s="821"/>
    </row>
    <row r="975" spans="16:30" x14ac:dyDescent="0.3">
      <c r="P975" s="821"/>
      <c r="Q975" s="821"/>
      <c r="R975" s="821"/>
      <c r="S975" s="821"/>
      <c r="T975" s="821"/>
      <c r="U975" s="821"/>
      <c r="V975" s="821"/>
      <c r="W975" s="821"/>
      <c r="X975" s="821"/>
      <c r="Y975" s="821"/>
      <c r="Z975" s="821"/>
      <c r="AA975" s="821"/>
      <c r="AB975" s="821"/>
      <c r="AC975" s="821"/>
      <c r="AD975" s="821"/>
    </row>
    <row r="976" spans="16:30" x14ac:dyDescent="0.3">
      <c r="P976" s="821"/>
      <c r="Q976" s="821"/>
      <c r="R976" s="821"/>
      <c r="S976" s="821"/>
      <c r="T976" s="821"/>
      <c r="U976" s="821"/>
      <c r="V976" s="821"/>
      <c r="W976" s="821"/>
      <c r="X976" s="821"/>
      <c r="Y976" s="821"/>
      <c r="Z976" s="821"/>
      <c r="AA976" s="821"/>
      <c r="AB976" s="821"/>
      <c r="AC976" s="821"/>
      <c r="AD976" s="821"/>
    </row>
    <row r="977" spans="16:30" x14ac:dyDescent="0.3">
      <c r="P977" s="821"/>
      <c r="Q977" s="821"/>
      <c r="R977" s="821"/>
      <c r="S977" s="821"/>
      <c r="T977" s="821"/>
      <c r="U977" s="821"/>
      <c r="V977" s="821"/>
      <c r="W977" s="821"/>
      <c r="X977" s="821"/>
      <c r="Y977" s="821"/>
      <c r="Z977" s="821"/>
      <c r="AA977" s="821"/>
      <c r="AB977" s="821"/>
      <c r="AC977" s="821"/>
      <c r="AD977" s="821"/>
    </row>
    <row r="978" spans="16:30" x14ac:dyDescent="0.3">
      <c r="P978" s="821"/>
      <c r="Q978" s="821"/>
      <c r="R978" s="821"/>
      <c r="S978" s="821"/>
      <c r="T978" s="821"/>
      <c r="U978" s="821"/>
      <c r="V978" s="821"/>
      <c r="W978" s="821"/>
      <c r="X978" s="821"/>
      <c r="Y978" s="821"/>
      <c r="Z978" s="821"/>
      <c r="AA978" s="821"/>
      <c r="AB978" s="821"/>
      <c r="AC978" s="821"/>
      <c r="AD978" s="821"/>
    </row>
    <row r="979" spans="16:30" x14ac:dyDescent="0.3">
      <c r="P979" s="821"/>
      <c r="Q979" s="821"/>
      <c r="R979" s="821"/>
      <c r="S979" s="821"/>
      <c r="T979" s="821"/>
      <c r="U979" s="821"/>
      <c r="V979" s="821"/>
      <c r="W979" s="821"/>
      <c r="X979" s="821"/>
      <c r="Y979" s="821"/>
      <c r="Z979" s="821"/>
      <c r="AA979" s="821"/>
      <c r="AB979" s="821"/>
      <c r="AC979" s="821"/>
      <c r="AD979" s="821"/>
    </row>
    <row r="980" spans="16:30" x14ac:dyDescent="0.3">
      <c r="P980" s="821"/>
      <c r="Q980" s="821"/>
      <c r="R980" s="821"/>
      <c r="S980" s="821"/>
      <c r="T980" s="821"/>
      <c r="U980" s="821"/>
      <c r="V980" s="821"/>
      <c r="W980" s="821"/>
      <c r="X980" s="821"/>
      <c r="Y980" s="821"/>
      <c r="Z980" s="821"/>
      <c r="AA980" s="821"/>
      <c r="AB980" s="821"/>
      <c r="AC980" s="821"/>
      <c r="AD980" s="821"/>
    </row>
    <row r="981" spans="16:30" x14ac:dyDescent="0.3">
      <c r="P981" s="821"/>
      <c r="Q981" s="821"/>
      <c r="R981" s="821"/>
      <c r="S981" s="821"/>
      <c r="T981" s="821"/>
      <c r="U981" s="821"/>
      <c r="V981" s="821"/>
      <c r="W981" s="821"/>
      <c r="X981" s="821"/>
      <c r="Y981" s="821"/>
      <c r="Z981" s="821"/>
      <c r="AA981" s="821"/>
      <c r="AB981" s="821"/>
      <c r="AC981" s="821"/>
      <c r="AD981" s="821"/>
    </row>
    <row r="982" spans="16:30" x14ac:dyDescent="0.3">
      <c r="P982" s="821"/>
      <c r="Q982" s="821"/>
      <c r="R982" s="821"/>
      <c r="S982" s="821"/>
      <c r="T982" s="821"/>
      <c r="U982" s="821"/>
      <c r="V982" s="821"/>
      <c r="W982" s="821"/>
      <c r="X982" s="821"/>
      <c r="Y982" s="821"/>
      <c r="Z982" s="821"/>
      <c r="AA982" s="821"/>
      <c r="AB982" s="821"/>
      <c r="AC982" s="821"/>
      <c r="AD982" s="821"/>
    </row>
    <row r="983" spans="16:30" x14ac:dyDescent="0.3">
      <c r="P983" s="821"/>
      <c r="Q983" s="821"/>
      <c r="R983" s="821"/>
      <c r="S983" s="821"/>
      <c r="T983" s="821"/>
      <c r="U983" s="821"/>
      <c r="V983" s="821"/>
      <c r="W983" s="821"/>
      <c r="X983" s="821"/>
      <c r="Y983" s="821"/>
      <c r="Z983" s="821"/>
      <c r="AA983" s="821"/>
      <c r="AB983" s="821"/>
      <c r="AC983" s="821"/>
      <c r="AD983" s="821"/>
    </row>
  </sheetData>
  <mergeCells count="3">
    <mergeCell ref="AZ1:BC1"/>
    <mergeCell ref="P1:Y1"/>
    <mergeCell ref="AS1:AV1"/>
  </mergeCells>
  <phoneticPr fontId="62" type="noConversion"/>
  <conditionalFormatting sqref="F1:F1048576">
    <cfRule type="duplicateValues" dxfId="123" priority="19"/>
  </conditionalFormatting>
  <conditionalFormatting sqref="BA254:BA271 AZ272:AZ1048576">
    <cfRule type="cellIs" dxfId="122" priority="3" operator="lessThan">
      <formula>-1</formula>
    </cfRule>
  </conditionalFormatting>
  <pageMargins left="0.7" right="0.7" top="0.75" bottom="0.75" header="0.3" footer="0.3"/>
  <pageSetup paperSize="9" orientation="portrait" r:id="rId1"/>
  <headerFooter>
    <oddFooter>&amp;C_x000D_&amp;1#&amp;"Helvetica 75 Bold"&amp;8&amp;KED7D31 Orange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10" r:id="rId4" name="Button 42">
              <controlPr defaultSize="0" print="0" autoFill="0" autoPict="0" macro="[0]!SynchroniserCouleurs_SansBug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640080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3"/>
  <dimension ref="A1:XAP377"/>
  <sheetViews>
    <sheetView topLeftCell="A4" workbookViewId="0">
      <selection activeCell="C65" sqref="C65"/>
    </sheetView>
  </sheetViews>
  <sheetFormatPr defaultColWidth="11.44140625" defaultRowHeight="15.6" outlineLevelCol="5" x14ac:dyDescent="0.3"/>
  <cols>
    <col min="1" max="1" width="13.109375" style="1" bestFit="1" customWidth="1"/>
    <col min="2" max="2" width="22.6640625" style="1" bestFit="1" customWidth="1"/>
    <col min="3" max="3" width="27.88671875" style="5" bestFit="1" customWidth="1"/>
    <col min="4" max="52" width="27.88671875" style="964" customWidth="1"/>
    <col min="53" max="172" width="27.88671875" style="5" customWidth="1"/>
    <col min="173" max="173" width="22.6640625" style="5" customWidth="1"/>
    <col min="174" max="174" width="18.44140625" style="5" customWidth="1"/>
    <col min="175" max="175" width="22" style="5" customWidth="1"/>
    <col min="176" max="176" width="20.33203125" style="5" customWidth="1"/>
    <col min="177" max="177" width="21.44140625" style="5" customWidth="1"/>
    <col min="178" max="178" width="27.88671875" style="5" hidden="1" customWidth="1"/>
    <col min="179" max="179" width="21.88671875" style="5" hidden="1" customWidth="1"/>
    <col min="180" max="180" width="20.88671875" style="5" hidden="1" customWidth="1"/>
    <col min="181" max="181" width="22.88671875" style="5" hidden="1" customWidth="1"/>
    <col min="182" max="182" width="19.5546875" style="5" hidden="1" customWidth="1"/>
    <col min="183" max="183" width="23.44140625" style="5" hidden="1" customWidth="1"/>
    <col min="184" max="185" width="27.88671875" style="5" hidden="1" customWidth="1"/>
    <col min="186" max="186" width="18.5546875" style="5" hidden="1" customWidth="1"/>
    <col min="187" max="189" width="27.88671875" style="5" hidden="1" customWidth="1"/>
    <col min="190" max="190" width="28.44140625" style="5" hidden="1" customWidth="1"/>
    <col min="191" max="191" width="24" style="5" hidden="1" customWidth="1"/>
    <col min="192" max="192" width="21.109375" style="5" hidden="1" customWidth="1"/>
    <col min="193" max="193" width="23.33203125" style="5" hidden="1" customWidth="1"/>
    <col min="194" max="194" width="22" style="5" hidden="1" customWidth="1"/>
    <col min="195" max="195" width="21.5546875" style="5" hidden="1" customWidth="1"/>
    <col min="196" max="200" width="27.88671875" style="5" hidden="1" customWidth="1"/>
    <col min="201" max="201" width="23.33203125" style="5" hidden="1" customWidth="1"/>
    <col min="202" max="204" width="27.88671875" style="5" hidden="1" customWidth="1"/>
    <col min="205" max="205" width="22.44140625" style="5" hidden="1" customWidth="1"/>
    <col min="206" max="206" width="27.88671875" style="5" hidden="1" customWidth="1"/>
    <col min="207" max="207" width="26.5546875" style="5" hidden="1" customWidth="1"/>
    <col min="208" max="213" width="27.88671875" style="5" hidden="1" customWidth="1"/>
    <col min="214" max="214" width="27.88671875" style="5" hidden="1" customWidth="1" outlineLevel="1"/>
    <col min="215" max="215" width="23.5546875" style="5" hidden="1" customWidth="1" outlineLevel="1"/>
    <col min="216" max="217" width="27.88671875" style="5" hidden="1" customWidth="1" outlineLevel="1"/>
    <col min="218" max="218" width="21.88671875" style="5" hidden="1" customWidth="1" outlineLevel="1"/>
    <col min="219" max="219" width="27.88671875" style="5" hidden="1" customWidth="1" outlineLevel="1"/>
    <col min="220" max="220" width="19.44140625" style="5" hidden="1" customWidth="1" outlineLevel="1"/>
    <col min="221" max="221" width="24.5546875" style="5" hidden="1" customWidth="1" outlineLevel="1"/>
    <col min="222" max="222" width="17" style="5" hidden="1" customWidth="1" outlineLevel="1"/>
    <col min="223" max="223" width="20.109375" style="5" hidden="1" customWidth="1" outlineLevel="1"/>
    <col min="224" max="224" width="14.88671875" style="5" hidden="1" customWidth="1" outlineLevel="1"/>
    <col min="225" max="225" width="21.88671875" style="5" hidden="1" customWidth="1" outlineLevel="1"/>
    <col min="226" max="226" width="15.109375" style="5" hidden="1" customWidth="1" outlineLevel="1"/>
    <col min="227" max="227" width="22.88671875" style="5" hidden="1" customWidth="1" outlineLevel="1"/>
    <col min="228" max="228" width="13.5546875" style="5" hidden="1" customWidth="1" outlineLevel="1"/>
    <col min="229" max="235" width="27.88671875" style="5" hidden="1" customWidth="1" outlineLevel="1"/>
    <col min="236" max="236" width="22" style="5" hidden="1" customWidth="1" outlineLevel="1"/>
    <col min="237" max="237" width="27.88671875" style="5" hidden="1" customWidth="1" outlineLevel="2"/>
    <col min="238" max="238" width="22" style="5" hidden="1" customWidth="1" outlineLevel="2"/>
    <col min="239" max="239" width="27.88671875" style="5" hidden="1" customWidth="1" outlineLevel="3"/>
    <col min="240" max="240" width="18.88671875" style="5" hidden="1" customWidth="1" outlineLevel="3"/>
    <col min="241" max="241" width="27.88671875" style="5" hidden="1" customWidth="1" outlineLevel="4"/>
    <col min="242" max="242" width="18.5546875" style="5" hidden="1" customWidth="1" outlineLevel="4"/>
    <col min="243" max="243" width="39.33203125" style="6" hidden="1" customWidth="1" outlineLevel="4"/>
    <col min="244" max="244" width="14.5546875" style="22" hidden="1" customWidth="1" outlineLevel="4"/>
    <col min="245" max="245" width="37.6640625" style="6" hidden="1" customWidth="1" outlineLevel="5"/>
    <col min="246" max="246" width="14.5546875" style="22" hidden="1" customWidth="1" outlineLevel="5"/>
    <col min="247" max="247" width="30.88671875" style="6" hidden="1" customWidth="1" outlineLevel="5"/>
    <col min="248" max="248" width="15.6640625" style="22" hidden="1" customWidth="1" outlineLevel="5"/>
    <col min="249" max="249" width="30.88671875" style="6" hidden="1" customWidth="1" outlineLevel="5"/>
    <col min="250" max="250" width="15.6640625" style="22" hidden="1" customWidth="1" outlineLevel="5"/>
    <col min="251" max="251" width="30.88671875" style="6" hidden="1" customWidth="1" outlineLevel="5"/>
    <col min="252" max="252" width="15.6640625" style="22" hidden="1" customWidth="1" outlineLevel="5"/>
    <col min="253" max="253" width="37.88671875" style="31" customWidth="1" collapsed="1"/>
    <col min="254" max="254" width="25.5546875" style="5" bestFit="1" customWidth="1"/>
    <col min="255" max="255" width="20.6640625" style="9" customWidth="1"/>
    <col min="256" max="256" width="13" style="4" hidden="1" customWidth="1" outlineLevel="1"/>
    <col min="257" max="257" width="16.33203125" style="4" hidden="1" customWidth="1" outlineLevel="1"/>
    <col min="258" max="259" width="11.44140625" style="4" hidden="1" customWidth="1" outlineLevel="1"/>
    <col min="260" max="262" width="15" style="4" hidden="1" customWidth="1" outlineLevel="1"/>
    <col min="263" max="263" width="11.44140625" style="4" collapsed="1"/>
    <col min="264" max="16384" width="11.44140625" style="4"/>
  </cols>
  <sheetData>
    <row r="1" spans="1:259" ht="15.75" hidden="1" customHeight="1" x14ac:dyDescent="0.3"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</row>
    <row r="2" spans="1:259" ht="15.75" hidden="1" customHeight="1" x14ac:dyDescent="0.3"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IJ2" s="7"/>
      <c r="IL2" s="7"/>
      <c r="IN2" s="7"/>
      <c r="IP2" s="7"/>
      <c r="IR2" s="7"/>
      <c r="IS2" s="8"/>
    </row>
    <row r="3" spans="1:259" ht="15.75" hidden="1" customHeight="1" x14ac:dyDescent="0.3"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IJ3" s="7"/>
      <c r="IL3" s="7"/>
      <c r="IN3" s="7"/>
      <c r="IP3" s="7"/>
      <c r="IR3" s="7"/>
      <c r="IS3" s="8"/>
    </row>
    <row r="4" spans="1:259" ht="48.6" customHeight="1" x14ac:dyDescent="0.3"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IJ4" s="7"/>
      <c r="IL4" s="7"/>
      <c r="IN4" s="7"/>
      <c r="IP4" s="7"/>
      <c r="IR4" s="7"/>
      <c r="IS4" s="8"/>
    </row>
    <row r="5" spans="1:259" x14ac:dyDescent="0.3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IJ5" s="7"/>
      <c r="IL5" s="7"/>
      <c r="IN5" s="7"/>
      <c r="IP5" s="7"/>
      <c r="IR5" s="7"/>
      <c r="IS5" s="8"/>
    </row>
    <row r="6" spans="1:259" ht="17.399999999999999" x14ac:dyDescent="0.3">
      <c r="C6" s="10" t="s">
        <v>3815</v>
      </c>
      <c r="D6" s="32" t="s">
        <v>3212</v>
      </c>
      <c r="E6" s="10"/>
      <c r="F6" s="10"/>
      <c r="G6" s="10"/>
      <c r="H6" s="10"/>
      <c r="I6" s="10"/>
      <c r="J6" s="4"/>
      <c r="K6" s="10"/>
      <c r="L6" s="10"/>
      <c r="M6" s="4"/>
      <c r="N6" s="10"/>
      <c r="O6" s="10"/>
      <c r="P6" s="32"/>
      <c r="Q6" s="10"/>
      <c r="R6" s="10"/>
      <c r="S6" s="32"/>
      <c r="T6" s="10"/>
      <c r="U6" s="10"/>
      <c r="V6" s="32"/>
      <c r="W6" s="10"/>
      <c r="X6" s="10"/>
      <c r="Y6" s="4"/>
      <c r="Z6" s="4"/>
      <c r="AA6" s="10"/>
      <c r="AB6" s="4"/>
      <c r="AC6" s="33"/>
      <c r="AD6" s="10"/>
      <c r="AE6" s="32"/>
      <c r="AF6" s="33"/>
      <c r="AG6" s="10"/>
      <c r="AH6" s="32"/>
      <c r="AI6" s="33"/>
      <c r="AJ6" s="10"/>
      <c r="AK6" s="4"/>
      <c r="AL6" s="4"/>
      <c r="AM6" s="10"/>
      <c r="AN6" s="32"/>
      <c r="AO6" s="33"/>
      <c r="AP6" s="10"/>
      <c r="AQ6" s="32"/>
      <c r="AR6" s="33"/>
      <c r="AS6" s="10"/>
      <c r="AT6" s="32"/>
      <c r="AU6" s="33"/>
      <c r="AV6" s="10"/>
      <c r="AW6" s="4"/>
      <c r="AX6" s="4"/>
      <c r="AY6" s="10"/>
      <c r="AZ6" s="32"/>
      <c r="BA6" s="33"/>
      <c r="BB6" s="10"/>
      <c r="BC6" s="32"/>
      <c r="BD6" s="33"/>
      <c r="BE6" s="10"/>
      <c r="BF6" s="32"/>
      <c r="BG6" s="33"/>
      <c r="BH6" s="10"/>
      <c r="BI6" s="32"/>
      <c r="BJ6" s="33"/>
      <c r="BK6" s="33"/>
      <c r="BL6" s="32"/>
      <c r="BM6" s="33"/>
      <c r="BN6" s="33"/>
      <c r="BO6" s="32"/>
      <c r="BP6" s="10"/>
      <c r="BQ6" s="10"/>
      <c r="BR6" s="32"/>
      <c r="BS6" s="10"/>
      <c r="BT6" s="10"/>
      <c r="BU6" s="32"/>
      <c r="BV6" s="10"/>
      <c r="BW6" s="10"/>
      <c r="BX6" s="32"/>
      <c r="BY6" s="10"/>
      <c r="BZ6" s="10"/>
      <c r="CA6" s="32"/>
      <c r="CB6" s="10"/>
      <c r="CC6" s="10"/>
      <c r="CD6" s="32"/>
      <c r="CE6" s="10"/>
      <c r="CF6" s="10"/>
      <c r="CG6" s="32"/>
      <c r="CH6" s="10"/>
      <c r="CI6" s="10"/>
      <c r="CJ6" s="32"/>
      <c r="CK6" s="10"/>
      <c r="CL6" s="10"/>
      <c r="CM6" s="32"/>
      <c r="CN6" s="10"/>
      <c r="CO6" s="10"/>
      <c r="CP6" s="32"/>
      <c r="CQ6" s="10"/>
      <c r="CR6" s="10"/>
      <c r="CS6" s="32"/>
      <c r="CT6" s="10"/>
      <c r="CU6" s="10"/>
      <c r="CV6" s="32"/>
      <c r="CW6" s="10"/>
      <c r="CX6" s="10"/>
      <c r="CY6" s="32"/>
      <c r="CZ6" s="10"/>
      <c r="DA6" s="10"/>
      <c r="DB6" s="32"/>
      <c r="DC6" s="10"/>
      <c r="DD6" s="10"/>
      <c r="DE6" s="32"/>
      <c r="DF6" s="10"/>
      <c r="DG6" s="10"/>
      <c r="DH6" s="32"/>
      <c r="DI6" s="10"/>
      <c r="DJ6" s="10"/>
      <c r="DK6" s="32"/>
      <c r="DL6" s="10"/>
      <c r="DM6" s="10"/>
      <c r="DN6" s="32"/>
      <c r="DO6" s="10"/>
      <c r="DP6" s="10"/>
      <c r="DQ6" s="32"/>
      <c r="DR6" s="10"/>
      <c r="DS6" s="10"/>
      <c r="DT6" s="32"/>
      <c r="DU6" s="10"/>
      <c r="DV6" s="10"/>
      <c r="DW6" s="32"/>
      <c r="DX6" s="10"/>
      <c r="DY6" s="10"/>
      <c r="DZ6" s="32"/>
      <c r="EA6" s="10"/>
      <c r="EB6" s="10"/>
      <c r="EC6" s="32"/>
      <c r="ED6" s="10"/>
      <c r="EE6" s="10"/>
      <c r="EF6" s="32"/>
      <c r="EG6" s="10"/>
      <c r="EH6" s="10"/>
      <c r="EI6" s="32"/>
      <c r="EJ6" s="10"/>
      <c r="EK6" s="10"/>
      <c r="EL6" s="32"/>
      <c r="EM6" s="10"/>
      <c r="EN6" s="10"/>
      <c r="EO6" s="32"/>
      <c r="EP6" s="10"/>
      <c r="EQ6" s="10"/>
      <c r="ER6" s="32"/>
      <c r="ES6" s="10"/>
      <c r="ET6" s="10"/>
      <c r="EU6" s="11"/>
      <c r="EV6" s="10"/>
      <c r="EW6" s="10"/>
      <c r="EX6" s="11"/>
      <c r="EY6" s="10"/>
      <c r="EZ6" s="10"/>
      <c r="FA6" s="11"/>
      <c r="FB6" s="10"/>
      <c r="FC6" s="10"/>
      <c r="FD6" s="11"/>
      <c r="FE6" s="10"/>
      <c r="FF6" s="10"/>
      <c r="FG6" s="11"/>
      <c r="FH6" s="10"/>
      <c r="FI6" s="10"/>
      <c r="FJ6" s="11"/>
      <c r="FK6" s="10"/>
      <c r="FL6" s="10"/>
      <c r="FM6" s="11"/>
      <c r="FN6" s="10"/>
      <c r="FO6" s="10"/>
      <c r="FP6" s="11"/>
      <c r="FQ6" s="10"/>
      <c r="FR6" s="10"/>
      <c r="FS6" s="11"/>
      <c r="FT6" s="10"/>
      <c r="FU6" s="10"/>
      <c r="FV6" s="11"/>
      <c r="FW6" s="10"/>
      <c r="FX6" s="10"/>
      <c r="FY6" s="11"/>
      <c r="FZ6" s="10"/>
      <c r="GA6" s="10"/>
      <c r="GB6" s="11"/>
      <c r="GC6" s="10"/>
      <c r="GD6" s="10"/>
      <c r="GE6" s="11"/>
      <c r="GF6" s="10"/>
      <c r="GG6" s="10"/>
      <c r="GH6" s="11"/>
      <c r="GI6" s="10"/>
      <c r="GJ6" s="10"/>
      <c r="GK6" s="11"/>
      <c r="GL6" s="10"/>
      <c r="GM6" s="10"/>
      <c r="GN6" s="11"/>
      <c r="GO6" s="10"/>
      <c r="GP6" s="10"/>
      <c r="GQ6" s="11"/>
      <c r="GR6" s="10"/>
      <c r="GS6" s="10"/>
      <c r="GT6" s="11"/>
      <c r="GU6" s="10"/>
      <c r="GV6" s="10"/>
      <c r="GW6" s="11"/>
      <c r="GX6" s="10"/>
      <c r="GY6" s="10"/>
      <c r="GZ6" s="11"/>
      <c r="HA6" s="11"/>
      <c r="HB6" s="10"/>
      <c r="HC6" s="11"/>
      <c r="HD6" s="10"/>
      <c r="HE6" s="10"/>
      <c r="HF6" s="11"/>
      <c r="HG6" s="11"/>
      <c r="HH6" s="10"/>
      <c r="HI6" s="12"/>
      <c r="HJ6" s="10"/>
      <c r="HK6" s="11"/>
      <c r="HL6" s="10"/>
      <c r="HM6" s="11"/>
      <c r="HN6" s="13"/>
      <c r="HO6" s="11"/>
      <c r="HP6" s="10"/>
      <c r="HQ6" s="11"/>
      <c r="HR6" s="10"/>
      <c r="HS6" s="11"/>
      <c r="HT6" s="10"/>
      <c r="HU6" s="11"/>
      <c r="HV6" s="10"/>
      <c r="HW6" s="11"/>
      <c r="HX6" s="10"/>
      <c r="HY6" s="11"/>
      <c r="HZ6" s="10"/>
      <c r="IA6" s="4"/>
      <c r="IB6" s="10"/>
      <c r="IC6" s="10"/>
      <c r="ID6" s="10"/>
      <c r="IE6" s="10"/>
      <c r="IF6" s="10"/>
      <c r="IG6" s="10"/>
      <c r="IH6" s="10"/>
      <c r="II6" s="14"/>
      <c r="IJ6" s="7"/>
      <c r="IK6" s="7"/>
      <c r="IL6" s="7"/>
      <c r="IM6" s="15"/>
      <c r="IN6" s="7"/>
      <c r="IO6" s="14"/>
      <c r="IP6" s="7"/>
      <c r="IQ6" s="14"/>
      <c r="IR6" s="7"/>
      <c r="IS6" s="8"/>
    </row>
    <row r="7" spans="1:259" x14ac:dyDescent="0.3">
      <c r="C7" s="10" t="s">
        <v>3816</v>
      </c>
      <c r="D7" s="32" t="s">
        <v>3817</v>
      </c>
      <c r="E7" s="10"/>
      <c r="F7" s="10"/>
      <c r="G7" s="10"/>
      <c r="H7" s="10"/>
      <c r="I7" s="10"/>
      <c r="J7" s="4"/>
      <c r="K7" s="10"/>
      <c r="L7" s="10"/>
      <c r="M7" s="4"/>
      <c r="N7" s="10"/>
      <c r="O7" s="10"/>
      <c r="P7" s="32"/>
      <c r="Q7" s="10"/>
      <c r="R7" s="10"/>
      <c r="S7" s="32"/>
      <c r="T7" s="10"/>
      <c r="U7" s="10"/>
      <c r="V7" s="32"/>
      <c r="W7" s="10"/>
      <c r="X7" s="10"/>
      <c r="Y7" s="4"/>
      <c r="Z7" s="4"/>
      <c r="AA7" s="10"/>
      <c r="AB7" s="4"/>
      <c r="AC7" s="10"/>
      <c r="AD7" s="10"/>
      <c r="AE7" s="32"/>
      <c r="AF7" s="10"/>
      <c r="AG7" s="10"/>
      <c r="AH7" s="32"/>
      <c r="AI7" s="10"/>
      <c r="AJ7" s="10"/>
      <c r="AK7" s="4"/>
      <c r="AL7" s="4"/>
      <c r="AM7" s="35"/>
      <c r="AN7" s="32"/>
      <c r="AO7" s="10"/>
      <c r="AP7" s="35"/>
      <c r="AQ7" s="32"/>
      <c r="AR7" s="10"/>
      <c r="AS7" s="35"/>
      <c r="AT7" s="32"/>
      <c r="AU7" s="10"/>
      <c r="AV7" s="10"/>
      <c r="AW7" s="4"/>
      <c r="AX7" s="4"/>
      <c r="AY7" s="36"/>
      <c r="AZ7" s="15"/>
      <c r="BA7" s="10"/>
      <c r="BB7" s="10"/>
      <c r="BC7" s="15"/>
      <c r="BD7" s="10"/>
      <c r="BE7" s="10"/>
      <c r="BF7" s="15"/>
      <c r="BG7" s="10"/>
      <c r="BH7" s="10"/>
      <c r="BI7" s="15"/>
      <c r="BJ7" s="10"/>
      <c r="BK7" s="10"/>
      <c r="BL7" s="15"/>
      <c r="BM7" s="10"/>
      <c r="BN7" s="10"/>
      <c r="BO7" s="15"/>
      <c r="BP7" s="10"/>
      <c r="BQ7" s="10"/>
      <c r="BR7" s="15"/>
      <c r="BS7" s="10"/>
      <c r="BT7" s="10"/>
      <c r="BU7" s="15"/>
      <c r="BV7" s="10"/>
      <c r="BW7" s="10"/>
      <c r="BX7" s="15"/>
      <c r="BY7" s="10"/>
      <c r="BZ7" s="10"/>
      <c r="CA7" s="15"/>
      <c r="CB7" s="10"/>
      <c r="CC7" s="10"/>
      <c r="CD7" s="15"/>
      <c r="CE7" s="10"/>
      <c r="CF7" s="10"/>
      <c r="CG7" s="15"/>
      <c r="CH7" s="10"/>
      <c r="CI7" s="10"/>
      <c r="CJ7" s="15"/>
      <c r="CK7" s="10"/>
      <c r="CL7" s="10"/>
      <c r="CM7" s="15"/>
      <c r="CN7" s="10"/>
      <c r="CO7" s="10"/>
      <c r="CP7" s="15"/>
      <c r="CQ7" s="10"/>
      <c r="CR7" s="10"/>
      <c r="CS7" s="15"/>
      <c r="CT7" s="10"/>
      <c r="CU7" s="10"/>
      <c r="CV7" s="15"/>
      <c r="CW7" s="10"/>
      <c r="CX7" s="10"/>
      <c r="CY7" s="15"/>
      <c r="CZ7" s="10"/>
      <c r="DA7" s="10"/>
      <c r="DB7" s="15"/>
      <c r="DC7" s="10"/>
      <c r="DD7" s="10"/>
      <c r="DE7" s="15"/>
      <c r="DF7" s="10"/>
      <c r="DG7" s="10"/>
      <c r="DH7" s="15"/>
      <c r="DI7" s="10"/>
      <c r="DJ7" s="10"/>
      <c r="DK7" s="15"/>
      <c r="DL7" s="10"/>
      <c r="DM7" s="10"/>
      <c r="DN7" s="15"/>
      <c r="DO7" s="10"/>
      <c r="DP7" s="10"/>
      <c r="DQ7" s="15"/>
      <c r="DR7" s="10"/>
      <c r="DS7" s="10"/>
      <c r="DT7" s="15"/>
      <c r="DU7" s="10"/>
      <c r="DV7" s="10"/>
      <c r="DW7" s="15"/>
      <c r="DX7" s="10"/>
      <c r="DY7" s="10"/>
      <c r="DZ7" s="15"/>
      <c r="EA7" s="10"/>
      <c r="EB7" s="10"/>
      <c r="EC7" s="15"/>
      <c r="ED7" s="10"/>
      <c r="EE7" s="10"/>
      <c r="EF7" s="15"/>
      <c r="EG7" s="10"/>
      <c r="EH7" s="10"/>
      <c r="EI7" s="15"/>
      <c r="EJ7" s="10"/>
      <c r="EK7" s="10"/>
      <c r="EL7" s="15"/>
      <c r="EM7" s="10"/>
      <c r="EN7" s="10"/>
      <c r="EO7" s="15"/>
      <c r="EP7" s="10"/>
      <c r="EQ7" s="10"/>
      <c r="ER7" s="15"/>
      <c r="ES7" s="10"/>
      <c r="ET7" s="10"/>
      <c r="EU7" s="15"/>
      <c r="EV7" s="10"/>
      <c r="EW7" s="10"/>
      <c r="EX7" s="15"/>
      <c r="EY7" s="10"/>
      <c r="EZ7" s="10"/>
      <c r="FA7" s="15"/>
      <c r="FB7" s="10"/>
      <c r="FC7" s="10"/>
      <c r="FD7" s="15"/>
      <c r="FE7" s="10"/>
      <c r="FF7" s="10"/>
      <c r="FG7" s="15"/>
      <c r="FH7" s="10"/>
      <c r="FI7" s="10"/>
      <c r="FJ7" s="15"/>
      <c r="FK7" s="10"/>
      <c r="FL7" s="10"/>
      <c r="FM7" s="15"/>
      <c r="FN7" s="10"/>
      <c r="FO7" s="10"/>
      <c r="FP7" s="15"/>
      <c r="FQ7" s="10"/>
      <c r="FR7" s="10"/>
      <c r="FS7" s="15"/>
      <c r="FT7" s="10"/>
      <c r="FU7" s="10"/>
      <c r="FV7" s="15"/>
      <c r="FW7" s="10"/>
      <c r="FX7" s="10"/>
      <c r="FY7" s="15"/>
      <c r="FZ7" s="10"/>
      <c r="GA7" s="10"/>
      <c r="GB7" s="15"/>
      <c r="GC7" s="10"/>
      <c r="GD7" s="10"/>
      <c r="GE7" s="15"/>
      <c r="GF7" s="10"/>
      <c r="GG7" s="10"/>
      <c r="GH7" s="15"/>
      <c r="GI7" s="10"/>
      <c r="GJ7" s="10"/>
      <c r="GK7" s="15"/>
      <c r="GL7" s="10"/>
      <c r="GM7" s="10"/>
      <c r="GN7" s="15"/>
      <c r="GO7" s="10"/>
      <c r="GP7" s="10"/>
      <c r="GQ7" s="15"/>
      <c r="GR7" s="10"/>
      <c r="GS7" s="10"/>
      <c r="GT7" s="15"/>
      <c r="GU7" s="10"/>
      <c r="GV7" s="10"/>
      <c r="GW7" s="16"/>
      <c r="GX7" s="10"/>
      <c r="GY7" s="10"/>
      <c r="GZ7" s="15"/>
      <c r="HA7" s="15"/>
      <c r="HB7" s="10"/>
      <c r="HC7" s="15"/>
      <c r="HD7" s="10"/>
      <c r="HE7" s="10"/>
      <c r="HF7" s="15"/>
      <c r="HG7" s="15"/>
      <c r="HH7" s="10"/>
      <c r="HI7" s="15"/>
      <c r="HJ7" s="10"/>
      <c r="HK7" s="15"/>
      <c r="HL7" s="10"/>
      <c r="HM7" s="15"/>
      <c r="HN7" s="10"/>
      <c r="HO7" s="15"/>
      <c r="HP7" s="10"/>
      <c r="HQ7" s="15"/>
      <c r="HR7" s="10"/>
      <c r="HS7" s="17"/>
      <c r="HT7" s="10"/>
      <c r="HU7" s="15"/>
      <c r="HV7" s="10"/>
      <c r="HW7" s="15"/>
      <c r="HX7" s="10"/>
      <c r="HY7" s="15"/>
      <c r="HZ7" s="10"/>
      <c r="IA7" s="4"/>
      <c r="IB7" s="10"/>
      <c r="IC7" s="10"/>
      <c r="ID7" s="10"/>
      <c r="IE7" s="15"/>
      <c r="IF7" s="10"/>
      <c r="IG7" s="10"/>
      <c r="IH7" s="10"/>
      <c r="II7" s="15"/>
      <c r="IJ7" s="7"/>
      <c r="IK7" s="7"/>
      <c r="IL7" s="7"/>
      <c r="IM7" s="15"/>
      <c r="IN7" s="7"/>
      <c r="IO7" s="15"/>
      <c r="IP7" s="7"/>
      <c r="IQ7" s="15"/>
      <c r="IR7" s="7"/>
      <c r="IS7" s="8"/>
    </row>
    <row r="8" spans="1:259" x14ac:dyDescent="0.3">
      <c r="C8" s="10" t="s">
        <v>3818</v>
      </c>
      <c r="D8" s="34" t="s">
        <v>3213</v>
      </c>
      <c r="E8" s="10" t="s">
        <v>3736</v>
      </c>
      <c r="F8" s="10" t="s">
        <v>3819</v>
      </c>
      <c r="G8" s="10"/>
      <c r="H8" s="10"/>
      <c r="I8" s="10"/>
      <c r="J8" s="4"/>
      <c r="K8" s="10"/>
      <c r="L8" s="10"/>
      <c r="M8" s="4"/>
      <c r="N8" s="10"/>
      <c r="O8" s="10"/>
      <c r="P8" s="34"/>
      <c r="Q8" s="10"/>
      <c r="R8" s="10"/>
      <c r="S8" s="34"/>
      <c r="T8" s="10"/>
      <c r="U8" s="10"/>
      <c r="V8" s="34"/>
      <c r="W8" s="10"/>
      <c r="X8" s="10" t="s">
        <v>3214</v>
      </c>
      <c r="Y8" s="4"/>
      <c r="Z8" s="4"/>
      <c r="AA8" s="10"/>
      <c r="AB8" s="4"/>
      <c r="AC8" s="10"/>
      <c r="AD8" s="10"/>
      <c r="AE8" s="34"/>
      <c r="AF8" s="10"/>
      <c r="AG8" s="10"/>
      <c r="AH8" s="34"/>
      <c r="AI8" s="10"/>
      <c r="AJ8" s="10"/>
      <c r="AK8" s="4"/>
      <c r="AL8" s="4"/>
      <c r="AM8" s="10"/>
      <c r="AN8" s="34"/>
      <c r="AO8" s="10"/>
      <c r="AP8" s="10"/>
      <c r="AQ8" s="34"/>
      <c r="AR8" s="10"/>
      <c r="AS8" s="10"/>
      <c r="AT8" s="34"/>
      <c r="AU8" s="10"/>
      <c r="AV8" s="10"/>
      <c r="AW8" s="4"/>
      <c r="AX8" s="4"/>
      <c r="AY8" s="35"/>
      <c r="AZ8" s="34"/>
      <c r="BA8" s="10"/>
      <c r="BB8" s="10"/>
      <c r="BC8" s="34"/>
      <c r="BD8" s="10"/>
      <c r="BE8" s="10"/>
      <c r="BF8" s="34"/>
      <c r="BG8" s="10"/>
      <c r="BH8" s="10"/>
      <c r="BI8" s="34"/>
      <c r="BJ8" s="10"/>
      <c r="BK8" s="10"/>
      <c r="BL8" s="34"/>
      <c r="BM8" s="10"/>
      <c r="BN8" s="10"/>
      <c r="BO8" s="34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8"/>
      <c r="HT8" s="10"/>
      <c r="HU8" s="18"/>
      <c r="HV8" s="10"/>
      <c r="HW8" s="18"/>
      <c r="HX8" s="10"/>
      <c r="HY8" s="18"/>
      <c r="HZ8" s="10"/>
      <c r="IA8" s="4"/>
      <c r="IB8" s="10"/>
      <c r="IC8" s="10"/>
      <c r="ID8" s="10"/>
      <c r="IE8" s="18"/>
      <c r="IF8" s="10"/>
      <c r="IG8" s="10"/>
      <c r="IH8" s="10"/>
      <c r="II8" s="18"/>
      <c r="IJ8" s="7"/>
      <c r="IK8" s="7"/>
      <c r="IL8" s="7"/>
      <c r="IM8" s="18"/>
      <c r="IN8" s="7"/>
      <c r="IO8" s="18"/>
      <c r="IP8" s="7"/>
      <c r="IQ8" s="18"/>
      <c r="IR8" s="7"/>
      <c r="IS8" s="8"/>
    </row>
    <row r="9" spans="1:259" x14ac:dyDescent="0.3">
      <c r="C9" s="10" t="s">
        <v>3820</v>
      </c>
      <c r="D9" s="19">
        <v>46082</v>
      </c>
      <c r="E9" s="10"/>
      <c r="F9" s="10"/>
      <c r="G9" s="10"/>
      <c r="H9" s="10"/>
      <c r="I9" s="10"/>
      <c r="J9" s="4"/>
      <c r="K9" s="10"/>
      <c r="L9" s="10"/>
      <c r="M9" s="4"/>
      <c r="N9" s="10"/>
      <c r="O9" s="10"/>
      <c r="P9" s="19"/>
      <c r="Q9" s="10"/>
      <c r="R9" s="10"/>
      <c r="S9" s="19"/>
      <c r="T9" s="10"/>
      <c r="U9" s="10"/>
      <c r="V9" s="19"/>
      <c r="W9" s="10"/>
      <c r="X9" s="10"/>
      <c r="Y9" s="4"/>
      <c r="Z9" s="4"/>
      <c r="AA9" s="10"/>
      <c r="AB9" s="4"/>
      <c r="AC9" s="10"/>
      <c r="AD9" s="10"/>
      <c r="AE9" s="19"/>
      <c r="AF9" s="10"/>
      <c r="AG9" s="10"/>
      <c r="AH9" s="19"/>
      <c r="AI9" s="10"/>
      <c r="AJ9" s="10"/>
      <c r="AK9" s="4"/>
      <c r="AL9" s="4"/>
      <c r="AM9" s="10"/>
      <c r="AN9" s="19"/>
      <c r="AO9" s="10"/>
      <c r="AP9" s="10"/>
      <c r="AQ9" s="19"/>
      <c r="AR9" s="10"/>
      <c r="AS9" s="10"/>
      <c r="AT9" s="19"/>
      <c r="AU9" s="10"/>
      <c r="AV9" s="10"/>
      <c r="AW9" s="4"/>
      <c r="AX9" s="4"/>
      <c r="AY9" s="35"/>
      <c r="AZ9" s="19"/>
      <c r="BA9" s="10"/>
      <c r="BB9" s="10"/>
      <c r="BC9" s="19"/>
      <c r="BD9" s="10"/>
      <c r="BE9" s="10"/>
      <c r="BF9" s="19"/>
      <c r="BG9" s="10"/>
      <c r="BH9" s="10"/>
      <c r="BI9" s="19"/>
      <c r="BJ9" s="10"/>
      <c r="BK9" s="10"/>
      <c r="BL9" s="19"/>
      <c r="BM9" s="10"/>
      <c r="BN9" s="10"/>
      <c r="BO9" s="19"/>
      <c r="BP9" s="10"/>
      <c r="BQ9" s="10"/>
      <c r="BR9" s="19"/>
      <c r="BS9" s="10"/>
      <c r="BT9" s="10"/>
      <c r="BU9" s="19"/>
      <c r="BV9" s="10"/>
      <c r="BW9" s="10"/>
      <c r="BX9" s="19"/>
      <c r="BY9" s="10"/>
      <c r="BZ9" s="10"/>
      <c r="CA9" s="19"/>
      <c r="CB9" s="10"/>
      <c r="CC9" s="10"/>
      <c r="CD9" s="19"/>
      <c r="CE9" s="10"/>
      <c r="CF9" s="10"/>
      <c r="CG9" s="19"/>
      <c r="CH9" s="10"/>
      <c r="CI9" s="10"/>
      <c r="CJ9" s="19"/>
      <c r="CK9" s="10"/>
      <c r="CL9" s="10"/>
      <c r="CM9" s="19"/>
      <c r="CN9" s="10"/>
      <c r="CO9" s="10"/>
      <c r="CP9" s="19"/>
      <c r="CQ9" s="10"/>
      <c r="CR9" s="10"/>
      <c r="CS9" s="19"/>
      <c r="CT9" s="10"/>
      <c r="CU9" s="10"/>
      <c r="CV9" s="19"/>
      <c r="CW9" s="10"/>
      <c r="CX9" s="10"/>
      <c r="CY9" s="19"/>
      <c r="CZ9" s="10"/>
      <c r="DA9" s="10"/>
      <c r="DB9" s="19"/>
      <c r="DC9" s="10"/>
      <c r="DD9" s="10"/>
      <c r="DE9" s="19"/>
      <c r="DF9" s="10"/>
      <c r="DG9" s="10"/>
      <c r="DH9" s="19"/>
      <c r="DI9" s="10"/>
      <c r="DJ9" s="10"/>
      <c r="DK9" s="19"/>
      <c r="DL9" s="10"/>
      <c r="DM9" s="10"/>
      <c r="DN9" s="19"/>
      <c r="DO9" s="10"/>
      <c r="DP9" s="10"/>
      <c r="DQ9" s="19"/>
      <c r="DR9" s="10"/>
      <c r="DS9" s="10"/>
      <c r="DT9" s="19"/>
      <c r="DU9" s="10"/>
      <c r="DV9" s="10"/>
      <c r="DW9" s="19"/>
      <c r="DX9" s="10"/>
      <c r="DY9" s="10"/>
      <c r="DZ9" s="19"/>
      <c r="EA9" s="10"/>
      <c r="EB9" s="10"/>
      <c r="EC9" s="19"/>
      <c r="ED9" s="10"/>
      <c r="EE9" s="10"/>
      <c r="EF9" s="19"/>
      <c r="EG9" s="10"/>
      <c r="EH9" s="10"/>
      <c r="EI9" s="19"/>
      <c r="EJ9" s="10"/>
      <c r="EK9" s="10"/>
      <c r="EL9" s="19"/>
      <c r="EM9" s="10"/>
      <c r="EN9" s="10"/>
      <c r="EO9" s="19"/>
      <c r="EP9" s="10"/>
      <c r="EQ9" s="10"/>
      <c r="ER9" s="19"/>
      <c r="ES9" s="10"/>
      <c r="ET9" s="10"/>
      <c r="EU9" s="19"/>
      <c r="EV9" s="10"/>
      <c r="EW9" s="10"/>
      <c r="EX9" s="19"/>
      <c r="EY9" s="10"/>
      <c r="EZ9" s="10"/>
      <c r="FA9" s="19"/>
      <c r="FB9" s="10"/>
      <c r="FC9" s="10"/>
      <c r="FD9" s="19"/>
      <c r="FE9" s="10"/>
      <c r="FF9" s="10"/>
      <c r="FG9" s="19"/>
      <c r="FH9" s="10"/>
      <c r="FI9" s="10"/>
      <c r="FJ9" s="19"/>
      <c r="FK9" s="10"/>
      <c r="FL9" s="10"/>
      <c r="FM9" s="19"/>
      <c r="FN9" s="10"/>
      <c r="FO9" s="10"/>
      <c r="FP9" s="19"/>
      <c r="FQ9" s="10"/>
      <c r="FR9" s="10"/>
      <c r="FS9" s="19"/>
      <c r="FT9" s="10"/>
      <c r="FU9" s="10"/>
      <c r="FV9" s="19"/>
      <c r="FW9" s="10"/>
      <c r="FX9" s="10"/>
      <c r="FY9" s="19"/>
      <c r="FZ9" s="10"/>
      <c r="GA9" s="10"/>
      <c r="GB9" s="19"/>
      <c r="GC9" s="10"/>
      <c r="GD9" s="10"/>
      <c r="GE9" s="19"/>
      <c r="GF9" s="10"/>
      <c r="GG9" s="10"/>
      <c r="GH9" s="19"/>
      <c r="GI9" s="10"/>
      <c r="GJ9" s="10"/>
      <c r="GK9" s="19"/>
      <c r="GL9" s="10"/>
      <c r="GM9" s="10"/>
      <c r="GN9" s="19"/>
      <c r="GO9" s="10"/>
      <c r="GP9" s="10"/>
      <c r="GQ9" s="19"/>
      <c r="GR9" s="10"/>
      <c r="GS9" s="10"/>
      <c r="GT9" s="19"/>
      <c r="GU9" s="10"/>
      <c r="GV9" s="10"/>
      <c r="GW9" s="19"/>
      <c r="GX9" s="10"/>
      <c r="GY9" s="10"/>
      <c r="GZ9" s="19"/>
      <c r="HA9" s="19"/>
      <c r="HB9" s="10"/>
      <c r="HC9" s="19"/>
      <c r="HD9" s="10"/>
      <c r="HE9" s="10"/>
      <c r="HF9" s="19"/>
      <c r="HG9" s="19"/>
      <c r="HH9" s="10"/>
      <c r="HI9" s="19"/>
      <c r="HJ9" s="10"/>
      <c r="HK9" s="19"/>
      <c r="HL9" s="10"/>
      <c r="HM9" s="19"/>
      <c r="HN9" s="10"/>
      <c r="HO9" s="19"/>
      <c r="HP9" s="10"/>
      <c r="HQ9" s="19"/>
      <c r="HR9" s="10"/>
      <c r="HS9" s="19"/>
      <c r="HT9" s="10"/>
      <c r="HU9" s="19"/>
      <c r="HV9" s="10"/>
      <c r="HW9" s="19"/>
      <c r="HX9" s="10"/>
      <c r="HY9" s="19"/>
      <c r="HZ9" s="10"/>
      <c r="IA9" s="4"/>
      <c r="IB9" s="10"/>
      <c r="IC9" s="10"/>
      <c r="ID9" s="10"/>
      <c r="IE9" s="19"/>
      <c r="IF9" s="10"/>
      <c r="IG9" s="10"/>
      <c r="IH9" s="10"/>
      <c r="II9" s="19"/>
      <c r="IJ9" s="7"/>
      <c r="IK9" s="7"/>
      <c r="IL9" s="7"/>
      <c r="IM9" s="19"/>
      <c r="IN9" s="7"/>
      <c r="IO9" s="19"/>
      <c r="IP9" s="7"/>
      <c r="IQ9" s="19"/>
      <c r="IR9" s="7"/>
      <c r="IS9" s="8"/>
    </row>
    <row r="10" spans="1:259" ht="16.2" thickBot="1" x14ac:dyDescent="0.35">
      <c r="C10" s="20" t="s">
        <v>3821</v>
      </c>
      <c r="D10" s="21">
        <v>46112</v>
      </c>
      <c r="E10" s="20"/>
      <c r="F10" s="20"/>
      <c r="G10" s="20"/>
      <c r="H10" s="20"/>
      <c r="I10" s="20"/>
      <c r="J10" s="5"/>
      <c r="K10" s="20"/>
      <c r="L10" s="20"/>
      <c r="M10" s="5"/>
      <c r="N10" s="20"/>
      <c r="O10" s="20"/>
      <c r="P10" s="21"/>
      <c r="Q10" s="20"/>
      <c r="R10" s="20"/>
      <c r="S10" s="21"/>
      <c r="T10" s="20"/>
      <c r="U10" s="20"/>
      <c r="V10" s="21"/>
      <c r="W10" s="20"/>
      <c r="X10" s="20"/>
      <c r="Y10" s="5"/>
      <c r="Z10" s="5"/>
      <c r="AA10" s="20"/>
      <c r="AB10" s="5"/>
      <c r="AC10" s="20"/>
      <c r="AD10" s="20"/>
      <c r="AE10" s="21"/>
      <c r="AF10" s="20"/>
      <c r="AG10" s="20"/>
      <c r="AH10" s="21"/>
      <c r="AI10" s="20"/>
      <c r="AJ10" s="20"/>
      <c r="AK10" s="5"/>
      <c r="AL10" s="5"/>
      <c r="AM10" s="20"/>
      <c r="AN10" s="21"/>
      <c r="AO10" s="20"/>
      <c r="AP10" s="20"/>
      <c r="AQ10" s="21"/>
      <c r="AR10" s="20"/>
      <c r="AS10" s="20"/>
      <c r="AT10" s="21"/>
      <c r="AU10" s="20"/>
      <c r="AV10" s="20"/>
      <c r="AW10" s="5"/>
      <c r="AX10" s="5"/>
      <c r="AY10" s="20"/>
      <c r="AZ10" s="21"/>
      <c r="BA10" s="20"/>
      <c r="BB10" s="20"/>
      <c r="BC10" s="21"/>
      <c r="BD10" s="20"/>
      <c r="BE10" s="20"/>
      <c r="BF10" s="21"/>
      <c r="BG10" s="20"/>
      <c r="BH10" s="20"/>
      <c r="BI10" s="21"/>
      <c r="BJ10" s="20"/>
      <c r="BK10" s="20"/>
      <c r="BL10" s="21"/>
      <c r="BM10" s="20"/>
      <c r="BN10" s="20"/>
      <c r="BO10" s="21"/>
      <c r="BP10" s="20"/>
      <c r="BQ10" s="20"/>
      <c r="BR10" s="21"/>
      <c r="BS10" s="20"/>
      <c r="BT10" s="20"/>
      <c r="BU10" s="21"/>
      <c r="BV10" s="20"/>
      <c r="BW10" s="20"/>
      <c r="BX10" s="21"/>
      <c r="BY10" s="20"/>
      <c r="BZ10" s="20"/>
      <c r="CA10" s="21"/>
      <c r="CB10" s="20"/>
      <c r="CC10" s="20"/>
      <c r="CD10" s="21"/>
      <c r="CE10" s="20"/>
      <c r="CF10" s="20"/>
      <c r="CG10" s="21"/>
      <c r="CH10" s="20"/>
      <c r="CI10" s="20"/>
      <c r="CJ10" s="21"/>
      <c r="CK10" s="20"/>
      <c r="CL10" s="20"/>
      <c r="CM10" s="21"/>
      <c r="CN10" s="20"/>
      <c r="CO10" s="20"/>
      <c r="CP10" s="21"/>
      <c r="CQ10" s="20"/>
      <c r="CR10" s="20"/>
      <c r="CS10" s="21"/>
      <c r="CT10" s="20"/>
      <c r="CU10" s="20"/>
      <c r="CV10" s="21"/>
      <c r="CW10" s="20"/>
      <c r="CX10" s="20"/>
      <c r="CY10" s="21"/>
      <c r="CZ10" s="20"/>
      <c r="DA10" s="20"/>
      <c r="DB10" s="21"/>
      <c r="DC10" s="20"/>
      <c r="DD10" s="20"/>
      <c r="DE10" s="21"/>
      <c r="DF10" s="20"/>
      <c r="DG10" s="20"/>
      <c r="DH10" s="21"/>
      <c r="DI10" s="20"/>
      <c r="DJ10" s="20"/>
      <c r="DK10" s="21"/>
      <c r="DL10" s="20"/>
      <c r="DM10" s="20"/>
      <c r="DN10" s="21"/>
      <c r="DO10" s="20"/>
      <c r="DP10" s="20"/>
      <c r="DQ10" s="21"/>
      <c r="DR10" s="20"/>
      <c r="DS10" s="20"/>
      <c r="DT10" s="21"/>
      <c r="DU10" s="20"/>
      <c r="DV10" s="20"/>
      <c r="DW10" s="21"/>
      <c r="DX10" s="20"/>
      <c r="DY10" s="20"/>
      <c r="DZ10" s="21"/>
      <c r="EA10" s="20"/>
      <c r="EB10" s="20"/>
      <c r="EC10" s="21"/>
      <c r="ED10" s="20"/>
      <c r="EE10" s="20"/>
      <c r="EF10" s="21"/>
      <c r="EG10" s="20"/>
      <c r="EH10" s="20"/>
      <c r="EI10" s="21"/>
      <c r="EJ10" s="20"/>
      <c r="EK10" s="20"/>
      <c r="EL10" s="21"/>
      <c r="EM10" s="20"/>
      <c r="EN10" s="20"/>
      <c r="EO10" s="21"/>
      <c r="EP10" s="20"/>
      <c r="EQ10" s="20"/>
      <c r="ER10" s="21"/>
      <c r="ES10" s="20"/>
      <c r="ET10" s="20"/>
      <c r="EU10" s="21"/>
      <c r="EV10" s="20"/>
      <c r="EW10" s="20"/>
      <c r="EX10" s="21"/>
      <c r="EY10" s="20"/>
      <c r="EZ10" s="20"/>
      <c r="FA10" s="21"/>
      <c r="FB10" s="20"/>
      <c r="FC10" s="20"/>
      <c r="FD10" s="21"/>
      <c r="FE10" s="20"/>
      <c r="FF10" s="20"/>
      <c r="FG10" s="21"/>
      <c r="FH10" s="20"/>
      <c r="FI10" s="20"/>
      <c r="FJ10" s="21"/>
      <c r="FK10" s="20"/>
      <c r="FL10" s="20"/>
      <c r="FM10" s="21"/>
      <c r="FN10" s="20"/>
      <c r="FO10" s="20"/>
      <c r="FP10" s="21"/>
      <c r="FQ10" s="20"/>
      <c r="FR10" s="20"/>
      <c r="FS10" s="21"/>
      <c r="FT10" s="20"/>
      <c r="FU10" s="20"/>
      <c r="FV10" s="21"/>
      <c r="FW10" s="20"/>
      <c r="FX10" s="20"/>
      <c r="FY10" s="21"/>
      <c r="FZ10" s="20"/>
      <c r="GA10" s="20"/>
      <c r="GB10" s="21"/>
      <c r="GC10" s="20"/>
      <c r="GD10" s="20"/>
      <c r="GE10" s="21"/>
      <c r="GF10" s="20"/>
      <c r="GG10" s="20"/>
      <c r="GH10" s="21"/>
      <c r="GI10" s="20"/>
      <c r="GJ10" s="20"/>
      <c r="GK10" s="21"/>
      <c r="GL10" s="20"/>
      <c r="GM10" s="20"/>
      <c r="GN10" s="21"/>
      <c r="GO10" s="20"/>
      <c r="GP10" s="20"/>
      <c r="GQ10" s="21"/>
      <c r="GR10" s="20"/>
      <c r="GS10" s="20"/>
      <c r="GT10" s="21"/>
      <c r="GU10" s="20"/>
      <c r="GV10" s="20"/>
      <c r="GW10" s="21"/>
      <c r="GX10" s="20"/>
      <c r="GY10" s="20"/>
      <c r="GZ10" s="21"/>
      <c r="HA10" s="21"/>
      <c r="HB10" s="20"/>
      <c r="HC10" s="21"/>
      <c r="HD10" s="20"/>
      <c r="HE10" s="20"/>
      <c r="HF10" s="21"/>
      <c r="HG10" s="21"/>
      <c r="HH10" s="20"/>
      <c r="HI10" s="21"/>
      <c r="HJ10" s="20"/>
      <c r="HK10" s="21"/>
      <c r="HL10" s="20"/>
      <c r="HM10" s="21"/>
      <c r="HN10" s="20"/>
      <c r="HO10" s="21"/>
      <c r="HP10" s="20"/>
      <c r="HQ10" s="21"/>
      <c r="HR10" s="20"/>
      <c r="HS10" s="21"/>
      <c r="HT10" s="20"/>
      <c r="HU10" s="21"/>
      <c r="HV10" s="20"/>
      <c r="HW10" s="21"/>
      <c r="HX10" s="20"/>
      <c r="HY10" s="21"/>
      <c r="HZ10" s="20"/>
      <c r="IB10" s="20"/>
      <c r="IC10" s="20"/>
      <c r="ID10" s="20"/>
      <c r="IE10" s="21"/>
      <c r="IF10" s="20"/>
      <c r="IG10" s="20"/>
      <c r="IH10" s="20"/>
      <c r="II10" s="21"/>
      <c r="IK10" s="21"/>
      <c r="IM10" s="21"/>
      <c r="IO10" s="21"/>
      <c r="IQ10" s="21"/>
      <c r="IS10" s="23"/>
      <c r="IT10" s="24"/>
      <c r="IU10" s="2"/>
    </row>
    <row r="11" spans="1:259" ht="18.600000000000001" thickBot="1" x14ac:dyDescent="0.4">
      <c r="D11" s="243" t="s">
        <v>3822</v>
      </c>
      <c r="E11" s="245"/>
      <c r="F11" s="245"/>
      <c r="G11" s="245"/>
      <c r="H11" s="244"/>
      <c r="I11" s="243" t="s">
        <v>3215</v>
      </c>
      <c r="J11" s="245"/>
      <c r="K11" s="244"/>
      <c r="L11" s="243" t="s">
        <v>3216</v>
      </c>
      <c r="M11" s="245"/>
      <c r="N11" s="244"/>
      <c r="O11" s="243" t="s">
        <v>3217</v>
      </c>
      <c r="P11" s="245"/>
      <c r="Q11" s="244"/>
      <c r="R11" s="243" t="s">
        <v>3218</v>
      </c>
      <c r="S11" s="245"/>
      <c r="T11" s="244"/>
      <c r="U11" s="243" t="s">
        <v>3219</v>
      </c>
      <c r="V11" s="245"/>
      <c r="W11" s="244"/>
      <c r="X11" s="243" t="s">
        <v>3220</v>
      </c>
      <c r="Y11" s="245"/>
      <c r="Z11" s="244"/>
      <c r="AA11" s="243" t="s">
        <v>3221</v>
      </c>
      <c r="AB11" s="245"/>
      <c r="AC11" s="244"/>
      <c r="AD11" s="243" t="s">
        <v>3222</v>
      </c>
      <c r="AE11" s="245"/>
      <c r="AF11" s="244"/>
      <c r="AG11" s="243" t="s">
        <v>3223</v>
      </c>
      <c r="AH11" s="245"/>
      <c r="AI11" s="244"/>
      <c r="AJ11" s="243" t="s">
        <v>3224</v>
      </c>
      <c r="AK11" s="245"/>
      <c r="AL11" s="244"/>
      <c r="AM11" s="243" t="s">
        <v>3225</v>
      </c>
      <c r="AN11" s="245"/>
      <c r="AO11" s="244"/>
      <c r="AP11" s="1002" t="s">
        <v>3226</v>
      </c>
      <c r="AQ11" s="1003"/>
      <c r="AR11" s="1004"/>
      <c r="AS11" s="1002" t="s">
        <v>3227</v>
      </c>
      <c r="AT11" s="1003"/>
      <c r="AU11" s="1004"/>
      <c r="AV11" s="1002" t="s">
        <v>3228</v>
      </c>
      <c r="AW11" s="1003"/>
      <c r="AX11" s="1004"/>
      <c r="AY11" s="1002" t="s">
        <v>3229</v>
      </c>
      <c r="AZ11" s="1003"/>
      <c r="BA11" s="1004"/>
      <c r="BB11" s="1002" t="s">
        <v>3230</v>
      </c>
      <c r="BC11" s="1003"/>
      <c r="BD11" s="1004"/>
      <c r="BE11" s="1002" t="s">
        <v>3231</v>
      </c>
      <c r="BF11" s="1003"/>
      <c r="BG11" s="1004"/>
      <c r="BH11" s="1002" t="s">
        <v>3232</v>
      </c>
      <c r="BI11" s="1003"/>
      <c r="BJ11" s="1004"/>
      <c r="BK11" s="1002" t="s">
        <v>3233</v>
      </c>
      <c r="BL11" s="1003"/>
      <c r="BM11" s="1004"/>
      <c r="BN11" s="1002" t="s">
        <v>3234</v>
      </c>
      <c r="BO11" s="1003"/>
      <c r="BP11" s="1004"/>
      <c r="BQ11" s="1002" t="s">
        <v>3235</v>
      </c>
      <c r="BR11" s="1003"/>
      <c r="BS11" s="1004"/>
      <c r="BT11" s="1002" t="s">
        <v>3236</v>
      </c>
      <c r="BU11" s="1003"/>
      <c r="BV11" s="1004"/>
      <c r="BW11" s="1002" t="s">
        <v>3237</v>
      </c>
      <c r="BX11" s="1003"/>
      <c r="BY11" s="1004"/>
      <c r="BZ11" s="1002" t="s">
        <v>3238</v>
      </c>
      <c r="CA11" s="1003"/>
      <c r="CB11" s="1004"/>
      <c r="CC11" s="1002" t="s">
        <v>3239</v>
      </c>
      <c r="CD11" s="1003"/>
      <c r="CE11" s="1004"/>
      <c r="CF11" s="1002" t="s">
        <v>3240</v>
      </c>
      <c r="CG11" s="1003"/>
      <c r="CH11" s="1004"/>
      <c r="CI11" s="1002" t="s">
        <v>3241</v>
      </c>
      <c r="CJ11" s="1003"/>
      <c r="CK11" s="1004"/>
      <c r="CL11" s="1002" t="s">
        <v>3242</v>
      </c>
      <c r="CM11" s="1003"/>
      <c r="CN11" s="1004"/>
      <c r="CO11" s="1002" t="s">
        <v>3243</v>
      </c>
      <c r="CP11" s="1003"/>
      <c r="CQ11" s="1004"/>
      <c r="CR11" s="1002" t="s">
        <v>3244</v>
      </c>
      <c r="CS11" s="1003"/>
      <c r="CT11" s="1004"/>
      <c r="CU11" s="1002" t="s">
        <v>3245</v>
      </c>
      <c r="CV11" s="1003"/>
      <c r="CW11" s="1004"/>
      <c r="CX11" s="1002" t="s">
        <v>3246</v>
      </c>
      <c r="CY11" s="1003"/>
      <c r="CZ11" s="1004"/>
      <c r="DA11" s="1002" t="s">
        <v>3247</v>
      </c>
      <c r="DB11" s="1003"/>
      <c r="DC11" s="1004"/>
      <c r="DD11" s="1002" t="s">
        <v>3248</v>
      </c>
      <c r="DE11" s="1003"/>
      <c r="DF11" s="1004"/>
      <c r="DG11" s="1002" t="s">
        <v>3249</v>
      </c>
      <c r="DH11" s="1003"/>
      <c r="DI11" s="1004"/>
      <c r="DJ11" s="1002" t="s">
        <v>3250</v>
      </c>
      <c r="DK11" s="1003"/>
      <c r="DL11" s="1004"/>
      <c r="DM11" s="1002" t="s">
        <v>3251</v>
      </c>
      <c r="DN11" s="1003"/>
      <c r="DO11" s="1004"/>
      <c r="DP11" s="1002" t="s">
        <v>3252</v>
      </c>
      <c r="DQ11" s="1003"/>
      <c r="DR11" s="1004"/>
      <c r="DS11" s="1002" t="s">
        <v>3253</v>
      </c>
      <c r="DT11" s="1003"/>
      <c r="DU11" s="1004"/>
      <c r="DV11" s="1002" t="s">
        <v>3254</v>
      </c>
      <c r="DW11" s="1003"/>
      <c r="DX11" s="1004"/>
      <c r="DY11" s="1002" t="s">
        <v>3255</v>
      </c>
      <c r="DZ11" s="1003"/>
      <c r="EA11" s="1004"/>
      <c r="EB11" s="1002" t="s">
        <v>3256</v>
      </c>
      <c r="EC11" s="1003"/>
      <c r="ED11" s="1004"/>
      <c r="EE11" s="1002" t="s">
        <v>3257</v>
      </c>
      <c r="EF11" s="1003"/>
      <c r="EG11" s="1004"/>
      <c r="EH11" s="1002" t="s">
        <v>3258</v>
      </c>
      <c r="EI11" s="1003"/>
      <c r="EJ11" s="1004"/>
      <c r="EK11" s="1002" t="s">
        <v>3259</v>
      </c>
      <c r="EL11" s="1003"/>
      <c r="EM11" s="1004"/>
      <c r="EN11" s="1002" t="s">
        <v>3260</v>
      </c>
      <c r="EO11" s="1003"/>
      <c r="EP11" s="1004"/>
      <c r="EQ11" s="1002" t="s">
        <v>3261</v>
      </c>
      <c r="ER11" s="1003"/>
      <c r="ES11" s="1004"/>
      <c r="ET11" s="1002" t="s">
        <v>3262</v>
      </c>
      <c r="EU11" s="1003"/>
      <c r="EV11" s="1004"/>
      <c r="EW11" s="1002" t="s">
        <v>3263</v>
      </c>
      <c r="EX11" s="1003"/>
      <c r="EY11" s="1004"/>
      <c r="EZ11" s="1002" t="s">
        <v>3264</v>
      </c>
      <c r="FA11" s="1003"/>
      <c r="FB11" s="1004"/>
      <c r="FC11" s="1002" t="s">
        <v>3265</v>
      </c>
      <c r="FD11" s="1003"/>
      <c r="FE11" s="1004"/>
      <c r="FF11" s="1002" t="s">
        <v>3266</v>
      </c>
      <c r="FG11" s="1003"/>
      <c r="FH11" s="1004"/>
      <c r="FI11" s="1002" t="s">
        <v>3267</v>
      </c>
      <c r="FJ11" s="1003"/>
      <c r="FK11" s="1004"/>
      <c r="FL11" s="1002" t="s">
        <v>3268</v>
      </c>
      <c r="FM11" s="1003"/>
      <c r="FN11" s="1004"/>
      <c r="FO11" s="1002" t="s">
        <v>3269</v>
      </c>
      <c r="FP11" s="1003"/>
      <c r="FQ11" s="1004"/>
      <c r="FR11" s="1002" t="s">
        <v>3270</v>
      </c>
      <c r="FS11" s="1003"/>
      <c r="FT11" s="1004"/>
      <c r="FU11" s="1002" t="s">
        <v>3271</v>
      </c>
      <c r="FV11" s="1003"/>
      <c r="FW11" s="1004"/>
      <c r="FX11" s="1002" t="s">
        <v>3272</v>
      </c>
      <c r="FY11" s="1003"/>
      <c r="FZ11" s="1004"/>
      <c r="GA11" s="1002" t="s">
        <v>3273</v>
      </c>
      <c r="GB11" s="1003"/>
      <c r="GC11" s="1004"/>
      <c r="GD11" s="1002" t="s">
        <v>3274</v>
      </c>
      <c r="GE11" s="1003"/>
      <c r="GF11" s="1004"/>
      <c r="GG11" s="1002" t="s">
        <v>3275</v>
      </c>
      <c r="GH11" s="1003"/>
      <c r="GI11" s="1004"/>
      <c r="GJ11" s="1002" t="s">
        <v>3276</v>
      </c>
      <c r="GK11" s="1003"/>
      <c r="GL11" s="1004"/>
      <c r="GM11" s="1002" t="s">
        <v>3277</v>
      </c>
      <c r="GN11" s="1003"/>
      <c r="GO11" s="1004"/>
      <c r="GP11" s="1002" t="s">
        <v>3278</v>
      </c>
      <c r="GQ11" s="1003"/>
      <c r="GR11" s="1004"/>
      <c r="GS11" s="1002" t="s">
        <v>3279</v>
      </c>
      <c r="GT11" s="1003"/>
      <c r="GU11" s="1004"/>
      <c r="GV11" s="1002" t="s">
        <v>3280</v>
      </c>
      <c r="GW11" s="1003"/>
      <c r="GX11" s="1004"/>
      <c r="GY11" s="1002" t="s">
        <v>3281</v>
      </c>
      <c r="GZ11" s="1003"/>
      <c r="HA11" s="1004"/>
      <c r="HB11" s="1002" t="s">
        <v>3282</v>
      </c>
      <c r="HC11" s="1003"/>
      <c r="HD11" s="1004"/>
      <c r="HE11" s="1002" t="s">
        <v>3283</v>
      </c>
      <c r="HF11" s="1003"/>
      <c r="HG11" s="1004"/>
      <c r="HH11" s="1002" t="s">
        <v>3284</v>
      </c>
      <c r="HI11" s="1004"/>
      <c r="HJ11" s="1002" t="s">
        <v>3285</v>
      </c>
      <c r="HK11" s="1004"/>
      <c r="HL11" s="1002" t="s">
        <v>3286</v>
      </c>
      <c r="HM11" s="1004"/>
      <c r="HN11" s="1002" t="s">
        <v>3287</v>
      </c>
      <c r="HO11" s="1004"/>
      <c r="HP11" s="1002" t="s">
        <v>3288</v>
      </c>
      <c r="HQ11" s="1004"/>
      <c r="HR11" s="1002" t="s">
        <v>3289</v>
      </c>
      <c r="HS11" s="1004"/>
      <c r="HT11" s="1002" t="s">
        <v>3290</v>
      </c>
      <c r="HU11" s="1004"/>
      <c r="HV11" s="1002" t="s">
        <v>3291</v>
      </c>
      <c r="HW11" s="1004"/>
      <c r="HX11" s="1002" t="s">
        <v>3292</v>
      </c>
      <c r="HY11" s="1004"/>
      <c r="HZ11" s="1002" t="s">
        <v>3293</v>
      </c>
      <c r="IA11" s="1004"/>
      <c r="IB11" s="1002" t="s">
        <v>3294</v>
      </c>
      <c r="IC11" s="1004"/>
      <c r="ID11" s="1002" t="s">
        <v>3295</v>
      </c>
      <c r="IE11" s="1004"/>
      <c r="IF11" s="1002" t="s">
        <v>3296</v>
      </c>
      <c r="IG11" s="1004"/>
      <c r="IH11" s="1002" t="s">
        <v>3297</v>
      </c>
      <c r="II11" s="1004"/>
      <c r="IJ11" s="1002" t="s">
        <v>3298</v>
      </c>
      <c r="IK11" s="1004"/>
      <c r="IL11" s="1005" t="s">
        <v>3299</v>
      </c>
      <c r="IM11" s="1006"/>
      <c r="IN11" s="1005" t="s">
        <v>3300</v>
      </c>
      <c r="IO11" s="1006"/>
      <c r="IP11" s="1005" t="s">
        <v>3301</v>
      </c>
      <c r="IQ11" s="1006"/>
      <c r="IR11" s="23"/>
      <c r="IS11" s="24"/>
      <c r="IT11" s="2"/>
      <c r="IU11" s="4"/>
    </row>
    <row r="12" spans="1:259" ht="18.600000000000001" thickBot="1" x14ac:dyDescent="0.35">
      <c r="A12" s="25"/>
      <c r="B12" s="25"/>
      <c r="C12" s="25" t="s">
        <v>3823</v>
      </c>
      <c r="D12" s="350">
        <f>SUM(D14:D399)</f>
        <v>489740.30550519755</v>
      </c>
      <c r="E12" s="350">
        <f>SUM(E14:E399)</f>
        <v>34959.791803278698</v>
      </c>
      <c r="F12" s="350">
        <f>SUM(F14:F399)</f>
        <v>6873.7932603820627</v>
      </c>
      <c r="G12" s="350">
        <f>SUM(G14:G399)</f>
        <v>26914.827868852459</v>
      </c>
      <c r="H12" s="350">
        <f>SUM(H14:H399)</f>
        <v>6552</v>
      </c>
      <c r="I12" s="26">
        <f>SUM(I14:I378)</f>
        <v>519139.69603879034</v>
      </c>
      <c r="J12" s="26">
        <f>SUM(J14:J378)</f>
        <v>23134.196721311477</v>
      </c>
      <c r="K12" s="26">
        <f>SUM(K14:K378)</f>
        <v>3638.535956580733</v>
      </c>
      <c r="L12" s="26">
        <f t="shared" ref="L12:BW12" si="0">SUM(L14:L378)</f>
        <v>613090.20723419078</v>
      </c>
      <c r="M12" s="26">
        <f t="shared" si="0"/>
        <v>30914.508196721312</v>
      </c>
      <c r="N12" s="26">
        <f t="shared" si="0"/>
        <v>4430.535956580733</v>
      </c>
      <c r="O12" s="26">
        <f t="shared" si="0"/>
        <v>493072.07021786884</v>
      </c>
      <c r="P12" s="26">
        <f t="shared" si="0"/>
        <v>18809.22950819672</v>
      </c>
      <c r="Q12" s="26">
        <f t="shared" si="0"/>
        <v>3566.535956580733</v>
      </c>
      <c r="R12" s="26">
        <f t="shared" si="0"/>
        <v>497487.79152934422</v>
      </c>
      <c r="S12" s="26">
        <f t="shared" si="0"/>
        <v>19081.475409836065</v>
      </c>
      <c r="T12" s="26">
        <f t="shared" si="0"/>
        <v>3566.535956580733</v>
      </c>
      <c r="U12" s="26">
        <f t="shared" si="0"/>
        <v>488181.1627097436</v>
      </c>
      <c r="V12" s="26">
        <f t="shared" si="0"/>
        <v>17935.180327868853</v>
      </c>
      <c r="W12" s="26">
        <f t="shared" si="0"/>
        <v>3566.535956580733</v>
      </c>
      <c r="X12" s="26">
        <f t="shared" si="0"/>
        <v>486270.49290653644</v>
      </c>
      <c r="Y12" s="26">
        <f t="shared" si="0"/>
        <v>17899.983606557373</v>
      </c>
      <c r="Z12" s="26">
        <f t="shared" si="0"/>
        <v>3632.151062867481</v>
      </c>
      <c r="AA12" s="26">
        <f t="shared" si="0"/>
        <v>488100.77720169001</v>
      </c>
      <c r="AB12" s="26">
        <f t="shared" si="0"/>
        <v>17829.590163934427</v>
      </c>
      <c r="AC12" s="26">
        <f t="shared" si="0"/>
        <v>3632.151062867481</v>
      </c>
      <c r="AD12" s="26">
        <f t="shared" si="0"/>
        <v>493965.14777977456</v>
      </c>
      <c r="AE12" s="26">
        <f t="shared" si="0"/>
        <v>18022.147540983609</v>
      </c>
      <c r="AF12" s="26">
        <f t="shared" si="0"/>
        <v>3698.151062867481</v>
      </c>
      <c r="AG12" s="26">
        <f t="shared" si="0"/>
        <v>489666.75121647649</v>
      </c>
      <c r="AH12" s="26">
        <f t="shared" si="0"/>
        <v>17755.672131147545</v>
      </c>
      <c r="AI12" s="26">
        <f t="shared" si="0"/>
        <v>3698.151062867481</v>
      </c>
      <c r="AJ12" s="26">
        <f t="shared" si="0"/>
        <v>481886.70341334085</v>
      </c>
      <c r="AK12" s="26">
        <f t="shared" si="0"/>
        <v>16481.557377049183</v>
      </c>
      <c r="AL12" s="26">
        <f t="shared" si="0"/>
        <v>3734.151062867481</v>
      </c>
      <c r="AM12" s="26">
        <f t="shared" si="0"/>
        <v>479379.38744634221</v>
      </c>
      <c r="AN12" s="26">
        <f t="shared" si="0"/>
        <v>16589.114754098358</v>
      </c>
      <c r="AO12" s="26">
        <f t="shared" si="0"/>
        <v>3734.151062867481</v>
      </c>
      <c r="AP12" s="26">
        <f t="shared" si="0"/>
        <v>475961.95186935802</v>
      </c>
      <c r="AQ12" s="26">
        <f t="shared" si="0"/>
        <v>16040.262295081966</v>
      </c>
      <c r="AR12" s="26">
        <f t="shared" si="0"/>
        <v>3734.151062867481</v>
      </c>
      <c r="AS12" s="26">
        <f t="shared" si="0"/>
        <v>476339.74555627577</v>
      </c>
      <c r="AT12" s="26">
        <f t="shared" si="0"/>
        <v>16027.528364969801</v>
      </c>
      <c r="AU12" s="26">
        <f t="shared" si="0"/>
        <v>3736.3149972937103</v>
      </c>
      <c r="AV12" s="26">
        <f t="shared" si="0"/>
        <v>473891.47824923007</v>
      </c>
      <c r="AW12" s="26">
        <f t="shared" si="0"/>
        <v>15564.409836065573</v>
      </c>
      <c r="AX12" s="26">
        <f t="shared" si="0"/>
        <v>3799.7661691542289</v>
      </c>
      <c r="AY12" s="26">
        <f t="shared" si="0"/>
        <v>459775.26979035675</v>
      </c>
      <c r="AZ12" s="26">
        <f t="shared" si="0"/>
        <v>14738.655737704918</v>
      </c>
      <c r="BA12" s="26">
        <f t="shared" si="0"/>
        <v>3799.7661691542289</v>
      </c>
      <c r="BB12" s="26">
        <f t="shared" si="0"/>
        <v>464323.49342977244</v>
      </c>
      <c r="BC12" s="26">
        <f t="shared" si="0"/>
        <v>15924.950819672133</v>
      </c>
      <c r="BD12" s="26">
        <f t="shared" si="0"/>
        <v>3799.7661691542289</v>
      </c>
      <c r="BE12" s="26">
        <f t="shared" si="0"/>
        <v>454179.59644630901</v>
      </c>
      <c r="BF12" s="26">
        <f t="shared" si="0"/>
        <v>13293.147540983606</v>
      </c>
      <c r="BG12" s="26">
        <f t="shared" si="0"/>
        <v>3813.9301035804583</v>
      </c>
      <c r="BH12" s="26">
        <f t="shared" si="0"/>
        <v>449633.91913497663</v>
      </c>
      <c r="BI12" s="26">
        <f t="shared" si="0"/>
        <v>13783.245901639344</v>
      </c>
      <c r="BJ12" s="26">
        <f t="shared" si="0"/>
        <v>3763.7661691542289</v>
      </c>
      <c r="BK12" s="26">
        <f t="shared" si="0"/>
        <v>450905.3125775996</v>
      </c>
      <c r="BL12" s="26">
        <f t="shared" si="0"/>
        <v>14413.426229508197</v>
      </c>
      <c r="BM12" s="26">
        <f t="shared" si="0"/>
        <v>3763.3812754409773</v>
      </c>
      <c r="BN12" s="26">
        <f t="shared" si="0"/>
        <v>448952.92965963832</v>
      </c>
      <c r="BO12" s="26">
        <f t="shared" si="0"/>
        <v>13634.590163934427</v>
      </c>
      <c r="BP12" s="26">
        <f t="shared" si="0"/>
        <v>3763.3812754409773</v>
      </c>
      <c r="BQ12" s="26">
        <f t="shared" si="0"/>
        <v>449487.47810502845</v>
      </c>
      <c r="BR12" s="26">
        <f t="shared" si="0"/>
        <v>12821.22950819672</v>
      </c>
      <c r="BS12" s="26">
        <f t="shared" si="0"/>
        <v>3833.7091442934366</v>
      </c>
      <c r="BT12" s="26">
        <f t="shared" si="0"/>
        <v>449021.95161336823</v>
      </c>
      <c r="BU12" s="26">
        <f t="shared" si="0"/>
        <v>13062.196721311477</v>
      </c>
      <c r="BV12" s="26">
        <f t="shared" si="0"/>
        <v>3763.3812754409773</v>
      </c>
      <c r="BW12" s="26">
        <f t="shared" si="0"/>
        <v>446343.40148229222</v>
      </c>
      <c r="BX12" s="26">
        <f t="shared" ref="BX12:EI12" si="1">SUM(BX14:BX378)</f>
        <v>13114.672131147543</v>
      </c>
      <c r="BY12" s="26">
        <f t="shared" si="1"/>
        <v>3763.3812754409773</v>
      </c>
      <c r="BZ12" s="26">
        <f t="shared" si="1"/>
        <v>445209.64876112377</v>
      </c>
      <c r="CA12" s="26">
        <f t="shared" si="1"/>
        <v>13182.000000000002</v>
      </c>
      <c r="CB12" s="26">
        <f t="shared" si="1"/>
        <v>3829.3812754409773</v>
      </c>
      <c r="CC12" s="26">
        <f t="shared" si="1"/>
        <v>461055.80095798813</v>
      </c>
      <c r="CD12" s="26">
        <f t="shared" si="1"/>
        <v>15206.88524590164</v>
      </c>
      <c r="CE12" s="26">
        <f t="shared" si="1"/>
        <v>4345.4796360967148</v>
      </c>
      <c r="CF12" s="26">
        <f t="shared" si="1"/>
        <v>434116.75902363344</v>
      </c>
      <c r="CG12" s="26">
        <f t="shared" si="1"/>
        <v>11606.590163934427</v>
      </c>
      <c r="CH12" s="26">
        <f t="shared" si="1"/>
        <v>3631.3812754409773</v>
      </c>
      <c r="CI12" s="26">
        <f t="shared" si="1"/>
        <v>436201.67446632794</v>
      </c>
      <c r="CJ12" s="26">
        <f t="shared" si="1"/>
        <v>11635.918032786885</v>
      </c>
      <c r="CK12" s="26">
        <f t="shared" si="1"/>
        <v>3631.3812754409773</v>
      </c>
      <c r="CL12" s="26">
        <f t="shared" si="1"/>
        <v>449163.42269590771</v>
      </c>
      <c r="CM12" s="26">
        <f t="shared" si="1"/>
        <v>12549.77049180328</v>
      </c>
      <c r="CN12" s="26">
        <f t="shared" si="1"/>
        <v>3721.184554129502</v>
      </c>
      <c r="CO12" s="26">
        <f t="shared" si="1"/>
        <v>432706.5538434487</v>
      </c>
      <c r="CP12" s="26">
        <f t="shared" si="1"/>
        <v>10988.196721311475</v>
      </c>
      <c r="CQ12" s="26">
        <f t="shared" si="1"/>
        <v>3565.3812754409773</v>
      </c>
      <c r="CR12" s="26">
        <f t="shared" si="1"/>
        <v>429526.84892541589</v>
      </c>
      <c r="CS12" s="26">
        <f t="shared" si="1"/>
        <v>10832.786885245901</v>
      </c>
      <c r="CT12" s="26">
        <f t="shared" si="1"/>
        <v>3565.3812754409773</v>
      </c>
      <c r="CU12" s="26">
        <f t="shared" si="1"/>
        <v>432382.12830253656</v>
      </c>
      <c r="CV12" s="26">
        <f t="shared" si="1"/>
        <v>10812.590163934427</v>
      </c>
      <c r="CW12" s="26">
        <f t="shared" si="1"/>
        <v>3565.3812754409773</v>
      </c>
      <c r="CX12" s="26">
        <f t="shared" si="1"/>
        <v>426792.56177801796</v>
      </c>
      <c r="CY12" s="26">
        <f t="shared" si="1"/>
        <v>10756.39344262295</v>
      </c>
      <c r="CZ12" s="26">
        <f t="shared" si="1"/>
        <v>3565.3812754409773</v>
      </c>
      <c r="DA12" s="26">
        <f t="shared" si="1"/>
        <v>429710.46686034277</v>
      </c>
      <c r="DB12" s="26">
        <f t="shared" si="1"/>
        <v>10653.590163934427</v>
      </c>
      <c r="DC12" s="26">
        <f t="shared" si="1"/>
        <v>3565.3812754409773</v>
      </c>
      <c r="DD12" s="26">
        <f t="shared" si="1"/>
        <v>432318.33571280184</v>
      </c>
      <c r="DE12" s="26">
        <f t="shared" si="1"/>
        <v>10719.262295081968</v>
      </c>
      <c r="DF12" s="26">
        <f t="shared" si="1"/>
        <v>3565.3812754409773</v>
      </c>
      <c r="DG12" s="26">
        <f t="shared" si="1"/>
        <v>433248.14571315947</v>
      </c>
      <c r="DH12" s="26">
        <f t="shared" si="1"/>
        <v>10798.442622950821</v>
      </c>
      <c r="DI12" s="26">
        <f t="shared" si="1"/>
        <v>3565.3812754409773</v>
      </c>
      <c r="DJ12" s="26">
        <f t="shared" si="1"/>
        <v>425237.005418149</v>
      </c>
      <c r="DK12" s="26">
        <f t="shared" si="1"/>
        <v>10231.590163934427</v>
      </c>
      <c r="DL12" s="26">
        <f t="shared" si="1"/>
        <v>3565.3812754409773</v>
      </c>
      <c r="DM12" s="26">
        <f t="shared" si="1"/>
        <v>425237.005418149</v>
      </c>
      <c r="DN12" s="26">
        <f t="shared" si="1"/>
        <v>10231.590163934427</v>
      </c>
      <c r="DO12" s="26">
        <f t="shared" si="1"/>
        <v>3565.3812754409773</v>
      </c>
      <c r="DP12" s="26">
        <f t="shared" si="1"/>
        <v>424419.79230339493</v>
      </c>
      <c r="DQ12" s="26">
        <f t="shared" si="1"/>
        <v>10255.524590163935</v>
      </c>
      <c r="DR12" s="26">
        <f t="shared" si="1"/>
        <v>3565.3812754409773</v>
      </c>
      <c r="DS12" s="26">
        <f t="shared" si="1"/>
        <v>431560.97738571971</v>
      </c>
      <c r="DT12" s="26">
        <f t="shared" si="1"/>
        <v>10589.459016393443</v>
      </c>
      <c r="DU12" s="26">
        <f t="shared" si="1"/>
        <v>3565.3812754409773</v>
      </c>
      <c r="DV12" s="26">
        <f t="shared" si="1"/>
        <v>436272.15399059863</v>
      </c>
      <c r="DW12" s="26">
        <f t="shared" si="1"/>
        <v>10291.049180327869</v>
      </c>
      <c r="DX12" s="26">
        <f t="shared" si="1"/>
        <v>3565.3812754409773</v>
      </c>
      <c r="DY12" s="26">
        <f t="shared" si="1"/>
        <v>428552.23308770999</v>
      </c>
      <c r="DZ12" s="26">
        <f t="shared" si="1"/>
        <v>10106.590163934427</v>
      </c>
      <c r="EA12" s="26">
        <f t="shared" si="1"/>
        <v>3565.3812754409773</v>
      </c>
      <c r="EB12" s="26">
        <f t="shared" si="1"/>
        <v>431751.29607138812</v>
      </c>
      <c r="EC12" s="26">
        <f t="shared" si="1"/>
        <v>10390.737704918032</v>
      </c>
      <c r="ED12" s="26">
        <f t="shared" si="1"/>
        <v>3565.3812754409773</v>
      </c>
      <c r="EE12" s="26">
        <f t="shared" si="1"/>
        <v>427093.04705499468</v>
      </c>
      <c r="EF12" s="26">
        <f t="shared" si="1"/>
        <v>9725.7704918032796</v>
      </c>
      <c r="EG12" s="26">
        <f t="shared" si="1"/>
        <v>3565.3812754409773</v>
      </c>
      <c r="EH12" s="26">
        <f t="shared" si="1"/>
        <v>428083.10675998428</v>
      </c>
      <c r="EI12" s="26">
        <f t="shared" si="1"/>
        <v>9716.2295081967204</v>
      </c>
      <c r="EJ12" s="26">
        <f t="shared" ref="EJ12:FU12" si="2">SUM(EJ14:EJ378)</f>
        <v>3544.7255377360593</v>
      </c>
      <c r="EK12" s="26">
        <f t="shared" si="2"/>
        <v>444214.33436668466</v>
      </c>
      <c r="EL12" s="26">
        <f t="shared" si="2"/>
        <v>10699.393442622953</v>
      </c>
      <c r="EM12" s="26">
        <f t="shared" si="2"/>
        <v>3595.3812754409773</v>
      </c>
      <c r="EN12" s="26">
        <f t="shared" si="2"/>
        <v>417310.13505528076</v>
      </c>
      <c r="EO12" s="26">
        <f t="shared" si="2"/>
        <v>9135.5901639344265</v>
      </c>
      <c r="EP12" s="26">
        <f t="shared" si="2"/>
        <v>3595.3812754409773</v>
      </c>
      <c r="EQ12" s="26">
        <f t="shared" si="2"/>
        <v>417310.13505528076</v>
      </c>
      <c r="ER12" s="26">
        <f t="shared" si="2"/>
        <v>9135.5901639344265</v>
      </c>
      <c r="ES12" s="26">
        <f t="shared" si="2"/>
        <v>3595.3812754409773</v>
      </c>
      <c r="ET12" s="26">
        <f t="shared" si="2"/>
        <v>418672.5914815818</v>
      </c>
      <c r="EU12" s="26">
        <f t="shared" si="2"/>
        <v>9149.5901639344265</v>
      </c>
      <c r="EV12" s="26">
        <f t="shared" si="2"/>
        <v>3595.3812754409773</v>
      </c>
      <c r="EW12" s="26">
        <f t="shared" si="2"/>
        <v>418672.5914815818</v>
      </c>
      <c r="EX12" s="26">
        <f t="shared" si="2"/>
        <v>9149.5901639344265</v>
      </c>
      <c r="EY12" s="26">
        <f t="shared" si="2"/>
        <v>3595.3812754409773</v>
      </c>
      <c r="EZ12" s="26">
        <f t="shared" si="2"/>
        <v>419140.15814824851</v>
      </c>
      <c r="FA12" s="26">
        <f t="shared" si="2"/>
        <v>9221.4234972677586</v>
      </c>
      <c r="FB12" s="26">
        <f t="shared" si="2"/>
        <v>3595.3812754409773</v>
      </c>
      <c r="FC12" s="26">
        <f t="shared" si="2"/>
        <v>418467.04790788284</v>
      </c>
      <c r="FD12" s="26">
        <f t="shared" si="2"/>
        <v>8744.5901639344265</v>
      </c>
      <c r="FE12" s="26">
        <f t="shared" si="2"/>
        <v>3595.3812754409773</v>
      </c>
      <c r="FF12" s="26">
        <f t="shared" si="2"/>
        <v>419113.57249804673</v>
      </c>
      <c r="FG12" s="26">
        <f t="shared" si="2"/>
        <v>8747.4590163934427</v>
      </c>
      <c r="FH12" s="26">
        <f t="shared" si="2"/>
        <v>3595.3812754409773</v>
      </c>
      <c r="FI12" s="26">
        <f t="shared" si="2"/>
        <v>418294.05729969038</v>
      </c>
      <c r="FJ12" s="26">
        <f t="shared" si="2"/>
        <v>8735</v>
      </c>
      <c r="FK12" s="26">
        <f t="shared" si="2"/>
        <v>3595.3812754409773</v>
      </c>
      <c r="FL12" s="26">
        <f t="shared" si="2"/>
        <v>422473.45867688267</v>
      </c>
      <c r="FM12" s="26">
        <f t="shared" si="2"/>
        <v>8771</v>
      </c>
      <c r="FN12" s="26">
        <f t="shared" si="2"/>
        <v>3595.3812754409773</v>
      </c>
      <c r="FO12" s="26">
        <f t="shared" si="2"/>
        <v>424273.92166056077</v>
      </c>
      <c r="FP12" s="26">
        <f t="shared" si="2"/>
        <v>8981.6885245901649</v>
      </c>
      <c r="FQ12" s="26">
        <f t="shared" si="2"/>
        <v>3595.3812754409773</v>
      </c>
      <c r="FR12" s="26">
        <f t="shared" si="2"/>
        <v>423123.57739826565</v>
      </c>
      <c r="FS12" s="26">
        <f t="shared" si="2"/>
        <v>9233.0983606557384</v>
      </c>
      <c r="FT12" s="26">
        <f t="shared" si="2"/>
        <v>3595.3812754409773</v>
      </c>
      <c r="FU12" s="26">
        <f t="shared" si="2"/>
        <v>419229.72493924928</v>
      </c>
      <c r="FV12" s="26">
        <f>SUM(FV14:FV341)</f>
        <v>7727</v>
      </c>
      <c r="FW12" s="26">
        <f>SUM(FW14:FW341)</f>
        <v>3199.3812754409773</v>
      </c>
      <c r="FX12" s="26">
        <f t="shared" ref="FX12:GC12" si="3">SUM(FX14:FX339)</f>
        <v>415668.08559498697</v>
      </c>
      <c r="FY12" s="26">
        <f t="shared" si="3"/>
        <v>7736</v>
      </c>
      <c r="FZ12" s="26">
        <f t="shared" si="3"/>
        <v>1939.3812754409769</v>
      </c>
      <c r="GA12" s="26">
        <f t="shared" si="3"/>
        <v>416316.92166056071</v>
      </c>
      <c r="GB12" s="26">
        <f t="shared" si="3"/>
        <v>7755.9344262295081</v>
      </c>
      <c r="GC12" s="26">
        <f t="shared" si="3"/>
        <v>1939.3812754409769</v>
      </c>
      <c r="GD12" s="26">
        <f>SUM(GD14:GD337)</f>
        <v>420524.01743112406</v>
      </c>
      <c r="GE12" s="26">
        <f>SUM(GE14:GE337)</f>
        <v>8162.7868852459023</v>
      </c>
      <c r="GF12" s="26">
        <f>SUM(GF14:GF337)</f>
        <v>1953.5452098672065</v>
      </c>
      <c r="GG12" s="26">
        <f t="shared" ref="GG12:GL12" si="4">SUM(GG14:GG336)</f>
        <v>417574.54202128807</v>
      </c>
      <c r="GH12" s="26">
        <f t="shared" si="4"/>
        <v>7387</v>
      </c>
      <c r="GI12" s="26">
        <f t="shared" si="4"/>
        <v>1903.3812754409769</v>
      </c>
      <c r="GJ12" s="26">
        <f t="shared" si="4"/>
        <v>419552.47851330589</v>
      </c>
      <c r="GK12" s="26">
        <f t="shared" si="4"/>
        <v>7414.3442622950824</v>
      </c>
      <c r="GL12" s="26">
        <f t="shared" si="4"/>
        <v>2034.9963817277251</v>
      </c>
      <c r="GM12" s="26">
        <f>SUM(GM14:GM330)</f>
        <v>408041.31457887968</v>
      </c>
      <c r="GN12" s="26">
        <f t="shared" ref="GN12:GO12" si="5">SUM(GN14:GN330)</f>
        <v>6892.1967213114758</v>
      </c>
      <c r="GO12" s="26">
        <f t="shared" si="5"/>
        <v>1969.3812754409769</v>
      </c>
      <c r="GP12" s="26">
        <f>SUM(GP14:GP327)</f>
        <v>413271.329070826</v>
      </c>
      <c r="GQ12" s="26">
        <f t="shared" ref="GQ12:GR12" si="6">SUM(GQ14:GQ327)</f>
        <v>7266.2622950819677</v>
      </c>
      <c r="GR12" s="26">
        <f t="shared" si="6"/>
        <v>2100.6114880144733</v>
      </c>
      <c r="GS12" s="26">
        <f t="shared" ref="GS12:GU12" si="7">SUM(GS14:GS321)</f>
        <v>405346.4597740657</v>
      </c>
      <c r="GT12" s="26">
        <f t="shared" si="7"/>
        <v>7293.1803278688512</v>
      </c>
      <c r="GU12" s="26">
        <f t="shared" si="7"/>
        <v>2160.8001765390632</v>
      </c>
      <c r="GV12" s="26">
        <f>SUM(GV14:GV309)</f>
        <v>391963.40347919834</v>
      </c>
      <c r="GW12" s="26">
        <f t="shared" ref="GW12:GX12" si="8">SUM(GW14:GW309)</f>
        <v>7176.57</v>
      </c>
      <c r="GX12" s="26">
        <f t="shared" si="8"/>
        <v>1854.6114880144733</v>
      </c>
      <c r="GY12" s="26">
        <f>SUM(GY14:GY307)</f>
        <v>394877.92810222058</v>
      </c>
      <c r="GZ12" s="26">
        <f t="shared" ref="GZ12:HA12" si="9">SUM(GZ14:GZ307)</f>
        <v>7726.1639344262294</v>
      </c>
      <c r="HA12" s="26">
        <f t="shared" si="9"/>
        <v>1881.8085371948011</v>
      </c>
      <c r="HB12" s="26">
        <f>SUM(HB14:HB294)</f>
        <v>382894.20679074514</v>
      </c>
      <c r="HC12" s="26">
        <f>SUM(HC14:HC294)</f>
        <v>6637.1803278688531</v>
      </c>
      <c r="HD12" s="26">
        <f>SUM(HD14:HD294)</f>
        <v>1779.9557503095552</v>
      </c>
      <c r="HE12" s="26">
        <f>SUM(HE14:HE285)</f>
        <v>377133.01006943372</v>
      </c>
      <c r="HF12" s="26">
        <f>SUM(HF14:HF285)</f>
        <v>38604.754098360652</v>
      </c>
      <c r="HG12" s="26">
        <f>SUM(HG14:HG285)</f>
        <v>1656.6114880144733</v>
      </c>
      <c r="HH12" s="26">
        <f>SUM(HH14:HH283)</f>
        <v>371108.78056123701</v>
      </c>
      <c r="HI12" s="26">
        <f>SUM(HI14:HI283)</f>
        <v>3595.4495703301673</v>
      </c>
      <c r="HJ12" s="26">
        <f>SUM(HJ14:HJ282)</f>
        <v>370914.1374464829</v>
      </c>
      <c r="HK12" s="26">
        <f>SUM(HK14:HK282)</f>
        <v>3654.2256359039379</v>
      </c>
      <c r="HL12" s="26">
        <f>SUM(HL14:HL277)</f>
        <v>368872.89079088828</v>
      </c>
      <c r="HM12" s="26">
        <f>SUM(HM14:HM277)</f>
        <v>3555.9559637727903</v>
      </c>
      <c r="HN12" s="26">
        <f>SUM(HN14:HN261)</f>
        <v>354182.52754505817</v>
      </c>
      <c r="HO12" s="26">
        <f>SUM(HO14:HO261)</f>
        <v>3464.1402260678724</v>
      </c>
      <c r="HP12" s="26">
        <f>SUM(HP14:HP249)</f>
        <v>342575.43017465016</v>
      </c>
      <c r="HQ12" s="26">
        <f>SUM(HQ14:HQ249)</f>
        <v>3441.1748162318067</v>
      </c>
      <c r="HR12" s="26">
        <f>SUM(HR14:HR233)</f>
        <v>324043.79085660493</v>
      </c>
      <c r="HS12" s="26">
        <f>SUM(HS14:HS233)</f>
        <v>3378.0084227891834</v>
      </c>
      <c r="HT12" s="26">
        <f>SUM(HT14:HT212)</f>
        <v>310123.29617214936</v>
      </c>
      <c r="HU12" s="26">
        <f>SUM(HU14:HU212)</f>
        <v>3402.1751441006595</v>
      </c>
      <c r="HV12" s="27">
        <f t="shared" ref="HV12:II12" si="10">SUM(HV14:HV186)</f>
        <v>261350.17526580259</v>
      </c>
      <c r="HW12" s="27">
        <f t="shared" si="10"/>
        <v>2767.7034128908372</v>
      </c>
      <c r="HX12" s="27" t="e">
        <f t="shared" si="10"/>
        <v>#N/A</v>
      </c>
      <c r="HY12" s="27">
        <f t="shared" si="10"/>
        <v>2715.2134795471234</v>
      </c>
      <c r="HZ12" s="27">
        <f t="shared" si="10"/>
        <v>247640.20382242702</v>
      </c>
      <c r="IA12" s="27">
        <f t="shared" si="10"/>
        <v>4431.6411908416176</v>
      </c>
      <c r="IB12" s="27">
        <f t="shared" si="10"/>
        <v>215157.45050615064</v>
      </c>
      <c r="IC12" s="27">
        <f t="shared" si="10"/>
        <v>1743.1865943012222</v>
      </c>
      <c r="ID12" s="27" t="e">
        <f t="shared" si="10"/>
        <v>#N/A</v>
      </c>
      <c r="IE12" s="27">
        <f t="shared" si="10"/>
        <v>1743.1865943012222</v>
      </c>
      <c r="IF12" s="27" t="e">
        <f t="shared" si="10"/>
        <v>#N/A</v>
      </c>
      <c r="IG12" s="27">
        <f t="shared" si="10"/>
        <v>1638.6933822689834</v>
      </c>
      <c r="IH12" s="27" t="e">
        <f t="shared" si="10"/>
        <v>#N/A</v>
      </c>
      <c r="II12" s="27">
        <f t="shared" si="10"/>
        <v>1475.7012268019075</v>
      </c>
      <c r="IJ12" s="27" t="e">
        <f>SUM(IJ14:IJ177)</f>
        <v>#N/A</v>
      </c>
      <c r="IK12" s="27">
        <f>SUM(IK14:IK177)</f>
        <v>1410.1176691801797</v>
      </c>
      <c r="IL12" s="27" t="e">
        <f>SUM(IL14:IL177)</f>
        <v>#N/A</v>
      </c>
      <c r="IM12" s="27">
        <f>SUM(IM14:IM177)</f>
        <v>1293.6393306196292</v>
      </c>
      <c r="IN12" s="27" t="e">
        <f>SUM(IN14:IN149)</f>
        <v>#N/A</v>
      </c>
      <c r="IO12" s="27">
        <f>SUM(IO14:IO149)</f>
        <v>1129.8167209144412</v>
      </c>
      <c r="IP12" s="27">
        <f>SUM(IP14:IP148)</f>
        <v>147233.52236186177</v>
      </c>
      <c r="IQ12" s="27">
        <f>SUM(IQ14:IQ148)</f>
        <v>3496.8368871951948</v>
      </c>
      <c r="IR12" s="23"/>
      <c r="IS12" s="24"/>
      <c r="IT12" s="2"/>
      <c r="IU12" s="4"/>
    </row>
    <row r="13" spans="1:259" ht="103.5" customHeight="1" thickBot="1" x14ac:dyDescent="0.35">
      <c r="A13" s="351" t="s">
        <v>3302</v>
      </c>
      <c r="B13" s="352" t="s">
        <v>3303</v>
      </c>
      <c r="C13" s="352" t="s">
        <v>3523</v>
      </c>
      <c r="D13" s="3" t="s">
        <v>3824</v>
      </c>
      <c r="E13" s="3" t="s">
        <v>3825</v>
      </c>
      <c r="F13" s="3" t="s">
        <v>3826</v>
      </c>
      <c r="G13" s="3" t="s">
        <v>3827</v>
      </c>
      <c r="H13" s="3" t="s">
        <v>3828</v>
      </c>
      <c r="I13" s="353" t="s">
        <v>2725</v>
      </c>
      <c r="J13" s="3" t="s">
        <v>2726</v>
      </c>
      <c r="K13" s="3" t="s">
        <v>2727</v>
      </c>
      <c r="L13" s="3" t="s">
        <v>2725</v>
      </c>
      <c r="M13" s="3" t="s">
        <v>2726</v>
      </c>
      <c r="N13" s="3" t="s">
        <v>2727</v>
      </c>
      <c r="O13" s="3" t="s">
        <v>2725</v>
      </c>
      <c r="P13" s="3" t="s">
        <v>2726</v>
      </c>
      <c r="Q13" s="3" t="s">
        <v>2727</v>
      </c>
      <c r="R13" s="3" t="s">
        <v>2725</v>
      </c>
      <c r="S13" s="3" t="s">
        <v>2726</v>
      </c>
      <c r="T13" s="3" t="s">
        <v>2727</v>
      </c>
      <c r="U13" s="3" t="s">
        <v>2725</v>
      </c>
      <c r="V13" s="3" t="s">
        <v>2726</v>
      </c>
      <c r="W13" s="3" t="s">
        <v>2727</v>
      </c>
      <c r="X13" s="3" t="s">
        <v>2725</v>
      </c>
      <c r="Y13" s="3" t="s">
        <v>2726</v>
      </c>
      <c r="Z13" s="3" t="s">
        <v>2727</v>
      </c>
      <c r="AA13" s="3" t="s">
        <v>2725</v>
      </c>
      <c r="AB13" s="3" t="s">
        <v>2726</v>
      </c>
      <c r="AC13" s="3" t="s">
        <v>2727</v>
      </c>
      <c r="AD13" s="3" t="s">
        <v>2725</v>
      </c>
      <c r="AE13" s="3" t="s">
        <v>2726</v>
      </c>
      <c r="AF13" s="3" t="s">
        <v>2727</v>
      </c>
      <c r="AG13" s="3" t="s">
        <v>2725</v>
      </c>
      <c r="AH13" s="3" t="s">
        <v>2726</v>
      </c>
      <c r="AI13" s="3" t="s">
        <v>2727</v>
      </c>
      <c r="AJ13" s="3" t="s">
        <v>2725</v>
      </c>
      <c r="AK13" s="3" t="s">
        <v>2726</v>
      </c>
      <c r="AL13" s="3" t="s">
        <v>2727</v>
      </c>
      <c r="AM13" s="3" t="s">
        <v>2725</v>
      </c>
      <c r="AN13" s="3" t="s">
        <v>2726</v>
      </c>
      <c r="AO13" s="3" t="s">
        <v>2727</v>
      </c>
      <c r="AP13" s="3" t="s">
        <v>2725</v>
      </c>
      <c r="AQ13" s="3" t="s">
        <v>2726</v>
      </c>
      <c r="AR13" s="3" t="s">
        <v>2727</v>
      </c>
      <c r="AS13" s="3" t="s">
        <v>2725</v>
      </c>
      <c r="AT13" s="3" t="s">
        <v>2726</v>
      </c>
      <c r="AU13" s="3" t="s">
        <v>2727</v>
      </c>
      <c r="AV13" s="3" t="s">
        <v>2725</v>
      </c>
      <c r="AW13" s="3" t="s">
        <v>2726</v>
      </c>
      <c r="AX13" s="3" t="s">
        <v>2727</v>
      </c>
      <c r="AY13" s="3" t="s">
        <v>2725</v>
      </c>
      <c r="AZ13" s="3" t="s">
        <v>2726</v>
      </c>
      <c r="BA13" s="3" t="s">
        <v>2727</v>
      </c>
      <c r="BB13" s="3" t="s">
        <v>2725</v>
      </c>
      <c r="BC13" s="3" t="s">
        <v>2726</v>
      </c>
      <c r="BD13" s="3" t="s">
        <v>2727</v>
      </c>
      <c r="BE13" s="3" t="s">
        <v>2725</v>
      </c>
      <c r="BF13" s="3" t="s">
        <v>2726</v>
      </c>
      <c r="BG13" s="3" t="s">
        <v>2727</v>
      </c>
      <c r="BH13" s="3" t="s">
        <v>2725</v>
      </c>
      <c r="BI13" s="3" t="s">
        <v>2726</v>
      </c>
      <c r="BJ13" s="3" t="s">
        <v>2727</v>
      </c>
      <c r="BK13" s="3" t="s">
        <v>2725</v>
      </c>
      <c r="BL13" s="3" t="s">
        <v>2726</v>
      </c>
      <c r="BM13" s="3" t="s">
        <v>2727</v>
      </c>
      <c r="BN13" s="3" t="s">
        <v>2725</v>
      </c>
      <c r="BO13" s="3" t="s">
        <v>2726</v>
      </c>
      <c r="BP13" s="3" t="s">
        <v>2727</v>
      </c>
      <c r="BQ13" s="3" t="s">
        <v>2725</v>
      </c>
      <c r="BR13" s="3" t="s">
        <v>2726</v>
      </c>
      <c r="BS13" s="3" t="s">
        <v>2727</v>
      </c>
      <c r="BT13" s="3" t="s">
        <v>2725</v>
      </c>
      <c r="BU13" s="3" t="s">
        <v>2726</v>
      </c>
      <c r="BV13" s="3" t="s">
        <v>2727</v>
      </c>
      <c r="BW13" s="3" t="s">
        <v>2725</v>
      </c>
      <c r="BX13" s="3" t="s">
        <v>2726</v>
      </c>
      <c r="BY13" s="3" t="s">
        <v>2727</v>
      </c>
      <c r="BZ13" s="3" t="s">
        <v>2725</v>
      </c>
      <c r="CA13" s="3" t="s">
        <v>2726</v>
      </c>
      <c r="CB13" s="3" t="s">
        <v>2727</v>
      </c>
      <c r="CC13" s="3" t="s">
        <v>2725</v>
      </c>
      <c r="CD13" s="3" t="s">
        <v>2726</v>
      </c>
      <c r="CE13" s="3" t="s">
        <v>2727</v>
      </c>
      <c r="CF13" s="3" t="s">
        <v>2725</v>
      </c>
      <c r="CG13" s="3" t="s">
        <v>2726</v>
      </c>
      <c r="CH13" s="3" t="s">
        <v>2727</v>
      </c>
      <c r="CI13" s="3" t="s">
        <v>2725</v>
      </c>
      <c r="CJ13" s="3" t="s">
        <v>2726</v>
      </c>
      <c r="CK13" s="3" t="s">
        <v>2727</v>
      </c>
      <c r="CL13" s="3" t="s">
        <v>2725</v>
      </c>
      <c r="CM13" s="3" t="s">
        <v>2726</v>
      </c>
      <c r="CN13" s="3" t="s">
        <v>2727</v>
      </c>
      <c r="CO13" s="3" t="s">
        <v>2725</v>
      </c>
      <c r="CP13" s="3" t="s">
        <v>2726</v>
      </c>
      <c r="CQ13" s="3" t="s">
        <v>2727</v>
      </c>
      <c r="CR13" s="3" t="s">
        <v>2725</v>
      </c>
      <c r="CS13" s="3" t="s">
        <v>2726</v>
      </c>
      <c r="CT13" s="3" t="s">
        <v>2727</v>
      </c>
      <c r="CU13" s="3" t="s">
        <v>2725</v>
      </c>
      <c r="CV13" s="3" t="s">
        <v>2726</v>
      </c>
      <c r="CW13" s="3" t="s">
        <v>2727</v>
      </c>
      <c r="CX13" s="3" t="s">
        <v>2725</v>
      </c>
      <c r="CY13" s="3" t="s">
        <v>2726</v>
      </c>
      <c r="CZ13" s="3" t="s">
        <v>2727</v>
      </c>
      <c r="DA13" s="3" t="s">
        <v>2725</v>
      </c>
      <c r="DB13" s="3" t="s">
        <v>2726</v>
      </c>
      <c r="DC13" s="3" t="s">
        <v>2727</v>
      </c>
      <c r="DD13" s="3" t="s">
        <v>2725</v>
      </c>
      <c r="DE13" s="3" t="s">
        <v>2726</v>
      </c>
      <c r="DF13" s="3" t="s">
        <v>2727</v>
      </c>
      <c r="DG13" s="3" t="s">
        <v>2725</v>
      </c>
      <c r="DH13" s="3" t="s">
        <v>2726</v>
      </c>
      <c r="DI13" s="3" t="s">
        <v>2727</v>
      </c>
      <c r="DJ13" s="3" t="s">
        <v>2725</v>
      </c>
      <c r="DK13" s="3" t="s">
        <v>2726</v>
      </c>
      <c r="DL13" s="3" t="s">
        <v>2727</v>
      </c>
      <c r="DM13" s="3" t="s">
        <v>2725</v>
      </c>
      <c r="DN13" s="3" t="s">
        <v>2726</v>
      </c>
      <c r="DO13" s="3" t="s">
        <v>2727</v>
      </c>
      <c r="DP13" s="3" t="s">
        <v>2725</v>
      </c>
      <c r="DQ13" s="3" t="s">
        <v>2726</v>
      </c>
      <c r="DR13" s="3" t="s">
        <v>2727</v>
      </c>
      <c r="DS13" s="3" t="s">
        <v>2725</v>
      </c>
      <c r="DT13" s="3" t="s">
        <v>2726</v>
      </c>
      <c r="DU13" s="3" t="s">
        <v>2727</v>
      </c>
      <c r="DV13" s="3" t="s">
        <v>2725</v>
      </c>
      <c r="DW13" s="3" t="s">
        <v>2726</v>
      </c>
      <c r="DX13" s="3" t="s">
        <v>2727</v>
      </c>
      <c r="DY13" s="3" t="s">
        <v>2725</v>
      </c>
      <c r="DZ13" s="3" t="s">
        <v>2726</v>
      </c>
      <c r="EA13" s="3" t="s">
        <v>2727</v>
      </c>
      <c r="EB13" s="3" t="s">
        <v>2725</v>
      </c>
      <c r="EC13" s="3" t="s">
        <v>2726</v>
      </c>
      <c r="ED13" s="3" t="s">
        <v>2727</v>
      </c>
      <c r="EE13" s="3" t="s">
        <v>2725</v>
      </c>
      <c r="EF13" s="3" t="s">
        <v>2726</v>
      </c>
      <c r="EG13" s="3" t="s">
        <v>2727</v>
      </c>
      <c r="EH13" s="3" t="s">
        <v>2725</v>
      </c>
      <c r="EI13" s="3" t="s">
        <v>2726</v>
      </c>
      <c r="EJ13" s="3" t="s">
        <v>2727</v>
      </c>
      <c r="EK13" s="3" t="s">
        <v>2725</v>
      </c>
      <c r="EL13" s="3" t="s">
        <v>2726</v>
      </c>
      <c r="EM13" s="3" t="s">
        <v>2727</v>
      </c>
      <c r="EN13" s="3" t="s">
        <v>2725</v>
      </c>
      <c r="EO13" s="3" t="s">
        <v>2726</v>
      </c>
      <c r="EP13" s="3" t="s">
        <v>2727</v>
      </c>
      <c r="EQ13" s="3" t="s">
        <v>2725</v>
      </c>
      <c r="ER13" s="3" t="s">
        <v>2726</v>
      </c>
      <c r="ES13" s="3" t="s">
        <v>2727</v>
      </c>
      <c r="ET13" s="3" t="s">
        <v>2725</v>
      </c>
      <c r="EU13" s="3" t="s">
        <v>2726</v>
      </c>
      <c r="EV13" s="3" t="s">
        <v>2727</v>
      </c>
      <c r="EW13" s="3" t="s">
        <v>2725</v>
      </c>
      <c r="EX13" s="3" t="s">
        <v>2726</v>
      </c>
      <c r="EY13" s="3" t="s">
        <v>2727</v>
      </c>
      <c r="EZ13" s="3" t="s">
        <v>2725</v>
      </c>
      <c r="FA13" s="3" t="s">
        <v>2726</v>
      </c>
      <c r="FB13" s="3" t="s">
        <v>2727</v>
      </c>
      <c r="FC13" s="3" t="s">
        <v>2725</v>
      </c>
      <c r="FD13" s="3" t="s">
        <v>2726</v>
      </c>
      <c r="FE13" s="3" t="s">
        <v>2727</v>
      </c>
      <c r="FF13" s="3" t="s">
        <v>2725</v>
      </c>
      <c r="FG13" s="3" t="s">
        <v>2726</v>
      </c>
      <c r="FH13" s="3" t="s">
        <v>2727</v>
      </c>
      <c r="FI13" s="3" t="s">
        <v>2725</v>
      </c>
      <c r="FJ13" s="3" t="s">
        <v>2726</v>
      </c>
      <c r="FK13" s="3" t="s">
        <v>2727</v>
      </c>
      <c r="FL13" s="3" t="s">
        <v>2725</v>
      </c>
      <c r="FM13" s="3" t="s">
        <v>2726</v>
      </c>
      <c r="FN13" s="3" t="s">
        <v>2727</v>
      </c>
      <c r="FO13" s="3" t="s">
        <v>2725</v>
      </c>
      <c r="FP13" s="3" t="s">
        <v>2726</v>
      </c>
      <c r="FQ13" s="3" t="s">
        <v>2727</v>
      </c>
      <c r="FR13" s="3" t="s">
        <v>2725</v>
      </c>
      <c r="FS13" s="3" t="s">
        <v>2726</v>
      </c>
      <c r="FT13" s="3" t="s">
        <v>2727</v>
      </c>
      <c r="FU13" s="3" t="s">
        <v>2725</v>
      </c>
      <c r="FV13" s="3" t="s">
        <v>2726</v>
      </c>
      <c r="FW13" s="3" t="s">
        <v>2727</v>
      </c>
      <c r="FX13" s="3" t="s">
        <v>2725</v>
      </c>
      <c r="FY13" s="3" t="s">
        <v>2726</v>
      </c>
      <c r="FZ13" s="3" t="s">
        <v>2727</v>
      </c>
      <c r="GA13" s="3" t="s">
        <v>2725</v>
      </c>
      <c r="GB13" s="3" t="s">
        <v>2726</v>
      </c>
      <c r="GC13" s="3" t="s">
        <v>2727</v>
      </c>
      <c r="GD13" s="3" t="s">
        <v>2725</v>
      </c>
      <c r="GE13" s="3" t="s">
        <v>2726</v>
      </c>
      <c r="GF13" s="3" t="s">
        <v>2727</v>
      </c>
      <c r="GG13" s="3" t="s">
        <v>2725</v>
      </c>
      <c r="GH13" s="3" t="s">
        <v>2726</v>
      </c>
      <c r="GI13" s="3" t="s">
        <v>2727</v>
      </c>
      <c r="GJ13" s="3" t="s">
        <v>2725</v>
      </c>
      <c r="GK13" s="3" t="s">
        <v>2726</v>
      </c>
      <c r="GL13" s="3" t="s">
        <v>2727</v>
      </c>
      <c r="GM13" s="3" t="s">
        <v>2725</v>
      </c>
      <c r="GN13" s="3" t="s">
        <v>2726</v>
      </c>
      <c r="GO13" s="3" t="s">
        <v>2727</v>
      </c>
      <c r="GP13" s="3" t="s">
        <v>2725</v>
      </c>
      <c r="GQ13" s="3" t="s">
        <v>2726</v>
      </c>
      <c r="GR13" s="3" t="s">
        <v>2727</v>
      </c>
      <c r="GS13" s="3" t="s">
        <v>2725</v>
      </c>
      <c r="GT13" s="3" t="s">
        <v>2726</v>
      </c>
      <c r="GU13" s="3" t="s">
        <v>2727</v>
      </c>
      <c r="GV13" s="3" t="s">
        <v>2725</v>
      </c>
      <c r="GW13" s="3" t="s">
        <v>2726</v>
      </c>
      <c r="GX13" s="3" t="s">
        <v>2727</v>
      </c>
      <c r="GY13" s="3" t="s">
        <v>2725</v>
      </c>
      <c r="GZ13" s="3" t="s">
        <v>2726</v>
      </c>
      <c r="HA13" s="3" t="s">
        <v>2727</v>
      </c>
      <c r="HB13" s="3" t="s">
        <v>2725</v>
      </c>
      <c r="HC13" s="3" t="s">
        <v>2726</v>
      </c>
      <c r="HD13" s="3" t="s">
        <v>2727</v>
      </c>
      <c r="HE13" s="3" t="s">
        <v>2725</v>
      </c>
      <c r="HF13" s="3" t="s">
        <v>2726</v>
      </c>
      <c r="HG13" s="3" t="s">
        <v>2727</v>
      </c>
      <c r="HH13" s="3" t="s">
        <v>2725</v>
      </c>
      <c r="HI13" s="3" t="s">
        <v>2727</v>
      </c>
      <c r="HJ13" s="3" t="s">
        <v>2725</v>
      </c>
      <c r="HK13" s="3" t="s">
        <v>2727</v>
      </c>
      <c r="HL13" s="3" t="s">
        <v>2725</v>
      </c>
      <c r="HM13" s="3" t="s">
        <v>2727</v>
      </c>
      <c r="HN13" s="3" t="s">
        <v>2725</v>
      </c>
      <c r="HO13" s="3" t="s">
        <v>2727</v>
      </c>
      <c r="HP13" s="3" t="s">
        <v>2725</v>
      </c>
      <c r="HQ13" s="3" t="s">
        <v>2727</v>
      </c>
      <c r="HR13" s="3" t="s">
        <v>2725</v>
      </c>
      <c r="HS13" s="3" t="s">
        <v>3304</v>
      </c>
      <c r="HT13" s="3" t="s">
        <v>2725</v>
      </c>
      <c r="HU13" s="3" t="s">
        <v>3304</v>
      </c>
      <c r="HV13" s="3" t="s">
        <v>2725</v>
      </c>
      <c r="HW13" s="3" t="s">
        <v>3304</v>
      </c>
      <c r="HX13" s="3" t="s">
        <v>2725</v>
      </c>
      <c r="HY13" s="3" t="s">
        <v>3304</v>
      </c>
      <c r="HZ13" s="3" t="s">
        <v>2725</v>
      </c>
      <c r="IA13" s="3" t="s">
        <v>3304</v>
      </c>
      <c r="IB13" s="3" t="s">
        <v>2725</v>
      </c>
      <c r="IC13" s="3" t="s">
        <v>3304</v>
      </c>
      <c r="ID13" s="3" t="s">
        <v>2725</v>
      </c>
      <c r="IE13" s="3" t="s">
        <v>3304</v>
      </c>
      <c r="IF13" s="3" t="s">
        <v>2725</v>
      </c>
      <c r="IG13" s="3" t="s">
        <v>3304</v>
      </c>
      <c r="IH13" s="3" t="s">
        <v>2725</v>
      </c>
      <c r="II13" s="3" t="s">
        <v>3304</v>
      </c>
      <c r="IJ13" s="3" t="s">
        <v>2725</v>
      </c>
      <c r="IK13" s="3" t="s">
        <v>3304</v>
      </c>
      <c r="IL13" s="3" t="s">
        <v>2725</v>
      </c>
      <c r="IM13" s="3" t="s">
        <v>3304</v>
      </c>
      <c r="IN13" s="3" t="s">
        <v>2725</v>
      </c>
      <c r="IO13" s="3" t="s">
        <v>3304</v>
      </c>
      <c r="IP13" s="3" t="s">
        <v>2725</v>
      </c>
      <c r="IQ13" s="3" t="s">
        <v>3304</v>
      </c>
      <c r="IR13" s="28" t="s">
        <v>3305</v>
      </c>
      <c r="IS13" s="29" t="s">
        <v>3306</v>
      </c>
      <c r="IT13" s="30" t="s">
        <v>3307</v>
      </c>
      <c r="IU13" s="4"/>
      <c r="IV13" s="41" t="s">
        <v>3308</v>
      </c>
    </row>
    <row r="14" spans="1:259" s="367" customFormat="1" ht="16.5" customHeight="1" x14ac:dyDescent="0.3">
      <c r="A14" s="354" t="s">
        <v>3309</v>
      </c>
      <c r="B14" s="355"/>
      <c r="C14" s="356" t="s">
        <v>3829</v>
      </c>
      <c r="D14" s="430">
        <f>12347+291*27+((27*2)*4)</f>
        <v>20420</v>
      </c>
      <c r="E14" s="431"/>
      <c r="F14" s="431"/>
      <c r="G14" s="431"/>
      <c r="H14" s="432"/>
      <c r="I14" s="830">
        <f>12347+291*27+((27*2)*4)</f>
        <v>20420</v>
      </c>
      <c r="J14" s="835"/>
      <c r="K14" s="827"/>
      <c r="L14" s="831">
        <f>12347+291*27+((27*2)*4)</f>
        <v>20420</v>
      </c>
      <c r="M14" s="835"/>
      <c r="N14" s="827"/>
      <c r="O14" s="831">
        <f>12347+291*27+((27*2)*4)</f>
        <v>20420</v>
      </c>
      <c r="P14" s="835"/>
      <c r="Q14" s="827"/>
      <c r="R14" s="831">
        <f>12347+291*27+((27*2)*4)</f>
        <v>20420</v>
      </c>
      <c r="S14" s="835"/>
      <c r="T14" s="827"/>
      <c r="U14" s="831">
        <f>12347+291*27+((27*2)*4)</f>
        <v>20420</v>
      </c>
      <c r="V14" s="835"/>
      <c r="W14" s="827"/>
      <c r="X14" s="831">
        <f>12347+291*27+((27*2)*4)</f>
        <v>20420</v>
      </c>
      <c r="Y14" s="835"/>
      <c r="Z14" s="827"/>
      <c r="AA14" s="831">
        <f>12347+291*27+((27*2)*4)</f>
        <v>20420</v>
      </c>
      <c r="AB14" s="835"/>
      <c r="AC14" s="827"/>
      <c r="AD14" s="831">
        <f>12347+291*27+((27*2)*4)</f>
        <v>20420</v>
      </c>
      <c r="AE14" s="835"/>
      <c r="AF14" s="827"/>
      <c r="AG14" s="831">
        <f>12347+291*27+((27*2)*4)</f>
        <v>20420</v>
      </c>
      <c r="AH14" s="835"/>
      <c r="AI14" s="827"/>
      <c r="AJ14" s="831">
        <f>12347+291*27+((27*2)*4)</f>
        <v>20420</v>
      </c>
      <c r="AK14" s="835"/>
      <c r="AL14" s="827"/>
      <c r="AM14" s="831">
        <f>12347+290*27+((27*2)*4)</f>
        <v>20393</v>
      </c>
      <c r="AN14" s="835"/>
      <c r="AO14" s="827"/>
      <c r="AP14" s="831">
        <f>12347+288*27+((27*2)*4)</f>
        <v>20339</v>
      </c>
      <c r="AQ14" s="835"/>
      <c r="AR14" s="827"/>
      <c r="AS14" s="831">
        <f>12347+289*27+((27*2)*4)</f>
        <v>20366</v>
      </c>
      <c r="AT14" s="835"/>
      <c r="AU14" s="827"/>
      <c r="AV14" s="831">
        <f>12347+284*27+((27*2)*4)</f>
        <v>20231</v>
      </c>
      <c r="AW14" s="835"/>
      <c r="AX14" s="827"/>
      <c r="AY14" s="831">
        <f>12347+289*27+((27*2)*4)</f>
        <v>20366</v>
      </c>
      <c r="AZ14" s="835"/>
      <c r="BA14" s="358"/>
      <c r="BB14" s="359">
        <f>12347+289*27+((27*2)*4)</f>
        <v>20366</v>
      </c>
      <c r="BC14" s="357"/>
      <c r="BD14" s="358"/>
      <c r="BE14" s="359">
        <f>12347+289*27+((27*2)*4)</f>
        <v>20366</v>
      </c>
      <c r="BF14" s="357"/>
      <c r="BG14" s="358"/>
      <c r="BH14" s="359">
        <f>12347+288*27+((27*2)*4)</f>
        <v>20339</v>
      </c>
      <c r="BI14" s="357"/>
      <c r="BJ14" s="358"/>
      <c r="BK14" s="359">
        <f>12347+288*27+((27*2)*4)</f>
        <v>20339</v>
      </c>
      <c r="BL14" s="357"/>
      <c r="BM14" s="358"/>
      <c r="BN14" s="359">
        <f>12347+288*27+((27*2)*4)</f>
        <v>20339</v>
      </c>
      <c r="BO14" s="357"/>
      <c r="BP14" s="358"/>
      <c r="BQ14" s="359">
        <f>12347+288*27+((27*2)*4)</f>
        <v>20339</v>
      </c>
      <c r="BR14" s="357"/>
      <c r="BS14" s="358"/>
      <c r="BT14" s="359">
        <f>12347+287*27+((27*2)*4)</f>
        <v>20312</v>
      </c>
      <c r="BU14" s="357"/>
      <c r="BV14" s="358"/>
      <c r="BW14" s="359">
        <f>12347+286*27+((27*2)*4)</f>
        <v>20285</v>
      </c>
      <c r="BX14" s="357"/>
      <c r="BY14" s="358"/>
      <c r="BZ14" s="359">
        <f>12347+286*27+((27*2)*4)</f>
        <v>20285</v>
      </c>
      <c r="CA14" s="357"/>
      <c r="CB14" s="358"/>
      <c r="CC14" s="359">
        <f>12347+285*27+((27*2)*4)</f>
        <v>20258</v>
      </c>
      <c r="CD14" s="357"/>
      <c r="CE14" s="358"/>
      <c r="CF14" s="359">
        <f>12347+284*27</f>
        <v>20015</v>
      </c>
      <c r="CG14" s="357"/>
      <c r="CH14" s="358"/>
      <c r="CI14" s="359">
        <f>12347+287*27</f>
        <v>20096</v>
      </c>
      <c r="CJ14" s="357"/>
      <c r="CK14" s="358"/>
      <c r="CL14" s="359">
        <f>12347+290*27</f>
        <v>20177</v>
      </c>
      <c r="CM14" s="357"/>
      <c r="CN14" s="358"/>
      <c r="CO14" s="359">
        <f>12347+289*27</f>
        <v>20150</v>
      </c>
      <c r="CP14" s="357"/>
      <c r="CQ14" s="358"/>
      <c r="CR14" s="359">
        <f>12347+288*27</f>
        <v>20123</v>
      </c>
      <c r="CS14" s="357"/>
      <c r="CT14" s="358"/>
      <c r="CU14" s="359">
        <f>12347+289*27</f>
        <v>20150</v>
      </c>
      <c r="CV14" s="357"/>
      <c r="CW14" s="358"/>
      <c r="CX14" s="359">
        <f>12347+289*27</f>
        <v>20150</v>
      </c>
      <c r="CY14" s="357"/>
      <c r="CZ14" s="358"/>
      <c r="DA14" s="359">
        <f>12347+289*27</f>
        <v>20150</v>
      </c>
      <c r="DB14" s="357"/>
      <c r="DC14" s="358"/>
      <c r="DD14" s="359">
        <f>12347+291*27</f>
        <v>20204</v>
      </c>
      <c r="DE14" s="357"/>
      <c r="DF14" s="358"/>
      <c r="DG14" s="359">
        <f>12347+291*27</f>
        <v>20204</v>
      </c>
      <c r="DH14" s="357"/>
      <c r="DI14" s="358"/>
      <c r="DJ14" s="359">
        <f>12347+291*27</f>
        <v>20204</v>
      </c>
      <c r="DK14" s="357"/>
      <c r="DL14" s="358"/>
      <c r="DM14" s="359">
        <f>12347+291*27</f>
        <v>20204</v>
      </c>
      <c r="DN14" s="357"/>
      <c r="DO14" s="358"/>
      <c r="DP14" s="359">
        <f>12347+291*27</f>
        <v>20204</v>
      </c>
      <c r="DQ14" s="357"/>
      <c r="DR14" s="358"/>
      <c r="DS14" s="359">
        <f>12347+293*27</f>
        <v>20258</v>
      </c>
      <c r="DT14" s="357"/>
      <c r="DU14" s="358"/>
      <c r="DV14" s="359">
        <f>12347+294*27</f>
        <v>20285</v>
      </c>
      <c r="DW14" s="357"/>
      <c r="DX14" s="358"/>
      <c r="DY14" s="359">
        <f>12347+294*27</f>
        <v>20285</v>
      </c>
      <c r="DZ14" s="357"/>
      <c r="EA14" s="358"/>
      <c r="EB14" s="359">
        <f>12347+296*27</f>
        <v>20339</v>
      </c>
      <c r="EC14" s="357"/>
      <c r="ED14" s="358"/>
      <c r="EE14" s="359">
        <f>12347+295*27</f>
        <v>20312</v>
      </c>
      <c r="EF14" s="357"/>
      <c r="EG14" s="358"/>
      <c r="EH14" s="359">
        <f>12347+295*27</f>
        <v>20312</v>
      </c>
      <c r="EI14" s="357"/>
      <c r="EJ14" s="358"/>
      <c r="EK14" s="359">
        <f>12347+297*27</f>
        <v>20366</v>
      </c>
      <c r="EL14" s="357"/>
      <c r="EM14" s="358"/>
      <c r="EN14" s="359">
        <f>12347+298*27</f>
        <v>20393</v>
      </c>
      <c r="EO14" s="357"/>
      <c r="EP14" s="358"/>
      <c r="EQ14" s="359">
        <f>12347+298*27</f>
        <v>20393</v>
      </c>
      <c r="ER14" s="357"/>
      <c r="ES14" s="358"/>
      <c r="ET14" s="359">
        <f>12347+299*27</f>
        <v>20420</v>
      </c>
      <c r="EU14" s="357"/>
      <c r="EV14" s="358"/>
      <c r="EW14" s="359">
        <f>12347+299*27</f>
        <v>20420</v>
      </c>
      <c r="EX14" s="357"/>
      <c r="EY14" s="358"/>
      <c r="EZ14" s="359">
        <f>12347+299*27</f>
        <v>20420</v>
      </c>
      <c r="FA14" s="357"/>
      <c r="FB14" s="358"/>
      <c r="FC14" s="359">
        <f>12347+300*27</f>
        <v>20447</v>
      </c>
      <c r="FD14" s="357"/>
      <c r="FE14" s="358"/>
      <c r="FF14" s="359">
        <f>12347+300*27</f>
        <v>20447</v>
      </c>
      <c r="FG14" s="357"/>
      <c r="FH14" s="358"/>
      <c r="FI14" s="359">
        <f>12347+300*27</f>
        <v>20447</v>
      </c>
      <c r="FJ14" s="357"/>
      <c r="FK14" s="358"/>
      <c r="FL14" s="359">
        <f>12347+304*27</f>
        <v>20555</v>
      </c>
      <c r="FM14" s="357"/>
      <c r="FN14" s="358"/>
      <c r="FO14" s="359">
        <f>12347+304*27</f>
        <v>20555</v>
      </c>
      <c r="FP14" s="357"/>
      <c r="FQ14" s="358"/>
      <c r="FR14" s="359">
        <f>12347+303*27</f>
        <v>20528</v>
      </c>
      <c r="FS14" s="357"/>
      <c r="FT14" s="358"/>
      <c r="FU14" s="359">
        <f>12347+302*27</f>
        <v>20501</v>
      </c>
      <c r="FV14" s="357"/>
      <c r="FW14" s="358"/>
      <c r="FX14" s="359">
        <f>12347+300*27</f>
        <v>20447</v>
      </c>
      <c r="FY14" s="357"/>
      <c r="FZ14" s="358"/>
      <c r="GA14" s="359">
        <f>12347+300*27</f>
        <v>20447</v>
      </c>
      <c r="GB14" s="357"/>
      <c r="GC14" s="358"/>
      <c r="GD14" s="359">
        <f>12347+302*27</f>
        <v>20501</v>
      </c>
      <c r="GE14" s="357"/>
      <c r="GF14" s="358"/>
      <c r="GG14" s="359">
        <f>12347+302*27</f>
        <v>20501</v>
      </c>
      <c r="GH14" s="357"/>
      <c r="GI14" s="358"/>
      <c r="GJ14" s="359">
        <f>12347+306*27</f>
        <v>20609</v>
      </c>
      <c r="GK14" s="357"/>
      <c r="GL14" s="358"/>
      <c r="GM14" s="359">
        <f>12347+298*27</f>
        <v>20393</v>
      </c>
      <c r="GN14" s="357"/>
      <c r="GO14" s="358"/>
      <c r="GP14" s="359">
        <f>12347+298*27</f>
        <v>20393</v>
      </c>
      <c r="GQ14" s="357"/>
      <c r="GR14" s="358"/>
      <c r="GS14" s="360">
        <f>12347+294*27</f>
        <v>20285</v>
      </c>
      <c r="GT14" s="357"/>
      <c r="GU14" s="358"/>
      <c r="GV14" s="357">
        <f>12347+285*27</f>
        <v>20042</v>
      </c>
      <c r="GW14" s="357"/>
      <c r="GX14" s="358"/>
      <c r="GY14" s="357">
        <f>12347+283*27</f>
        <v>19988</v>
      </c>
      <c r="GZ14" s="357"/>
      <c r="HA14" s="358"/>
      <c r="HB14" s="357">
        <f>12347+272*27</f>
        <v>19691</v>
      </c>
      <c r="HC14" s="357"/>
      <c r="HD14" s="358"/>
      <c r="HE14" s="357">
        <f>12347+263*27</f>
        <v>19448</v>
      </c>
      <c r="HF14" s="357"/>
      <c r="HG14" s="358"/>
      <c r="HH14" s="357">
        <f>12347+261*27</f>
        <v>19394</v>
      </c>
      <c r="HI14" s="358"/>
      <c r="HJ14" s="357">
        <f>12347+260*27</f>
        <v>19367</v>
      </c>
      <c r="HK14" s="358"/>
      <c r="HL14" s="357">
        <f>12347+257*27</f>
        <v>19286</v>
      </c>
      <c r="HM14" s="358"/>
      <c r="HN14" s="357">
        <f>12347+241*27</f>
        <v>18854</v>
      </c>
      <c r="HO14" s="358"/>
      <c r="HP14" s="357">
        <f>12347+230*27</f>
        <v>18557</v>
      </c>
      <c r="HQ14" s="358"/>
      <c r="HR14" s="357">
        <v>18125</v>
      </c>
      <c r="HS14" s="358"/>
      <c r="HT14" s="357">
        <v>17585</v>
      </c>
      <c r="HU14" s="358"/>
      <c r="HV14" s="357">
        <v>16964</v>
      </c>
      <c r="HW14" s="358" t="s">
        <v>3310</v>
      </c>
      <c r="HX14" s="357">
        <f>12347+159*27</f>
        <v>16640</v>
      </c>
      <c r="HY14" s="358" t="s">
        <v>3310</v>
      </c>
      <c r="HZ14" s="357">
        <f>12347+148*27</f>
        <v>16343</v>
      </c>
      <c r="IA14" s="358" t="s">
        <v>3310</v>
      </c>
      <c r="IB14" s="357">
        <f>12347+132*27</f>
        <v>15911</v>
      </c>
      <c r="IC14" s="358" t="s">
        <v>3310</v>
      </c>
      <c r="ID14" s="357">
        <f>12347+108*27</f>
        <v>15263</v>
      </c>
      <c r="IE14" s="361" t="s">
        <v>3310</v>
      </c>
      <c r="IF14" s="357">
        <f>12347+86*27</f>
        <v>14669</v>
      </c>
      <c r="IG14" s="361" t="s">
        <v>3310</v>
      </c>
      <c r="IH14" s="357">
        <f>12347+72*27</f>
        <v>14291</v>
      </c>
      <c r="II14" s="361" t="s">
        <v>3310</v>
      </c>
      <c r="IJ14" s="357">
        <f>12347+56*27</f>
        <v>13859</v>
      </c>
      <c r="IK14" s="361" t="s">
        <v>3310</v>
      </c>
      <c r="IL14" s="357">
        <f>12347+46*27</f>
        <v>13589</v>
      </c>
      <c r="IM14" s="361" t="s">
        <v>3310</v>
      </c>
      <c r="IN14" s="357">
        <f>12347+39*27</f>
        <v>13400</v>
      </c>
      <c r="IO14" s="362"/>
      <c r="IP14" s="361" t="s">
        <v>3310</v>
      </c>
      <c r="IQ14" s="361" t="s">
        <v>3310</v>
      </c>
      <c r="IR14" s="363"/>
      <c r="IS14" s="364" t="s">
        <v>77</v>
      </c>
      <c r="IT14" s="365">
        <v>43252</v>
      </c>
      <c r="IU14" s="366"/>
    </row>
    <row r="15" spans="1:259" s="367" customFormat="1" ht="16.5" customHeight="1" x14ac:dyDescent="0.3">
      <c r="A15" s="354" t="s">
        <v>3309</v>
      </c>
      <c r="B15" s="355"/>
      <c r="C15" s="356" t="s">
        <v>3830</v>
      </c>
      <c r="D15" s="430">
        <v>2938</v>
      </c>
      <c r="E15" s="431"/>
      <c r="F15" s="431"/>
      <c r="G15" s="431"/>
      <c r="H15" s="432"/>
      <c r="I15" s="828">
        <v>2938</v>
      </c>
      <c r="J15" s="829"/>
      <c r="K15" s="827"/>
      <c r="L15" s="829">
        <v>2938</v>
      </c>
      <c r="M15" s="829"/>
      <c r="N15" s="827"/>
      <c r="O15" s="829">
        <v>2938</v>
      </c>
      <c r="P15" s="829"/>
      <c r="Q15" s="827"/>
      <c r="R15" s="829">
        <v>2938</v>
      </c>
      <c r="S15" s="829"/>
      <c r="T15" s="827"/>
      <c r="U15" s="829">
        <v>2938</v>
      </c>
      <c r="V15" s="829"/>
      <c r="W15" s="827"/>
      <c r="X15" s="829">
        <v>2938</v>
      </c>
      <c r="Y15" s="829"/>
      <c r="Z15" s="827"/>
      <c r="AA15" s="829">
        <v>2938</v>
      </c>
      <c r="AB15" s="829"/>
      <c r="AC15" s="827"/>
      <c r="AD15" s="829">
        <v>2938</v>
      </c>
      <c r="AE15" s="829"/>
      <c r="AF15" s="827"/>
      <c r="AG15" s="829">
        <v>2938</v>
      </c>
      <c r="AH15" s="829"/>
      <c r="AI15" s="827"/>
      <c r="AJ15" s="829">
        <v>2938</v>
      </c>
      <c r="AK15" s="829"/>
      <c r="AL15" s="827"/>
      <c r="AM15" s="829">
        <v>2938</v>
      </c>
      <c r="AN15" s="829"/>
      <c r="AO15" s="827"/>
      <c r="AP15" s="829">
        <v>2938</v>
      </c>
      <c r="AQ15" s="829"/>
      <c r="AR15" s="827"/>
      <c r="AS15" s="829">
        <v>2938</v>
      </c>
      <c r="AT15" s="829"/>
      <c r="AU15" s="827"/>
      <c r="AV15" s="829">
        <v>2938</v>
      </c>
      <c r="AW15" s="829"/>
      <c r="AX15" s="827"/>
      <c r="AY15" s="829">
        <v>2938</v>
      </c>
      <c r="AZ15" s="829"/>
      <c r="BA15" s="358"/>
      <c r="BB15" s="368">
        <v>2938</v>
      </c>
      <c r="BC15" s="368"/>
      <c r="BD15" s="358"/>
      <c r="BE15" s="368">
        <v>2938</v>
      </c>
      <c r="BF15" s="368"/>
      <c r="BG15" s="358"/>
      <c r="BH15" s="368">
        <v>2938</v>
      </c>
      <c r="BI15" s="368"/>
      <c r="BJ15" s="358"/>
      <c r="BK15" s="368">
        <v>2938</v>
      </c>
      <c r="BL15" s="368"/>
      <c r="BM15" s="358"/>
      <c r="BN15" s="368">
        <v>2938</v>
      </c>
      <c r="BO15" s="368"/>
      <c r="BP15" s="358"/>
      <c r="BQ15" s="368">
        <v>2938</v>
      </c>
      <c r="BR15" s="368"/>
      <c r="BS15" s="358"/>
      <c r="BT15" s="368">
        <v>2938</v>
      </c>
      <c r="BU15" s="368"/>
      <c r="BV15" s="358"/>
      <c r="BW15" s="368">
        <v>2938</v>
      </c>
      <c r="BX15" s="368"/>
      <c r="BY15" s="358"/>
      <c r="BZ15" s="368">
        <v>2938</v>
      </c>
      <c r="CA15" s="368"/>
      <c r="CB15" s="358"/>
      <c r="CC15" s="368">
        <v>2938</v>
      </c>
      <c r="CD15" s="368"/>
      <c r="CE15" s="358"/>
      <c r="CF15" s="368">
        <v>2938</v>
      </c>
      <c r="CG15" s="368"/>
      <c r="CH15" s="358"/>
      <c r="CI15" s="368">
        <v>2938</v>
      </c>
      <c r="CJ15" s="368"/>
      <c r="CK15" s="358"/>
      <c r="CL15" s="368">
        <v>2938</v>
      </c>
      <c r="CM15" s="368"/>
      <c r="CN15" s="358"/>
      <c r="CO15" s="368">
        <v>2938</v>
      </c>
      <c r="CP15" s="368"/>
      <c r="CQ15" s="358"/>
      <c r="CR15" s="368">
        <v>2938</v>
      </c>
      <c r="CS15" s="368"/>
      <c r="CT15" s="358"/>
      <c r="CU15" s="368">
        <v>2938</v>
      </c>
      <c r="CV15" s="368"/>
      <c r="CW15" s="358"/>
      <c r="CX15" s="368">
        <v>2938</v>
      </c>
      <c r="CY15" s="368"/>
      <c r="CZ15" s="358"/>
      <c r="DA15" s="368">
        <v>2938</v>
      </c>
      <c r="DB15" s="368"/>
      <c r="DC15" s="358"/>
      <c r="DD15" s="368">
        <v>2938</v>
      </c>
      <c r="DE15" s="368"/>
      <c r="DF15" s="358"/>
      <c r="DG15" s="368">
        <v>2938</v>
      </c>
      <c r="DH15" s="368"/>
      <c r="DI15" s="358"/>
      <c r="DJ15" s="368">
        <v>2938</v>
      </c>
      <c r="DK15" s="368"/>
      <c r="DL15" s="358"/>
      <c r="DM15" s="368">
        <v>2938</v>
      </c>
      <c r="DN15" s="368"/>
      <c r="DO15" s="358"/>
      <c r="DP15" s="368">
        <v>2938</v>
      </c>
      <c r="DQ15" s="368"/>
      <c r="DR15" s="358"/>
      <c r="DS15" s="368">
        <v>2938</v>
      </c>
      <c r="DT15" s="368"/>
      <c r="DU15" s="358"/>
      <c r="DV15" s="368">
        <v>2938</v>
      </c>
      <c r="DW15" s="368"/>
      <c r="DX15" s="358"/>
      <c r="DY15" s="368">
        <v>2938</v>
      </c>
      <c r="DZ15" s="368"/>
      <c r="EA15" s="358"/>
      <c r="EB15" s="368">
        <v>2938</v>
      </c>
      <c r="EC15" s="368"/>
      <c r="ED15" s="358"/>
      <c r="EE15" s="368">
        <v>2938</v>
      </c>
      <c r="EF15" s="368"/>
      <c r="EG15" s="358"/>
      <c r="EH15" s="368">
        <v>2938</v>
      </c>
      <c r="EI15" s="368"/>
      <c r="EJ15" s="358"/>
      <c r="EK15" s="368">
        <v>2938</v>
      </c>
      <c r="EL15" s="368"/>
      <c r="EM15" s="358"/>
      <c r="EN15" s="368">
        <v>2938</v>
      </c>
      <c r="EO15" s="368"/>
      <c r="EP15" s="358"/>
      <c r="EQ15" s="368">
        <v>2938</v>
      </c>
      <c r="ER15" s="368"/>
      <c r="ES15" s="358"/>
      <c r="ET15" s="368">
        <v>2938</v>
      </c>
      <c r="EU15" s="368"/>
      <c r="EV15" s="358"/>
      <c r="EW15" s="368">
        <v>2938</v>
      </c>
      <c r="EX15" s="368"/>
      <c r="EY15" s="358"/>
      <c r="EZ15" s="368">
        <v>2938</v>
      </c>
      <c r="FA15" s="368"/>
      <c r="FB15" s="358"/>
      <c r="FC15" s="368">
        <v>2938</v>
      </c>
      <c r="FD15" s="368"/>
      <c r="FE15" s="358"/>
      <c r="FF15" s="368">
        <v>2938</v>
      </c>
      <c r="FG15" s="368"/>
      <c r="FH15" s="358"/>
      <c r="FI15" s="368">
        <v>2938</v>
      </c>
      <c r="FJ15" s="368"/>
      <c r="FK15" s="358"/>
      <c r="FL15" s="368">
        <v>2938</v>
      </c>
      <c r="FM15" s="368"/>
      <c r="FN15" s="358"/>
      <c r="FO15" s="368">
        <v>2938</v>
      </c>
      <c r="FP15" s="368"/>
      <c r="FQ15" s="358"/>
      <c r="FR15" s="368">
        <v>2938</v>
      </c>
      <c r="FS15" s="368"/>
      <c r="FT15" s="358"/>
      <c r="FU15" s="368">
        <v>2938</v>
      </c>
      <c r="FV15" s="368"/>
      <c r="FW15" s="358"/>
      <c r="FX15" s="368">
        <v>2938</v>
      </c>
      <c r="FY15" s="368"/>
      <c r="FZ15" s="358"/>
      <c r="GA15" s="368">
        <v>2938</v>
      </c>
      <c r="GB15" s="368"/>
      <c r="GC15" s="358"/>
      <c r="GD15" s="368">
        <v>2938</v>
      </c>
      <c r="GE15" s="368"/>
      <c r="GF15" s="358"/>
      <c r="GG15" s="368">
        <v>2938</v>
      </c>
      <c r="GH15" s="368"/>
      <c r="GI15" s="358"/>
      <c r="GJ15" s="368">
        <v>2938</v>
      </c>
      <c r="GK15" s="368"/>
      <c r="GL15" s="358"/>
      <c r="GM15" s="368">
        <v>2938</v>
      </c>
      <c r="GN15" s="368"/>
      <c r="GO15" s="358"/>
      <c r="GP15" s="368">
        <v>2938</v>
      </c>
      <c r="GQ15" s="368"/>
      <c r="GR15" s="358"/>
      <c r="GS15" s="368">
        <v>2938</v>
      </c>
      <c r="GT15" s="368"/>
      <c r="GU15" s="358"/>
      <c r="GV15" s="368">
        <v>2938</v>
      </c>
      <c r="GW15" s="368"/>
      <c r="GX15" s="358"/>
      <c r="GY15" s="368">
        <v>2938</v>
      </c>
      <c r="GZ15" s="368"/>
      <c r="HA15" s="358"/>
      <c r="HB15" s="368">
        <v>2938</v>
      </c>
      <c r="HC15" s="368"/>
      <c r="HD15" s="358"/>
      <c r="HE15" s="368">
        <v>2938</v>
      </c>
      <c r="HF15" s="368"/>
      <c r="HG15" s="358"/>
      <c r="HH15" s="368">
        <v>2938</v>
      </c>
      <c r="HI15" s="358"/>
      <c r="HJ15" s="368">
        <v>2938</v>
      </c>
      <c r="HK15" s="358"/>
      <c r="HL15" s="368">
        <v>2938</v>
      </c>
      <c r="HM15" s="358"/>
      <c r="HN15" s="368">
        <v>2938</v>
      </c>
      <c r="HO15" s="358"/>
      <c r="HP15" s="368">
        <v>2938</v>
      </c>
      <c r="HQ15" s="358"/>
      <c r="HR15" s="368">
        <v>2938</v>
      </c>
      <c r="HS15" s="358"/>
      <c r="HT15" s="368">
        <v>2938</v>
      </c>
      <c r="HU15" s="358"/>
      <c r="HV15" s="368">
        <v>2938</v>
      </c>
      <c r="HW15" s="358" t="s">
        <v>3310</v>
      </c>
      <c r="HX15" s="368">
        <v>2938</v>
      </c>
      <c r="HY15" s="358" t="s">
        <v>3310</v>
      </c>
      <c r="HZ15" s="368">
        <v>2938</v>
      </c>
      <c r="IA15" s="358" t="s">
        <v>3310</v>
      </c>
      <c r="IB15" s="368">
        <v>2938</v>
      </c>
      <c r="IC15" s="358" t="s">
        <v>3310</v>
      </c>
      <c r="ID15" s="357">
        <v>2938</v>
      </c>
      <c r="IE15" s="361" t="s">
        <v>3310</v>
      </c>
      <c r="IF15" s="357">
        <v>2938</v>
      </c>
      <c r="IG15" s="361" t="s">
        <v>3310</v>
      </c>
      <c r="IH15" s="357">
        <v>2938</v>
      </c>
      <c r="II15" s="361" t="s">
        <v>3310</v>
      </c>
      <c r="IJ15" s="357">
        <v>2938</v>
      </c>
      <c r="IK15" s="361" t="s">
        <v>3310</v>
      </c>
      <c r="IL15" s="357">
        <v>2938</v>
      </c>
      <c r="IM15" s="361" t="s">
        <v>3310</v>
      </c>
      <c r="IN15" s="357">
        <v>2938</v>
      </c>
      <c r="IO15" s="361" t="s">
        <v>3310</v>
      </c>
      <c r="IP15" s="361" t="s">
        <v>3310</v>
      </c>
      <c r="IQ15" s="361" t="s">
        <v>3310</v>
      </c>
      <c r="IR15" s="363"/>
      <c r="IS15" s="364" t="s">
        <v>77</v>
      </c>
      <c r="IT15" s="365">
        <v>43252</v>
      </c>
      <c r="IU15" s="366"/>
    </row>
    <row r="16" spans="1:259" s="367" customFormat="1" ht="16.5" customHeight="1" x14ac:dyDescent="0.3">
      <c r="A16" s="354" t="s">
        <v>3309</v>
      </c>
      <c r="B16" s="355"/>
      <c r="C16" s="356" t="s">
        <v>3311</v>
      </c>
      <c r="D16" s="430">
        <v>7600</v>
      </c>
      <c r="E16" s="431"/>
      <c r="F16" s="431"/>
      <c r="G16" s="431"/>
      <c r="H16" s="432"/>
      <c r="I16" s="830">
        <v>7600</v>
      </c>
      <c r="J16" s="831"/>
      <c r="K16" s="827"/>
      <c r="L16" s="831">
        <v>7600</v>
      </c>
      <c r="M16" s="831"/>
      <c r="N16" s="827"/>
      <c r="O16" s="831">
        <v>7600</v>
      </c>
      <c r="P16" s="831"/>
      <c r="Q16" s="827"/>
      <c r="R16" s="831">
        <v>7600</v>
      </c>
      <c r="S16" s="831"/>
      <c r="T16" s="827"/>
      <c r="U16" s="831">
        <v>7600</v>
      </c>
      <c r="V16" s="831"/>
      <c r="W16" s="827"/>
      <c r="X16" s="831">
        <v>7600</v>
      </c>
      <c r="Y16" s="831"/>
      <c r="Z16" s="827"/>
      <c r="AA16" s="831">
        <v>7600</v>
      </c>
      <c r="AB16" s="831"/>
      <c r="AC16" s="827"/>
      <c r="AD16" s="831">
        <v>7600</v>
      </c>
      <c r="AE16" s="831"/>
      <c r="AF16" s="827"/>
      <c r="AG16" s="831">
        <v>7600</v>
      </c>
      <c r="AH16" s="831"/>
      <c r="AI16" s="827"/>
      <c r="AJ16" s="831">
        <v>7600</v>
      </c>
      <c r="AK16" s="831"/>
      <c r="AL16" s="827"/>
      <c r="AM16" s="831">
        <v>7600</v>
      </c>
      <c r="AN16" s="831"/>
      <c r="AO16" s="827"/>
      <c r="AP16" s="831">
        <v>7600</v>
      </c>
      <c r="AQ16" s="831"/>
      <c r="AR16" s="827"/>
      <c r="AS16" s="831">
        <v>7600</v>
      </c>
      <c r="AT16" s="831"/>
      <c r="AU16" s="827"/>
      <c r="AV16" s="831">
        <v>7600</v>
      </c>
      <c r="AW16" s="831"/>
      <c r="AX16" s="827"/>
      <c r="AY16" s="831">
        <v>7600</v>
      </c>
      <c r="AZ16" s="831"/>
      <c r="BA16" s="358"/>
      <c r="BB16" s="369">
        <v>7600</v>
      </c>
      <c r="BC16" s="369"/>
      <c r="BD16" s="358"/>
      <c r="BE16" s="369">
        <v>7600</v>
      </c>
      <c r="BF16" s="369"/>
      <c r="BG16" s="358"/>
      <c r="BH16" s="369">
        <v>7600</v>
      </c>
      <c r="BI16" s="369"/>
      <c r="BJ16" s="358"/>
      <c r="BK16" s="369">
        <v>7600</v>
      </c>
      <c r="BL16" s="369"/>
      <c r="BM16" s="358"/>
      <c r="BN16" s="369">
        <v>7600</v>
      </c>
      <c r="BO16" s="369"/>
      <c r="BP16" s="358"/>
      <c r="BQ16" s="369">
        <v>7600</v>
      </c>
      <c r="BR16" s="369"/>
      <c r="BS16" s="358"/>
      <c r="BT16" s="369">
        <v>7600</v>
      </c>
      <c r="BU16" s="369"/>
      <c r="BV16" s="358"/>
      <c r="BW16" s="369">
        <v>7600</v>
      </c>
      <c r="BX16" s="369"/>
      <c r="BY16" s="358"/>
      <c r="BZ16" s="369">
        <v>7600</v>
      </c>
      <c r="CA16" s="369"/>
      <c r="CB16" s="358"/>
      <c r="CC16" s="369">
        <v>7600</v>
      </c>
      <c r="CD16" s="369"/>
      <c r="CE16" s="358"/>
      <c r="CF16" s="369">
        <v>7600</v>
      </c>
      <c r="CG16" s="369"/>
      <c r="CH16" s="358"/>
      <c r="CI16" s="369">
        <v>7600</v>
      </c>
      <c r="CJ16" s="369"/>
      <c r="CK16" s="358"/>
      <c r="CL16" s="369">
        <v>7600</v>
      </c>
      <c r="CM16" s="369"/>
      <c r="CN16" s="358"/>
      <c r="CO16" s="369">
        <v>7600</v>
      </c>
      <c r="CP16" s="369"/>
      <c r="CQ16" s="358"/>
      <c r="CR16" s="369">
        <v>7600</v>
      </c>
      <c r="CS16" s="369"/>
      <c r="CT16" s="358"/>
      <c r="CU16" s="369">
        <v>7600</v>
      </c>
      <c r="CV16" s="369"/>
      <c r="CW16" s="358"/>
      <c r="CX16" s="369">
        <v>7600</v>
      </c>
      <c r="CY16" s="369"/>
      <c r="CZ16" s="358"/>
      <c r="DA16" s="369">
        <v>7600</v>
      </c>
      <c r="DB16" s="369"/>
      <c r="DC16" s="358"/>
      <c r="DD16" s="369">
        <v>7600</v>
      </c>
      <c r="DE16" s="369"/>
      <c r="DF16" s="358"/>
      <c r="DG16" s="369">
        <v>7600</v>
      </c>
      <c r="DH16" s="369"/>
      <c r="DI16" s="358"/>
      <c r="DJ16" s="369">
        <v>7600</v>
      </c>
      <c r="DK16" s="369"/>
      <c r="DL16" s="358"/>
      <c r="DM16" s="369">
        <v>7600</v>
      </c>
      <c r="DN16" s="369"/>
      <c r="DO16" s="358"/>
      <c r="DP16" s="369">
        <v>7600</v>
      </c>
      <c r="DQ16" s="369"/>
      <c r="DR16" s="358"/>
      <c r="DS16" s="369">
        <v>7600</v>
      </c>
      <c r="DT16" s="369"/>
      <c r="DU16" s="358"/>
      <c r="DV16" s="369">
        <v>7600</v>
      </c>
      <c r="DW16" s="369"/>
      <c r="DX16" s="358"/>
      <c r="DY16" s="369">
        <v>7600</v>
      </c>
      <c r="DZ16" s="369"/>
      <c r="EA16" s="358"/>
      <c r="EB16" s="369">
        <v>7600</v>
      </c>
      <c r="EC16" s="369"/>
      <c r="ED16" s="358"/>
      <c r="EE16" s="369">
        <v>7600</v>
      </c>
      <c r="EF16" s="369"/>
      <c r="EG16" s="358"/>
      <c r="EH16" s="369">
        <v>7600</v>
      </c>
      <c r="EI16" s="369"/>
      <c r="EJ16" s="358"/>
      <c r="EK16" s="369">
        <v>7600</v>
      </c>
      <c r="EL16" s="369"/>
      <c r="EM16" s="358"/>
      <c r="EN16" s="369">
        <v>7600</v>
      </c>
      <c r="EO16" s="369"/>
      <c r="EP16" s="358"/>
      <c r="EQ16" s="369">
        <v>7600</v>
      </c>
      <c r="ER16" s="369"/>
      <c r="ES16" s="358"/>
      <c r="ET16" s="369">
        <v>7600</v>
      </c>
      <c r="EU16" s="369"/>
      <c r="EV16" s="358"/>
      <c r="EW16" s="369">
        <v>7600</v>
      </c>
      <c r="EX16" s="369"/>
      <c r="EY16" s="358"/>
      <c r="EZ16" s="369">
        <v>7600</v>
      </c>
      <c r="FA16" s="369"/>
      <c r="FB16" s="358"/>
      <c r="FC16" s="369">
        <v>7600</v>
      </c>
      <c r="FD16" s="369"/>
      <c r="FE16" s="358"/>
      <c r="FF16" s="369">
        <v>7600</v>
      </c>
      <c r="FG16" s="369"/>
      <c r="FH16" s="358"/>
      <c r="FI16" s="369">
        <v>7600</v>
      </c>
      <c r="FJ16" s="369"/>
      <c r="FK16" s="358"/>
      <c r="FL16" s="369">
        <v>7600</v>
      </c>
      <c r="FM16" s="369"/>
      <c r="FN16" s="358"/>
      <c r="FO16" s="369">
        <v>7600</v>
      </c>
      <c r="FP16" s="369"/>
      <c r="FQ16" s="358"/>
      <c r="FR16" s="369">
        <v>7600</v>
      </c>
      <c r="FS16" s="369"/>
      <c r="FT16" s="358"/>
      <c r="FU16" s="369">
        <v>7600</v>
      </c>
      <c r="FV16" s="369"/>
      <c r="FW16" s="358"/>
      <c r="FX16" s="369">
        <v>7600</v>
      </c>
      <c r="FY16" s="369"/>
      <c r="FZ16" s="358"/>
      <c r="GA16" s="369">
        <v>7600</v>
      </c>
      <c r="GB16" s="369"/>
      <c r="GC16" s="358"/>
      <c r="GD16" s="369">
        <v>7600</v>
      </c>
      <c r="GE16" s="369"/>
      <c r="GF16" s="358"/>
      <c r="GG16" s="369">
        <v>7600</v>
      </c>
      <c r="GH16" s="369"/>
      <c r="GI16" s="358"/>
      <c r="GJ16" s="369">
        <v>7600</v>
      </c>
      <c r="GK16" s="369"/>
      <c r="GL16" s="358"/>
      <c r="GM16" s="369">
        <v>7600</v>
      </c>
      <c r="GN16" s="369"/>
      <c r="GO16" s="358"/>
      <c r="GP16" s="369">
        <v>7600</v>
      </c>
      <c r="GQ16" s="369"/>
      <c r="GR16" s="358"/>
      <c r="GS16" s="369">
        <v>7600</v>
      </c>
      <c r="GT16" s="369"/>
      <c r="GU16" s="358"/>
      <c r="GV16" s="369">
        <v>7600</v>
      </c>
      <c r="GW16" s="369"/>
      <c r="GX16" s="358"/>
      <c r="GY16" s="369">
        <v>7600</v>
      </c>
      <c r="GZ16" s="369"/>
      <c r="HA16" s="358"/>
      <c r="HB16" s="369">
        <v>7600</v>
      </c>
      <c r="HC16" s="369"/>
      <c r="HD16" s="358"/>
      <c r="HE16" s="369">
        <v>7600</v>
      </c>
      <c r="HF16" s="369"/>
      <c r="HG16" s="358"/>
      <c r="HH16" s="369">
        <v>7600</v>
      </c>
      <c r="HI16" s="358"/>
      <c r="HJ16" s="369">
        <v>7600</v>
      </c>
      <c r="HK16" s="358"/>
      <c r="HL16" s="370">
        <v>7600</v>
      </c>
      <c r="HM16" s="358"/>
      <c r="HN16" s="370">
        <v>7500</v>
      </c>
      <c r="HO16" s="358"/>
      <c r="HP16" s="358" t="s">
        <v>3310</v>
      </c>
      <c r="HQ16" s="358"/>
      <c r="HR16" s="358" t="s">
        <v>3310</v>
      </c>
      <c r="HS16" s="358"/>
      <c r="HT16" s="358" t="s">
        <v>3310</v>
      </c>
      <c r="HU16" s="358"/>
      <c r="HV16" s="358" t="s">
        <v>3310</v>
      </c>
      <c r="HW16" s="358" t="s">
        <v>3310</v>
      </c>
      <c r="HX16" s="358" t="s">
        <v>3310</v>
      </c>
      <c r="HY16" s="358" t="s">
        <v>3310</v>
      </c>
      <c r="HZ16" s="358" t="s">
        <v>3310</v>
      </c>
      <c r="IA16" s="358" t="s">
        <v>3310</v>
      </c>
      <c r="IB16" s="358" t="s">
        <v>3310</v>
      </c>
      <c r="IC16" s="358" t="s">
        <v>3310</v>
      </c>
      <c r="ID16" s="361" t="s">
        <v>3310</v>
      </c>
      <c r="IE16" s="361" t="s">
        <v>3310</v>
      </c>
      <c r="IF16" s="361" t="s">
        <v>3310</v>
      </c>
      <c r="IG16" s="361" t="s">
        <v>3310</v>
      </c>
      <c r="IH16" s="361" t="s">
        <v>3310</v>
      </c>
      <c r="II16" s="361" t="s">
        <v>3310</v>
      </c>
      <c r="IJ16" s="361" t="s">
        <v>3310</v>
      </c>
      <c r="IK16" s="361" t="s">
        <v>3310</v>
      </c>
      <c r="IL16" s="361" t="s">
        <v>3310</v>
      </c>
      <c r="IM16" s="361" t="s">
        <v>3310</v>
      </c>
      <c r="IN16" s="361" t="s">
        <v>3310</v>
      </c>
      <c r="IO16" s="361" t="s">
        <v>3310</v>
      </c>
      <c r="IP16" s="361" t="s">
        <v>3310</v>
      </c>
      <c r="IQ16" s="361" t="s">
        <v>3310</v>
      </c>
      <c r="IR16" s="363"/>
      <c r="IS16" s="364" t="s">
        <v>77</v>
      </c>
      <c r="IT16" s="365">
        <v>43845</v>
      </c>
      <c r="IU16" s="371">
        <v>43891</v>
      </c>
      <c r="IW16" s="372">
        <f t="shared" ref="IW16:IW79" si="11">IU16-IT16</f>
        <v>46</v>
      </c>
      <c r="IX16" s="373">
        <f>HN16/30.5</f>
        <v>245.90163934426229</v>
      </c>
      <c r="IY16" s="374">
        <f>IX16*IW16</f>
        <v>11311.475409836066</v>
      </c>
    </row>
    <row r="17" spans="1:261" s="367" customFormat="1" ht="16.5" customHeight="1" x14ac:dyDescent="0.3">
      <c r="A17" s="354" t="s">
        <v>3309</v>
      </c>
      <c r="B17" s="355"/>
      <c r="C17" s="375" t="s">
        <v>3831</v>
      </c>
      <c r="D17" s="474">
        <v>1248</v>
      </c>
      <c r="E17" s="475"/>
      <c r="F17" s="475"/>
      <c r="G17" s="475"/>
      <c r="H17" s="476"/>
      <c r="I17" s="830">
        <v>1248</v>
      </c>
      <c r="J17" s="831"/>
      <c r="K17" s="827"/>
      <c r="L17" s="831">
        <v>1248</v>
      </c>
      <c r="M17" s="831"/>
      <c r="N17" s="827"/>
      <c r="O17" s="831">
        <v>1248</v>
      </c>
      <c r="P17" s="831"/>
      <c r="Q17" s="827"/>
      <c r="R17" s="831">
        <v>1248</v>
      </c>
      <c r="S17" s="831"/>
      <c r="T17" s="827"/>
      <c r="U17" s="831">
        <v>1248</v>
      </c>
      <c r="V17" s="831"/>
      <c r="W17" s="827"/>
      <c r="X17" s="831">
        <v>1248</v>
      </c>
      <c r="Y17" s="831"/>
      <c r="Z17" s="827"/>
      <c r="AA17" s="831">
        <v>1248</v>
      </c>
      <c r="AB17" s="831"/>
      <c r="AC17" s="827"/>
      <c r="AD17" s="831">
        <v>1248</v>
      </c>
      <c r="AE17" s="831"/>
      <c r="AF17" s="827"/>
      <c r="AG17" s="831">
        <v>1248</v>
      </c>
      <c r="AH17" s="831"/>
      <c r="AI17" s="827"/>
      <c r="AJ17" s="831">
        <v>1248</v>
      </c>
      <c r="AK17" s="831"/>
      <c r="AL17" s="827"/>
      <c r="AM17" s="831">
        <v>1248</v>
      </c>
      <c r="AN17" s="831"/>
      <c r="AO17" s="827"/>
      <c r="AP17" s="831">
        <v>1248</v>
      </c>
      <c r="AQ17" s="831"/>
      <c r="AR17" s="827"/>
      <c r="AS17" s="831">
        <v>1248</v>
      </c>
      <c r="AT17" s="831"/>
      <c r="AU17" s="827"/>
      <c r="AV17" s="831">
        <v>1248</v>
      </c>
      <c r="AW17" s="831"/>
      <c r="AX17" s="827"/>
      <c r="AY17" s="831">
        <v>1248</v>
      </c>
      <c r="AZ17" s="831"/>
      <c r="BA17" s="358"/>
      <c r="BB17" s="369">
        <v>1248</v>
      </c>
      <c r="BC17" s="369"/>
      <c r="BD17" s="358"/>
      <c r="BE17" s="369">
        <v>1248</v>
      </c>
      <c r="BF17" s="369"/>
      <c r="BG17" s="358"/>
      <c r="BH17" s="369">
        <v>1248</v>
      </c>
      <c r="BI17" s="369"/>
      <c r="BJ17" s="358"/>
      <c r="BK17" s="369">
        <v>1248</v>
      </c>
      <c r="BL17" s="369"/>
      <c r="BM17" s="358"/>
      <c r="BN17" s="369">
        <v>1248</v>
      </c>
      <c r="BO17" s="369"/>
      <c r="BP17" s="358"/>
      <c r="BQ17" s="369">
        <v>1248</v>
      </c>
      <c r="BR17" s="369"/>
      <c r="BS17" s="358"/>
      <c r="BT17" s="369">
        <v>1248</v>
      </c>
      <c r="BU17" s="369"/>
      <c r="BV17" s="358"/>
      <c r="BW17" s="369">
        <v>1248</v>
      </c>
      <c r="BX17" s="369"/>
      <c r="BY17" s="358"/>
      <c r="BZ17" s="369">
        <v>1248</v>
      </c>
      <c r="CA17" s="369"/>
      <c r="CB17" s="358"/>
      <c r="CC17" s="369">
        <v>1248</v>
      </c>
      <c r="CD17" s="369"/>
      <c r="CE17" s="358"/>
      <c r="CF17" s="369">
        <v>1248</v>
      </c>
      <c r="CG17" s="369"/>
      <c r="CH17" s="358"/>
      <c r="CI17" s="369">
        <v>1248</v>
      </c>
      <c r="CJ17" s="369"/>
      <c r="CK17" s="358"/>
      <c r="CL17" s="369">
        <v>1248</v>
      </c>
      <c r="CM17" s="369"/>
      <c r="CN17" s="358"/>
      <c r="CO17" s="369">
        <v>1248</v>
      </c>
      <c r="CP17" s="369"/>
      <c r="CQ17" s="358"/>
      <c r="CR17" s="369">
        <v>1248</v>
      </c>
      <c r="CS17" s="369"/>
      <c r="CT17" s="358"/>
      <c r="CU17" s="369">
        <v>1248</v>
      </c>
      <c r="CV17" s="369"/>
      <c r="CW17" s="358"/>
      <c r="CX17" s="369">
        <v>1248</v>
      </c>
      <c r="CY17" s="369"/>
      <c r="CZ17" s="358"/>
      <c r="DA17" s="369">
        <v>1248</v>
      </c>
      <c r="DB17" s="369"/>
      <c r="DC17" s="358"/>
      <c r="DD17" s="369">
        <v>1248</v>
      </c>
      <c r="DE17" s="369"/>
      <c r="DF17" s="358"/>
      <c r="DG17" s="369">
        <v>1248</v>
      </c>
      <c r="DH17" s="369"/>
      <c r="DI17" s="358"/>
      <c r="DJ17" s="369">
        <v>1248</v>
      </c>
      <c r="DK17" s="369"/>
      <c r="DL17" s="358"/>
      <c r="DM17" s="369">
        <v>1248</v>
      </c>
      <c r="DN17" s="369"/>
      <c r="DO17" s="358"/>
      <c r="DP17" s="369">
        <v>1248</v>
      </c>
      <c r="DQ17" s="369"/>
      <c r="DR17" s="358"/>
      <c r="DS17" s="369">
        <v>1248</v>
      </c>
      <c r="DT17" s="369"/>
      <c r="DU17" s="358"/>
      <c r="DV17" s="369">
        <v>1248</v>
      </c>
      <c r="DW17" s="369"/>
      <c r="DX17" s="358"/>
      <c r="DY17" s="369">
        <v>1248</v>
      </c>
      <c r="DZ17" s="369"/>
      <c r="EA17" s="358"/>
      <c r="EB17" s="369">
        <v>1248</v>
      </c>
      <c r="EC17" s="369"/>
      <c r="ED17" s="358"/>
      <c r="EE17" s="369">
        <v>1248</v>
      </c>
      <c r="EF17" s="369"/>
      <c r="EG17" s="358"/>
      <c r="EH17" s="369">
        <v>1248</v>
      </c>
      <c r="EI17" s="369"/>
      <c r="EJ17" s="358"/>
      <c r="EK17" s="369">
        <v>1248</v>
      </c>
      <c r="EL17" s="369"/>
      <c r="EM17" s="358"/>
      <c r="EN17" s="369">
        <v>1248</v>
      </c>
      <c r="EO17" s="369"/>
      <c r="EP17" s="358"/>
      <c r="EQ17" s="369">
        <v>1248</v>
      </c>
      <c r="ER17" s="369"/>
      <c r="ES17" s="358"/>
      <c r="ET17" s="369">
        <v>1248</v>
      </c>
      <c r="EU17" s="369"/>
      <c r="EV17" s="358"/>
      <c r="EW17" s="369">
        <v>1248</v>
      </c>
      <c r="EX17" s="369"/>
      <c r="EY17" s="358"/>
      <c r="EZ17" s="369">
        <v>1248</v>
      </c>
      <c r="FA17" s="369"/>
      <c r="FB17" s="358"/>
      <c r="FC17" s="369">
        <v>1248</v>
      </c>
      <c r="FD17" s="369"/>
      <c r="FE17" s="358"/>
      <c r="FF17" s="369">
        <v>1248</v>
      </c>
      <c r="FG17" s="369"/>
      <c r="FH17" s="358"/>
      <c r="FI17" s="369">
        <v>1248</v>
      </c>
      <c r="FJ17" s="369"/>
      <c r="FK17" s="358"/>
      <c r="FL17" s="369">
        <v>1248</v>
      </c>
      <c r="FM17" s="369"/>
      <c r="FN17" s="358"/>
      <c r="FO17" s="369">
        <v>1248</v>
      </c>
      <c r="FP17" s="369"/>
      <c r="FQ17" s="358"/>
      <c r="FR17" s="369">
        <v>1248</v>
      </c>
      <c r="FS17" s="369"/>
      <c r="FT17" s="358"/>
      <c r="FU17" s="369">
        <v>1248</v>
      </c>
      <c r="FV17" s="369"/>
      <c r="FW17" s="358"/>
      <c r="FX17" s="369">
        <v>1248</v>
      </c>
      <c r="FY17" s="369"/>
      <c r="FZ17" s="358"/>
      <c r="GA17" s="369">
        <v>1248</v>
      </c>
      <c r="GB17" s="369"/>
      <c r="GC17" s="358"/>
      <c r="GD17" s="369">
        <v>1248</v>
      </c>
      <c r="GE17" s="369"/>
      <c r="GF17" s="358"/>
      <c r="GG17" s="369">
        <v>1248</v>
      </c>
      <c r="GH17" s="369"/>
      <c r="GI17" s="358"/>
      <c r="GJ17" s="369">
        <v>1248</v>
      </c>
      <c r="GK17" s="369"/>
      <c r="GL17" s="358"/>
      <c r="GM17" s="369">
        <v>1248</v>
      </c>
      <c r="GN17" s="369"/>
      <c r="GO17" s="358"/>
      <c r="GP17" s="369">
        <v>1248</v>
      </c>
      <c r="GQ17" s="369"/>
      <c r="GR17" s="358"/>
      <c r="GS17" s="369">
        <v>1248</v>
      </c>
      <c r="GT17" s="369"/>
      <c r="GU17" s="358"/>
      <c r="GV17" s="369">
        <v>1248</v>
      </c>
      <c r="GW17" s="369"/>
      <c r="GX17" s="358"/>
      <c r="GY17" s="369">
        <v>1248</v>
      </c>
      <c r="GZ17" s="369"/>
      <c r="HA17" s="358"/>
      <c r="HB17" s="369">
        <v>1248</v>
      </c>
      <c r="HC17" s="369"/>
      <c r="HD17" s="358"/>
      <c r="HE17" s="369">
        <v>1248</v>
      </c>
      <c r="HF17" s="369"/>
      <c r="HG17" s="358"/>
      <c r="HH17" s="369">
        <v>1248</v>
      </c>
      <c r="HI17" s="358"/>
      <c r="HJ17" s="369">
        <v>1248</v>
      </c>
      <c r="HK17" s="358"/>
      <c r="HL17" s="369">
        <v>1248</v>
      </c>
      <c r="HM17" s="358"/>
      <c r="HN17" s="370">
        <v>1248</v>
      </c>
      <c r="HO17" s="358"/>
      <c r="HP17" s="358"/>
      <c r="HQ17" s="358"/>
      <c r="HR17" s="358"/>
      <c r="HS17" s="358"/>
      <c r="HT17" s="358"/>
      <c r="HU17" s="358"/>
      <c r="HV17" s="358"/>
      <c r="HW17" s="358"/>
      <c r="HX17" s="358"/>
      <c r="HY17" s="358"/>
      <c r="HZ17" s="358"/>
      <c r="IA17" s="358"/>
      <c r="IB17" s="358"/>
      <c r="IC17" s="358"/>
      <c r="ID17" s="376"/>
      <c r="IE17" s="376"/>
      <c r="IF17" s="376"/>
      <c r="IG17" s="376"/>
      <c r="IH17" s="376"/>
      <c r="II17" s="376"/>
      <c r="IJ17" s="376"/>
      <c r="IK17" s="376"/>
      <c r="IL17" s="376"/>
      <c r="IM17" s="376"/>
      <c r="IN17" s="376"/>
      <c r="IO17" s="361"/>
      <c r="IP17" s="361"/>
      <c r="IQ17" s="361"/>
      <c r="IR17" s="363"/>
      <c r="IS17" s="364" t="s">
        <v>77</v>
      </c>
      <c r="IT17" s="365">
        <v>43845</v>
      </c>
      <c r="IU17" s="371">
        <v>43891</v>
      </c>
      <c r="IW17" s="372">
        <f t="shared" si="11"/>
        <v>46</v>
      </c>
      <c r="IX17" s="373">
        <f>HN17/30.5</f>
        <v>40.918032786885249</v>
      </c>
      <c r="IY17" s="374">
        <f>IX17*IW17</f>
        <v>1882.2295081967213</v>
      </c>
    </row>
    <row r="18" spans="1:261" s="372" customFormat="1" ht="16.5" customHeight="1" x14ac:dyDescent="0.3">
      <c r="A18" s="354" t="s">
        <v>3312</v>
      </c>
      <c r="B18" s="377" t="s">
        <v>2863</v>
      </c>
      <c r="C18" s="378" t="s">
        <v>157</v>
      </c>
      <c r="D18" s="832">
        <v>6135</v>
      </c>
      <c r="E18" s="832">
        <v>3898</v>
      </c>
      <c r="F18" s="832">
        <v>0</v>
      </c>
      <c r="G18" s="832">
        <v>0</v>
      </c>
      <c r="H18" s="379">
        <f>(66*12)+66</f>
        <v>858</v>
      </c>
      <c r="I18" s="847">
        <v>10333</v>
      </c>
      <c r="J18" s="848"/>
      <c r="K18" s="837">
        <v>65.615106286748087</v>
      </c>
      <c r="L18" s="837">
        <v>10333</v>
      </c>
      <c r="M18" s="848"/>
      <c r="N18" s="837">
        <v>65.615106286748087</v>
      </c>
      <c r="O18" s="837">
        <v>10333</v>
      </c>
      <c r="P18" s="848"/>
      <c r="Q18" s="837">
        <v>65.615106286748087</v>
      </c>
      <c r="R18" s="837">
        <v>10333</v>
      </c>
      <c r="S18" s="848"/>
      <c r="T18" s="837">
        <v>65.615106286748087</v>
      </c>
      <c r="U18" s="837">
        <v>10333</v>
      </c>
      <c r="V18" s="848"/>
      <c r="W18" s="837">
        <v>65.615106286748087</v>
      </c>
      <c r="X18" s="837">
        <v>10333</v>
      </c>
      <c r="Y18" s="848"/>
      <c r="Z18" s="837">
        <v>65.615106286748087</v>
      </c>
      <c r="AA18" s="837">
        <v>10333</v>
      </c>
      <c r="AB18" s="848"/>
      <c r="AC18" s="837">
        <v>65.615106286748087</v>
      </c>
      <c r="AD18" s="837">
        <v>10333</v>
      </c>
      <c r="AE18" s="848"/>
      <c r="AF18" s="837">
        <v>65.615106286748087</v>
      </c>
      <c r="AG18" s="837">
        <v>10333</v>
      </c>
      <c r="AH18" s="848"/>
      <c r="AI18" s="837">
        <v>65.615106286748087</v>
      </c>
      <c r="AJ18" s="837">
        <v>10333</v>
      </c>
      <c r="AK18" s="848"/>
      <c r="AL18" s="837">
        <v>65.615106286748087</v>
      </c>
      <c r="AM18" s="837">
        <v>10333</v>
      </c>
      <c r="AN18" s="848"/>
      <c r="AO18" s="837">
        <v>65.615106286748087</v>
      </c>
      <c r="AP18" s="837">
        <v>10333</v>
      </c>
      <c r="AQ18" s="848"/>
      <c r="AR18" s="837">
        <v>65.615106286748087</v>
      </c>
      <c r="AS18" s="837">
        <v>10333</v>
      </c>
      <c r="AT18" s="848"/>
      <c r="AU18" s="837">
        <v>65.615106286748087</v>
      </c>
      <c r="AV18" s="837">
        <v>10333</v>
      </c>
      <c r="AW18" s="848"/>
      <c r="AX18" s="837">
        <v>65.615106286748087</v>
      </c>
      <c r="AY18" s="837">
        <v>10333</v>
      </c>
      <c r="AZ18" s="848"/>
      <c r="BA18" s="382">
        <v>65.615106286748087</v>
      </c>
      <c r="BB18" s="383">
        <f>((10333-9525)/30.5*37)+10333</f>
        <v>11313.196721311475</v>
      </c>
      <c r="BC18" s="381"/>
      <c r="BD18" s="382">
        <v>65.615106286748087</v>
      </c>
      <c r="BE18" s="382">
        <v>9525</v>
      </c>
      <c r="BF18" s="381"/>
      <c r="BG18" s="382">
        <v>65.615106286748087</v>
      </c>
      <c r="BH18" s="382">
        <v>9525</v>
      </c>
      <c r="BI18" s="381"/>
      <c r="BJ18" s="382">
        <v>65.615106286748087</v>
      </c>
      <c r="BK18" s="382">
        <v>9525</v>
      </c>
      <c r="BL18" s="381"/>
      <c r="BM18" s="382">
        <v>65.615106286748087</v>
      </c>
      <c r="BN18" s="382">
        <v>9525</v>
      </c>
      <c r="BO18" s="381"/>
      <c r="BP18" s="382">
        <v>65.615106286748087</v>
      </c>
      <c r="BQ18" s="382">
        <v>9525</v>
      </c>
      <c r="BR18" s="382"/>
      <c r="BS18" s="382">
        <v>65.615106286748087</v>
      </c>
      <c r="BT18" s="380">
        <v>9525</v>
      </c>
      <c r="BU18" s="382"/>
      <c r="BV18" s="384">
        <v>65.615106286748087</v>
      </c>
      <c r="BW18" s="384">
        <v>9525</v>
      </c>
      <c r="BX18" s="384"/>
      <c r="BY18" s="384">
        <v>65.615106286748087</v>
      </c>
      <c r="BZ18" s="384">
        <v>9525</v>
      </c>
      <c r="CA18" s="384"/>
      <c r="CB18" s="384">
        <v>65.615106286748087</v>
      </c>
      <c r="CC18" s="384">
        <v>9525</v>
      </c>
      <c r="CD18" s="384"/>
      <c r="CE18" s="384">
        <v>65.615106286748087</v>
      </c>
      <c r="CF18" s="384">
        <v>9525</v>
      </c>
      <c r="CG18" s="384"/>
      <c r="CH18" s="384">
        <v>65.615106286748087</v>
      </c>
      <c r="CI18" s="384">
        <v>9525</v>
      </c>
      <c r="CJ18" s="384"/>
      <c r="CK18" s="384">
        <v>65.615106286748087</v>
      </c>
      <c r="CL18" s="384">
        <v>9525</v>
      </c>
      <c r="CM18" s="384"/>
      <c r="CN18" s="384">
        <v>65.615106286748087</v>
      </c>
      <c r="CO18" s="384">
        <v>9525</v>
      </c>
      <c r="CP18" s="384"/>
      <c r="CQ18" s="384">
        <v>65.615106286748087</v>
      </c>
      <c r="CR18" s="384">
        <v>9525</v>
      </c>
      <c r="CS18" s="384"/>
      <c r="CT18" s="384">
        <v>65.615106286748087</v>
      </c>
      <c r="CU18" s="384">
        <v>9525</v>
      </c>
      <c r="CV18" s="384"/>
      <c r="CW18" s="384">
        <v>65.615106286748087</v>
      </c>
      <c r="CX18" s="384">
        <v>9525</v>
      </c>
      <c r="CY18" s="384"/>
      <c r="CZ18" s="384">
        <v>65.615106286748087</v>
      </c>
      <c r="DA18" s="384">
        <v>9525</v>
      </c>
      <c r="DB18" s="384"/>
      <c r="DC18" s="384">
        <v>65.615106286748087</v>
      </c>
      <c r="DD18" s="384">
        <v>9525</v>
      </c>
      <c r="DE18" s="384"/>
      <c r="DF18" s="384">
        <v>65.615106286748087</v>
      </c>
      <c r="DG18" s="384">
        <v>9525</v>
      </c>
      <c r="DH18" s="384"/>
      <c r="DI18" s="384">
        <v>65.615106286748087</v>
      </c>
      <c r="DJ18" s="384">
        <v>9525</v>
      </c>
      <c r="DK18" s="384"/>
      <c r="DL18" s="384">
        <v>65.615106286748087</v>
      </c>
      <c r="DM18" s="384">
        <v>9525</v>
      </c>
      <c r="DN18" s="384"/>
      <c r="DO18" s="384">
        <v>65.615106286748087</v>
      </c>
      <c r="DP18" s="384">
        <v>9525</v>
      </c>
      <c r="DQ18" s="384"/>
      <c r="DR18" s="384">
        <v>65.615106286748087</v>
      </c>
      <c r="DS18" s="384">
        <v>9525</v>
      </c>
      <c r="DT18" s="384"/>
      <c r="DU18" s="384">
        <v>65.615106286748087</v>
      </c>
      <c r="DV18" s="384">
        <v>8118</v>
      </c>
      <c r="DW18" s="384"/>
      <c r="DX18" s="384">
        <v>65.615106286748087</v>
      </c>
      <c r="DY18" s="384">
        <v>8118</v>
      </c>
      <c r="DZ18" s="384"/>
      <c r="EA18" s="384">
        <v>65.615106286748087</v>
      </c>
      <c r="EB18" s="384">
        <v>8118</v>
      </c>
      <c r="EC18" s="384"/>
      <c r="ED18" s="384">
        <v>65.615106286748087</v>
      </c>
      <c r="EE18" s="384">
        <v>8118</v>
      </c>
      <c r="EF18" s="384"/>
      <c r="EG18" s="384">
        <v>65.615106286748087</v>
      </c>
      <c r="EH18" s="384">
        <v>8118</v>
      </c>
      <c r="EI18" s="384"/>
      <c r="EJ18" s="384">
        <v>65.615106286748087</v>
      </c>
      <c r="EK18" s="384">
        <v>8118</v>
      </c>
      <c r="EL18" s="384"/>
      <c r="EM18" s="384">
        <v>65.615106286748087</v>
      </c>
      <c r="EN18" s="384">
        <v>8118</v>
      </c>
      <c r="EO18" s="384"/>
      <c r="EP18" s="384">
        <v>65.615106286748087</v>
      </c>
      <c r="EQ18" s="384">
        <v>8118</v>
      </c>
      <c r="ER18" s="384"/>
      <c r="ES18" s="384">
        <v>65.615106286748087</v>
      </c>
      <c r="ET18" s="384">
        <v>8118</v>
      </c>
      <c r="EU18" s="384"/>
      <c r="EV18" s="384">
        <v>65.615106286748087</v>
      </c>
      <c r="EW18" s="384">
        <v>8118</v>
      </c>
      <c r="EX18" s="384"/>
      <c r="EY18" s="384">
        <v>65.615106286748087</v>
      </c>
      <c r="EZ18" s="384">
        <v>8118</v>
      </c>
      <c r="FA18" s="384"/>
      <c r="FB18" s="384">
        <v>65.615106286748087</v>
      </c>
      <c r="FC18" s="384">
        <v>8118</v>
      </c>
      <c r="FD18" s="384"/>
      <c r="FE18" s="384">
        <v>65.615106286748087</v>
      </c>
      <c r="FF18" s="384">
        <v>8118</v>
      </c>
      <c r="FG18" s="384"/>
      <c r="FH18" s="384">
        <v>65.615106286748087</v>
      </c>
      <c r="FI18" s="384">
        <v>8118</v>
      </c>
      <c r="FJ18" s="384"/>
      <c r="FK18" s="384">
        <v>65.615106286748087</v>
      </c>
      <c r="FL18" s="384">
        <v>8118</v>
      </c>
      <c r="FM18" s="384"/>
      <c r="FN18" s="384">
        <v>65.615106286748087</v>
      </c>
      <c r="FO18" s="384">
        <v>8118</v>
      </c>
      <c r="FP18" s="384"/>
      <c r="FQ18" s="384">
        <v>65.615106286748087</v>
      </c>
      <c r="FR18" s="384">
        <v>8118</v>
      </c>
      <c r="FS18" s="384"/>
      <c r="FT18" s="384">
        <v>65.615106286748087</v>
      </c>
      <c r="FU18" s="385">
        <v>8118</v>
      </c>
      <c r="FV18" s="385"/>
      <c r="FW18" s="385">
        <v>65.615106286748087</v>
      </c>
      <c r="FX18" s="385">
        <v>8118</v>
      </c>
      <c r="FY18" s="385"/>
      <c r="FZ18" s="385">
        <v>65.615106286748087</v>
      </c>
      <c r="GA18" s="385">
        <v>8118</v>
      </c>
      <c r="GB18" s="385"/>
      <c r="GC18" s="385">
        <v>65.615106286748087</v>
      </c>
      <c r="GD18" s="385">
        <v>8118</v>
      </c>
      <c r="GE18" s="385"/>
      <c r="GF18" s="385">
        <v>65.615106286748087</v>
      </c>
      <c r="GG18" s="386">
        <f>8118+(8118-7272)</f>
        <v>8964</v>
      </c>
      <c r="GH18" s="386"/>
      <c r="GI18" s="386">
        <v>65.615106286748087</v>
      </c>
      <c r="GJ18" s="385">
        <v>7272.0564263010347</v>
      </c>
      <c r="GK18" s="387"/>
      <c r="GL18" s="387">
        <v>65.615106286748087</v>
      </c>
      <c r="GM18" s="385">
        <v>7272.0564263010347</v>
      </c>
      <c r="GN18" s="387"/>
      <c r="GO18" s="387">
        <v>65.615106286748087</v>
      </c>
      <c r="GP18" s="387">
        <v>7272.0564263010347</v>
      </c>
      <c r="GQ18" s="387"/>
      <c r="GR18" s="387">
        <v>65.615106286748087</v>
      </c>
      <c r="GS18" s="387">
        <v>7272.0564263010347</v>
      </c>
      <c r="GT18" s="387"/>
      <c r="GU18" s="387">
        <v>65.615106286748087</v>
      </c>
      <c r="GV18" s="387">
        <v>7272.0564263010347</v>
      </c>
      <c r="GW18" s="387"/>
      <c r="GX18" s="387">
        <v>65.615106286748087</v>
      </c>
      <c r="GY18" s="387">
        <v>7272.0564263010347</v>
      </c>
      <c r="GZ18" s="387"/>
      <c r="HA18" s="387">
        <v>65.615106286748087</v>
      </c>
      <c r="HB18" s="387">
        <v>7272.0564263010347</v>
      </c>
      <c r="HC18" s="387"/>
      <c r="HD18" s="387">
        <v>65.615106286748087</v>
      </c>
      <c r="HE18" s="387">
        <v>7272.0564263010347</v>
      </c>
      <c r="HF18" s="387"/>
      <c r="HG18" s="387">
        <v>65.615106286748087</v>
      </c>
      <c r="HH18" s="387">
        <v>7272.0564263010347</v>
      </c>
      <c r="HI18" s="387">
        <v>65.615106286748087</v>
      </c>
      <c r="HJ18" s="387">
        <v>7272.0564263010347</v>
      </c>
      <c r="HK18" s="387">
        <v>65.615106286748087</v>
      </c>
      <c r="HL18" s="387">
        <v>7272.0564263010347</v>
      </c>
      <c r="HM18" s="387">
        <v>65.615106286748087</v>
      </c>
      <c r="HN18" s="387">
        <v>7272.0564263010347</v>
      </c>
      <c r="HO18" s="387">
        <v>65.615106286748087</v>
      </c>
      <c r="HP18" s="387">
        <v>7272.0564263010347</v>
      </c>
      <c r="HQ18" s="387">
        <v>65.615106286748087</v>
      </c>
      <c r="HR18" s="387">
        <v>7272.0564263010347</v>
      </c>
      <c r="HS18" s="387">
        <v>65.615106286748087</v>
      </c>
      <c r="HT18" s="387">
        <v>7272.0564263010347</v>
      </c>
      <c r="HU18" s="387">
        <v>65.615106286748087</v>
      </c>
      <c r="HV18" s="388">
        <v>7272.0564263010347</v>
      </c>
      <c r="HW18" s="368">
        <v>66</v>
      </c>
      <c r="HX18" s="368">
        <v>7272.0564263010347</v>
      </c>
      <c r="HY18" s="368">
        <v>66</v>
      </c>
      <c r="HZ18" s="368">
        <v>7272.0564263010347</v>
      </c>
      <c r="IA18" s="368">
        <v>66</v>
      </c>
      <c r="IB18" s="368">
        <v>7272.0564263010347</v>
      </c>
      <c r="IC18" s="368">
        <v>66</v>
      </c>
      <c r="ID18" s="357">
        <f>VLOOKUP($C18,'[15]Prix accès'!$A:$D,4,FALSE)</f>
        <v>7272.0564263010347</v>
      </c>
      <c r="IE18" s="389">
        <v>66</v>
      </c>
      <c r="IF18" s="357">
        <f>VLOOKUP($C18,'[15]Prix accès'!$A:$D,4,FALSE)</f>
        <v>7272.0564263010347</v>
      </c>
      <c r="IG18" s="389">
        <v>66</v>
      </c>
      <c r="IH18" s="357">
        <f>VLOOKUP($C18,'[15]Prix accès'!$A:$D,4,FALSE)</f>
        <v>7272.0564263010347</v>
      </c>
      <c r="II18" s="389">
        <v>66</v>
      </c>
      <c r="IJ18" s="357">
        <f>VLOOKUP($C18,'[15]Prix accès'!$A:$D,4,FALSE)</f>
        <v>7272.0564263010347</v>
      </c>
      <c r="IK18" s="389">
        <v>66</v>
      </c>
      <c r="IL18" s="357">
        <f>VLOOKUP($C18,'[15]Prix accès'!$A:$D,4,FALSE)</f>
        <v>7272.0564263010347</v>
      </c>
      <c r="IM18" s="389">
        <v>66</v>
      </c>
      <c r="IN18" s="357">
        <f>VLOOKUP($C18,'[15]Prix accès'!$A:$D,4,FALSE)</f>
        <v>7272.0564263010347</v>
      </c>
      <c r="IO18" s="390">
        <v>66</v>
      </c>
      <c r="IP18" s="391"/>
      <c r="IQ18" s="392"/>
      <c r="IR18" s="363" t="s">
        <v>3313</v>
      </c>
      <c r="IS18" s="364" t="s">
        <v>77</v>
      </c>
      <c r="IT18" s="365">
        <v>43279</v>
      </c>
      <c r="IU18" s="371">
        <v>43466</v>
      </c>
      <c r="IV18" s="393">
        <v>44197</v>
      </c>
      <c r="IW18" s="372">
        <f t="shared" si="11"/>
        <v>187</v>
      </c>
      <c r="IX18" s="373">
        <f t="shared" ref="IX18:IX32" si="12">ID18/30.5</f>
        <v>238.4280795508536</v>
      </c>
      <c r="IY18" s="394">
        <f t="shared" ref="IY18:IY81" si="13">IW18*IX18</f>
        <v>44586.05087600962</v>
      </c>
      <c r="IZ18" s="394"/>
      <c r="JA18" s="394"/>
    </row>
    <row r="19" spans="1:261" s="372" customFormat="1" ht="16.5" customHeight="1" x14ac:dyDescent="0.3">
      <c r="A19" s="354" t="s">
        <v>3312</v>
      </c>
      <c r="B19" s="395" t="s">
        <v>2863</v>
      </c>
      <c r="C19" s="396" t="s">
        <v>173</v>
      </c>
      <c r="D19" s="766">
        <v>15856</v>
      </c>
      <c r="E19" s="767">
        <v>3806</v>
      </c>
      <c r="F19" s="767">
        <v>0</v>
      </c>
      <c r="G19" s="767">
        <v>0</v>
      </c>
      <c r="H19" s="768">
        <v>66</v>
      </c>
      <c r="I19" s="847">
        <v>19662</v>
      </c>
      <c r="J19" s="837"/>
      <c r="K19" s="849">
        <v>65.615106286748087</v>
      </c>
      <c r="L19" s="837">
        <v>19662</v>
      </c>
      <c r="M19" s="837"/>
      <c r="N19" s="849">
        <v>65.615106286748087</v>
      </c>
      <c r="O19" s="837">
        <v>19662</v>
      </c>
      <c r="P19" s="837"/>
      <c r="Q19" s="849">
        <v>65.615106286748087</v>
      </c>
      <c r="R19" s="837">
        <v>19662</v>
      </c>
      <c r="S19" s="837"/>
      <c r="T19" s="849">
        <v>65.615106286748087</v>
      </c>
      <c r="U19" s="837">
        <v>19662</v>
      </c>
      <c r="V19" s="837"/>
      <c r="W19" s="849">
        <v>65.615106286748087</v>
      </c>
      <c r="X19" s="837">
        <v>19662</v>
      </c>
      <c r="Y19" s="837"/>
      <c r="Z19" s="849">
        <v>65.615106286748087</v>
      </c>
      <c r="AA19" s="837">
        <v>19662</v>
      </c>
      <c r="AB19" s="837"/>
      <c r="AC19" s="849">
        <v>65.615106286748087</v>
      </c>
      <c r="AD19" s="837">
        <v>19662</v>
      </c>
      <c r="AE19" s="837"/>
      <c r="AF19" s="849">
        <v>65.615106286748087</v>
      </c>
      <c r="AG19" s="837">
        <v>19662</v>
      </c>
      <c r="AH19" s="837"/>
      <c r="AI19" s="849">
        <v>65.615106286748087</v>
      </c>
      <c r="AJ19" s="837">
        <v>19662</v>
      </c>
      <c r="AK19" s="837"/>
      <c r="AL19" s="849">
        <v>65.615106286748087</v>
      </c>
      <c r="AM19" s="837">
        <v>19662</v>
      </c>
      <c r="AN19" s="837"/>
      <c r="AO19" s="849">
        <v>65.615106286748087</v>
      </c>
      <c r="AP19" s="837">
        <v>19662</v>
      </c>
      <c r="AQ19" s="837"/>
      <c r="AR19" s="849">
        <v>65.615106286748087</v>
      </c>
      <c r="AS19" s="837">
        <v>19662</v>
      </c>
      <c r="AT19" s="837"/>
      <c r="AU19" s="849">
        <v>65.615106286748087</v>
      </c>
      <c r="AV19" s="837">
        <v>19662</v>
      </c>
      <c r="AW19" s="837"/>
      <c r="AX19" s="849">
        <v>65.615106286748087</v>
      </c>
      <c r="AY19" s="837">
        <v>19662</v>
      </c>
      <c r="AZ19" s="837"/>
      <c r="BA19" s="397">
        <v>65.615106286748087</v>
      </c>
      <c r="BB19" s="383">
        <f>((19662-19216)/30.5*44+19662)</f>
        <v>20305.409836065573</v>
      </c>
      <c r="BC19" s="397"/>
      <c r="BD19" s="397">
        <v>65.615106286748087</v>
      </c>
      <c r="BE19" s="397">
        <v>19216</v>
      </c>
      <c r="BF19" s="397"/>
      <c r="BG19" s="397">
        <v>65.615106286748087</v>
      </c>
      <c r="BH19" s="397">
        <v>19216</v>
      </c>
      <c r="BI19" s="397"/>
      <c r="BJ19" s="397">
        <v>65.615106286748087</v>
      </c>
      <c r="BK19" s="397">
        <v>19216</v>
      </c>
      <c r="BL19" s="397"/>
      <c r="BM19" s="397">
        <v>65.615106286748087</v>
      </c>
      <c r="BN19" s="397">
        <v>19216</v>
      </c>
      <c r="BO19" s="397"/>
      <c r="BP19" s="397">
        <v>65.615106286748087</v>
      </c>
      <c r="BQ19" s="397">
        <v>19216</v>
      </c>
      <c r="BR19" s="397"/>
      <c r="BS19" s="397">
        <v>65.615106286748087</v>
      </c>
      <c r="BT19" s="398">
        <v>19216</v>
      </c>
      <c r="BU19" s="397"/>
      <c r="BV19" s="385">
        <v>65.615106286748087</v>
      </c>
      <c r="BW19" s="385">
        <v>19216</v>
      </c>
      <c r="BX19" s="385"/>
      <c r="BY19" s="385">
        <v>65.615106286748087</v>
      </c>
      <c r="BZ19" s="385">
        <v>19216</v>
      </c>
      <c r="CA19" s="385"/>
      <c r="CB19" s="385">
        <v>65.615106286748087</v>
      </c>
      <c r="CC19" s="385">
        <v>19216</v>
      </c>
      <c r="CD19" s="385"/>
      <c r="CE19" s="385">
        <v>65.615106286748087</v>
      </c>
      <c r="CF19" s="385">
        <v>19216</v>
      </c>
      <c r="CG19" s="385"/>
      <c r="CH19" s="385">
        <v>65.615106286748087</v>
      </c>
      <c r="CI19" s="385">
        <v>19216</v>
      </c>
      <c r="CJ19" s="385"/>
      <c r="CK19" s="385">
        <v>65.615106286748087</v>
      </c>
      <c r="CL19" s="385">
        <v>19216</v>
      </c>
      <c r="CM19" s="385"/>
      <c r="CN19" s="385">
        <v>65.615106286748087</v>
      </c>
      <c r="CO19" s="385">
        <v>19216</v>
      </c>
      <c r="CP19" s="385"/>
      <c r="CQ19" s="385">
        <v>65.615106286748087</v>
      </c>
      <c r="CR19" s="385">
        <v>19216</v>
      </c>
      <c r="CS19" s="385"/>
      <c r="CT19" s="385">
        <v>65.615106286748087</v>
      </c>
      <c r="CU19" s="385">
        <v>19216</v>
      </c>
      <c r="CV19" s="385"/>
      <c r="CW19" s="385">
        <v>65.615106286748087</v>
      </c>
      <c r="CX19" s="385">
        <v>19216</v>
      </c>
      <c r="CY19" s="385"/>
      <c r="CZ19" s="385">
        <v>65.615106286748087</v>
      </c>
      <c r="DA19" s="385">
        <v>19216</v>
      </c>
      <c r="DB19" s="385"/>
      <c r="DC19" s="385">
        <v>65.615106286748087</v>
      </c>
      <c r="DD19" s="385">
        <v>19216</v>
      </c>
      <c r="DE19" s="385"/>
      <c r="DF19" s="385">
        <v>65.615106286748087</v>
      </c>
      <c r="DG19" s="385">
        <v>19216</v>
      </c>
      <c r="DH19" s="385"/>
      <c r="DI19" s="385">
        <v>65.615106286748087</v>
      </c>
      <c r="DJ19" s="385">
        <v>19216</v>
      </c>
      <c r="DK19" s="385"/>
      <c r="DL19" s="385">
        <v>65.615106286748087</v>
      </c>
      <c r="DM19" s="385">
        <v>19216</v>
      </c>
      <c r="DN19" s="385"/>
      <c r="DO19" s="385">
        <v>65.615106286748087</v>
      </c>
      <c r="DP19" s="385">
        <v>19216</v>
      </c>
      <c r="DQ19" s="385"/>
      <c r="DR19" s="385">
        <v>65.615106286748087</v>
      </c>
      <c r="DS19" s="386">
        <v>19216</v>
      </c>
      <c r="DT19" s="386"/>
      <c r="DU19" s="386">
        <v>65.615106286748087</v>
      </c>
      <c r="DV19" s="385">
        <v>17878</v>
      </c>
      <c r="DW19" s="385"/>
      <c r="DX19" s="385">
        <v>65.615106286748087</v>
      </c>
      <c r="DY19" s="385">
        <v>17878</v>
      </c>
      <c r="DZ19" s="385"/>
      <c r="EA19" s="385">
        <v>65.615106286748087</v>
      </c>
      <c r="EB19" s="385">
        <v>17878</v>
      </c>
      <c r="EC19" s="385"/>
      <c r="ED19" s="385">
        <v>65.615106286748087</v>
      </c>
      <c r="EE19" s="385">
        <v>17878</v>
      </c>
      <c r="EF19" s="385"/>
      <c r="EG19" s="385">
        <v>65.615106286748087</v>
      </c>
      <c r="EH19" s="385">
        <v>17878</v>
      </c>
      <c r="EI19" s="385"/>
      <c r="EJ19" s="385">
        <v>65.615106286748087</v>
      </c>
      <c r="EK19" s="385">
        <v>17878</v>
      </c>
      <c r="EL19" s="385"/>
      <c r="EM19" s="385">
        <v>65.615106286748087</v>
      </c>
      <c r="EN19" s="385">
        <v>17878</v>
      </c>
      <c r="EO19" s="385"/>
      <c r="EP19" s="385">
        <v>65.615106286748087</v>
      </c>
      <c r="EQ19" s="385">
        <v>17878</v>
      </c>
      <c r="ER19" s="385"/>
      <c r="ES19" s="385">
        <v>65.615106286748087</v>
      </c>
      <c r="ET19" s="385">
        <v>17878</v>
      </c>
      <c r="EU19" s="385"/>
      <c r="EV19" s="385">
        <v>65.615106286748087</v>
      </c>
      <c r="EW19" s="385">
        <v>17878</v>
      </c>
      <c r="EX19" s="385"/>
      <c r="EY19" s="385">
        <v>65.615106286748087</v>
      </c>
      <c r="EZ19" s="385">
        <v>17878</v>
      </c>
      <c r="FA19" s="385"/>
      <c r="FB19" s="385">
        <v>65.615106286748087</v>
      </c>
      <c r="FC19" s="385">
        <v>17878</v>
      </c>
      <c r="FD19" s="385"/>
      <c r="FE19" s="385">
        <v>65.615106286748087</v>
      </c>
      <c r="FF19" s="385">
        <v>17878</v>
      </c>
      <c r="FG19" s="385"/>
      <c r="FH19" s="385">
        <v>65.615106286748087</v>
      </c>
      <c r="FI19" s="385">
        <v>17878</v>
      </c>
      <c r="FJ19" s="385"/>
      <c r="FK19" s="385">
        <v>65.615106286748087</v>
      </c>
      <c r="FL19" s="385">
        <v>17878</v>
      </c>
      <c r="FM19" s="385"/>
      <c r="FN19" s="385">
        <v>65.615106286748087</v>
      </c>
      <c r="FO19" s="385">
        <v>17878</v>
      </c>
      <c r="FP19" s="385"/>
      <c r="FQ19" s="385">
        <v>65.615106286748087</v>
      </c>
      <c r="FR19" s="385">
        <v>17878</v>
      </c>
      <c r="FS19" s="385"/>
      <c r="FT19" s="385">
        <v>65.615106286748087</v>
      </c>
      <c r="FU19" s="385">
        <v>17878</v>
      </c>
      <c r="FV19" s="385"/>
      <c r="FW19" s="385">
        <v>65.615106286748087</v>
      </c>
      <c r="FX19" s="385">
        <v>17878</v>
      </c>
      <c r="FY19" s="385"/>
      <c r="FZ19" s="385">
        <v>65.615106286748087</v>
      </c>
      <c r="GA19" s="385">
        <v>17878</v>
      </c>
      <c r="GB19" s="385"/>
      <c r="GC19" s="385">
        <v>65.615106286748087</v>
      </c>
      <c r="GD19" s="385">
        <v>17878</v>
      </c>
      <c r="GE19" s="385"/>
      <c r="GF19" s="385">
        <v>65.615106286748087</v>
      </c>
      <c r="GG19" s="386">
        <f>17878+(17878-17112)</f>
        <v>18644</v>
      </c>
      <c r="GH19" s="386"/>
      <c r="GI19" s="386">
        <v>65.615106286748087</v>
      </c>
      <c r="GJ19" s="385">
        <v>17111.856426301034</v>
      </c>
      <c r="GK19" s="387"/>
      <c r="GL19" s="387">
        <v>65.615106286748087</v>
      </c>
      <c r="GM19" s="385">
        <v>17111.856426301034</v>
      </c>
      <c r="GN19" s="387"/>
      <c r="GO19" s="387">
        <v>65.615106286748087</v>
      </c>
      <c r="GP19" s="387">
        <v>17111.856426301034</v>
      </c>
      <c r="GQ19" s="387"/>
      <c r="GR19" s="387">
        <v>65.615106286748087</v>
      </c>
      <c r="GS19" s="387">
        <v>17111.856426301034</v>
      </c>
      <c r="GT19" s="387"/>
      <c r="GU19" s="387">
        <v>65.615106286748087</v>
      </c>
      <c r="GV19" s="387">
        <v>17111.856426301034</v>
      </c>
      <c r="GW19" s="387"/>
      <c r="GX19" s="387">
        <v>65.615106286748087</v>
      </c>
      <c r="GY19" s="387">
        <v>17111.856426301034</v>
      </c>
      <c r="GZ19" s="387"/>
      <c r="HA19" s="387">
        <v>65.615106286748087</v>
      </c>
      <c r="HB19" s="387">
        <v>17111.856426301034</v>
      </c>
      <c r="HC19" s="387"/>
      <c r="HD19" s="387">
        <v>65.615106286748087</v>
      </c>
      <c r="HE19" s="387">
        <v>17111.856426301034</v>
      </c>
      <c r="HF19" s="387"/>
      <c r="HG19" s="387">
        <v>65.615106286748087</v>
      </c>
      <c r="HH19" s="387">
        <v>17111.856426301034</v>
      </c>
      <c r="HI19" s="387">
        <v>65.615106286748087</v>
      </c>
      <c r="HJ19" s="387">
        <v>17111.856426301034</v>
      </c>
      <c r="HK19" s="387">
        <v>65.615106286748087</v>
      </c>
      <c r="HL19" s="387">
        <v>17111.856426301034</v>
      </c>
      <c r="HM19" s="387">
        <v>65.615106286748087</v>
      </c>
      <c r="HN19" s="387">
        <v>17111.856426301034</v>
      </c>
      <c r="HO19" s="387">
        <v>65.615106286748087</v>
      </c>
      <c r="HP19" s="387">
        <v>17111.856426301034</v>
      </c>
      <c r="HQ19" s="387">
        <v>65.615106286748087</v>
      </c>
      <c r="HR19" s="387">
        <v>17111.856426301034</v>
      </c>
      <c r="HS19" s="387">
        <v>65.615106286748087</v>
      </c>
      <c r="HT19" s="387">
        <v>17111.856426301034</v>
      </c>
      <c r="HU19" s="387">
        <v>65.615106286748087</v>
      </c>
      <c r="HV19" s="388">
        <v>17111.856426301034</v>
      </c>
      <c r="HW19" s="368">
        <v>66</v>
      </c>
      <c r="HX19" s="368">
        <v>17111.856426301034</v>
      </c>
      <c r="HY19" s="368">
        <v>66</v>
      </c>
      <c r="HZ19" s="368">
        <v>17111.856426301034</v>
      </c>
      <c r="IA19" s="368">
        <v>66</v>
      </c>
      <c r="IB19" s="368">
        <v>17111.856426301034</v>
      </c>
      <c r="IC19" s="368">
        <v>66</v>
      </c>
      <c r="ID19" s="357">
        <f>VLOOKUP($C19,'[15]Prix accès'!A:D,4,FALSE)</f>
        <v>17111.856426301034</v>
      </c>
      <c r="IE19" s="390">
        <v>66</v>
      </c>
      <c r="IF19" s="357">
        <f>VLOOKUP($C19,'[15]Prix accès'!$A:$D,4,FALSE)</f>
        <v>17111.856426301034</v>
      </c>
      <c r="IG19" s="390">
        <v>66</v>
      </c>
      <c r="IH19" s="357">
        <f>VLOOKUP($C19,'[15]Prix accès'!$A:$D,4,FALSE)</f>
        <v>17111.856426301034</v>
      </c>
      <c r="II19" s="390">
        <v>66</v>
      </c>
      <c r="IJ19" s="357">
        <f>VLOOKUP($C19,'[15]Prix accès'!$A:$D,4,FALSE)</f>
        <v>17111.856426301034</v>
      </c>
      <c r="IK19" s="390">
        <v>66</v>
      </c>
      <c r="IL19" s="357">
        <f>VLOOKUP($C19,'[15]Prix accès'!$A:$D,4,FALSE)</f>
        <v>17111.856426301034</v>
      </c>
      <c r="IM19" s="390">
        <v>66</v>
      </c>
      <c r="IN19" s="357">
        <f>VLOOKUP($C19,'[15]Prix accès'!$A:$D,4,FALSE)</f>
        <v>17111.856426301034</v>
      </c>
      <c r="IO19" s="390">
        <v>66</v>
      </c>
      <c r="IP19" s="399"/>
      <c r="IQ19" s="392"/>
      <c r="IR19" s="400" t="s">
        <v>3314</v>
      </c>
      <c r="IS19" s="364" t="s">
        <v>77</v>
      </c>
      <c r="IT19" s="365">
        <v>43279</v>
      </c>
      <c r="IU19" s="371">
        <v>43466</v>
      </c>
      <c r="IV19" s="393">
        <v>44197</v>
      </c>
      <c r="IW19" s="372">
        <f t="shared" si="11"/>
        <v>187</v>
      </c>
      <c r="IX19" s="373">
        <f t="shared" si="12"/>
        <v>561.04447299347657</v>
      </c>
      <c r="IY19" s="394">
        <f t="shared" si="13"/>
        <v>104915.31644978012</v>
      </c>
      <c r="IZ19" s="394"/>
      <c r="JA19" s="394"/>
    </row>
    <row r="20" spans="1:261" s="367" customFormat="1" ht="16.5" customHeight="1" x14ac:dyDescent="0.3">
      <c r="A20" s="401" t="s">
        <v>3315</v>
      </c>
      <c r="B20" s="402" t="s">
        <v>3315</v>
      </c>
      <c r="C20" s="403" t="s">
        <v>3316</v>
      </c>
      <c r="D20" s="850"/>
      <c r="E20" s="851"/>
      <c r="F20" s="851"/>
      <c r="G20" s="851"/>
      <c r="H20" s="852"/>
      <c r="I20" s="853">
        <v>0</v>
      </c>
      <c r="J20" s="833">
        <v>0</v>
      </c>
      <c r="K20" s="833">
        <v>0</v>
      </c>
      <c r="L20" s="833">
        <v>0</v>
      </c>
      <c r="M20" s="833">
        <v>0</v>
      </c>
      <c r="N20" s="833">
        <v>0</v>
      </c>
      <c r="O20" s="833">
        <v>0</v>
      </c>
      <c r="P20" s="833">
        <v>0</v>
      </c>
      <c r="Q20" s="833">
        <v>0</v>
      </c>
      <c r="R20" s="833">
        <v>0</v>
      </c>
      <c r="S20" s="833">
        <v>0</v>
      </c>
      <c r="T20" s="833">
        <v>0</v>
      </c>
      <c r="U20" s="833">
        <v>0</v>
      </c>
      <c r="V20" s="833">
        <v>0</v>
      </c>
      <c r="W20" s="833">
        <v>0</v>
      </c>
      <c r="X20" s="833">
        <v>0</v>
      </c>
      <c r="Y20" s="833">
        <v>0</v>
      </c>
      <c r="Z20" s="833">
        <v>0</v>
      </c>
      <c r="AA20" s="833">
        <v>0</v>
      </c>
      <c r="AB20" s="833">
        <v>0</v>
      </c>
      <c r="AC20" s="833">
        <v>0</v>
      </c>
      <c r="AD20" s="833">
        <v>0</v>
      </c>
      <c r="AE20" s="833">
        <v>0</v>
      </c>
      <c r="AF20" s="833">
        <v>0</v>
      </c>
      <c r="AG20" s="833">
        <v>0</v>
      </c>
      <c r="AH20" s="833">
        <v>0</v>
      </c>
      <c r="AI20" s="833">
        <v>0</v>
      </c>
      <c r="AJ20" s="833">
        <v>0</v>
      </c>
      <c r="AK20" s="833">
        <v>0</v>
      </c>
      <c r="AL20" s="833">
        <v>0</v>
      </c>
      <c r="AM20" s="833">
        <v>0</v>
      </c>
      <c r="AN20" s="833">
        <v>0</v>
      </c>
      <c r="AO20" s="833">
        <v>0</v>
      </c>
      <c r="AP20" s="833">
        <v>0</v>
      </c>
      <c r="AQ20" s="833">
        <v>0</v>
      </c>
      <c r="AR20" s="833">
        <v>0</v>
      </c>
      <c r="AS20" s="833">
        <v>0</v>
      </c>
      <c r="AT20" s="833">
        <v>0</v>
      </c>
      <c r="AU20" s="833">
        <v>0</v>
      </c>
      <c r="AV20" s="833"/>
      <c r="AW20" s="833"/>
      <c r="AX20" s="833"/>
      <c r="AY20" s="833"/>
      <c r="AZ20" s="833"/>
      <c r="BA20" s="404"/>
      <c r="BB20" s="404"/>
      <c r="BC20" s="404"/>
      <c r="BD20" s="404"/>
      <c r="BE20" s="404"/>
      <c r="BF20" s="404"/>
      <c r="BG20" s="404"/>
      <c r="BH20" s="404"/>
      <c r="BI20" s="404"/>
      <c r="BJ20" s="404"/>
      <c r="BK20" s="404"/>
      <c r="BL20" s="404"/>
      <c r="BM20" s="404"/>
      <c r="BN20" s="404"/>
      <c r="BO20" s="404"/>
      <c r="BP20" s="404"/>
      <c r="BQ20" s="404"/>
      <c r="BR20" s="404"/>
      <c r="BS20" s="404"/>
      <c r="BT20" s="404"/>
      <c r="BU20" s="404"/>
      <c r="BV20" s="404"/>
      <c r="BW20" s="404"/>
      <c r="BX20" s="404"/>
      <c r="BY20" s="404"/>
      <c r="BZ20" s="404"/>
      <c r="CA20" s="404"/>
      <c r="CB20" s="404"/>
      <c r="CC20" s="404"/>
      <c r="CD20" s="404"/>
      <c r="CE20" s="404"/>
      <c r="CF20" s="404"/>
      <c r="CG20" s="404"/>
      <c r="CH20" s="404"/>
      <c r="CI20" s="404"/>
      <c r="CJ20" s="404"/>
      <c r="CK20" s="404"/>
      <c r="CL20" s="404"/>
      <c r="CM20" s="404"/>
      <c r="CN20" s="404"/>
      <c r="CO20" s="404"/>
      <c r="CP20" s="404"/>
      <c r="CQ20" s="404"/>
      <c r="CR20" s="404"/>
      <c r="CS20" s="404"/>
      <c r="CT20" s="404"/>
      <c r="CU20" s="404"/>
      <c r="CV20" s="404"/>
      <c r="CW20" s="404"/>
      <c r="CX20" s="404"/>
      <c r="CY20" s="404"/>
      <c r="CZ20" s="404"/>
      <c r="DA20" s="404"/>
      <c r="DB20" s="404"/>
      <c r="DC20" s="404"/>
      <c r="DD20" s="404"/>
      <c r="DE20" s="404"/>
      <c r="DF20" s="404"/>
      <c r="DG20" s="404"/>
      <c r="DH20" s="404"/>
      <c r="DI20" s="404"/>
      <c r="DJ20" s="404"/>
      <c r="DK20" s="404"/>
      <c r="DL20" s="404"/>
      <c r="DM20" s="404"/>
      <c r="DN20" s="404"/>
      <c r="DO20" s="404"/>
      <c r="DP20" s="404"/>
      <c r="DQ20" s="404"/>
      <c r="DR20" s="404"/>
      <c r="DS20" s="404"/>
      <c r="DT20" s="404"/>
      <c r="DU20" s="404"/>
      <c r="DV20" s="404"/>
      <c r="DW20" s="404"/>
      <c r="DX20" s="404"/>
      <c r="DY20" s="404"/>
      <c r="DZ20" s="404"/>
      <c r="EA20" s="404"/>
      <c r="EB20" s="404"/>
      <c r="EC20" s="404"/>
      <c r="ED20" s="404"/>
      <c r="EE20" s="404"/>
      <c r="EF20" s="404"/>
      <c r="EG20" s="404"/>
      <c r="EH20" s="404"/>
      <c r="EI20" s="404"/>
      <c r="EJ20" s="404"/>
      <c r="EK20" s="404"/>
      <c r="EL20" s="404"/>
      <c r="EM20" s="404"/>
      <c r="EN20" s="404"/>
      <c r="EO20" s="404"/>
      <c r="EP20" s="404"/>
      <c r="EQ20" s="404"/>
      <c r="ER20" s="404"/>
      <c r="ES20" s="404"/>
      <c r="ET20" s="404"/>
      <c r="EU20" s="404"/>
      <c r="EV20" s="404"/>
      <c r="EW20" s="404"/>
      <c r="EX20" s="404"/>
      <c r="EY20" s="404"/>
      <c r="EZ20" s="404"/>
      <c r="FA20" s="404"/>
      <c r="FB20" s="404"/>
      <c r="FC20" s="404"/>
      <c r="FD20" s="404"/>
      <c r="FE20" s="404"/>
      <c r="FF20" s="404"/>
      <c r="FG20" s="404"/>
      <c r="FH20" s="404"/>
      <c r="FI20" s="404"/>
      <c r="FJ20" s="404"/>
      <c r="FK20" s="404"/>
      <c r="FL20" s="404"/>
      <c r="FM20" s="404"/>
      <c r="FN20" s="404"/>
      <c r="FO20" s="404"/>
      <c r="FP20" s="404"/>
      <c r="FQ20" s="404"/>
      <c r="FR20" s="404"/>
      <c r="FS20" s="404"/>
      <c r="FT20" s="404"/>
      <c r="FU20" s="404"/>
      <c r="FV20" s="404"/>
      <c r="FW20" s="404"/>
      <c r="FX20" s="404"/>
      <c r="FY20" s="404"/>
      <c r="FZ20" s="404"/>
      <c r="GA20" s="404"/>
      <c r="GB20" s="404"/>
      <c r="GC20" s="404"/>
      <c r="GD20" s="404"/>
      <c r="GE20" s="404"/>
      <c r="GF20" s="404"/>
      <c r="GG20" s="404"/>
      <c r="GH20" s="404"/>
      <c r="GI20" s="404"/>
      <c r="GJ20" s="404"/>
      <c r="GK20" s="404"/>
      <c r="GL20" s="404"/>
      <c r="GM20" s="404"/>
      <c r="GN20" s="404"/>
      <c r="GO20" s="404"/>
      <c r="GP20" s="404"/>
      <c r="GQ20" s="404"/>
      <c r="GR20" s="404"/>
      <c r="GS20" s="387">
        <v>1116.41198185659</v>
      </c>
      <c r="GT20" s="387"/>
      <c r="GU20" s="405"/>
      <c r="GV20" s="387">
        <v>1116.41198185659</v>
      </c>
      <c r="GW20" s="387"/>
      <c r="GX20" s="405"/>
      <c r="GY20" s="387">
        <v>1116.41198185659</v>
      </c>
      <c r="GZ20" s="387"/>
      <c r="HA20" s="405"/>
      <c r="HB20" s="387">
        <v>1116.41198185659</v>
      </c>
      <c r="HC20" s="387"/>
      <c r="HD20" s="405"/>
      <c r="HE20" s="387">
        <v>1116.41198185659</v>
      </c>
      <c r="HF20" s="387"/>
      <c r="HG20" s="386">
        <v>0</v>
      </c>
      <c r="HH20" s="387">
        <v>1116.41198185659</v>
      </c>
      <c r="HI20" s="387">
        <v>35.615106286748073</v>
      </c>
      <c r="HJ20" s="387">
        <v>1116.41198185659</v>
      </c>
      <c r="HK20" s="387">
        <v>35.615106286748073</v>
      </c>
      <c r="HL20" s="387">
        <v>1116.41198185659</v>
      </c>
      <c r="HM20" s="387">
        <v>35.615106286748073</v>
      </c>
      <c r="HN20" s="387">
        <v>1116.41198185659</v>
      </c>
      <c r="HO20" s="387">
        <v>35.615106286748073</v>
      </c>
      <c r="HP20" s="387">
        <v>1116.41198185659</v>
      </c>
      <c r="HQ20" s="387">
        <v>35.615106286748073</v>
      </c>
      <c r="HR20" s="387">
        <v>1116.41198185659</v>
      </c>
      <c r="HS20" s="387">
        <v>35.615106286748073</v>
      </c>
      <c r="HT20" s="387">
        <v>1116.41198185659</v>
      </c>
      <c r="HU20" s="387">
        <v>35.615106286748073</v>
      </c>
      <c r="HV20" s="388">
        <v>1116.41198185659</v>
      </c>
      <c r="HW20" s="406">
        <v>35.615106286748073</v>
      </c>
      <c r="HX20" s="406">
        <v>1116.41198185659</v>
      </c>
      <c r="HY20" s="406">
        <v>35.615106286748073</v>
      </c>
      <c r="HZ20" s="406">
        <v>1116.41198185659</v>
      </c>
      <c r="IA20" s="406">
        <v>35.615106286748073</v>
      </c>
      <c r="IB20" s="406">
        <v>1116.41198185659</v>
      </c>
      <c r="IC20" s="406">
        <v>35.615106286748073</v>
      </c>
      <c r="ID20" s="357">
        <f>VLOOKUP($C20,'[15]Prix accès'!A:D,4,FALSE)</f>
        <v>1116.41198185659</v>
      </c>
      <c r="IE20" s="407">
        <v>35.615106286748073</v>
      </c>
      <c r="IF20" s="357">
        <f>VLOOKUP($C20,'[15]Prix accès'!$A:$D,4,FALSE)</f>
        <v>1116.41198185659</v>
      </c>
      <c r="IG20" s="407">
        <v>35.615106286748073</v>
      </c>
      <c r="IH20" s="357">
        <f>VLOOKUP($C20,'[15]Prix accès'!$A:$D,4,FALSE)</f>
        <v>1116.41198185659</v>
      </c>
      <c r="II20" s="407">
        <v>35.615106286748073</v>
      </c>
      <c r="IJ20" s="357">
        <f>VLOOKUP($C20,'[15]Prix accès'!$A:$D,4,FALSE)</f>
        <v>1116.41198185659</v>
      </c>
      <c r="IK20" s="407">
        <v>35.615106286748073</v>
      </c>
      <c r="IL20" s="357">
        <f>VLOOKUP($C20,'[15]Prix accès'!$A:$D,4,FALSE)</f>
        <v>1116.41198185659</v>
      </c>
      <c r="IM20" s="407">
        <v>35.615106286748073</v>
      </c>
      <c r="IN20" s="357">
        <f>VLOOKUP($C20,'[15]Prix accès'!$A:$D,4,FALSE)</f>
        <v>1116.41198185659</v>
      </c>
      <c r="IO20" s="407">
        <v>35.615106286748073</v>
      </c>
      <c r="IP20" s="408">
        <v>6332.4351757767236</v>
      </c>
      <c r="IQ20" s="409">
        <v>202.01355369204643</v>
      </c>
      <c r="IR20" s="410" t="s">
        <v>3317</v>
      </c>
      <c r="IS20" s="364" t="s">
        <v>77</v>
      </c>
      <c r="IT20" s="365">
        <v>43293</v>
      </c>
      <c r="IU20" s="371">
        <v>43466</v>
      </c>
      <c r="IV20" s="393"/>
      <c r="IW20" s="372">
        <f t="shared" si="11"/>
        <v>173</v>
      </c>
      <c r="IX20" s="373">
        <f t="shared" si="12"/>
        <v>36.603671536281638</v>
      </c>
      <c r="IY20" s="394">
        <f t="shared" si="13"/>
        <v>6332.4351757767236</v>
      </c>
      <c r="IZ20" s="394"/>
      <c r="JA20" s="394"/>
    </row>
    <row r="21" spans="1:261" s="367" customFormat="1" ht="16.5" customHeight="1" x14ac:dyDescent="0.3">
      <c r="A21" s="354" t="s">
        <v>3318</v>
      </c>
      <c r="B21" s="411" t="s">
        <v>2742</v>
      </c>
      <c r="C21" s="378" t="s">
        <v>63</v>
      </c>
      <c r="D21" s="846">
        <f>(-48*12)+1842</f>
        <v>1266</v>
      </c>
      <c r="E21" s="854">
        <v>189</v>
      </c>
      <c r="F21" s="854">
        <v>48</v>
      </c>
      <c r="G21" s="854">
        <f>(-9*12)+252</f>
        <v>144</v>
      </c>
      <c r="H21" s="412">
        <v>0</v>
      </c>
      <c r="I21" s="830">
        <v>2127</v>
      </c>
      <c r="J21" s="831">
        <f>261</f>
        <v>261</v>
      </c>
      <c r="K21" s="827"/>
      <c r="L21" s="831">
        <v>2127</v>
      </c>
      <c r="M21" s="831">
        <f>261</f>
        <v>261</v>
      </c>
      <c r="N21" s="827"/>
      <c r="O21" s="831">
        <v>2127</v>
      </c>
      <c r="P21" s="831">
        <f>261</f>
        <v>261</v>
      </c>
      <c r="Q21" s="827"/>
      <c r="R21" s="831">
        <v>2127</v>
      </c>
      <c r="S21" s="831">
        <f>261</f>
        <v>261</v>
      </c>
      <c r="T21" s="827"/>
      <c r="U21" s="831">
        <v>2127</v>
      </c>
      <c r="V21" s="831">
        <f>261</f>
        <v>261</v>
      </c>
      <c r="W21" s="827"/>
      <c r="X21" s="831">
        <v>2127</v>
      </c>
      <c r="Y21" s="831">
        <f>261</f>
        <v>261</v>
      </c>
      <c r="Z21" s="827"/>
      <c r="AA21" s="831">
        <v>2127</v>
      </c>
      <c r="AB21" s="831">
        <f>261</f>
        <v>261</v>
      </c>
      <c r="AC21" s="827"/>
      <c r="AD21" s="831">
        <v>2127</v>
      </c>
      <c r="AE21" s="831">
        <f>261</f>
        <v>261</v>
      </c>
      <c r="AF21" s="827"/>
      <c r="AG21" s="831">
        <v>2127</v>
      </c>
      <c r="AH21" s="831">
        <f>261</f>
        <v>261</v>
      </c>
      <c r="AI21" s="827"/>
      <c r="AJ21" s="831">
        <v>2127</v>
      </c>
      <c r="AK21" s="831">
        <f>261</f>
        <v>261</v>
      </c>
      <c r="AL21" s="827"/>
      <c r="AM21" s="831">
        <v>2127</v>
      </c>
      <c r="AN21" s="831">
        <f>261</f>
        <v>261</v>
      </c>
      <c r="AO21" s="827"/>
      <c r="AP21" s="831">
        <v>2127</v>
      </c>
      <c r="AQ21" s="831">
        <f>261</f>
        <v>261</v>
      </c>
      <c r="AR21" s="827"/>
      <c r="AS21" s="831">
        <v>2127</v>
      </c>
      <c r="AT21" s="831">
        <f>261</f>
        <v>261</v>
      </c>
      <c r="AU21" s="827"/>
      <c r="AV21" s="831">
        <v>2127</v>
      </c>
      <c r="AW21" s="831">
        <f>261</f>
        <v>261</v>
      </c>
      <c r="AX21" s="827"/>
      <c r="AY21" s="831">
        <v>2127</v>
      </c>
      <c r="AZ21" s="831">
        <f>261</f>
        <v>261</v>
      </c>
      <c r="BA21" s="405"/>
      <c r="BB21" s="385">
        <v>2127</v>
      </c>
      <c r="BC21" s="385">
        <f>261</f>
        <v>261</v>
      </c>
      <c r="BD21" s="405"/>
      <c r="BE21" s="385">
        <v>2127</v>
      </c>
      <c r="BF21" s="385">
        <f>261</f>
        <v>261</v>
      </c>
      <c r="BG21" s="405"/>
      <c r="BH21" s="385">
        <v>2127</v>
      </c>
      <c r="BI21" s="385">
        <f>261</f>
        <v>261</v>
      </c>
      <c r="BJ21" s="405"/>
      <c r="BK21" s="385">
        <v>2127</v>
      </c>
      <c r="BL21" s="385">
        <f>261</f>
        <v>261</v>
      </c>
      <c r="BM21" s="405"/>
      <c r="BN21" s="385">
        <v>2127</v>
      </c>
      <c r="BO21" s="385">
        <f>261</f>
        <v>261</v>
      </c>
      <c r="BP21" s="405"/>
      <c r="BQ21" s="385">
        <v>2127</v>
      </c>
      <c r="BR21" s="385">
        <f>261</f>
        <v>261</v>
      </c>
      <c r="BS21" s="405"/>
      <c r="BT21" s="385">
        <v>2127</v>
      </c>
      <c r="BU21" s="385">
        <f>261</f>
        <v>261</v>
      </c>
      <c r="BV21" s="405"/>
      <c r="BW21" s="385">
        <v>2127</v>
      </c>
      <c r="BX21" s="385">
        <f>261</f>
        <v>261</v>
      </c>
      <c r="BY21" s="405"/>
      <c r="BZ21" s="385">
        <v>2127</v>
      </c>
      <c r="CA21" s="385">
        <f>261</f>
        <v>261</v>
      </c>
      <c r="CB21" s="405"/>
      <c r="CC21" s="385">
        <v>2127</v>
      </c>
      <c r="CD21" s="385">
        <f>261</f>
        <v>261</v>
      </c>
      <c r="CE21" s="405"/>
      <c r="CF21" s="385">
        <v>2127</v>
      </c>
      <c r="CG21" s="385">
        <f>261</f>
        <v>261</v>
      </c>
      <c r="CH21" s="405"/>
      <c r="CI21" s="385">
        <v>2127</v>
      </c>
      <c r="CJ21" s="385">
        <f>261</f>
        <v>261</v>
      </c>
      <c r="CK21" s="405"/>
      <c r="CL21" s="385">
        <v>2127</v>
      </c>
      <c r="CM21" s="385">
        <f>261</f>
        <v>261</v>
      </c>
      <c r="CN21" s="405"/>
      <c r="CO21" s="385">
        <v>2127</v>
      </c>
      <c r="CP21" s="385">
        <f>261</f>
        <v>261</v>
      </c>
      <c r="CQ21" s="405"/>
      <c r="CR21" s="385">
        <v>2127</v>
      </c>
      <c r="CS21" s="385">
        <f>261</f>
        <v>261</v>
      </c>
      <c r="CT21" s="405"/>
      <c r="CU21" s="385">
        <v>2127</v>
      </c>
      <c r="CV21" s="385">
        <f>261</f>
        <v>261</v>
      </c>
      <c r="CW21" s="405"/>
      <c r="CX21" s="385">
        <v>2127</v>
      </c>
      <c r="CY21" s="385">
        <f>261</f>
        <v>261</v>
      </c>
      <c r="CZ21" s="405"/>
      <c r="DA21" s="385">
        <v>2127</v>
      </c>
      <c r="DB21" s="385">
        <f>261</f>
        <v>261</v>
      </c>
      <c r="DC21" s="405"/>
      <c r="DD21" s="385">
        <v>2127</v>
      </c>
      <c r="DE21" s="385">
        <f>261</f>
        <v>261</v>
      </c>
      <c r="DF21" s="405"/>
      <c r="DG21" s="385">
        <v>2127</v>
      </c>
      <c r="DH21" s="385">
        <f>261</f>
        <v>261</v>
      </c>
      <c r="DI21" s="405"/>
      <c r="DJ21" s="385">
        <v>2127</v>
      </c>
      <c r="DK21" s="385">
        <f>261</f>
        <v>261</v>
      </c>
      <c r="DL21" s="405"/>
      <c r="DM21" s="385">
        <v>2127</v>
      </c>
      <c r="DN21" s="385">
        <f>261</f>
        <v>261</v>
      </c>
      <c r="DO21" s="405"/>
      <c r="DP21" s="385">
        <v>2127</v>
      </c>
      <c r="DQ21" s="385">
        <f>261</f>
        <v>261</v>
      </c>
      <c r="DR21" s="405"/>
      <c r="DS21" s="385">
        <v>2127</v>
      </c>
      <c r="DT21" s="385">
        <f>261</f>
        <v>261</v>
      </c>
      <c r="DU21" s="405"/>
      <c r="DV21" s="385">
        <v>2127</v>
      </c>
      <c r="DW21" s="385">
        <f>261</f>
        <v>261</v>
      </c>
      <c r="DX21" s="405"/>
      <c r="DY21" s="385">
        <v>2127</v>
      </c>
      <c r="DZ21" s="385">
        <f>261</f>
        <v>261</v>
      </c>
      <c r="EA21" s="405"/>
      <c r="EB21" s="385">
        <v>2127</v>
      </c>
      <c r="EC21" s="385">
        <f>261</f>
        <v>261</v>
      </c>
      <c r="ED21" s="405"/>
      <c r="EE21" s="385">
        <v>2127</v>
      </c>
      <c r="EF21" s="385">
        <f>261</f>
        <v>261</v>
      </c>
      <c r="EG21" s="405"/>
      <c r="EH21" s="385">
        <v>2127</v>
      </c>
      <c r="EI21" s="385">
        <f>261</f>
        <v>261</v>
      </c>
      <c r="EJ21" s="405"/>
      <c r="EK21" s="385">
        <v>2127</v>
      </c>
      <c r="EL21" s="385">
        <f>261</f>
        <v>261</v>
      </c>
      <c r="EM21" s="405"/>
      <c r="EN21" s="385">
        <v>2127</v>
      </c>
      <c r="EO21" s="385">
        <f>261</f>
        <v>261</v>
      </c>
      <c r="EP21" s="405"/>
      <c r="EQ21" s="385">
        <v>2127</v>
      </c>
      <c r="ER21" s="385">
        <f>261</f>
        <v>261</v>
      </c>
      <c r="ES21" s="405"/>
      <c r="ET21" s="385">
        <v>2127</v>
      </c>
      <c r="EU21" s="385">
        <f>261</f>
        <v>261</v>
      </c>
      <c r="EV21" s="405"/>
      <c r="EW21" s="385">
        <v>2127</v>
      </c>
      <c r="EX21" s="385">
        <f>261</f>
        <v>261</v>
      </c>
      <c r="EY21" s="405"/>
      <c r="EZ21" s="385">
        <v>2127</v>
      </c>
      <c r="FA21" s="385">
        <f>261</f>
        <v>261</v>
      </c>
      <c r="FB21" s="405"/>
      <c r="FC21" s="385">
        <v>2127</v>
      </c>
      <c r="FD21" s="385">
        <f>261</f>
        <v>261</v>
      </c>
      <c r="FE21" s="405"/>
      <c r="FF21" s="385">
        <v>2127</v>
      </c>
      <c r="FG21" s="385">
        <f>261</f>
        <v>261</v>
      </c>
      <c r="FH21" s="405"/>
      <c r="FI21" s="385">
        <v>2127</v>
      </c>
      <c r="FJ21" s="385">
        <f>261</f>
        <v>261</v>
      </c>
      <c r="FK21" s="405"/>
      <c r="FL21" s="385">
        <v>2127</v>
      </c>
      <c r="FM21" s="385">
        <f>261</f>
        <v>261</v>
      </c>
      <c r="FN21" s="405"/>
      <c r="FO21" s="385">
        <v>2127</v>
      </c>
      <c r="FP21" s="385">
        <f>261</f>
        <v>261</v>
      </c>
      <c r="FQ21" s="405"/>
      <c r="FR21" s="385">
        <v>2127</v>
      </c>
      <c r="FS21" s="385">
        <f>261</f>
        <v>261</v>
      </c>
      <c r="FT21" s="405"/>
      <c r="FU21" s="385">
        <v>2127</v>
      </c>
      <c r="FV21" s="385">
        <f>261</f>
        <v>261</v>
      </c>
      <c r="FW21" s="405"/>
      <c r="FX21" s="385">
        <v>2127</v>
      </c>
      <c r="FY21" s="385">
        <f>261</f>
        <v>261</v>
      </c>
      <c r="FZ21" s="405"/>
      <c r="GA21" s="385">
        <v>2127</v>
      </c>
      <c r="GB21" s="385">
        <f>261</f>
        <v>261</v>
      </c>
      <c r="GC21" s="405"/>
      <c r="GD21" s="385">
        <v>2127</v>
      </c>
      <c r="GE21" s="385">
        <f>261</f>
        <v>261</v>
      </c>
      <c r="GF21" s="405"/>
      <c r="GG21" s="385">
        <v>2127</v>
      </c>
      <c r="GH21" s="385">
        <f>261</f>
        <v>261</v>
      </c>
      <c r="GI21" s="405"/>
      <c r="GJ21" s="385">
        <v>2127</v>
      </c>
      <c r="GK21" s="385">
        <f>261</f>
        <v>261</v>
      </c>
      <c r="GL21" s="405"/>
      <c r="GM21" s="385">
        <v>2127</v>
      </c>
      <c r="GN21" s="385">
        <f>261</f>
        <v>261</v>
      </c>
      <c r="GO21" s="405"/>
      <c r="GP21" s="385">
        <v>2127</v>
      </c>
      <c r="GQ21" s="385">
        <f>261</f>
        <v>261</v>
      </c>
      <c r="GR21" s="405"/>
      <c r="GS21" s="385">
        <v>2127</v>
      </c>
      <c r="GT21" s="385">
        <f>261</f>
        <v>261</v>
      </c>
      <c r="GU21" s="405"/>
      <c r="GV21" s="385">
        <v>2127</v>
      </c>
      <c r="GW21" s="385">
        <f>261</f>
        <v>261</v>
      </c>
      <c r="GX21" s="405"/>
      <c r="GY21" s="385">
        <v>2127</v>
      </c>
      <c r="GZ21" s="385">
        <f>261</f>
        <v>261</v>
      </c>
      <c r="HA21" s="405"/>
      <c r="HB21" s="385">
        <v>2127</v>
      </c>
      <c r="HC21" s="385">
        <f>261</f>
        <v>261</v>
      </c>
      <c r="HD21" s="405"/>
      <c r="HE21" s="387">
        <v>2127</v>
      </c>
      <c r="HF21" s="386">
        <f>261*6</f>
        <v>1566</v>
      </c>
      <c r="HG21" s="386">
        <v>0</v>
      </c>
      <c r="HH21" s="387">
        <v>2127</v>
      </c>
      <c r="HI21" s="387">
        <v>65.615106286748087</v>
      </c>
      <c r="HJ21" s="387">
        <v>2127</v>
      </c>
      <c r="HK21" s="387">
        <v>65.615106286748087</v>
      </c>
      <c r="HL21" s="387">
        <v>2127</v>
      </c>
      <c r="HM21" s="387">
        <v>65.615106286748087</v>
      </c>
      <c r="HN21" s="387">
        <v>2127</v>
      </c>
      <c r="HO21" s="387">
        <v>65.615106286748087</v>
      </c>
      <c r="HP21" s="387">
        <v>2127</v>
      </c>
      <c r="HQ21" s="387">
        <v>65.615106286748087</v>
      </c>
      <c r="HR21" s="387">
        <v>2127</v>
      </c>
      <c r="HS21" s="387">
        <v>65.615106286748087</v>
      </c>
      <c r="HT21" s="387">
        <v>2127</v>
      </c>
      <c r="HU21" s="387">
        <v>65.615106286748087</v>
      </c>
      <c r="HV21" s="388">
        <v>2127</v>
      </c>
      <c r="HW21" s="368">
        <v>65.62</v>
      </c>
      <c r="HX21" s="369">
        <f>2126.86</f>
        <v>2126.86</v>
      </c>
      <c r="HY21" s="368">
        <v>65.62</v>
      </c>
      <c r="HZ21" s="370">
        <f>2126.86+(7.4*(2126.86-1950))</f>
        <v>3435.6240000000012</v>
      </c>
      <c r="IA21" s="368">
        <v>65.62</v>
      </c>
      <c r="IB21" s="368">
        <v>1949.8564263010346</v>
      </c>
      <c r="IC21" s="368">
        <v>65.62</v>
      </c>
      <c r="ID21" s="357">
        <f>VLOOKUP($C21,'[15]Prix accès'!A:D,4,FALSE)</f>
        <v>2127</v>
      </c>
      <c r="IE21" s="390">
        <v>65.62</v>
      </c>
      <c r="IF21" s="357">
        <f>VLOOKUP($C21,'[15]Prix accès'!$A:$D,4,FALSE)</f>
        <v>2127</v>
      </c>
      <c r="IG21" s="390">
        <v>65.62</v>
      </c>
      <c r="IH21" s="357">
        <f>VLOOKUP($C21,'[15]Prix accès'!$A:$D,4,FALSE)</f>
        <v>2127</v>
      </c>
      <c r="II21" s="390">
        <v>65.62</v>
      </c>
      <c r="IJ21" s="357">
        <f>VLOOKUP($C21,'[15]Prix accès'!$A:$D,4,FALSE)</f>
        <v>2127</v>
      </c>
      <c r="IK21" s="390">
        <v>65.62</v>
      </c>
      <c r="IL21" s="357">
        <f>VLOOKUP($C21,'[15]Prix accès'!$A:$D,4,FALSE)</f>
        <v>2127</v>
      </c>
      <c r="IM21" s="390">
        <v>65.62</v>
      </c>
      <c r="IN21" s="357">
        <f>VLOOKUP($C21,'[15]Prix accès'!$A:$D,4,FALSE)</f>
        <v>2127</v>
      </c>
      <c r="IO21" s="390">
        <v>65.62</v>
      </c>
      <c r="IP21" s="408">
        <v>11031.434754098358</v>
      </c>
      <c r="IQ21" s="409">
        <v>357.1449180327869</v>
      </c>
      <c r="IR21" s="414" t="s">
        <v>2828</v>
      </c>
      <c r="IS21" s="364" t="s">
        <v>77</v>
      </c>
      <c r="IT21" s="365">
        <v>43300</v>
      </c>
      <c r="IU21" s="371">
        <v>43466</v>
      </c>
      <c r="IV21" s="393"/>
      <c r="IW21" s="372">
        <f t="shared" si="11"/>
        <v>166</v>
      </c>
      <c r="IX21" s="373">
        <f t="shared" si="12"/>
        <v>69.73770491803279</v>
      </c>
      <c r="IY21" s="394">
        <f t="shared" si="13"/>
        <v>11576.459016393443</v>
      </c>
      <c r="IZ21" s="394"/>
      <c r="JA21" s="394"/>
    </row>
    <row r="22" spans="1:261" s="367" customFormat="1" ht="16.5" customHeight="1" x14ac:dyDescent="0.3">
      <c r="A22" s="354" t="s">
        <v>2735</v>
      </c>
      <c r="B22" s="415" t="s">
        <v>2765</v>
      </c>
      <c r="C22" s="416" t="s">
        <v>261</v>
      </c>
      <c r="D22" s="417">
        <v>1249</v>
      </c>
      <c r="E22" s="418">
        <v>165</v>
      </c>
      <c r="F22" s="418">
        <v>80</v>
      </c>
      <c r="G22" s="418">
        <v>14</v>
      </c>
      <c r="H22" s="419">
        <v>0</v>
      </c>
      <c r="I22" s="855">
        <v>1494</v>
      </c>
      <c r="J22" s="597">
        <v>14</v>
      </c>
      <c r="K22" s="827"/>
      <c r="L22" s="597">
        <v>1494</v>
      </c>
      <c r="M22" s="597">
        <v>14</v>
      </c>
      <c r="N22" s="827"/>
      <c r="O22" s="597">
        <v>1494</v>
      </c>
      <c r="P22" s="597">
        <v>14</v>
      </c>
      <c r="Q22" s="827"/>
      <c r="R22" s="597">
        <v>1494</v>
      </c>
      <c r="S22" s="597">
        <v>14</v>
      </c>
      <c r="T22" s="827"/>
      <c r="U22" s="597">
        <v>1494</v>
      </c>
      <c r="V22" s="597">
        <v>14</v>
      </c>
      <c r="W22" s="827"/>
      <c r="X22" s="597">
        <v>1494</v>
      </c>
      <c r="Y22" s="597">
        <v>14</v>
      </c>
      <c r="Z22" s="827"/>
      <c r="AA22" s="597">
        <v>1494</v>
      </c>
      <c r="AB22" s="597">
        <v>14</v>
      </c>
      <c r="AC22" s="827"/>
      <c r="AD22" s="597">
        <v>1494</v>
      </c>
      <c r="AE22" s="597">
        <v>14</v>
      </c>
      <c r="AF22" s="827"/>
      <c r="AG22" s="597">
        <v>1494</v>
      </c>
      <c r="AH22" s="597">
        <v>14</v>
      </c>
      <c r="AI22" s="827"/>
      <c r="AJ22" s="597">
        <v>1494</v>
      </c>
      <c r="AK22" s="597">
        <v>14</v>
      </c>
      <c r="AL22" s="827"/>
      <c r="AM22" s="597">
        <v>1494</v>
      </c>
      <c r="AN22" s="597">
        <v>14</v>
      </c>
      <c r="AO22" s="827"/>
      <c r="AP22" s="597">
        <v>1494</v>
      </c>
      <c r="AQ22" s="597">
        <v>14</v>
      </c>
      <c r="AR22" s="827"/>
      <c r="AS22" s="597">
        <v>1494</v>
      </c>
      <c r="AT22" s="597">
        <v>14</v>
      </c>
      <c r="AU22" s="827"/>
      <c r="AV22" s="597">
        <v>1494</v>
      </c>
      <c r="AW22" s="597">
        <v>14</v>
      </c>
      <c r="AX22" s="827"/>
      <c r="AY22" s="597">
        <v>1494</v>
      </c>
      <c r="AZ22" s="597">
        <v>14</v>
      </c>
      <c r="BA22" s="405"/>
      <c r="BB22" s="421">
        <v>1494</v>
      </c>
      <c r="BC22" s="421">
        <v>14</v>
      </c>
      <c r="BD22" s="405"/>
      <c r="BE22" s="421">
        <v>1494</v>
      </c>
      <c r="BF22" s="421">
        <v>14</v>
      </c>
      <c r="BG22" s="405"/>
      <c r="BH22" s="421">
        <v>1494</v>
      </c>
      <c r="BI22" s="421">
        <v>14</v>
      </c>
      <c r="BJ22" s="385"/>
      <c r="BK22" s="421">
        <v>1494</v>
      </c>
      <c r="BL22" s="421">
        <v>14</v>
      </c>
      <c r="BM22" s="385"/>
      <c r="BN22" s="421">
        <v>1494</v>
      </c>
      <c r="BO22" s="421">
        <v>14</v>
      </c>
      <c r="BP22" s="385"/>
      <c r="BQ22" s="421">
        <v>1494</v>
      </c>
      <c r="BR22" s="421">
        <v>14</v>
      </c>
      <c r="BS22" s="385"/>
      <c r="BT22" s="421">
        <v>1494</v>
      </c>
      <c r="BU22" s="421">
        <v>14</v>
      </c>
      <c r="BV22" s="385"/>
      <c r="BW22" s="421">
        <v>1494</v>
      </c>
      <c r="BX22" s="421">
        <v>14</v>
      </c>
      <c r="BY22" s="385"/>
      <c r="BZ22" s="421">
        <v>1494</v>
      </c>
      <c r="CA22" s="421">
        <v>14</v>
      </c>
      <c r="CB22" s="385"/>
      <c r="CC22" s="421">
        <v>1494</v>
      </c>
      <c r="CD22" s="421">
        <v>14</v>
      </c>
      <c r="CE22" s="385"/>
      <c r="CF22" s="421">
        <v>1494</v>
      </c>
      <c r="CG22" s="421">
        <v>14</v>
      </c>
      <c r="CH22" s="385"/>
      <c r="CI22" s="421">
        <v>1494</v>
      </c>
      <c r="CJ22" s="421">
        <v>14</v>
      </c>
      <c r="CK22" s="385"/>
      <c r="CL22" s="421">
        <v>1494</v>
      </c>
      <c r="CM22" s="421">
        <v>14</v>
      </c>
      <c r="CN22" s="385"/>
      <c r="CO22" s="421">
        <v>1494</v>
      </c>
      <c r="CP22" s="421">
        <v>14</v>
      </c>
      <c r="CQ22" s="385"/>
      <c r="CR22" s="421">
        <v>1494</v>
      </c>
      <c r="CS22" s="421">
        <v>14</v>
      </c>
      <c r="CT22" s="385"/>
      <c r="CU22" s="421">
        <v>1494</v>
      </c>
      <c r="CV22" s="421">
        <v>14</v>
      </c>
      <c r="CW22" s="385"/>
      <c r="CX22" s="421">
        <v>1494</v>
      </c>
      <c r="CY22" s="421">
        <v>14</v>
      </c>
      <c r="CZ22" s="385"/>
      <c r="DA22" s="421">
        <v>1494</v>
      </c>
      <c r="DB22" s="421">
        <v>14</v>
      </c>
      <c r="DC22" s="385"/>
      <c r="DD22" s="421">
        <v>1494</v>
      </c>
      <c r="DE22" s="421">
        <v>14</v>
      </c>
      <c r="DF22" s="385"/>
      <c r="DG22" s="421">
        <v>1494</v>
      </c>
      <c r="DH22" s="421">
        <v>14</v>
      </c>
      <c r="DI22" s="385"/>
      <c r="DJ22" s="421">
        <v>1494</v>
      </c>
      <c r="DK22" s="421">
        <v>14</v>
      </c>
      <c r="DL22" s="385"/>
      <c r="DM22" s="421">
        <v>1494</v>
      </c>
      <c r="DN22" s="421">
        <v>14</v>
      </c>
      <c r="DO22" s="385"/>
      <c r="DP22" s="422">
        <f>((1494-1699)/30.5)*9+1494</f>
        <v>1433.5081967213114</v>
      </c>
      <c r="DQ22" s="422">
        <f>((14-36)/30.5)*9+14</f>
        <v>7.5081967213114753</v>
      </c>
      <c r="DR22" s="386"/>
      <c r="DS22" s="385">
        <v>1698.8564263010346</v>
      </c>
      <c r="DT22" s="385">
        <f>36</f>
        <v>36</v>
      </c>
      <c r="DU22" s="405"/>
      <c r="DV22" s="385">
        <v>1698.8564263010346</v>
      </c>
      <c r="DW22" s="385">
        <f>36</f>
        <v>36</v>
      </c>
      <c r="DX22" s="405"/>
      <c r="DY22" s="385">
        <v>1698.8564263010346</v>
      </c>
      <c r="DZ22" s="385">
        <f>36</f>
        <v>36</v>
      </c>
      <c r="EA22" s="405"/>
      <c r="EB22" s="385">
        <v>1698.8564263010346</v>
      </c>
      <c r="EC22" s="385">
        <f>36</f>
        <v>36</v>
      </c>
      <c r="ED22" s="405"/>
      <c r="EE22" s="385">
        <v>1698.8564263010346</v>
      </c>
      <c r="EF22" s="385">
        <f>36</f>
        <v>36</v>
      </c>
      <c r="EG22" s="405"/>
      <c r="EH22" s="385">
        <v>1698.8564263010346</v>
      </c>
      <c r="EI22" s="385">
        <f>36</f>
        <v>36</v>
      </c>
      <c r="EJ22" s="405"/>
      <c r="EK22" s="385">
        <v>1698.8564263010346</v>
      </c>
      <c r="EL22" s="385">
        <f>36</f>
        <v>36</v>
      </c>
      <c r="EM22" s="405"/>
      <c r="EN22" s="385">
        <v>1698.8564263010346</v>
      </c>
      <c r="EO22" s="385">
        <f>36</f>
        <v>36</v>
      </c>
      <c r="EP22" s="405"/>
      <c r="EQ22" s="385">
        <v>1698.8564263010346</v>
      </c>
      <c r="ER22" s="385">
        <f>36</f>
        <v>36</v>
      </c>
      <c r="ES22" s="405"/>
      <c r="ET22" s="385">
        <v>1698.8564263010346</v>
      </c>
      <c r="EU22" s="385">
        <f>36</f>
        <v>36</v>
      </c>
      <c r="EV22" s="405"/>
      <c r="EW22" s="385">
        <v>1698.8564263010346</v>
      </c>
      <c r="EX22" s="385">
        <f>36</f>
        <v>36</v>
      </c>
      <c r="EY22" s="405"/>
      <c r="EZ22" s="385">
        <v>1698.8564263010346</v>
      </c>
      <c r="FA22" s="385">
        <f>36</f>
        <v>36</v>
      </c>
      <c r="FB22" s="405"/>
      <c r="FC22" s="385">
        <v>1698.8564263010346</v>
      </c>
      <c r="FD22" s="385">
        <f>36</f>
        <v>36</v>
      </c>
      <c r="FE22" s="405"/>
      <c r="FF22" s="385">
        <v>1698.8564263010346</v>
      </c>
      <c r="FG22" s="385">
        <f>36</f>
        <v>36</v>
      </c>
      <c r="FH22" s="405"/>
      <c r="FI22" s="385">
        <v>1698.8564263010346</v>
      </c>
      <c r="FJ22" s="385">
        <f>36</f>
        <v>36</v>
      </c>
      <c r="FK22" s="405"/>
      <c r="FL22" s="385">
        <v>1698.8564263010346</v>
      </c>
      <c r="FM22" s="385">
        <f>36</f>
        <v>36</v>
      </c>
      <c r="FN22" s="405"/>
      <c r="FO22" s="385">
        <v>1698.8564263010346</v>
      </c>
      <c r="FP22" s="385">
        <f>36</f>
        <v>36</v>
      </c>
      <c r="FQ22" s="405"/>
      <c r="FR22" s="385">
        <v>1698.8564263010346</v>
      </c>
      <c r="FS22" s="385">
        <f>36</f>
        <v>36</v>
      </c>
      <c r="FT22" s="405"/>
      <c r="FU22" s="385">
        <v>1698.8564263010346</v>
      </c>
      <c r="FV22" s="385">
        <f>36</f>
        <v>36</v>
      </c>
      <c r="FW22" s="405"/>
      <c r="FX22" s="385">
        <v>1698.8564263010346</v>
      </c>
      <c r="FY22" s="385">
        <f>36</f>
        <v>36</v>
      </c>
      <c r="FZ22" s="405"/>
      <c r="GA22" s="385">
        <v>1698.8564263010346</v>
      </c>
      <c r="GB22" s="385">
        <f>36</f>
        <v>36</v>
      </c>
      <c r="GC22" s="405"/>
      <c r="GD22" s="385">
        <v>1698.8564263010346</v>
      </c>
      <c r="GE22" s="385">
        <f>36</f>
        <v>36</v>
      </c>
      <c r="GF22" s="405"/>
      <c r="GG22" s="385">
        <v>1698.8564263010346</v>
      </c>
      <c r="GH22" s="385">
        <f>36</f>
        <v>36</v>
      </c>
      <c r="GI22" s="405"/>
      <c r="GJ22" s="385">
        <v>1698.8564263010346</v>
      </c>
      <c r="GK22" s="385">
        <f>36</f>
        <v>36</v>
      </c>
      <c r="GL22" s="405"/>
      <c r="GM22" s="385">
        <v>1698.8564263010346</v>
      </c>
      <c r="GN22" s="385">
        <f>36</f>
        <v>36</v>
      </c>
      <c r="GO22" s="405"/>
      <c r="GP22" s="385">
        <v>1698.8564263010346</v>
      </c>
      <c r="GQ22" s="385">
        <f>36</f>
        <v>36</v>
      </c>
      <c r="GR22" s="405"/>
      <c r="GS22" s="385">
        <v>1698.8564263010346</v>
      </c>
      <c r="GT22" s="385">
        <f>36</f>
        <v>36</v>
      </c>
      <c r="GU22" s="405"/>
      <c r="GV22" s="385">
        <v>1698.8564263010346</v>
      </c>
      <c r="GW22" s="385">
        <f>36</f>
        <v>36</v>
      </c>
      <c r="GX22" s="405"/>
      <c r="GY22" s="385">
        <v>1698.8564263010346</v>
      </c>
      <c r="GZ22" s="385">
        <f>36</f>
        <v>36</v>
      </c>
      <c r="HA22" s="405"/>
      <c r="HB22" s="385">
        <v>1698.8564263010346</v>
      </c>
      <c r="HC22" s="385">
        <f>36</f>
        <v>36</v>
      </c>
      <c r="HD22" s="405"/>
      <c r="HE22" s="387">
        <v>1698.8564263010346</v>
      </c>
      <c r="HF22" s="386">
        <f>36*6</f>
        <v>216</v>
      </c>
      <c r="HG22" s="386">
        <v>0</v>
      </c>
      <c r="HH22" s="387">
        <v>1698.8564263010346</v>
      </c>
      <c r="HI22" s="387">
        <v>65.615106286748087</v>
      </c>
      <c r="HJ22" s="387">
        <v>1698.8564263010346</v>
      </c>
      <c r="HK22" s="387">
        <v>65.615106286748087</v>
      </c>
      <c r="HL22" s="387">
        <v>1698.8564263010346</v>
      </c>
      <c r="HM22" s="387">
        <v>65.615106286748087</v>
      </c>
      <c r="HN22" s="387">
        <v>1698.8564263010346</v>
      </c>
      <c r="HO22" s="387">
        <v>65.615106286748087</v>
      </c>
      <c r="HP22" s="387">
        <v>1698.8564263010346</v>
      </c>
      <c r="HQ22" s="387">
        <v>65.615106286748087</v>
      </c>
      <c r="HR22" s="387">
        <v>1698.8564263010346</v>
      </c>
      <c r="HS22" s="387">
        <v>65.615106286748087</v>
      </c>
      <c r="HT22" s="387">
        <v>1698.8564263010346</v>
      </c>
      <c r="HU22" s="387">
        <v>65.615106286748087</v>
      </c>
      <c r="HV22" s="388">
        <v>1698.8564263010346</v>
      </c>
      <c r="HW22" s="423">
        <v>66</v>
      </c>
      <c r="HX22" s="424">
        <v>1764.4715325877828</v>
      </c>
      <c r="HY22" s="425"/>
      <c r="HZ22" s="424">
        <v>1764.4715325877828</v>
      </c>
      <c r="IA22" s="425"/>
      <c r="IB22" s="424">
        <v>1764.4715325877828</v>
      </c>
      <c r="IC22" s="425"/>
      <c r="ID22" s="357">
        <f>VLOOKUP($C22,'[15]Prix accès'!A:D,4,FALSE)</f>
        <v>1698.8564263010346</v>
      </c>
      <c r="IE22" s="426"/>
      <c r="IF22" s="357">
        <f>VLOOKUP($C22,'[15]Prix accès'!$A:$D,4,FALSE)</f>
        <v>1698.8564263010346</v>
      </c>
      <c r="IG22" s="426"/>
      <c r="IH22" s="357">
        <f>VLOOKUP($C22,'[15]Prix accès'!$A:$D,4,FALSE)</f>
        <v>1698.8564263010346</v>
      </c>
      <c r="II22" s="361"/>
      <c r="IJ22" s="357">
        <f>VLOOKUP($C22,'[15]Prix accès'!$A:$D,4,FALSE)</f>
        <v>1698.8564263010346</v>
      </c>
      <c r="IK22" s="361"/>
      <c r="IL22" s="357">
        <f>VLOOKUP($C22,'[15]Prix accès'!$A:$D,4,FALSE)</f>
        <v>1698.8564263010346</v>
      </c>
      <c r="IM22" s="427"/>
      <c r="IN22" s="357">
        <f>VLOOKUP($C22,'[15]Prix accès'!$A:$D,4,FALSE)</f>
        <v>1698.8564263010346</v>
      </c>
      <c r="IO22" s="427"/>
      <c r="IP22" s="428">
        <v>9140.5410540613011</v>
      </c>
      <c r="IQ22" s="427"/>
      <c r="IR22" s="429" t="s">
        <v>3319</v>
      </c>
      <c r="IS22" s="364" t="s">
        <v>77</v>
      </c>
      <c r="IT22" s="365">
        <v>43308</v>
      </c>
      <c r="IU22" s="371">
        <v>43466</v>
      </c>
      <c r="IW22" s="372">
        <f t="shared" si="11"/>
        <v>158</v>
      </c>
      <c r="IX22" s="373">
        <f t="shared" si="12"/>
        <v>55.700210698394578</v>
      </c>
      <c r="IY22" s="394">
        <f t="shared" si="13"/>
        <v>8800.6332903463426</v>
      </c>
      <c r="IZ22" s="394"/>
      <c r="JA22" s="394"/>
    </row>
    <row r="23" spans="1:261" s="367" customFormat="1" ht="16.5" customHeight="1" x14ac:dyDescent="0.3">
      <c r="A23" s="354" t="s">
        <v>3318</v>
      </c>
      <c r="B23" s="400" t="s">
        <v>2765</v>
      </c>
      <c r="C23" s="356" t="s">
        <v>103</v>
      </c>
      <c r="D23" s="430">
        <v>1249</v>
      </c>
      <c r="E23" s="431">
        <v>165</v>
      </c>
      <c r="F23" s="431">
        <v>48</v>
      </c>
      <c r="G23" s="431">
        <v>14</v>
      </c>
      <c r="H23" s="432">
        <v>0</v>
      </c>
      <c r="I23" s="844">
        <v>1462</v>
      </c>
      <c r="J23" s="606">
        <v>14</v>
      </c>
      <c r="K23" s="827"/>
      <c r="L23" s="606">
        <v>1462</v>
      </c>
      <c r="M23" s="606">
        <v>14</v>
      </c>
      <c r="N23" s="827"/>
      <c r="O23" s="606">
        <v>1462</v>
      </c>
      <c r="P23" s="606">
        <v>14</v>
      </c>
      <c r="Q23" s="827"/>
      <c r="R23" s="606">
        <v>1462</v>
      </c>
      <c r="S23" s="606">
        <v>14</v>
      </c>
      <c r="T23" s="827"/>
      <c r="U23" s="606">
        <v>1462</v>
      </c>
      <c r="V23" s="606">
        <v>14</v>
      </c>
      <c r="W23" s="827"/>
      <c r="X23" s="606">
        <v>1462</v>
      </c>
      <c r="Y23" s="606">
        <v>14</v>
      </c>
      <c r="Z23" s="827"/>
      <c r="AA23" s="606">
        <v>1462</v>
      </c>
      <c r="AB23" s="606">
        <v>14</v>
      </c>
      <c r="AC23" s="827"/>
      <c r="AD23" s="606">
        <v>1462</v>
      </c>
      <c r="AE23" s="606">
        <v>14</v>
      </c>
      <c r="AF23" s="827"/>
      <c r="AG23" s="606">
        <v>1462</v>
      </c>
      <c r="AH23" s="606">
        <v>14</v>
      </c>
      <c r="AI23" s="827"/>
      <c r="AJ23" s="606">
        <v>1462</v>
      </c>
      <c r="AK23" s="606">
        <v>14</v>
      </c>
      <c r="AL23" s="827"/>
      <c r="AM23" s="606">
        <v>1462</v>
      </c>
      <c r="AN23" s="606">
        <v>14</v>
      </c>
      <c r="AO23" s="827"/>
      <c r="AP23" s="606">
        <v>1462</v>
      </c>
      <c r="AQ23" s="606">
        <v>14</v>
      </c>
      <c r="AR23" s="827"/>
      <c r="AS23" s="606">
        <v>1462</v>
      </c>
      <c r="AT23" s="606">
        <v>14</v>
      </c>
      <c r="AU23" s="827"/>
      <c r="AV23" s="606">
        <v>1462</v>
      </c>
      <c r="AW23" s="606">
        <v>14</v>
      </c>
      <c r="AX23" s="827"/>
      <c r="AY23" s="606">
        <v>1462</v>
      </c>
      <c r="AZ23" s="606">
        <v>14</v>
      </c>
      <c r="BA23" s="405"/>
      <c r="BB23" s="433">
        <v>1462</v>
      </c>
      <c r="BC23" s="433">
        <v>14</v>
      </c>
      <c r="BD23" s="405"/>
      <c r="BE23" s="433">
        <v>1462</v>
      </c>
      <c r="BF23" s="433">
        <v>14</v>
      </c>
      <c r="BG23" s="405"/>
      <c r="BH23" s="433">
        <v>1462</v>
      </c>
      <c r="BI23" s="433">
        <v>14</v>
      </c>
      <c r="BJ23" s="384"/>
      <c r="BK23" s="421">
        <v>1462</v>
      </c>
      <c r="BL23" s="421">
        <v>14</v>
      </c>
      <c r="BM23" s="385"/>
      <c r="BN23" s="421">
        <v>1462</v>
      </c>
      <c r="BO23" s="421">
        <v>14</v>
      </c>
      <c r="BP23" s="385"/>
      <c r="BQ23" s="421">
        <v>1462</v>
      </c>
      <c r="BR23" s="421">
        <v>14</v>
      </c>
      <c r="BS23" s="385"/>
      <c r="BT23" s="421">
        <v>1462</v>
      </c>
      <c r="BU23" s="421">
        <v>14</v>
      </c>
      <c r="BV23" s="385"/>
      <c r="BW23" s="421">
        <v>1462</v>
      </c>
      <c r="BX23" s="421">
        <v>14</v>
      </c>
      <c r="BY23" s="385"/>
      <c r="BZ23" s="421">
        <v>1462</v>
      </c>
      <c r="CA23" s="421">
        <v>14</v>
      </c>
      <c r="CB23" s="385"/>
      <c r="CC23" s="421">
        <v>1462</v>
      </c>
      <c r="CD23" s="421">
        <v>14</v>
      </c>
      <c r="CE23" s="385"/>
      <c r="CF23" s="421">
        <v>1462</v>
      </c>
      <c r="CG23" s="421">
        <v>14</v>
      </c>
      <c r="CH23" s="385"/>
      <c r="CI23" s="421">
        <v>1462</v>
      </c>
      <c r="CJ23" s="421">
        <v>14</v>
      </c>
      <c r="CK23" s="385"/>
      <c r="CL23" s="421">
        <v>1462</v>
      </c>
      <c r="CM23" s="421">
        <v>14</v>
      </c>
      <c r="CN23" s="385"/>
      <c r="CO23" s="421">
        <v>1462</v>
      </c>
      <c r="CP23" s="421">
        <v>14</v>
      </c>
      <c r="CQ23" s="385"/>
      <c r="CR23" s="421">
        <v>1462</v>
      </c>
      <c r="CS23" s="421">
        <v>14</v>
      </c>
      <c r="CT23" s="385"/>
      <c r="CU23" s="421">
        <v>1462</v>
      </c>
      <c r="CV23" s="421">
        <v>14</v>
      </c>
      <c r="CW23" s="385"/>
      <c r="CX23" s="422">
        <f>((1462-1829)/30.5)*23+1462</f>
        <v>1185.2459016393443</v>
      </c>
      <c r="CY23" s="422">
        <v>14</v>
      </c>
      <c r="CZ23" s="386"/>
      <c r="DA23" s="421">
        <v>1829</v>
      </c>
      <c r="DB23" s="421">
        <v>14</v>
      </c>
      <c r="DC23" s="385"/>
      <c r="DD23" s="421">
        <v>1829</v>
      </c>
      <c r="DE23" s="421">
        <v>14</v>
      </c>
      <c r="DF23" s="385"/>
      <c r="DG23" s="421">
        <v>1829</v>
      </c>
      <c r="DH23" s="421">
        <v>14</v>
      </c>
      <c r="DI23" s="385"/>
      <c r="DJ23" s="421">
        <v>1829</v>
      </c>
      <c r="DK23" s="421">
        <v>14</v>
      </c>
      <c r="DL23" s="385"/>
      <c r="DM23" s="421">
        <v>1829</v>
      </c>
      <c r="DN23" s="421">
        <v>14</v>
      </c>
      <c r="DO23" s="385"/>
      <c r="DP23" s="422">
        <f>((1829-2034)/30.5)*4+1829</f>
        <v>1802.1147540983607</v>
      </c>
      <c r="DQ23" s="422">
        <f>((14-36)/30.5)*4+14</f>
        <v>11.114754098360656</v>
      </c>
      <c r="DR23" s="386"/>
      <c r="DS23" s="385">
        <v>2034</v>
      </c>
      <c r="DT23" s="385">
        <v>36</v>
      </c>
      <c r="DU23" s="385"/>
      <c r="DV23" s="386">
        <f>(2145-2146)*9+2034</f>
        <v>2025</v>
      </c>
      <c r="DW23" s="386">
        <f>(36*9)+36</f>
        <v>360</v>
      </c>
      <c r="DX23" s="386"/>
      <c r="DY23" s="385">
        <v>2146.0564263010347</v>
      </c>
      <c r="DZ23" s="385"/>
      <c r="EA23" s="405"/>
      <c r="EB23" s="385">
        <v>2146.0564263010347</v>
      </c>
      <c r="EC23" s="385"/>
      <c r="ED23" s="405"/>
      <c r="EE23" s="385">
        <v>2146.0564263010347</v>
      </c>
      <c r="EF23" s="385"/>
      <c r="EG23" s="405"/>
      <c r="EH23" s="385">
        <v>2146.0564263010347</v>
      </c>
      <c r="EI23" s="385"/>
      <c r="EJ23" s="405"/>
      <c r="EK23" s="385">
        <v>2146.0564263010347</v>
      </c>
      <c r="EL23" s="385"/>
      <c r="EM23" s="405"/>
      <c r="EN23" s="385">
        <v>2146.0564263010347</v>
      </c>
      <c r="EO23" s="385"/>
      <c r="EP23" s="405"/>
      <c r="EQ23" s="385">
        <v>2146.0564263010347</v>
      </c>
      <c r="ER23" s="385"/>
      <c r="ES23" s="405"/>
      <c r="ET23" s="385">
        <v>2146.0564263010347</v>
      </c>
      <c r="EU23" s="385"/>
      <c r="EV23" s="405"/>
      <c r="EW23" s="385">
        <v>2146.0564263010347</v>
      </c>
      <c r="EX23" s="385"/>
      <c r="EY23" s="405"/>
      <c r="EZ23" s="385">
        <v>2146.0564263010347</v>
      </c>
      <c r="FA23" s="385"/>
      <c r="FB23" s="405"/>
      <c r="FC23" s="385">
        <v>2146.0564263010347</v>
      </c>
      <c r="FD23" s="385"/>
      <c r="FE23" s="405"/>
      <c r="FF23" s="385">
        <v>2146.0564263010347</v>
      </c>
      <c r="FG23" s="385"/>
      <c r="FH23" s="405"/>
      <c r="FI23" s="385">
        <v>2146.0564263010347</v>
      </c>
      <c r="FJ23" s="385"/>
      <c r="FK23" s="405"/>
      <c r="FL23" s="385">
        <v>2146.0564263010347</v>
      </c>
      <c r="FM23" s="385"/>
      <c r="FN23" s="405"/>
      <c r="FO23" s="385">
        <v>2146.0564263010347</v>
      </c>
      <c r="FP23" s="385"/>
      <c r="FQ23" s="405"/>
      <c r="FR23" s="385">
        <v>2146.0564263010347</v>
      </c>
      <c r="FS23" s="385"/>
      <c r="FT23" s="405"/>
      <c r="FU23" s="385">
        <v>2146.0564263010347</v>
      </c>
      <c r="FV23" s="385"/>
      <c r="FW23" s="405"/>
      <c r="FX23" s="385">
        <v>2146.0564263010347</v>
      </c>
      <c r="FY23" s="385"/>
      <c r="FZ23" s="405"/>
      <c r="GA23" s="385">
        <v>2146.0564263010347</v>
      </c>
      <c r="GB23" s="385"/>
      <c r="GC23" s="405"/>
      <c r="GD23" s="385">
        <v>2146.0564263010347</v>
      </c>
      <c r="GE23" s="385"/>
      <c r="GF23" s="405"/>
      <c r="GG23" s="385">
        <v>2146.0564263010347</v>
      </c>
      <c r="GH23" s="385"/>
      <c r="GI23" s="405"/>
      <c r="GJ23" s="385">
        <v>2146.0564263010347</v>
      </c>
      <c r="GK23" s="385"/>
      <c r="GL23" s="405"/>
      <c r="GM23" s="385">
        <v>2146.0564263010347</v>
      </c>
      <c r="GN23" s="385"/>
      <c r="GO23" s="405"/>
      <c r="GP23" s="385">
        <v>2146.0564263010347</v>
      </c>
      <c r="GQ23" s="385"/>
      <c r="GR23" s="405"/>
      <c r="GS23" s="385">
        <v>2146.0564263010347</v>
      </c>
      <c r="GT23" s="385"/>
      <c r="GU23" s="405"/>
      <c r="GV23" s="385">
        <v>2146.0564263010347</v>
      </c>
      <c r="GW23" s="385"/>
      <c r="GX23" s="405"/>
      <c r="GY23" s="385">
        <v>2146.0564263010347</v>
      </c>
      <c r="GZ23" s="385"/>
      <c r="HA23" s="405"/>
      <c r="HB23" s="385">
        <v>2146.0564263010347</v>
      </c>
      <c r="HC23" s="385"/>
      <c r="HD23" s="405"/>
      <c r="HE23" s="387">
        <v>2146.0564263010347</v>
      </c>
      <c r="HF23" s="387"/>
      <c r="HG23" s="386">
        <v>0</v>
      </c>
      <c r="HH23" s="387">
        <v>2146.0564263010347</v>
      </c>
      <c r="HI23" s="387">
        <v>65.615106286748087</v>
      </c>
      <c r="HJ23" s="387">
        <v>2146.0564263010347</v>
      </c>
      <c r="HK23" s="387">
        <v>65.615106286748087</v>
      </c>
      <c r="HL23" s="387">
        <v>2146.0564263010347</v>
      </c>
      <c r="HM23" s="387">
        <v>65.615106286748087</v>
      </c>
      <c r="HN23" s="387">
        <v>2146.0564263010347</v>
      </c>
      <c r="HO23" s="387">
        <v>65.615106286748087</v>
      </c>
      <c r="HP23" s="387">
        <v>2146.0564263010347</v>
      </c>
      <c r="HQ23" s="387">
        <v>65.615106286748087</v>
      </c>
      <c r="HR23" s="387">
        <v>2146.0564263010347</v>
      </c>
      <c r="HS23" s="387">
        <v>65.615106286748087</v>
      </c>
      <c r="HT23" s="387">
        <v>2146.0564263010347</v>
      </c>
      <c r="HU23" s="387">
        <v>65.615106286748087</v>
      </c>
      <c r="HV23" s="388">
        <v>2146.0564263010347</v>
      </c>
      <c r="HW23" s="368">
        <v>65.62</v>
      </c>
      <c r="HX23" s="368">
        <v>2146.0564263010347</v>
      </c>
      <c r="HY23" s="368">
        <v>65.62</v>
      </c>
      <c r="HZ23" s="368">
        <v>2146.0564263010347</v>
      </c>
      <c r="IA23" s="368">
        <v>65.62</v>
      </c>
      <c r="IB23" s="368">
        <v>2146.0564263010347</v>
      </c>
      <c r="IC23" s="368">
        <v>65.62</v>
      </c>
      <c r="ID23" s="357" t="e">
        <f>VLOOKUP($C23,'[15]Prix accès'!A:D,4,FALSE)</f>
        <v>#N/A</v>
      </c>
      <c r="IE23" s="390">
        <v>65.62</v>
      </c>
      <c r="IF23" s="357" t="e">
        <f>VLOOKUP($C23,'[15]Prix accès'!$A:$D,4,FALSE)</f>
        <v>#N/A</v>
      </c>
      <c r="IG23" s="390">
        <v>65.62</v>
      </c>
      <c r="IH23" s="357" t="e">
        <f>VLOOKUP($C23,'[15]Prix accès'!$A:$D,4,FALSE)</f>
        <v>#N/A</v>
      </c>
      <c r="II23" s="390">
        <v>65.62</v>
      </c>
      <c r="IJ23" s="357" t="e">
        <f>VLOOKUP($C23,'[15]Prix accès'!$A:$D,4,FALSE)</f>
        <v>#N/A</v>
      </c>
      <c r="IK23" s="390">
        <v>65.62</v>
      </c>
      <c r="IL23" s="357" t="e">
        <f>VLOOKUP($C23,'[15]Prix accès'!$A:$D,4,FALSE)</f>
        <v>#N/A</v>
      </c>
      <c r="IM23" s="390">
        <v>65.62</v>
      </c>
      <c r="IN23" s="357" t="e">
        <f>VLOOKUP($C23,'[15]Prix accès'!$A:$D,4,FALSE)</f>
        <v>#N/A</v>
      </c>
      <c r="IO23" s="390">
        <v>65.62</v>
      </c>
      <c r="IP23" s="408">
        <v>10270.335737704918</v>
      </c>
      <c r="IQ23" s="409">
        <v>331.3272131147541</v>
      </c>
      <c r="IR23" s="414" t="s">
        <v>2980</v>
      </c>
      <c r="IS23" s="364" t="s">
        <v>77</v>
      </c>
      <c r="IT23" s="365">
        <v>43312</v>
      </c>
      <c r="IU23" s="371">
        <v>43466</v>
      </c>
      <c r="IV23" s="393">
        <v>44592</v>
      </c>
      <c r="IW23" s="372">
        <f t="shared" si="11"/>
        <v>154</v>
      </c>
      <c r="IX23" s="373" t="e">
        <f t="shared" si="12"/>
        <v>#N/A</v>
      </c>
      <c r="IY23" s="394" t="e">
        <f t="shared" si="13"/>
        <v>#N/A</v>
      </c>
      <c r="IZ23" s="394"/>
      <c r="JA23" s="394"/>
    </row>
    <row r="24" spans="1:261" s="367" customFormat="1" ht="16.5" customHeight="1" x14ac:dyDescent="0.3">
      <c r="A24" s="401" t="s">
        <v>3315</v>
      </c>
      <c r="B24" s="402" t="s">
        <v>3315</v>
      </c>
      <c r="C24" s="434" t="s">
        <v>3320</v>
      </c>
      <c r="D24" s="856"/>
      <c r="E24" s="751"/>
      <c r="F24" s="751"/>
      <c r="G24" s="751"/>
      <c r="H24" s="857"/>
      <c r="I24" s="853">
        <v>0</v>
      </c>
      <c r="J24" s="833">
        <v>0</v>
      </c>
      <c r="K24" s="833">
        <v>0</v>
      </c>
      <c r="L24" s="833">
        <v>0</v>
      </c>
      <c r="M24" s="833">
        <v>0</v>
      </c>
      <c r="N24" s="833">
        <v>0</v>
      </c>
      <c r="O24" s="833">
        <v>0</v>
      </c>
      <c r="P24" s="833">
        <v>0</v>
      </c>
      <c r="Q24" s="833">
        <v>0</v>
      </c>
      <c r="R24" s="833">
        <v>0</v>
      </c>
      <c r="S24" s="833">
        <v>0</v>
      </c>
      <c r="T24" s="833">
        <v>0</v>
      </c>
      <c r="U24" s="833">
        <v>0</v>
      </c>
      <c r="V24" s="833">
        <v>0</v>
      </c>
      <c r="W24" s="833">
        <v>0</v>
      </c>
      <c r="X24" s="833">
        <v>0</v>
      </c>
      <c r="Y24" s="833">
        <v>0</v>
      </c>
      <c r="Z24" s="833">
        <v>0</v>
      </c>
      <c r="AA24" s="833">
        <v>0</v>
      </c>
      <c r="AB24" s="833">
        <v>0</v>
      </c>
      <c r="AC24" s="833">
        <v>0</v>
      </c>
      <c r="AD24" s="833">
        <v>0</v>
      </c>
      <c r="AE24" s="833">
        <v>0</v>
      </c>
      <c r="AF24" s="833">
        <v>0</v>
      </c>
      <c r="AG24" s="833">
        <v>0</v>
      </c>
      <c r="AH24" s="833">
        <v>0</v>
      </c>
      <c r="AI24" s="833">
        <v>0</v>
      </c>
      <c r="AJ24" s="833">
        <v>0</v>
      </c>
      <c r="AK24" s="833">
        <v>0</v>
      </c>
      <c r="AL24" s="833">
        <v>0</v>
      </c>
      <c r="AM24" s="833">
        <v>0</v>
      </c>
      <c r="AN24" s="833">
        <v>0</v>
      </c>
      <c r="AO24" s="833">
        <v>0</v>
      </c>
      <c r="AP24" s="833">
        <v>0</v>
      </c>
      <c r="AQ24" s="833">
        <v>0</v>
      </c>
      <c r="AR24" s="833">
        <v>0</v>
      </c>
      <c r="AS24" s="833">
        <v>0</v>
      </c>
      <c r="AT24" s="833">
        <v>0</v>
      </c>
      <c r="AU24" s="833">
        <v>0</v>
      </c>
      <c r="AV24" s="833">
        <v>0</v>
      </c>
      <c r="AW24" s="833">
        <v>0</v>
      </c>
      <c r="AX24" s="833"/>
      <c r="AY24" s="833">
        <v>0</v>
      </c>
      <c r="AZ24" s="833">
        <v>0</v>
      </c>
      <c r="BA24" s="404"/>
      <c r="BB24" s="404">
        <v>0</v>
      </c>
      <c r="BC24" s="404">
        <v>0</v>
      </c>
      <c r="BD24" s="404"/>
      <c r="BE24" s="404">
        <v>0</v>
      </c>
      <c r="BF24" s="404">
        <v>0</v>
      </c>
      <c r="BG24" s="404"/>
      <c r="BH24" s="404">
        <v>0</v>
      </c>
      <c r="BI24" s="404">
        <v>0</v>
      </c>
      <c r="BJ24" s="404"/>
      <c r="BK24" s="404">
        <v>0</v>
      </c>
      <c r="BL24" s="404">
        <v>0</v>
      </c>
      <c r="BM24" s="404"/>
      <c r="BN24" s="404">
        <v>0</v>
      </c>
      <c r="BO24" s="404">
        <v>0</v>
      </c>
      <c r="BP24" s="404"/>
      <c r="BQ24" s="404">
        <v>0</v>
      </c>
      <c r="BR24" s="404">
        <v>0</v>
      </c>
      <c r="BS24" s="404"/>
      <c r="BT24" s="404">
        <v>0</v>
      </c>
      <c r="BU24" s="404">
        <v>0</v>
      </c>
      <c r="BV24" s="404"/>
      <c r="BW24" s="404">
        <v>0</v>
      </c>
      <c r="BX24" s="404">
        <v>0</v>
      </c>
      <c r="BY24" s="404"/>
      <c r="BZ24" s="404">
        <v>0</v>
      </c>
      <c r="CA24" s="404">
        <v>0</v>
      </c>
      <c r="CB24" s="404"/>
      <c r="CC24" s="404">
        <v>0</v>
      </c>
      <c r="CD24" s="404">
        <v>0</v>
      </c>
      <c r="CE24" s="404"/>
      <c r="CF24" s="404">
        <v>0</v>
      </c>
      <c r="CG24" s="404">
        <v>0</v>
      </c>
      <c r="CH24" s="404"/>
      <c r="CI24" s="404">
        <v>0</v>
      </c>
      <c r="CJ24" s="404">
        <v>0</v>
      </c>
      <c r="CK24" s="404"/>
      <c r="CL24" s="385">
        <v>1351</v>
      </c>
      <c r="CM24" s="385">
        <v>14</v>
      </c>
      <c r="CN24" s="385"/>
      <c r="CO24" s="385">
        <v>1351</v>
      </c>
      <c r="CP24" s="385">
        <v>14</v>
      </c>
      <c r="CQ24" s="385"/>
      <c r="CR24" s="385">
        <v>1351</v>
      </c>
      <c r="CS24" s="385">
        <v>14</v>
      </c>
      <c r="CT24" s="385"/>
      <c r="CU24" s="385">
        <v>1351</v>
      </c>
      <c r="CV24" s="385">
        <v>14</v>
      </c>
      <c r="CW24" s="385"/>
      <c r="CX24" s="385">
        <v>1351</v>
      </c>
      <c r="CY24" s="385">
        <v>14</v>
      </c>
      <c r="CZ24" s="385"/>
      <c r="DA24" s="385">
        <v>1351</v>
      </c>
      <c r="DB24" s="385">
        <v>14</v>
      </c>
      <c r="DC24" s="385"/>
      <c r="DD24" s="386">
        <f>((1351-1620)/30.5)*13+1351</f>
        <v>1236.344262295082</v>
      </c>
      <c r="DE24" s="386">
        <f>((14-23)/30.5)*13+14</f>
        <v>10.163934426229508</v>
      </c>
      <c r="DF24" s="386"/>
      <c r="DG24" s="385">
        <v>1620.4564263010345</v>
      </c>
      <c r="DH24" s="385">
        <f>23</f>
        <v>23</v>
      </c>
      <c r="DI24" s="405"/>
      <c r="DJ24" s="385">
        <v>1620.4564263010345</v>
      </c>
      <c r="DK24" s="385">
        <f>23</f>
        <v>23</v>
      </c>
      <c r="DL24" s="405"/>
      <c r="DM24" s="385">
        <v>1620.4564263010345</v>
      </c>
      <c r="DN24" s="385">
        <f>23</f>
        <v>23</v>
      </c>
      <c r="DO24" s="405"/>
      <c r="DP24" s="385">
        <v>1620.4564263010345</v>
      </c>
      <c r="DQ24" s="385">
        <f>23</f>
        <v>23</v>
      </c>
      <c r="DR24" s="405"/>
      <c r="DS24" s="385">
        <v>1620.4564263010345</v>
      </c>
      <c r="DT24" s="385">
        <f>23</f>
        <v>23</v>
      </c>
      <c r="DU24" s="405"/>
      <c r="DV24" s="385">
        <v>1620.4564263010345</v>
      </c>
      <c r="DW24" s="385">
        <f>23</f>
        <v>23</v>
      </c>
      <c r="DX24" s="405"/>
      <c r="DY24" s="385">
        <v>1620.4564263010345</v>
      </c>
      <c r="DZ24" s="385">
        <f>23</f>
        <v>23</v>
      </c>
      <c r="EA24" s="405"/>
      <c r="EB24" s="385">
        <v>1620.4564263010345</v>
      </c>
      <c r="EC24" s="385">
        <f>23</f>
        <v>23</v>
      </c>
      <c r="ED24" s="405"/>
      <c r="EE24" s="385">
        <v>1620.4564263010345</v>
      </c>
      <c r="EF24" s="385">
        <f>23</f>
        <v>23</v>
      </c>
      <c r="EG24" s="405"/>
      <c r="EH24" s="385">
        <v>1620.4564263010345</v>
      </c>
      <c r="EI24" s="385">
        <f>23</f>
        <v>23</v>
      </c>
      <c r="EJ24" s="405"/>
      <c r="EK24" s="385">
        <v>1620.4564263010345</v>
      </c>
      <c r="EL24" s="385">
        <f>23</f>
        <v>23</v>
      </c>
      <c r="EM24" s="405"/>
      <c r="EN24" s="385">
        <v>1620.4564263010345</v>
      </c>
      <c r="EO24" s="385">
        <f>23</f>
        <v>23</v>
      </c>
      <c r="EP24" s="405"/>
      <c r="EQ24" s="385">
        <v>1620.4564263010345</v>
      </c>
      <c r="ER24" s="385">
        <f>23</f>
        <v>23</v>
      </c>
      <c r="ES24" s="405"/>
      <c r="ET24" s="385">
        <v>1620.4564263010345</v>
      </c>
      <c r="EU24" s="385">
        <f>23</f>
        <v>23</v>
      </c>
      <c r="EV24" s="405"/>
      <c r="EW24" s="385">
        <v>1620.4564263010345</v>
      </c>
      <c r="EX24" s="385">
        <f>23</f>
        <v>23</v>
      </c>
      <c r="EY24" s="405"/>
      <c r="EZ24" s="385">
        <v>1620.4564263010345</v>
      </c>
      <c r="FA24" s="385">
        <f>23</f>
        <v>23</v>
      </c>
      <c r="FB24" s="405"/>
      <c r="FC24" s="385">
        <v>1620.4564263010345</v>
      </c>
      <c r="FD24" s="385">
        <f>23</f>
        <v>23</v>
      </c>
      <c r="FE24" s="405"/>
      <c r="FF24" s="385">
        <v>1620.4564263010345</v>
      </c>
      <c r="FG24" s="385">
        <f>23</f>
        <v>23</v>
      </c>
      <c r="FH24" s="405"/>
      <c r="FI24" s="385">
        <v>1620.4564263010345</v>
      </c>
      <c r="FJ24" s="385">
        <f>23</f>
        <v>23</v>
      </c>
      <c r="FK24" s="405"/>
      <c r="FL24" s="385">
        <v>1620.4564263010345</v>
      </c>
      <c r="FM24" s="385">
        <f>23</f>
        <v>23</v>
      </c>
      <c r="FN24" s="405"/>
      <c r="FO24" s="385">
        <v>1620.4564263010345</v>
      </c>
      <c r="FP24" s="385">
        <f>23</f>
        <v>23</v>
      </c>
      <c r="FQ24" s="405"/>
      <c r="FR24" s="385">
        <v>1620.4564263010345</v>
      </c>
      <c r="FS24" s="385">
        <f>23</f>
        <v>23</v>
      </c>
      <c r="FT24" s="405"/>
      <c r="FU24" s="385">
        <v>1620.4564263010345</v>
      </c>
      <c r="FV24" s="385">
        <f>23</f>
        <v>23</v>
      </c>
      <c r="FW24" s="405"/>
      <c r="FX24" s="385">
        <v>1620.4564263010345</v>
      </c>
      <c r="FY24" s="385">
        <f>23</f>
        <v>23</v>
      </c>
      <c r="FZ24" s="405"/>
      <c r="GA24" s="385">
        <v>1620.4564263010345</v>
      </c>
      <c r="GB24" s="385">
        <f>23</f>
        <v>23</v>
      </c>
      <c r="GC24" s="405"/>
      <c r="GD24" s="385">
        <v>1620.4564263010345</v>
      </c>
      <c r="GE24" s="385">
        <f>23</f>
        <v>23</v>
      </c>
      <c r="GF24" s="405"/>
      <c r="GG24" s="385">
        <v>1620.4564263010345</v>
      </c>
      <c r="GH24" s="385">
        <f>23</f>
        <v>23</v>
      </c>
      <c r="GI24" s="405"/>
      <c r="GJ24" s="385">
        <v>1620.4564263010345</v>
      </c>
      <c r="GK24" s="385">
        <f>23</f>
        <v>23</v>
      </c>
      <c r="GL24" s="405"/>
      <c r="GM24" s="385">
        <v>1620.4564263010345</v>
      </c>
      <c r="GN24" s="385">
        <f>23</f>
        <v>23</v>
      </c>
      <c r="GO24" s="405"/>
      <c r="GP24" s="385">
        <v>1620.4564263010345</v>
      </c>
      <c r="GQ24" s="385">
        <f>23</f>
        <v>23</v>
      </c>
      <c r="GR24" s="405"/>
      <c r="GS24" s="385">
        <v>1620.4564263010345</v>
      </c>
      <c r="GT24" s="385">
        <f>23</f>
        <v>23</v>
      </c>
      <c r="GU24" s="405"/>
      <c r="GV24" s="385">
        <v>1620.4564263010345</v>
      </c>
      <c r="GW24" s="385">
        <f>23</f>
        <v>23</v>
      </c>
      <c r="GX24" s="405"/>
      <c r="GY24" s="385">
        <v>1620.4564263010345</v>
      </c>
      <c r="GZ24" s="385">
        <f>23</f>
        <v>23</v>
      </c>
      <c r="HA24" s="405"/>
      <c r="HB24" s="385">
        <v>1620.4564263010345</v>
      </c>
      <c r="HC24" s="385">
        <f>23</f>
        <v>23</v>
      </c>
      <c r="HD24" s="405"/>
      <c r="HE24" s="387">
        <v>1620.4564263010345</v>
      </c>
      <c r="HF24" s="386">
        <f>23*6</f>
        <v>138</v>
      </c>
      <c r="HG24" s="386">
        <v>0</v>
      </c>
      <c r="HH24" s="387">
        <v>1620.4564263010345</v>
      </c>
      <c r="HI24" s="387">
        <v>65.615106286748087</v>
      </c>
      <c r="HJ24" s="387">
        <v>1620.4564263010345</v>
      </c>
      <c r="HK24" s="387">
        <v>65.615106286748087</v>
      </c>
      <c r="HL24" s="387">
        <v>1620.4564263010345</v>
      </c>
      <c r="HM24" s="387">
        <v>65.615106286748087</v>
      </c>
      <c r="HN24" s="387">
        <v>1620.4564263010345</v>
      </c>
      <c r="HO24" s="387">
        <v>65.615106286748087</v>
      </c>
      <c r="HP24" s="387">
        <v>1620.4564263010345</v>
      </c>
      <c r="HQ24" s="387">
        <v>65.615106286748087</v>
      </c>
      <c r="HR24" s="387">
        <v>1620.4564263010345</v>
      </c>
      <c r="HS24" s="387">
        <v>65.615106286748087</v>
      </c>
      <c r="HT24" s="387">
        <v>1620.4564263010345</v>
      </c>
      <c r="HU24" s="387">
        <v>65.615106286748087</v>
      </c>
      <c r="HV24" s="388">
        <v>1620.4564263010345</v>
      </c>
      <c r="HW24" s="424">
        <v>65.615106286748087</v>
      </c>
      <c r="HX24" s="424">
        <v>1620.4564263010345</v>
      </c>
      <c r="HY24" s="424">
        <v>65.615106286748087</v>
      </c>
      <c r="HZ24" s="424">
        <v>1620.4564263010345</v>
      </c>
      <c r="IA24" s="424">
        <v>65.615106286748087</v>
      </c>
      <c r="IB24" s="424">
        <v>1620.4564263010345</v>
      </c>
      <c r="IC24" s="424">
        <v>65.615106286748087</v>
      </c>
      <c r="ID24" s="357">
        <f>VLOOKUP($C24,'[15]Prix accès'!A:D,4,FALSE)</f>
        <v>1620.4564263010345</v>
      </c>
      <c r="IE24" s="435">
        <v>65.615106286748087</v>
      </c>
      <c r="IF24" s="357">
        <f>VLOOKUP($C24,'[15]Prix accès'!$A:$D,4,FALSE)</f>
        <v>1620.4564263010345</v>
      </c>
      <c r="IG24" s="435">
        <v>65.615106286748087</v>
      </c>
      <c r="IH24" s="357">
        <f>VLOOKUP($C24,'[15]Prix accès'!$A:$D,4,FALSE)</f>
        <v>1620.4564263010345</v>
      </c>
      <c r="II24" s="435">
        <v>65.615106286748087</v>
      </c>
      <c r="IJ24" s="357">
        <f>VLOOKUP($C24,'[15]Prix accès'!$A:$D,4,FALSE)</f>
        <v>1620.4564263010345</v>
      </c>
      <c r="IK24" s="435">
        <v>65.615106286748087</v>
      </c>
      <c r="IL24" s="357">
        <f>VLOOKUP($C24,'[15]Prix accès'!$A:$D,4,FALSE)</f>
        <v>1620.4564263010345</v>
      </c>
      <c r="IM24" s="435">
        <v>65.615106286748087</v>
      </c>
      <c r="IN24" s="357">
        <f>VLOOKUP($C24,'[15]Prix accès'!$A:$D,4,FALSE)</f>
        <v>1620.4564263010345</v>
      </c>
      <c r="IO24" s="435">
        <v>65.615106286748087</v>
      </c>
      <c r="IP24" s="408">
        <v>8128.8469909527303</v>
      </c>
      <c r="IQ24" s="409">
        <v>329.15118891385106</v>
      </c>
      <c r="IR24" s="429" t="s">
        <v>3321</v>
      </c>
      <c r="IS24" s="364" t="s">
        <v>77</v>
      </c>
      <c r="IT24" s="365">
        <v>43313</v>
      </c>
      <c r="IU24" s="371">
        <v>43466</v>
      </c>
      <c r="IW24" s="372">
        <f t="shared" si="11"/>
        <v>153</v>
      </c>
      <c r="IX24" s="373">
        <f t="shared" si="12"/>
        <v>53.129718895115886</v>
      </c>
      <c r="IY24" s="394">
        <f t="shared" si="13"/>
        <v>8128.8469909527303</v>
      </c>
      <c r="IZ24" s="394"/>
      <c r="JA24" s="394"/>
    </row>
    <row r="25" spans="1:261" s="367" customFormat="1" ht="16.5" customHeight="1" x14ac:dyDescent="0.3">
      <c r="A25" s="354" t="s">
        <v>3318</v>
      </c>
      <c r="B25" s="411" t="s">
        <v>2801</v>
      </c>
      <c r="C25" s="436" t="s">
        <v>146</v>
      </c>
      <c r="D25" s="437">
        <v>899</v>
      </c>
      <c r="E25" s="412">
        <v>44</v>
      </c>
      <c r="F25" s="412">
        <v>40</v>
      </c>
      <c r="G25" s="412">
        <v>36</v>
      </c>
      <c r="H25" s="438">
        <v>66</v>
      </c>
      <c r="I25" s="830">
        <v>984</v>
      </c>
      <c r="J25" s="831">
        <v>36</v>
      </c>
      <c r="K25" s="831">
        <v>66</v>
      </c>
      <c r="L25" s="831">
        <v>984</v>
      </c>
      <c r="M25" s="831">
        <v>36</v>
      </c>
      <c r="N25" s="831">
        <v>66</v>
      </c>
      <c r="O25" s="831">
        <v>984</v>
      </c>
      <c r="P25" s="831">
        <v>36</v>
      </c>
      <c r="Q25" s="831">
        <v>66</v>
      </c>
      <c r="R25" s="831">
        <v>984</v>
      </c>
      <c r="S25" s="831">
        <v>36</v>
      </c>
      <c r="T25" s="831">
        <v>66</v>
      </c>
      <c r="U25" s="831">
        <v>984</v>
      </c>
      <c r="V25" s="831">
        <v>36</v>
      </c>
      <c r="W25" s="831">
        <v>66</v>
      </c>
      <c r="X25" s="831">
        <v>984</v>
      </c>
      <c r="Y25" s="831">
        <v>36</v>
      </c>
      <c r="Z25" s="831">
        <v>66</v>
      </c>
      <c r="AA25" s="831">
        <v>984</v>
      </c>
      <c r="AB25" s="831">
        <v>36</v>
      </c>
      <c r="AC25" s="831">
        <v>66</v>
      </c>
      <c r="AD25" s="831">
        <v>984</v>
      </c>
      <c r="AE25" s="831">
        <v>36</v>
      </c>
      <c r="AF25" s="831">
        <v>66</v>
      </c>
      <c r="AG25" s="831">
        <v>984</v>
      </c>
      <c r="AH25" s="831">
        <v>36</v>
      </c>
      <c r="AI25" s="831">
        <v>66</v>
      </c>
      <c r="AJ25" s="831">
        <v>984</v>
      </c>
      <c r="AK25" s="831">
        <v>36</v>
      </c>
      <c r="AL25" s="831">
        <v>66</v>
      </c>
      <c r="AM25" s="831">
        <v>984</v>
      </c>
      <c r="AN25" s="831">
        <v>36</v>
      </c>
      <c r="AO25" s="831">
        <v>66</v>
      </c>
      <c r="AP25" s="831">
        <v>984</v>
      </c>
      <c r="AQ25" s="831">
        <v>36</v>
      </c>
      <c r="AR25" s="831">
        <v>66</v>
      </c>
      <c r="AS25" s="831">
        <v>984</v>
      </c>
      <c r="AT25" s="831">
        <v>36</v>
      </c>
      <c r="AU25" s="831">
        <v>66</v>
      </c>
      <c r="AV25" s="831">
        <v>984</v>
      </c>
      <c r="AW25" s="831">
        <v>36</v>
      </c>
      <c r="AX25" s="831">
        <v>66</v>
      </c>
      <c r="AY25" s="831">
        <v>984</v>
      </c>
      <c r="AZ25" s="831">
        <v>36</v>
      </c>
      <c r="BA25" s="385">
        <v>66</v>
      </c>
      <c r="BB25" s="385">
        <v>984</v>
      </c>
      <c r="BC25" s="385">
        <v>36</v>
      </c>
      <c r="BD25" s="385">
        <v>66</v>
      </c>
      <c r="BE25" s="385">
        <v>984</v>
      </c>
      <c r="BF25" s="385">
        <v>36</v>
      </c>
      <c r="BG25" s="385">
        <v>66</v>
      </c>
      <c r="BH25" s="385">
        <v>984</v>
      </c>
      <c r="BI25" s="385">
        <v>36</v>
      </c>
      <c r="BJ25" s="385">
        <v>66</v>
      </c>
      <c r="BK25" s="385">
        <v>984</v>
      </c>
      <c r="BL25" s="385">
        <v>36</v>
      </c>
      <c r="BM25" s="385">
        <v>66</v>
      </c>
      <c r="BN25" s="385">
        <v>984</v>
      </c>
      <c r="BO25" s="385">
        <v>36</v>
      </c>
      <c r="BP25" s="385">
        <v>66</v>
      </c>
      <c r="BQ25" s="385">
        <v>984</v>
      </c>
      <c r="BR25" s="385">
        <v>36</v>
      </c>
      <c r="BS25" s="385">
        <v>66</v>
      </c>
      <c r="BT25" s="385">
        <v>984</v>
      </c>
      <c r="BU25" s="385">
        <v>36</v>
      </c>
      <c r="BV25" s="385">
        <v>66</v>
      </c>
      <c r="BW25" s="385">
        <v>984</v>
      </c>
      <c r="BX25" s="385">
        <v>36</v>
      </c>
      <c r="BY25" s="385">
        <v>66</v>
      </c>
      <c r="BZ25" s="385">
        <v>984</v>
      </c>
      <c r="CA25" s="385">
        <v>36</v>
      </c>
      <c r="CB25" s="385">
        <v>66</v>
      </c>
      <c r="CC25" s="385">
        <v>984</v>
      </c>
      <c r="CD25" s="385">
        <v>36</v>
      </c>
      <c r="CE25" s="385">
        <v>66</v>
      </c>
      <c r="CF25" s="385">
        <v>984</v>
      </c>
      <c r="CG25" s="385">
        <v>36</v>
      </c>
      <c r="CH25" s="385">
        <v>66</v>
      </c>
      <c r="CI25" s="385">
        <v>984</v>
      </c>
      <c r="CJ25" s="385">
        <v>36</v>
      </c>
      <c r="CK25" s="385">
        <v>66</v>
      </c>
      <c r="CL25" s="385">
        <v>984</v>
      </c>
      <c r="CM25" s="385">
        <v>36</v>
      </c>
      <c r="CN25" s="385">
        <v>66</v>
      </c>
      <c r="CO25" s="385">
        <v>984</v>
      </c>
      <c r="CP25" s="385">
        <v>36</v>
      </c>
      <c r="CQ25" s="385">
        <v>66</v>
      </c>
      <c r="CR25" s="385">
        <v>984</v>
      </c>
      <c r="CS25" s="385">
        <v>36</v>
      </c>
      <c r="CT25" s="385">
        <v>66</v>
      </c>
      <c r="CU25" s="385">
        <v>984</v>
      </c>
      <c r="CV25" s="385">
        <v>36</v>
      </c>
      <c r="CW25" s="385">
        <v>66</v>
      </c>
      <c r="CX25" s="385">
        <v>984</v>
      </c>
      <c r="CY25" s="385">
        <v>36</v>
      </c>
      <c r="CZ25" s="385">
        <v>66</v>
      </c>
      <c r="DA25" s="385">
        <v>984</v>
      </c>
      <c r="DB25" s="385">
        <v>36</v>
      </c>
      <c r="DC25" s="385">
        <v>66</v>
      </c>
      <c r="DD25" s="385">
        <v>984</v>
      </c>
      <c r="DE25" s="385">
        <v>36</v>
      </c>
      <c r="DF25" s="385">
        <v>66</v>
      </c>
      <c r="DG25" s="385">
        <v>984</v>
      </c>
      <c r="DH25" s="385">
        <v>36</v>
      </c>
      <c r="DI25" s="385">
        <v>66</v>
      </c>
      <c r="DJ25" s="385">
        <v>984</v>
      </c>
      <c r="DK25" s="385">
        <v>36</v>
      </c>
      <c r="DL25" s="385">
        <v>66</v>
      </c>
      <c r="DM25" s="385">
        <v>984</v>
      </c>
      <c r="DN25" s="385">
        <v>36</v>
      </c>
      <c r="DO25" s="385">
        <v>66</v>
      </c>
      <c r="DP25" s="385">
        <v>984</v>
      </c>
      <c r="DQ25" s="385">
        <v>36</v>
      </c>
      <c r="DR25" s="385">
        <v>66</v>
      </c>
      <c r="DS25" s="385">
        <v>984</v>
      </c>
      <c r="DT25" s="385">
        <v>36</v>
      </c>
      <c r="DU25" s="385">
        <v>66</v>
      </c>
      <c r="DV25" s="386">
        <f>((984-448)/30.5)*8+984</f>
        <v>1124.5901639344263</v>
      </c>
      <c r="DW25" s="386">
        <f>((36/30.5)*8+36)</f>
        <v>45.442622950819668</v>
      </c>
      <c r="DX25" s="386">
        <v>66</v>
      </c>
      <c r="DY25" s="385">
        <v>447.65642630103451</v>
      </c>
      <c r="DZ25" s="385">
        <v>0</v>
      </c>
      <c r="EA25" s="385">
        <v>66</v>
      </c>
      <c r="EB25" s="385">
        <v>447.65642630103451</v>
      </c>
      <c r="EC25" s="385">
        <v>0</v>
      </c>
      <c r="ED25" s="385">
        <v>66</v>
      </c>
      <c r="EE25" s="385">
        <v>447.65642630103451</v>
      </c>
      <c r="EF25" s="385">
        <v>0</v>
      </c>
      <c r="EG25" s="385">
        <v>66</v>
      </c>
      <c r="EH25" s="385">
        <v>447.65642630103451</v>
      </c>
      <c r="EI25" s="385">
        <v>0</v>
      </c>
      <c r="EJ25" s="385">
        <v>66</v>
      </c>
      <c r="EK25" s="385">
        <v>447.65642630103451</v>
      </c>
      <c r="EL25" s="385">
        <v>0</v>
      </c>
      <c r="EM25" s="385">
        <v>66</v>
      </c>
      <c r="EN25" s="385">
        <v>447.65642630103451</v>
      </c>
      <c r="EO25" s="385">
        <v>0</v>
      </c>
      <c r="EP25" s="385">
        <v>66</v>
      </c>
      <c r="EQ25" s="385">
        <v>447.65642630103451</v>
      </c>
      <c r="ER25" s="385">
        <v>0</v>
      </c>
      <c r="ES25" s="385">
        <v>66</v>
      </c>
      <c r="ET25" s="385">
        <v>447.65642630103451</v>
      </c>
      <c r="EU25" s="385">
        <v>0</v>
      </c>
      <c r="EV25" s="385">
        <v>66</v>
      </c>
      <c r="EW25" s="385">
        <v>447.65642630103451</v>
      </c>
      <c r="EX25" s="385">
        <v>0</v>
      </c>
      <c r="EY25" s="385">
        <v>66</v>
      </c>
      <c r="EZ25" s="385">
        <v>447.65642630103451</v>
      </c>
      <c r="FA25" s="385">
        <v>0</v>
      </c>
      <c r="FB25" s="385">
        <v>66</v>
      </c>
      <c r="FC25" s="385">
        <v>447.65642630103451</v>
      </c>
      <c r="FD25" s="385">
        <v>0</v>
      </c>
      <c r="FE25" s="385">
        <v>66</v>
      </c>
      <c r="FF25" s="385">
        <v>447.65642630103451</v>
      </c>
      <c r="FG25" s="385">
        <v>0</v>
      </c>
      <c r="FH25" s="385">
        <v>66</v>
      </c>
      <c r="FI25" s="385">
        <v>447.65642630103451</v>
      </c>
      <c r="FJ25" s="385">
        <v>0</v>
      </c>
      <c r="FK25" s="385">
        <v>66</v>
      </c>
      <c r="FL25" s="385">
        <v>447.65642630103451</v>
      </c>
      <c r="FM25" s="385">
        <v>0</v>
      </c>
      <c r="FN25" s="385">
        <v>66</v>
      </c>
      <c r="FO25" s="385">
        <v>447.65642630103451</v>
      </c>
      <c r="FP25" s="385">
        <v>0</v>
      </c>
      <c r="FQ25" s="385">
        <v>66</v>
      </c>
      <c r="FR25" s="385">
        <v>447.65642630103451</v>
      </c>
      <c r="FS25" s="385">
        <v>0</v>
      </c>
      <c r="FT25" s="385">
        <v>66</v>
      </c>
      <c r="FU25" s="386">
        <v>447.65642630103451</v>
      </c>
      <c r="FV25" s="386">
        <v>0</v>
      </c>
      <c r="FW25" s="386">
        <v>66</v>
      </c>
      <c r="FX25" s="385">
        <v>447.65642630103451</v>
      </c>
      <c r="FY25" s="385">
        <v>0</v>
      </c>
      <c r="FZ25" s="405"/>
      <c r="GA25" s="385">
        <v>447.65642630103451</v>
      </c>
      <c r="GB25" s="385">
        <v>0</v>
      </c>
      <c r="GC25" s="405"/>
      <c r="GD25" s="385">
        <v>447.65642630103451</v>
      </c>
      <c r="GE25" s="385">
        <v>0</v>
      </c>
      <c r="GF25" s="405"/>
      <c r="GG25" s="385">
        <v>447.65642630103451</v>
      </c>
      <c r="GH25" s="385">
        <v>0</v>
      </c>
      <c r="GI25" s="405"/>
      <c r="GJ25" s="385">
        <v>447.65642630103451</v>
      </c>
      <c r="GK25" s="385">
        <v>0</v>
      </c>
      <c r="GL25" s="405"/>
      <c r="GM25" s="385">
        <v>447.65642630103451</v>
      </c>
      <c r="GN25" s="385">
        <v>0</v>
      </c>
      <c r="GO25" s="405"/>
      <c r="GP25" s="385">
        <v>447.65642630103451</v>
      </c>
      <c r="GQ25" s="385">
        <v>0</v>
      </c>
      <c r="GR25" s="405"/>
      <c r="GS25" s="385">
        <v>447.65642630103451</v>
      </c>
      <c r="GT25" s="385">
        <v>0</v>
      </c>
      <c r="GU25" s="405"/>
      <c r="GV25" s="385">
        <v>447.65642630103451</v>
      </c>
      <c r="GW25" s="385">
        <v>0</v>
      </c>
      <c r="GX25" s="405"/>
      <c r="GY25" s="385">
        <v>447.65642630103451</v>
      </c>
      <c r="GZ25" s="385">
        <v>0</v>
      </c>
      <c r="HA25" s="405"/>
      <c r="HB25" s="385">
        <v>447.65642630103451</v>
      </c>
      <c r="HC25" s="385">
        <v>0</v>
      </c>
      <c r="HD25" s="405"/>
      <c r="HE25" s="387">
        <v>447.65642630103451</v>
      </c>
      <c r="HF25" s="386">
        <v>0</v>
      </c>
      <c r="HG25" s="386">
        <v>0</v>
      </c>
      <c r="HH25" s="387">
        <v>447.65642630103451</v>
      </c>
      <c r="HI25" s="387">
        <v>65.615106286748087</v>
      </c>
      <c r="HJ25" s="387">
        <v>447.65642630103451</v>
      </c>
      <c r="HK25" s="387">
        <v>65.615106286748087</v>
      </c>
      <c r="HL25" s="387">
        <v>447.65642630103451</v>
      </c>
      <c r="HM25" s="387">
        <v>65.615106286748087</v>
      </c>
      <c r="HN25" s="387">
        <v>447.65642630103451</v>
      </c>
      <c r="HO25" s="387">
        <v>65.615106286748087</v>
      </c>
      <c r="HP25" s="387">
        <v>447.65642630103451</v>
      </c>
      <c r="HQ25" s="387">
        <v>65.615106286748087</v>
      </c>
      <c r="HR25" s="387">
        <v>447.65642630103451</v>
      </c>
      <c r="HS25" s="387">
        <v>65.615106286748087</v>
      </c>
      <c r="HT25" s="387">
        <v>447.65642630103451</v>
      </c>
      <c r="HU25" s="387">
        <v>65.615106286748087</v>
      </c>
      <c r="HV25" s="388">
        <v>447.65642630103451</v>
      </c>
      <c r="HW25" s="368">
        <v>65.62</v>
      </c>
      <c r="HX25" s="368">
        <v>447.65642630103451</v>
      </c>
      <c r="HY25" s="368">
        <v>65.62</v>
      </c>
      <c r="HZ25" s="368">
        <v>447.65642630103451</v>
      </c>
      <c r="IA25" s="368">
        <v>65.62</v>
      </c>
      <c r="IB25" s="368">
        <v>447.65642630103451</v>
      </c>
      <c r="IC25" s="368">
        <v>65.62</v>
      </c>
      <c r="ID25" s="357">
        <f>VLOOKUP($C25,'[15]Prix accès'!A:D,4,FALSE)</f>
        <v>447.65642630103451</v>
      </c>
      <c r="IE25" s="390">
        <v>65.62</v>
      </c>
      <c r="IF25" s="357">
        <f>VLOOKUP($C25,'[15]Prix accès'!$A:$D,4,FALSE)</f>
        <v>447.65642630103451</v>
      </c>
      <c r="IG25" s="390">
        <v>65.62</v>
      </c>
      <c r="IH25" s="357">
        <f>VLOOKUP($C25,'[15]Prix accès'!$A:$D,4,FALSE)</f>
        <v>447.65642630103451</v>
      </c>
      <c r="II25" s="390">
        <v>65.62</v>
      </c>
      <c r="IJ25" s="357">
        <f>VLOOKUP($C25,'[15]Prix accès'!$A:$D,4,FALSE)</f>
        <v>447.65642630103451</v>
      </c>
      <c r="IK25" s="390">
        <v>65.62</v>
      </c>
      <c r="IL25" s="357">
        <f>VLOOKUP($C25,'[15]Prix accès'!$A:$D,4,FALSE)</f>
        <v>447.65642630103451</v>
      </c>
      <c r="IM25" s="390">
        <v>65.62</v>
      </c>
      <c r="IN25" s="357">
        <f>VLOOKUP($C25,'[15]Prix accès'!$A:$D,4,FALSE)</f>
        <v>447.65642630103451</v>
      </c>
      <c r="IO25" s="390">
        <v>65.62</v>
      </c>
      <c r="IP25" s="408">
        <v>2230.9613114754102</v>
      </c>
      <c r="IQ25" s="409">
        <v>327.02426229508194</v>
      </c>
      <c r="IR25" s="414" t="s">
        <v>3322</v>
      </c>
      <c r="IS25" s="364" t="s">
        <v>77</v>
      </c>
      <c r="IT25" s="365">
        <v>43314</v>
      </c>
      <c r="IU25" s="439">
        <v>43466</v>
      </c>
      <c r="IV25" s="440">
        <v>44858</v>
      </c>
      <c r="IW25" s="372">
        <f t="shared" si="11"/>
        <v>152</v>
      </c>
      <c r="IX25" s="373">
        <f t="shared" si="12"/>
        <v>14.677259878722444</v>
      </c>
      <c r="IY25" s="394">
        <f t="shared" si="13"/>
        <v>2230.9435015658114</v>
      </c>
      <c r="IZ25" s="394"/>
      <c r="JA25" s="394"/>
    </row>
    <row r="26" spans="1:261" s="367" customFormat="1" ht="16.5" customHeight="1" x14ac:dyDescent="0.3">
      <c r="A26" s="354" t="s">
        <v>3318</v>
      </c>
      <c r="B26" s="400" t="s">
        <v>2763</v>
      </c>
      <c r="C26" s="356" t="s">
        <v>112</v>
      </c>
      <c r="D26" s="430">
        <v>1665</v>
      </c>
      <c r="E26" s="431">
        <v>165</v>
      </c>
      <c r="F26" s="431">
        <v>136</v>
      </c>
      <c r="G26" s="431">
        <v>171</v>
      </c>
      <c r="H26" s="432">
        <v>66</v>
      </c>
      <c r="I26" s="858">
        <f>2014-576</f>
        <v>1438</v>
      </c>
      <c r="J26" s="859">
        <f>171*12</f>
        <v>2052</v>
      </c>
      <c r="K26" s="835">
        <v>65.615106286748087</v>
      </c>
      <c r="L26" s="835">
        <v>2014</v>
      </c>
      <c r="M26" s="835"/>
      <c r="N26" s="835">
        <v>65.615106286748087</v>
      </c>
      <c r="O26" s="835">
        <v>2014</v>
      </c>
      <c r="P26" s="835"/>
      <c r="Q26" s="835">
        <v>65.615106286748087</v>
      </c>
      <c r="R26" s="835">
        <v>2014</v>
      </c>
      <c r="S26" s="835"/>
      <c r="T26" s="835">
        <v>65.615106286748087</v>
      </c>
      <c r="U26" s="835">
        <v>2014</v>
      </c>
      <c r="V26" s="835"/>
      <c r="W26" s="835">
        <v>65.615106286748087</v>
      </c>
      <c r="X26" s="835">
        <v>2014</v>
      </c>
      <c r="Y26" s="835"/>
      <c r="Z26" s="835">
        <v>65.615106286748087</v>
      </c>
      <c r="AA26" s="835">
        <v>2014</v>
      </c>
      <c r="AB26" s="835"/>
      <c r="AC26" s="835">
        <v>65.615106286748087</v>
      </c>
      <c r="AD26" s="835">
        <v>2014</v>
      </c>
      <c r="AE26" s="835"/>
      <c r="AF26" s="835">
        <v>65.615106286748087</v>
      </c>
      <c r="AG26" s="835">
        <v>2014</v>
      </c>
      <c r="AH26" s="835"/>
      <c r="AI26" s="835">
        <v>65.615106286748087</v>
      </c>
      <c r="AJ26" s="835">
        <v>2014</v>
      </c>
      <c r="AK26" s="835"/>
      <c r="AL26" s="835">
        <v>65.615106286748087</v>
      </c>
      <c r="AM26" s="835">
        <v>2014</v>
      </c>
      <c r="AN26" s="835"/>
      <c r="AO26" s="835">
        <v>65.615106286748087</v>
      </c>
      <c r="AP26" s="835">
        <v>2014</v>
      </c>
      <c r="AQ26" s="835"/>
      <c r="AR26" s="835">
        <v>65.615106286748087</v>
      </c>
      <c r="AS26" s="835">
        <v>2014</v>
      </c>
      <c r="AT26" s="835"/>
      <c r="AU26" s="835">
        <v>65.615106286748087</v>
      </c>
      <c r="AV26" s="835">
        <v>2014</v>
      </c>
      <c r="AW26" s="835"/>
      <c r="AX26" s="835">
        <v>65.615106286748087</v>
      </c>
      <c r="AY26" s="835">
        <v>2014</v>
      </c>
      <c r="AZ26" s="835"/>
      <c r="BA26" s="384">
        <v>65.615106286748087</v>
      </c>
      <c r="BB26" s="384">
        <v>2014</v>
      </c>
      <c r="BC26" s="384"/>
      <c r="BD26" s="384">
        <v>65.615106286748087</v>
      </c>
      <c r="BE26" s="384">
        <v>2014</v>
      </c>
      <c r="BF26" s="384"/>
      <c r="BG26" s="384">
        <v>65.615106286748087</v>
      </c>
      <c r="BH26" s="384">
        <v>2014</v>
      </c>
      <c r="BI26" s="384"/>
      <c r="BJ26" s="384">
        <v>65.615106286748087</v>
      </c>
      <c r="BK26" s="385">
        <v>2014</v>
      </c>
      <c r="BL26" s="385"/>
      <c r="BM26" s="385">
        <v>65.615106286748087</v>
      </c>
      <c r="BN26" s="385">
        <v>2014</v>
      </c>
      <c r="BO26" s="385"/>
      <c r="BP26" s="385">
        <v>65.615106286748087</v>
      </c>
      <c r="BQ26" s="385">
        <v>2014</v>
      </c>
      <c r="BR26" s="385"/>
      <c r="BS26" s="385">
        <v>65.615106286748087</v>
      </c>
      <c r="BT26" s="385">
        <v>2014</v>
      </c>
      <c r="BU26" s="385"/>
      <c r="BV26" s="385">
        <v>65.615106286748087</v>
      </c>
      <c r="BW26" s="385">
        <v>2014</v>
      </c>
      <c r="BX26" s="385"/>
      <c r="BY26" s="385">
        <v>65.615106286748087</v>
      </c>
      <c r="BZ26" s="385">
        <v>2014</v>
      </c>
      <c r="CA26" s="385"/>
      <c r="CB26" s="385">
        <v>65.615106286748087</v>
      </c>
      <c r="CC26" s="385">
        <v>2014</v>
      </c>
      <c r="CD26" s="385"/>
      <c r="CE26" s="385">
        <v>65.615106286748087</v>
      </c>
      <c r="CF26" s="385">
        <v>2014</v>
      </c>
      <c r="CG26" s="385"/>
      <c r="CH26" s="385">
        <v>65.615106286748087</v>
      </c>
      <c r="CI26" s="385">
        <v>2014</v>
      </c>
      <c r="CJ26" s="385"/>
      <c r="CK26" s="385">
        <v>65.615106286748087</v>
      </c>
      <c r="CL26" s="385">
        <v>2014</v>
      </c>
      <c r="CM26" s="385"/>
      <c r="CN26" s="385">
        <v>65.615106286748087</v>
      </c>
      <c r="CO26" s="385">
        <v>2014</v>
      </c>
      <c r="CP26" s="385"/>
      <c r="CQ26" s="385">
        <v>65.615106286748087</v>
      </c>
      <c r="CR26" s="385">
        <v>2014</v>
      </c>
      <c r="CS26" s="385"/>
      <c r="CT26" s="385">
        <v>65.615106286748087</v>
      </c>
      <c r="CU26" s="385">
        <v>2014</v>
      </c>
      <c r="CV26" s="385"/>
      <c r="CW26" s="385">
        <v>65.615106286748087</v>
      </c>
      <c r="CX26" s="385">
        <v>2014</v>
      </c>
      <c r="CY26" s="385"/>
      <c r="CZ26" s="385">
        <v>65.615106286748087</v>
      </c>
      <c r="DA26" s="385">
        <v>2014</v>
      </c>
      <c r="DB26" s="385"/>
      <c r="DC26" s="385">
        <v>65.615106286748087</v>
      </c>
      <c r="DD26" s="385">
        <v>2014</v>
      </c>
      <c r="DE26" s="385"/>
      <c r="DF26" s="385">
        <v>65.615106286748087</v>
      </c>
      <c r="DG26" s="385">
        <v>2014</v>
      </c>
      <c r="DH26" s="385"/>
      <c r="DI26" s="385">
        <v>65.615106286748087</v>
      </c>
      <c r="DJ26" s="385">
        <v>2014</v>
      </c>
      <c r="DK26" s="385"/>
      <c r="DL26" s="385">
        <v>65.615106286748087</v>
      </c>
      <c r="DM26" s="385">
        <v>2014</v>
      </c>
      <c r="DN26" s="385"/>
      <c r="DO26" s="385">
        <v>65.615106286748087</v>
      </c>
      <c r="DP26" s="385">
        <v>2014</v>
      </c>
      <c r="DQ26" s="385"/>
      <c r="DR26" s="385">
        <v>65.615106286748087</v>
      </c>
      <c r="DS26" s="385">
        <v>2014</v>
      </c>
      <c r="DT26" s="385"/>
      <c r="DU26" s="385">
        <v>65.615106286748087</v>
      </c>
      <c r="DV26" s="385">
        <v>2014</v>
      </c>
      <c r="DW26" s="385"/>
      <c r="DX26" s="385">
        <v>65.615106286748087</v>
      </c>
      <c r="DY26" s="385">
        <v>2014</v>
      </c>
      <c r="DZ26" s="385"/>
      <c r="EA26" s="385">
        <v>65.615106286748087</v>
      </c>
      <c r="EB26" s="385">
        <v>2014</v>
      </c>
      <c r="EC26" s="385"/>
      <c r="ED26" s="385">
        <v>65.615106286748087</v>
      </c>
      <c r="EE26" s="385">
        <v>2014</v>
      </c>
      <c r="EF26" s="385"/>
      <c r="EG26" s="385">
        <v>65.615106286748087</v>
      </c>
      <c r="EH26" s="385">
        <v>2014</v>
      </c>
      <c r="EI26" s="385"/>
      <c r="EJ26" s="385">
        <v>65.615106286748087</v>
      </c>
      <c r="EK26" s="385">
        <v>2014</v>
      </c>
      <c r="EL26" s="385"/>
      <c r="EM26" s="385">
        <v>65.615106286748087</v>
      </c>
      <c r="EN26" s="385">
        <v>2014</v>
      </c>
      <c r="EO26" s="385"/>
      <c r="EP26" s="385">
        <v>65.615106286748087</v>
      </c>
      <c r="EQ26" s="385">
        <v>2014</v>
      </c>
      <c r="ER26" s="385"/>
      <c r="ES26" s="385">
        <v>65.615106286748087</v>
      </c>
      <c r="ET26" s="385">
        <v>2014</v>
      </c>
      <c r="EU26" s="385"/>
      <c r="EV26" s="385">
        <v>65.615106286748087</v>
      </c>
      <c r="EW26" s="385">
        <v>2014</v>
      </c>
      <c r="EX26" s="385"/>
      <c r="EY26" s="385">
        <v>65.615106286748087</v>
      </c>
      <c r="EZ26" s="385">
        <v>2014</v>
      </c>
      <c r="FA26" s="385"/>
      <c r="FB26" s="385">
        <v>65.615106286748087</v>
      </c>
      <c r="FC26" s="385">
        <v>2014</v>
      </c>
      <c r="FD26" s="385"/>
      <c r="FE26" s="385">
        <v>65.615106286748087</v>
      </c>
      <c r="FF26" s="385">
        <v>2014</v>
      </c>
      <c r="FG26" s="385"/>
      <c r="FH26" s="385">
        <v>65.615106286748087</v>
      </c>
      <c r="FI26" s="385">
        <v>2014</v>
      </c>
      <c r="FJ26" s="385"/>
      <c r="FK26" s="385">
        <v>65.615106286748087</v>
      </c>
      <c r="FL26" s="385">
        <v>2014</v>
      </c>
      <c r="FM26" s="385"/>
      <c r="FN26" s="385">
        <v>65.615106286748087</v>
      </c>
      <c r="FO26" s="385">
        <v>2014</v>
      </c>
      <c r="FP26" s="385"/>
      <c r="FQ26" s="385">
        <v>65.615106286748087</v>
      </c>
      <c r="FR26" s="385">
        <v>2014</v>
      </c>
      <c r="FS26" s="385"/>
      <c r="FT26" s="385">
        <v>65.615106286748087</v>
      </c>
      <c r="FU26" s="385">
        <v>2014</v>
      </c>
      <c r="FV26" s="385"/>
      <c r="FW26" s="385">
        <v>65.615106286748087</v>
      </c>
      <c r="FX26" s="385">
        <v>2014</v>
      </c>
      <c r="FY26" s="385"/>
      <c r="FZ26" s="385">
        <v>65.615106286748087</v>
      </c>
      <c r="GA26" s="385">
        <v>2014</v>
      </c>
      <c r="GB26" s="385"/>
      <c r="GC26" s="385">
        <v>65.615106286748087</v>
      </c>
      <c r="GD26" s="385">
        <v>2014</v>
      </c>
      <c r="GE26" s="385"/>
      <c r="GF26" s="385">
        <v>65.615106286748087</v>
      </c>
      <c r="GG26" s="385">
        <v>2014</v>
      </c>
      <c r="GH26" s="385"/>
      <c r="GI26" s="385">
        <v>65.615106286748087</v>
      </c>
      <c r="GJ26" s="385">
        <v>2014</v>
      </c>
      <c r="GK26" s="385"/>
      <c r="GL26" s="385">
        <v>65.615106286748087</v>
      </c>
      <c r="GM26" s="385">
        <v>2014</v>
      </c>
      <c r="GN26" s="385"/>
      <c r="GO26" s="385">
        <v>65.615106286748087</v>
      </c>
      <c r="GP26" s="385">
        <v>2014</v>
      </c>
      <c r="GQ26" s="385"/>
      <c r="GR26" s="385">
        <v>65.615106286748087</v>
      </c>
      <c r="GS26" s="385">
        <v>2014</v>
      </c>
      <c r="GT26" s="385"/>
      <c r="GU26" s="385">
        <v>65.615106286748087</v>
      </c>
      <c r="GV26" s="385">
        <v>2014</v>
      </c>
      <c r="GW26" s="385"/>
      <c r="GX26" s="385">
        <v>65.615106286748087</v>
      </c>
      <c r="GY26" s="385">
        <v>2014</v>
      </c>
      <c r="GZ26" s="385"/>
      <c r="HA26" s="385">
        <v>65.615106286748087</v>
      </c>
      <c r="HB26" s="385">
        <v>2014</v>
      </c>
      <c r="HC26" s="385"/>
      <c r="HD26" s="385">
        <v>65.615106286748087</v>
      </c>
      <c r="HE26" s="385">
        <v>2014</v>
      </c>
      <c r="HF26" s="385"/>
      <c r="HG26" s="385">
        <v>65.615106286748087</v>
      </c>
      <c r="HH26" s="385">
        <v>2014</v>
      </c>
      <c r="HI26" s="385">
        <v>65.615106286748087</v>
      </c>
      <c r="HJ26" s="385">
        <v>2014</v>
      </c>
      <c r="HK26" s="385">
        <v>65.615106286748087</v>
      </c>
      <c r="HL26" s="385">
        <v>2014</v>
      </c>
      <c r="HM26" s="385">
        <v>65.615106286748087</v>
      </c>
      <c r="HN26" s="385">
        <v>2014</v>
      </c>
      <c r="HO26" s="385">
        <v>65.615106286748087</v>
      </c>
      <c r="HP26" s="385">
        <v>2014</v>
      </c>
      <c r="HQ26" s="385">
        <v>65.615106286748087</v>
      </c>
      <c r="HR26" s="386">
        <f>2014-20.98</f>
        <v>1993.02</v>
      </c>
      <c r="HS26" s="385">
        <v>65.615106286748087</v>
      </c>
      <c r="HT26" s="387">
        <v>2141.8564263010348</v>
      </c>
      <c r="HU26" s="387">
        <v>65.615106286748087</v>
      </c>
      <c r="HV26" s="388">
        <v>2141.8564263010348</v>
      </c>
      <c r="HW26" s="368">
        <v>65.62</v>
      </c>
      <c r="HX26" s="368">
        <v>2141.8564263010348</v>
      </c>
      <c r="HY26" s="368">
        <v>65.62</v>
      </c>
      <c r="HZ26" s="368">
        <v>2141.8564263010348</v>
      </c>
      <c r="IA26" s="368">
        <v>65.62</v>
      </c>
      <c r="IB26" s="368">
        <v>2141.8564263010348</v>
      </c>
      <c r="IC26" s="368">
        <v>65.62</v>
      </c>
      <c r="ID26" s="357">
        <f>VLOOKUP($C26,'[15]Prix accès'!A:D,4,FALSE)</f>
        <v>2014</v>
      </c>
      <c r="IE26" s="390">
        <v>65.62</v>
      </c>
      <c r="IF26" s="357">
        <f>VLOOKUP($C26,'[15]Prix accès'!$A:$D,4,FALSE)</f>
        <v>2014</v>
      </c>
      <c r="IG26" s="390">
        <v>65.62</v>
      </c>
      <c r="IH26" s="357">
        <f>VLOOKUP($C26,'[15]Prix accès'!$A:$D,4,FALSE)</f>
        <v>2014</v>
      </c>
      <c r="II26" s="390">
        <v>65.62</v>
      </c>
      <c r="IJ26" s="357">
        <f>VLOOKUP($C26,'[15]Prix accès'!$A:$D,4,FALSE)</f>
        <v>2014</v>
      </c>
      <c r="IK26" s="390">
        <v>65.62</v>
      </c>
      <c r="IL26" s="357">
        <f>VLOOKUP($C26,'[15]Prix accès'!$A:$D,4,FALSE)</f>
        <v>2014</v>
      </c>
      <c r="IM26" s="390">
        <v>65.62</v>
      </c>
      <c r="IN26" s="357">
        <f>VLOOKUP($C26,'[15]Prix accès'!$A:$D,4,FALSE)</f>
        <v>2014</v>
      </c>
      <c r="IO26" s="390">
        <v>65.62</v>
      </c>
      <c r="IP26" s="408">
        <v>9616.8944262295081</v>
      </c>
      <c r="IQ26" s="409">
        <v>318.41836065573773</v>
      </c>
      <c r="IR26" s="414" t="s">
        <v>3052</v>
      </c>
      <c r="IS26" s="364" t="s">
        <v>77</v>
      </c>
      <c r="IT26" s="365">
        <v>43318</v>
      </c>
      <c r="IU26" s="371">
        <v>43466</v>
      </c>
      <c r="IV26" s="393"/>
      <c r="IW26" s="372">
        <f t="shared" si="11"/>
        <v>148</v>
      </c>
      <c r="IX26" s="373">
        <f t="shared" si="12"/>
        <v>66.032786885245898</v>
      </c>
      <c r="IY26" s="394">
        <f t="shared" si="13"/>
        <v>9772.8524590163925</v>
      </c>
      <c r="IZ26" s="394"/>
      <c r="JA26" s="394"/>
    </row>
    <row r="27" spans="1:261" s="367" customFormat="1" ht="16.5" customHeight="1" x14ac:dyDescent="0.3">
      <c r="A27" s="401" t="s">
        <v>3315</v>
      </c>
      <c r="B27" s="402" t="s">
        <v>3315</v>
      </c>
      <c r="C27" s="441" t="s">
        <v>2754</v>
      </c>
      <c r="D27" s="860"/>
      <c r="E27" s="861"/>
      <c r="F27" s="861"/>
      <c r="G27" s="861"/>
      <c r="H27" s="862"/>
      <c r="I27" s="853">
        <v>0</v>
      </c>
      <c r="J27" s="833">
        <v>0</v>
      </c>
      <c r="K27" s="833">
        <v>0</v>
      </c>
      <c r="L27" s="833">
        <v>0</v>
      </c>
      <c r="M27" s="833">
        <v>0</v>
      </c>
      <c r="N27" s="833">
        <v>0</v>
      </c>
      <c r="O27" s="833">
        <v>0</v>
      </c>
      <c r="P27" s="833">
        <v>0</v>
      </c>
      <c r="Q27" s="833">
        <v>0</v>
      </c>
      <c r="R27" s="833">
        <v>0</v>
      </c>
      <c r="S27" s="833">
        <v>0</v>
      </c>
      <c r="T27" s="833">
        <v>0</v>
      </c>
      <c r="U27" s="833">
        <v>0</v>
      </c>
      <c r="V27" s="833">
        <v>0</v>
      </c>
      <c r="W27" s="833">
        <v>0</v>
      </c>
      <c r="X27" s="833">
        <v>0</v>
      </c>
      <c r="Y27" s="833">
        <v>0</v>
      </c>
      <c r="Z27" s="833">
        <v>0</v>
      </c>
      <c r="AA27" s="833">
        <v>0</v>
      </c>
      <c r="AB27" s="833">
        <v>0</v>
      </c>
      <c r="AC27" s="833">
        <v>0</v>
      </c>
      <c r="AD27" s="833">
        <v>0</v>
      </c>
      <c r="AE27" s="833">
        <v>0</v>
      </c>
      <c r="AF27" s="833">
        <v>0</v>
      </c>
      <c r="AG27" s="833">
        <v>0</v>
      </c>
      <c r="AH27" s="833">
        <v>0</v>
      </c>
      <c r="AI27" s="833">
        <v>0</v>
      </c>
      <c r="AJ27" s="833">
        <v>0</v>
      </c>
      <c r="AK27" s="833">
        <v>0</v>
      </c>
      <c r="AL27" s="833">
        <v>0</v>
      </c>
      <c r="AM27" s="833">
        <v>0</v>
      </c>
      <c r="AN27" s="833">
        <v>0</v>
      </c>
      <c r="AO27" s="833">
        <v>0</v>
      </c>
      <c r="AP27" s="833">
        <v>0</v>
      </c>
      <c r="AQ27" s="833">
        <v>0</v>
      </c>
      <c r="AR27" s="833">
        <v>0</v>
      </c>
      <c r="AS27" s="833">
        <v>0</v>
      </c>
      <c r="AT27" s="833">
        <v>0</v>
      </c>
      <c r="AU27" s="833">
        <v>0</v>
      </c>
      <c r="AV27" s="833"/>
      <c r="AW27" s="833"/>
      <c r="AX27" s="833"/>
      <c r="AY27" s="833">
        <v>1257.2564263010347</v>
      </c>
      <c r="AZ27" s="833"/>
      <c r="BA27" s="404"/>
      <c r="BB27" s="385">
        <v>1257.2564263010347</v>
      </c>
      <c r="BC27" s="385"/>
      <c r="BD27" s="405"/>
      <c r="BE27" s="385">
        <v>1257.2564263010347</v>
      </c>
      <c r="BF27" s="385"/>
      <c r="BG27" s="405"/>
      <c r="BH27" s="385">
        <v>1257.2564263010347</v>
      </c>
      <c r="BI27" s="385"/>
      <c r="BJ27" s="405"/>
      <c r="BK27" s="385">
        <v>1257.2564263010347</v>
      </c>
      <c r="BL27" s="385"/>
      <c r="BM27" s="405"/>
      <c r="BN27" s="385">
        <v>1257.2564263010347</v>
      </c>
      <c r="BO27" s="385"/>
      <c r="BP27" s="405"/>
      <c r="BQ27" s="385">
        <v>1257.2564263010347</v>
      </c>
      <c r="BR27" s="385"/>
      <c r="BS27" s="405"/>
      <c r="BT27" s="385">
        <v>1257.2564263010347</v>
      </c>
      <c r="BU27" s="385"/>
      <c r="BV27" s="405"/>
      <c r="BW27" s="385">
        <v>1257.2564263010347</v>
      </c>
      <c r="BX27" s="385"/>
      <c r="BY27" s="405"/>
      <c r="BZ27" s="385">
        <v>1257.2564263010347</v>
      </c>
      <c r="CA27" s="385"/>
      <c r="CB27" s="405"/>
      <c r="CC27" s="385">
        <v>1257.2564263010347</v>
      </c>
      <c r="CD27" s="385"/>
      <c r="CE27" s="405"/>
      <c r="CF27" s="385">
        <v>1257.2564263010347</v>
      </c>
      <c r="CG27" s="385"/>
      <c r="CH27" s="405"/>
      <c r="CI27" s="385">
        <v>1257.2564263010347</v>
      </c>
      <c r="CJ27" s="385"/>
      <c r="CK27" s="405"/>
      <c r="CL27" s="385">
        <v>1257.2564263010347</v>
      </c>
      <c r="CM27" s="385"/>
      <c r="CN27" s="405"/>
      <c r="CO27" s="385">
        <v>1257.2564263010347</v>
      </c>
      <c r="CP27" s="385"/>
      <c r="CQ27" s="405"/>
      <c r="CR27" s="385">
        <v>1257.2564263010347</v>
      </c>
      <c r="CS27" s="385"/>
      <c r="CT27" s="405"/>
      <c r="CU27" s="385">
        <v>1257.2564263010347</v>
      </c>
      <c r="CV27" s="385"/>
      <c r="CW27" s="405"/>
      <c r="CX27" s="385">
        <v>1257.2564263010347</v>
      </c>
      <c r="CY27" s="385"/>
      <c r="CZ27" s="405"/>
      <c r="DA27" s="385">
        <v>1257.2564263010347</v>
      </c>
      <c r="DB27" s="385"/>
      <c r="DC27" s="405"/>
      <c r="DD27" s="385">
        <v>1257.2564263010347</v>
      </c>
      <c r="DE27" s="385"/>
      <c r="DF27" s="405"/>
      <c r="DG27" s="385">
        <v>1257.2564263010347</v>
      </c>
      <c r="DH27" s="385"/>
      <c r="DI27" s="405"/>
      <c r="DJ27" s="385">
        <v>1257.2564263010347</v>
      </c>
      <c r="DK27" s="385"/>
      <c r="DL27" s="405"/>
      <c r="DM27" s="385">
        <v>1257.2564263010347</v>
      </c>
      <c r="DN27" s="385"/>
      <c r="DO27" s="405"/>
      <c r="DP27" s="385">
        <v>1257.2564263010347</v>
      </c>
      <c r="DQ27" s="385"/>
      <c r="DR27" s="405"/>
      <c r="DS27" s="385">
        <v>1257.2564263010347</v>
      </c>
      <c r="DT27" s="385"/>
      <c r="DU27" s="405"/>
      <c r="DV27" s="385">
        <v>1257.2564263010347</v>
      </c>
      <c r="DW27" s="385"/>
      <c r="DX27" s="405"/>
      <c r="DY27" s="385">
        <v>1257.2564263010347</v>
      </c>
      <c r="DZ27" s="385"/>
      <c r="EA27" s="405"/>
      <c r="EB27" s="385">
        <v>1257.2564263010347</v>
      </c>
      <c r="EC27" s="385"/>
      <c r="ED27" s="405"/>
      <c r="EE27" s="385">
        <v>1257.2564263010347</v>
      </c>
      <c r="EF27" s="385"/>
      <c r="EG27" s="405"/>
      <c r="EH27" s="385">
        <v>1257.2564263010347</v>
      </c>
      <c r="EI27" s="385"/>
      <c r="EJ27" s="405"/>
      <c r="EK27" s="385">
        <v>1257.2564263010347</v>
      </c>
      <c r="EL27" s="385"/>
      <c r="EM27" s="405"/>
      <c r="EN27" s="385">
        <v>1257.2564263010347</v>
      </c>
      <c r="EO27" s="385"/>
      <c r="EP27" s="405"/>
      <c r="EQ27" s="385">
        <v>1257.2564263010347</v>
      </c>
      <c r="ER27" s="385"/>
      <c r="ES27" s="405"/>
      <c r="ET27" s="385">
        <v>1257.2564263010347</v>
      </c>
      <c r="EU27" s="385"/>
      <c r="EV27" s="405"/>
      <c r="EW27" s="385">
        <v>1257.2564263010347</v>
      </c>
      <c r="EX27" s="385"/>
      <c r="EY27" s="405"/>
      <c r="EZ27" s="385">
        <v>1257.2564263010347</v>
      </c>
      <c r="FA27" s="385"/>
      <c r="FB27" s="405"/>
      <c r="FC27" s="385">
        <v>1257.2564263010347</v>
      </c>
      <c r="FD27" s="385"/>
      <c r="FE27" s="405"/>
      <c r="FF27" s="385">
        <v>1257.2564263010347</v>
      </c>
      <c r="FG27" s="385"/>
      <c r="FH27" s="405"/>
      <c r="FI27" s="385">
        <v>1257.2564263010347</v>
      </c>
      <c r="FJ27" s="385"/>
      <c r="FK27" s="405"/>
      <c r="FL27" s="385">
        <v>1257.2564263010347</v>
      </c>
      <c r="FM27" s="385"/>
      <c r="FN27" s="405"/>
      <c r="FO27" s="385">
        <v>1257.2564263010347</v>
      </c>
      <c r="FP27" s="385"/>
      <c r="FQ27" s="405"/>
      <c r="FR27" s="385">
        <v>1257.2564263010347</v>
      </c>
      <c r="FS27" s="385"/>
      <c r="FT27" s="405"/>
      <c r="FU27" s="385">
        <v>1257.2564263010347</v>
      </c>
      <c r="FV27" s="385"/>
      <c r="FW27" s="405"/>
      <c r="FX27" s="385">
        <v>1257.2564263010347</v>
      </c>
      <c r="FY27" s="385"/>
      <c r="FZ27" s="405"/>
      <c r="GA27" s="385">
        <v>1257.2564263010347</v>
      </c>
      <c r="GB27" s="385"/>
      <c r="GC27" s="405"/>
      <c r="GD27" s="385">
        <v>1257.2564263010347</v>
      </c>
      <c r="GE27" s="385"/>
      <c r="GF27" s="405"/>
      <c r="GG27" s="385">
        <v>1257.2564263010347</v>
      </c>
      <c r="GH27" s="385"/>
      <c r="GI27" s="405"/>
      <c r="GJ27" s="385">
        <v>1257.2564263010347</v>
      </c>
      <c r="GK27" s="385"/>
      <c r="GL27" s="405"/>
      <c r="GM27" s="385">
        <v>1257.2564263010347</v>
      </c>
      <c r="GN27" s="385"/>
      <c r="GO27" s="405"/>
      <c r="GP27" s="385">
        <v>1257.2564263010347</v>
      </c>
      <c r="GQ27" s="385"/>
      <c r="GR27" s="405"/>
      <c r="GS27" s="385">
        <v>1257.2564263010347</v>
      </c>
      <c r="GT27" s="385"/>
      <c r="GU27" s="405"/>
      <c r="GV27" s="385">
        <v>1257.2564263010347</v>
      </c>
      <c r="GW27" s="385"/>
      <c r="GX27" s="405"/>
      <c r="GY27" s="385">
        <v>1257.2564263010347</v>
      </c>
      <c r="GZ27" s="385"/>
      <c r="HA27" s="405"/>
      <c r="HB27" s="385">
        <v>1257.2564263010347</v>
      </c>
      <c r="HC27" s="385"/>
      <c r="HD27" s="405"/>
      <c r="HE27" s="387">
        <v>1257.2564263010347</v>
      </c>
      <c r="HF27" s="387"/>
      <c r="HG27" s="386">
        <v>0</v>
      </c>
      <c r="HH27" s="387">
        <v>1257.2564263010347</v>
      </c>
      <c r="HI27" s="387">
        <v>65.615106286748087</v>
      </c>
      <c r="HJ27" s="387">
        <v>1257.2564263010347</v>
      </c>
      <c r="HK27" s="387">
        <v>65.615106286748087</v>
      </c>
      <c r="HL27" s="387">
        <v>1257.2564263010347</v>
      </c>
      <c r="HM27" s="387">
        <v>65.615106286748087</v>
      </c>
      <c r="HN27" s="387">
        <v>1257.2564263010347</v>
      </c>
      <c r="HO27" s="387">
        <v>65.615106286748087</v>
      </c>
      <c r="HP27" s="387">
        <v>1257.2564263010347</v>
      </c>
      <c r="HQ27" s="387">
        <v>65.615106286748087</v>
      </c>
      <c r="HR27" s="387">
        <v>1257.2564263010347</v>
      </c>
      <c r="HS27" s="387">
        <v>65.615106286748087</v>
      </c>
      <c r="HT27" s="387">
        <v>1257.2564263010347</v>
      </c>
      <c r="HU27" s="387">
        <v>65.615106286748087</v>
      </c>
      <c r="HV27" s="388">
        <v>1257.2564263010347</v>
      </c>
      <c r="HW27" s="368">
        <v>65.62</v>
      </c>
      <c r="HX27" s="368">
        <v>1257.2564263010347</v>
      </c>
      <c r="HY27" s="368">
        <v>65.62</v>
      </c>
      <c r="HZ27" s="368">
        <v>1257.2564263010347</v>
      </c>
      <c r="IA27" s="368">
        <v>65.62</v>
      </c>
      <c r="IB27" s="368">
        <v>1257.2564263010347</v>
      </c>
      <c r="IC27" s="368">
        <v>65.62</v>
      </c>
      <c r="ID27" s="357">
        <f>VLOOKUP($C27,'[15]Prix accès'!A:D,4,FALSE)</f>
        <v>1257.2564263010347</v>
      </c>
      <c r="IE27" s="390">
        <v>65.62</v>
      </c>
      <c r="IF27" s="357">
        <f>VLOOKUP($C27,'[15]Prix accès'!$A:$D,4,FALSE)</f>
        <v>1257.2564263010347</v>
      </c>
      <c r="IG27" s="390">
        <v>65.62</v>
      </c>
      <c r="IH27" s="357">
        <f>VLOOKUP($C27,'[15]Prix accès'!$A:$D,4,FALSE)</f>
        <v>1257.2564263010347</v>
      </c>
      <c r="II27" s="390">
        <v>65.62</v>
      </c>
      <c r="IJ27" s="357">
        <f>VLOOKUP($C27,'[15]Prix accès'!$A:$D,4,FALSE)</f>
        <v>1257.2564263010347</v>
      </c>
      <c r="IK27" s="390">
        <v>65.62</v>
      </c>
      <c r="IL27" s="357">
        <f>VLOOKUP($C27,'[15]Prix accès'!$A:$D,4,FALSE)</f>
        <v>1257.2564263010347</v>
      </c>
      <c r="IM27" s="390">
        <v>65.62</v>
      </c>
      <c r="IN27" s="357">
        <f>VLOOKUP($C27,'[15]Prix accès'!$A:$D,4,FALSE)</f>
        <v>1257.2564263010347</v>
      </c>
      <c r="IO27" s="390">
        <v>65.62</v>
      </c>
      <c r="IP27" s="408">
        <v>5945.5239344262291</v>
      </c>
      <c r="IQ27" s="409">
        <v>318.41836065573773</v>
      </c>
      <c r="IR27" s="414" t="s">
        <v>2753</v>
      </c>
      <c r="IS27" s="364" t="s">
        <v>77</v>
      </c>
      <c r="IT27" s="365">
        <v>43318</v>
      </c>
      <c r="IU27" s="371">
        <v>43466</v>
      </c>
      <c r="IV27" s="393" t="s">
        <v>3323</v>
      </c>
      <c r="IW27" s="372">
        <f t="shared" si="11"/>
        <v>148</v>
      </c>
      <c r="IX27" s="373">
        <f t="shared" si="12"/>
        <v>41.221522173804416</v>
      </c>
      <c r="IY27" s="394">
        <f t="shared" si="13"/>
        <v>6100.7852817230532</v>
      </c>
      <c r="IZ27" s="394"/>
      <c r="JA27" s="394"/>
    </row>
    <row r="28" spans="1:261" s="367" customFormat="1" ht="16.5" customHeight="1" x14ac:dyDescent="0.3">
      <c r="A28" s="354" t="s">
        <v>3318</v>
      </c>
      <c r="B28" s="400" t="s">
        <v>2765</v>
      </c>
      <c r="C28" s="356" t="s">
        <v>91</v>
      </c>
      <c r="D28" s="430">
        <v>1249</v>
      </c>
      <c r="E28" s="431">
        <v>71</v>
      </c>
      <c r="F28" s="431">
        <v>48</v>
      </c>
      <c r="G28" s="431">
        <v>14</v>
      </c>
      <c r="H28" s="432">
        <v>0</v>
      </c>
      <c r="I28" s="841">
        <v>1367</v>
      </c>
      <c r="J28" s="835">
        <v>14</v>
      </c>
      <c r="K28" s="827"/>
      <c r="L28" s="835">
        <v>1367</v>
      </c>
      <c r="M28" s="835">
        <v>14</v>
      </c>
      <c r="N28" s="827"/>
      <c r="O28" s="835">
        <v>1367</v>
      </c>
      <c r="P28" s="835">
        <v>14</v>
      </c>
      <c r="Q28" s="827"/>
      <c r="R28" s="835">
        <v>1367</v>
      </c>
      <c r="S28" s="835">
        <v>14</v>
      </c>
      <c r="T28" s="827"/>
      <c r="U28" s="835">
        <v>1367</v>
      </c>
      <c r="V28" s="835">
        <v>14</v>
      </c>
      <c r="W28" s="827"/>
      <c r="X28" s="835">
        <v>1367</v>
      </c>
      <c r="Y28" s="835">
        <v>14</v>
      </c>
      <c r="Z28" s="827"/>
      <c r="AA28" s="835">
        <v>1367</v>
      </c>
      <c r="AB28" s="835">
        <v>14</v>
      </c>
      <c r="AC28" s="827"/>
      <c r="AD28" s="835">
        <v>1367</v>
      </c>
      <c r="AE28" s="835">
        <v>14</v>
      </c>
      <c r="AF28" s="827"/>
      <c r="AG28" s="835">
        <v>1367</v>
      </c>
      <c r="AH28" s="835">
        <v>14</v>
      </c>
      <c r="AI28" s="827"/>
      <c r="AJ28" s="835">
        <v>1367</v>
      </c>
      <c r="AK28" s="835">
        <v>14</v>
      </c>
      <c r="AL28" s="827"/>
      <c r="AM28" s="835">
        <v>1367</v>
      </c>
      <c r="AN28" s="835">
        <v>14</v>
      </c>
      <c r="AO28" s="827"/>
      <c r="AP28" s="835">
        <v>1367</v>
      </c>
      <c r="AQ28" s="835">
        <v>14</v>
      </c>
      <c r="AR28" s="827"/>
      <c r="AS28" s="835">
        <v>1367</v>
      </c>
      <c r="AT28" s="835">
        <v>14</v>
      </c>
      <c r="AU28" s="827"/>
      <c r="AV28" s="835">
        <v>1367</v>
      </c>
      <c r="AW28" s="835">
        <v>14</v>
      </c>
      <c r="AX28" s="827"/>
      <c r="AY28" s="835">
        <v>1367</v>
      </c>
      <c r="AZ28" s="835">
        <v>14</v>
      </c>
      <c r="BA28" s="405"/>
      <c r="BB28" s="384">
        <v>1367</v>
      </c>
      <c r="BC28" s="384">
        <v>14</v>
      </c>
      <c r="BD28" s="405"/>
      <c r="BE28" s="384">
        <v>1367</v>
      </c>
      <c r="BF28" s="384">
        <v>14</v>
      </c>
      <c r="BG28" s="405"/>
      <c r="BH28" s="384">
        <v>1367</v>
      </c>
      <c r="BI28" s="384">
        <v>14</v>
      </c>
      <c r="BJ28" s="384"/>
      <c r="BK28" s="386">
        <f>((1367-1145)/30.5)*26+1367</f>
        <v>1556.2459016393443</v>
      </c>
      <c r="BL28" s="386">
        <f>((14/30.5)*26)+14</f>
        <v>25.934426229508198</v>
      </c>
      <c r="BM28" s="386"/>
      <c r="BN28" s="386">
        <v>1367</v>
      </c>
      <c r="BO28" s="386">
        <v>14</v>
      </c>
      <c r="BP28" s="386"/>
      <c r="BQ28" s="384">
        <v>1145.2564263010345</v>
      </c>
      <c r="BR28" s="384"/>
      <c r="BS28" s="384"/>
      <c r="BT28" s="384">
        <v>1145.2564263010345</v>
      </c>
      <c r="BU28" s="384"/>
      <c r="BV28" s="384"/>
      <c r="BW28" s="384">
        <v>1145.2564263010345</v>
      </c>
      <c r="BX28" s="384"/>
      <c r="BY28" s="384"/>
      <c r="BZ28" s="384">
        <v>1145.2564263010345</v>
      </c>
      <c r="CA28" s="384"/>
      <c r="CB28" s="384"/>
      <c r="CC28" s="384">
        <v>1145.2564263010345</v>
      </c>
      <c r="CD28" s="384"/>
      <c r="CE28" s="384"/>
      <c r="CF28" s="384">
        <v>1145.2564263010345</v>
      </c>
      <c r="CG28" s="384"/>
      <c r="CH28" s="384"/>
      <c r="CI28" s="384">
        <v>1145.2564263010345</v>
      </c>
      <c r="CJ28" s="384"/>
      <c r="CK28" s="384"/>
      <c r="CL28" s="384">
        <v>1145.2564263010345</v>
      </c>
      <c r="CM28" s="384"/>
      <c r="CN28" s="384"/>
      <c r="CO28" s="384">
        <v>1145.2564263010345</v>
      </c>
      <c r="CP28" s="384"/>
      <c r="CQ28" s="384"/>
      <c r="CR28" s="384">
        <v>1145.2564263010345</v>
      </c>
      <c r="CS28" s="384"/>
      <c r="CT28" s="384"/>
      <c r="CU28" s="384">
        <v>1145.2564263010345</v>
      </c>
      <c r="CV28" s="384"/>
      <c r="CW28" s="384"/>
      <c r="CX28" s="384">
        <v>1145.2564263010345</v>
      </c>
      <c r="CY28" s="384"/>
      <c r="CZ28" s="384"/>
      <c r="DA28" s="384">
        <v>1145.2564263010345</v>
      </c>
      <c r="DB28" s="384"/>
      <c r="DC28" s="384"/>
      <c r="DD28" s="384">
        <v>1145.2564263010345</v>
      </c>
      <c r="DE28" s="384"/>
      <c r="DF28" s="384"/>
      <c r="DG28" s="384">
        <v>1145.2564263010345</v>
      </c>
      <c r="DH28" s="384"/>
      <c r="DI28" s="384"/>
      <c r="DJ28" s="384">
        <v>1145.2564263010345</v>
      </c>
      <c r="DK28" s="384"/>
      <c r="DL28" s="384"/>
      <c r="DM28" s="384">
        <v>1145.2564263010345</v>
      </c>
      <c r="DN28" s="384"/>
      <c r="DO28" s="384"/>
      <c r="DP28" s="384">
        <v>1145.2564263010345</v>
      </c>
      <c r="DQ28" s="384"/>
      <c r="DR28" s="384"/>
      <c r="DS28" s="384">
        <v>1145.2564263010345</v>
      </c>
      <c r="DT28" s="384"/>
      <c r="DU28" s="384"/>
      <c r="DV28" s="384">
        <v>1145.2564263010345</v>
      </c>
      <c r="DW28" s="384"/>
      <c r="DX28" s="384"/>
      <c r="DY28" s="384">
        <v>1145.2564263010345</v>
      </c>
      <c r="DZ28" s="384"/>
      <c r="EA28" s="384"/>
      <c r="EB28" s="384">
        <v>1145.2564263010345</v>
      </c>
      <c r="EC28" s="384"/>
      <c r="ED28" s="384"/>
      <c r="EE28" s="384">
        <v>1145.2564263010345</v>
      </c>
      <c r="EF28" s="384"/>
      <c r="EG28" s="384"/>
      <c r="EH28" s="384">
        <v>1145.2564263010345</v>
      </c>
      <c r="EI28" s="384"/>
      <c r="EJ28" s="384"/>
      <c r="EK28" s="384">
        <v>1145.2564263010345</v>
      </c>
      <c r="EL28" s="384"/>
      <c r="EM28" s="384"/>
      <c r="EN28" s="384">
        <v>1145.2564263010345</v>
      </c>
      <c r="EO28" s="384"/>
      <c r="EP28" s="384"/>
      <c r="EQ28" s="384">
        <v>1145.2564263010345</v>
      </c>
      <c r="ER28" s="384"/>
      <c r="ES28" s="384"/>
      <c r="ET28" s="384">
        <v>1145.2564263010345</v>
      </c>
      <c r="EU28" s="384"/>
      <c r="EV28" s="384"/>
      <c r="EW28" s="384">
        <v>1145.2564263010345</v>
      </c>
      <c r="EX28" s="384"/>
      <c r="EY28" s="384"/>
      <c r="EZ28" s="384">
        <v>1145.2564263010345</v>
      </c>
      <c r="FA28" s="384"/>
      <c r="FB28" s="384"/>
      <c r="FC28" s="384">
        <v>1145.2564263010345</v>
      </c>
      <c r="FD28" s="384"/>
      <c r="FE28" s="384"/>
      <c r="FF28" s="384">
        <v>1145.2564263010345</v>
      </c>
      <c r="FG28" s="384"/>
      <c r="FH28" s="384"/>
      <c r="FI28" s="384">
        <v>1145.2564263010345</v>
      </c>
      <c r="FJ28" s="384"/>
      <c r="FK28" s="384"/>
      <c r="FL28" s="384">
        <v>1145.2564263010345</v>
      </c>
      <c r="FM28" s="384"/>
      <c r="FN28" s="384"/>
      <c r="FO28" s="384">
        <v>1145.2564263010345</v>
      </c>
      <c r="FP28" s="384"/>
      <c r="FQ28" s="384"/>
      <c r="FR28" s="384">
        <v>1145.2564263010345</v>
      </c>
      <c r="FS28" s="384"/>
      <c r="FT28" s="384"/>
      <c r="FU28" s="385">
        <v>1145.2564263010345</v>
      </c>
      <c r="FV28" s="385"/>
      <c r="FW28" s="405"/>
      <c r="FX28" s="385">
        <v>1145.2564263010345</v>
      </c>
      <c r="FY28" s="385"/>
      <c r="FZ28" s="405"/>
      <c r="GA28" s="385">
        <v>1145.2564263010345</v>
      </c>
      <c r="GB28" s="385"/>
      <c r="GC28" s="405"/>
      <c r="GD28" s="385">
        <v>1145.2564263010345</v>
      </c>
      <c r="GE28" s="385"/>
      <c r="GF28" s="405"/>
      <c r="GG28" s="385">
        <v>1145.2564263010345</v>
      </c>
      <c r="GH28" s="385"/>
      <c r="GI28" s="405"/>
      <c r="GJ28" s="385">
        <v>1145.2564263010345</v>
      </c>
      <c r="GK28" s="385"/>
      <c r="GL28" s="405"/>
      <c r="GM28" s="385">
        <v>1145.2564263010345</v>
      </c>
      <c r="GN28" s="385"/>
      <c r="GO28" s="405"/>
      <c r="GP28" s="385">
        <v>1145.2564263010345</v>
      </c>
      <c r="GQ28" s="385"/>
      <c r="GR28" s="405"/>
      <c r="GS28" s="385">
        <v>1145.2564263010345</v>
      </c>
      <c r="GT28" s="385"/>
      <c r="GU28" s="405"/>
      <c r="GV28" s="385">
        <v>1145.2564263010345</v>
      </c>
      <c r="GW28" s="385"/>
      <c r="GX28" s="405"/>
      <c r="GY28" s="385">
        <v>1145.2564263010345</v>
      </c>
      <c r="GZ28" s="385"/>
      <c r="HA28" s="405"/>
      <c r="HB28" s="385">
        <v>1145.2564263010345</v>
      </c>
      <c r="HC28" s="385"/>
      <c r="HD28" s="405"/>
      <c r="HE28" s="387">
        <v>1145.2564263010345</v>
      </c>
      <c r="HF28" s="387"/>
      <c r="HG28" s="386">
        <v>0</v>
      </c>
      <c r="HH28" s="387">
        <v>1145.2564263010345</v>
      </c>
      <c r="HI28" s="387">
        <v>65.615106286748087</v>
      </c>
      <c r="HJ28" s="387">
        <v>1145.2564263010345</v>
      </c>
      <c r="HK28" s="387">
        <v>65.615106286748087</v>
      </c>
      <c r="HL28" s="387">
        <v>1145.2564263010345</v>
      </c>
      <c r="HM28" s="387">
        <v>65.615106286748087</v>
      </c>
      <c r="HN28" s="387">
        <v>1145.2564263010345</v>
      </c>
      <c r="HO28" s="387">
        <v>65.615106286748087</v>
      </c>
      <c r="HP28" s="387">
        <v>1145.2564263010345</v>
      </c>
      <c r="HQ28" s="387">
        <v>65.615106286748087</v>
      </c>
      <c r="HR28" s="387">
        <v>1145.2564263010345</v>
      </c>
      <c r="HS28" s="387">
        <v>65.615106286748087</v>
      </c>
      <c r="HT28" s="387">
        <v>1145.2564263010345</v>
      </c>
      <c r="HU28" s="387">
        <v>65.615106286748087</v>
      </c>
      <c r="HV28" s="388">
        <v>1145.2564263010345</v>
      </c>
      <c r="HW28" s="368">
        <v>65.62</v>
      </c>
      <c r="HX28" s="368">
        <v>1145.2564263010345</v>
      </c>
      <c r="HY28" s="368">
        <v>65.62</v>
      </c>
      <c r="HZ28" s="368">
        <v>1145.2564263010345</v>
      </c>
      <c r="IA28" s="368">
        <v>65.62</v>
      </c>
      <c r="IB28" s="368">
        <v>1145.2564263010345</v>
      </c>
      <c r="IC28" s="368">
        <v>65.62</v>
      </c>
      <c r="ID28" s="357">
        <f>VLOOKUP($C28,'[15]Prix accès'!A:D,4,FALSE)</f>
        <v>1145.2564263010345</v>
      </c>
      <c r="IE28" s="390">
        <v>65.62</v>
      </c>
      <c r="IF28" s="357">
        <f>VLOOKUP($C28,'[15]Prix accès'!$A:$D,4,FALSE)</f>
        <v>1145.2564263010345</v>
      </c>
      <c r="IG28" s="390">
        <v>65.62</v>
      </c>
      <c r="IH28" s="357">
        <f>VLOOKUP($C28,'[15]Prix accès'!$A:$D,4,FALSE)</f>
        <v>1145.2564263010345</v>
      </c>
      <c r="II28" s="390">
        <v>65.62</v>
      </c>
      <c r="IJ28" s="357">
        <f>VLOOKUP($C28,'[15]Prix accès'!$A:$D,4,FALSE)</f>
        <v>1145.2564263010345</v>
      </c>
      <c r="IK28" s="390">
        <v>65.62</v>
      </c>
      <c r="IL28" s="357">
        <f>VLOOKUP($C28,'[15]Prix accès'!$A:$D,4,FALSE)</f>
        <v>1145.2564263010345</v>
      </c>
      <c r="IM28" s="390">
        <v>65.62</v>
      </c>
      <c r="IN28" s="357">
        <f>VLOOKUP($C28,'[15]Prix accès'!$A:$D,4,FALSE)</f>
        <v>1145.2564263010345</v>
      </c>
      <c r="IO28" s="390">
        <v>65.62</v>
      </c>
      <c r="IP28" s="428">
        <v>4998.6118032786881</v>
      </c>
      <c r="IQ28" s="409">
        <v>303.35803278688525</v>
      </c>
      <c r="IR28" s="414" t="s">
        <v>3324</v>
      </c>
      <c r="IS28" s="364" t="s">
        <v>77</v>
      </c>
      <c r="IT28" s="365">
        <v>43325</v>
      </c>
      <c r="IU28" s="371">
        <v>43466</v>
      </c>
      <c r="IV28" s="393"/>
      <c r="IW28" s="372">
        <f t="shared" si="11"/>
        <v>141</v>
      </c>
      <c r="IX28" s="373">
        <f t="shared" si="12"/>
        <v>37.549391026263429</v>
      </c>
      <c r="IY28" s="394">
        <f t="shared" si="13"/>
        <v>5294.4641347031438</v>
      </c>
      <c r="IZ28" s="394"/>
      <c r="JA28" s="394"/>
    </row>
    <row r="29" spans="1:261" s="367" customFormat="1" ht="16.5" customHeight="1" x14ac:dyDescent="0.3">
      <c r="A29" s="401" t="s">
        <v>3315</v>
      </c>
      <c r="B29" s="402" t="s">
        <v>3315</v>
      </c>
      <c r="C29" s="441" t="s">
        <v>2762</v>
      </c>
      <c r="D29" s="860"/>
      <c r="E29" s="861"/>
      <c r="F29" s="861"/>
      <c r="G29" s="861"/>
      <c r="H29" s="862"/>
      <c r="I29" s="853">
        <v>0</v>
      </c>
      <c r="J29" s="833">
        <v>0</v>
      </c>
      <c r="K29" s="833">
        <v>0</v>
      </c>
      <c r="L29" s="833">
        <v>0</v>
      </c>
      <c r="M29" s="833">
        <v>0</v>
      </c>
      <c r="N29" s="833">
        <v>0</v>
      </c>
      <c r="O29" s="833">
        <v>0</v>
      </c>
      <c r="P29" s="833">
        <v>0</v>
      </c>
      <c r="Q29" s="833">
        <v>0</v>
      </c>
      <c r="R29" s="833">
        <v>0</v>
      </c>
      <c r="S29" s="833">
        <v>0</v>
      </c>
      <c r="T29" s="833">
        <v>0</v>
      </c>
      <c r="U29" s="833">
        <v>0</v>
      </c>
      <c r="V29" s="833">
        <v>0</v>
      </c>
      <c r="W29" s="833">
        <v>0</v>
      </c>
      <c r="X29" s="833">
        <f>-(2008)</f>
        <v>-2008</v>
      </c>
      <c r="Y29" s="833">
        <f>(-171)</f>
        <v>-171</v>
      </c>
      <c r="Z29" s="833">
        <v>65.615106286748087</v>
      </c>
      <c r="AA29" s="831">
        <v>2008</v>
      </c>
      <c r="AB29" s="831">
        <v>171</v>
      </c>
      <c r="AC29" s="831">
        <v>65.615106286748087</v>
      </c>
      <c r="AD29" s="831">
        <v>2008</v>
      </c>
      <c r="AE29" s="831">
        <v>171</v>
      </c>
      <c r="AF29" s="831">
        <v>65.615106286748087</v>
      </c>
      <c r="AG29" s="831">
        <v>2008</v>
      </c>
      <c r="AH29" s="831">
        <v>171</v>
      </c>
      <c r="AI29" s="831">
        <v>65.615106286748087</v>
      </c>
      <c r="AJ29" s="831">
        <v>2008</v>
      </c>
      <c r="AK29" s="831">
        <v>171</v>
      </c>
      <c r="AL29" s="831">
        <v>65.615106286748087</v>
      </c>
      <c r="AM29" s="831">
        <v>2008</v>
      </c>
      <c r="AN29" s="831">
        <v>171</v>
      </c>
      <c r="AO29" s="831">
        <v>65.615106286748087</v>
      </c>
      <c r="AP29" s="831">
        <v>2008</v>
      </c>
      <c r="AQ29" s="831">
        <v>171</v>
      </c>
      <c r="AR29" s="831">
        <v>65.615106286748087</v>
      </c>
      <c r="AS29" s="831">
        <v>2008</v>
      </c>
      <c r="AT29" s="831">
        <v>171</v>
      </c>
      <c r="AU29" s="831">
        <v>65.615106286748087</v>
      </c>
      <c r="AV29" s="831">
        <v>2008</v>
      </c>
      <c r="AW29" s="831">
        <v>171</v>
      </c>
      <c r="AX29" s="831">
        <v>65.615106286748087</v>
      </c>
      <c r="AY29" s="831">
        <v>2008</v>
      </c>
      <c r="AZ29" s="831">
        <v>171</v>
      </c>
      <c r="BA29" s="385">
        <v>65.615106286748087</v>
      </c>
      <c r="BB29" s="385">
        <v>2008</v>
      </c>
      <c r="BC29" s="385">
        <v>171</v>
      </c>
      <c r="BD29" s="385">
        <v>65.615106286748087</v>
      </c>
      <c r="BE29" s="385">
        <v>2008</v>
      </c>
      <c r="BF29" s="385">
        <v>171</v>
      </c>
      <c r="BG29" s="385">
        <v>65.615106286748087</v>
      </c>
      <c r="BH29" s="385">
        <v>2008</v>
      </c>
      <c r="BI29" s="385">
        <v>171</v>
      </c>
      <c r="BJ29" s="385">
        <v>65.615106286748087</v>
      </c>
      <c r="BK29" s="385">
        <v>2008</v>
      </c>
      <c r="BL29" s="385">
        <v>171</v>
      </c>
      <c r="BM29" s="385">
        <v>65.615106286748087</v>
      </c>
      <c r="BN29" s="385">
        <v>2008</v>
      </c>
      <c r="BO29" s="385">
        <v>171</v>
      </c>
      <c r="BP29" s="385">
        <v>65.615106286748087</v>
      </c>
      <c r="BQ29" s="385">
        <v>2008</v>
      </c>
      <c r="BR29" s="385">
        <v>171</v>
      </c>
      <c r="BS29" s="385">
        <v>65.615106286748087</v>
      </c>
      <c r="BT29" s="385">
        <v>2008</v>
      </c>
      <c r="BU29" s="385">
        <v>171</v>
      </c>
      <c r="BV29" s="385">
        <v>65.615106286748087</v>
      </c>
      <c r="BW29" s="385">
        <v>2008</v>
      </c>
      <c r="BX29" s="385">
        <v>171</v>
      </c>
      <c r="BY29" s="385">
        <v>65.615106286748087</v>
      </c>
      <c r="BZ29" s="385">
        <v>2008</v>
      </c>
      <c r="CA29" s="385">
        <v>171</v>
      </c>
      <c r="CB29" s="385">
        <v>65.615106286748087</v>
      </c>
      <c r="CC29" s="385">
        <v>2008</v>
      </c>
      <c r="CD29" s="385">
        <v>171</v>
      </c>
      <c r="CE29" s="385">
        <v>65.615106286748087</v>
      </c>
      <c r="CF29" s="385">
        <v>2008</v>
      </c>
      <c r="CG29" s="385">
        <v>171</v>
      </c>
      <c r="CH29" s="385">
        <v>65.615106286748087</v>
      </c>
      <c r="CI29" s="385">
        <v>2008</v>
      </c>
      <c r="CJ29" s="385">
        <v>171</v>
      </c>
      <c r="CK29" s="385">
        <v>65.615106286748087</v>
      </c>
      <c r="CL29" s="385">
        <v>2008</v>
      </c>
      <c r="CM29" s="385">
        <v>171</v>
      </c>
      <c r="CN29" s="385">
        <v>65.615106286748087</v>
      </c>
      <c r="CO29" s="385">
        <v>2008</v>
      </c>
      <c r="CP29" s="385">
        <v>171</v>
      </c>
      <c r="CQ29" s="385">
        <v>65.615106286748087</v>
      </c>
      <c r="CR29" s="385">
        <v>2008</v>
      </c>
      <c r="CS29" s="385">
        <v>171</v>
      </c>
      <c r="CT29" s="385">
        <v>65.615106286748087</v>
      </c>
      <c r="CU29" s="385">
        <v>2008</v>
      </c>
      <c r="CV29" s="385">
        <v>171</v>
      </c>
      <c r="CW29" s="385">
        <v>65.615106286748087</v>
      </c>
      <c r="CX29" s="385">
        <v>2008</v>
      </c>
      <c r="CY29" s="385">
        <v>171</v>
      </c>
      <c r="CZ29" s="385">
        <v>65.615106286748087</v>
      </c>
      <c r="DA29" s="385">
        <v>2008</v>
      </c>
      <c r="DB29" s="385">
        <v>171</v>
      </c>
      <c r="DC29" s="385">
        <v>65.615106286748087</v>
      </c>
      <c r="DD29" s="385">
        <v>2008</v>
      </c>
      <c r="DE29" s="385">
        <v>171</v>
      </c>
      <c r="DF29" s="385">
        <v>65.615106286748087</v>
      </c>
      <c r="DG29" s="385">
        <v>2008</v>
      </c>
      <c r="DH29" s="385">
        <v>171</v>
      </c>
      <c r="DI29" s="385">
        <v>65.615106286748087</v>
      </c>
      <c r="DJ29" s="385">
        <v>2008</v>
      </c>
      <c r="DK29" s="385">
        <v>171</v>
      </c>
      <c r="DL29" s="385">
        <v>65.615106286748087</v>
      </c>
      <c r="DM29" s="385">
        <v>2008</v>
      </c>
      <c r="DN29" s="385">
        <v>171</v>
      </c>
      <c r="DO29" s="385">
        <v>65.615106286748087</v>
      </c>
      <c r="DP29" s="385">
        <v>2008</v>
      </c>
      <c r="DQ29" s="385">
        <v>171</v>
      </c>
      <c r="DR29" s="385">
        <v>65.615106286748087</v>
      </c>
      <c r="DS29" s="385">
        <v>2008</v>
      </c>
      <c r="DT29" s="385">
        <v>171</v>
      </c>
      <c r="DU29" s="385">
        <v>65.615106286748087</v>
      </c>
      <c r="DV29" s="385">
        <v>2008</v>
      </c>
      <c r="DW29" s="385">
        <v>171</v>
      </c>
      <c r="DX29" s="385">
        <v>65.615106286748087</v>
      </c>
      <c r="DY29" s="385">
        <v>2008</v>
      </c>
      <c r="DZ29" s="385">
        <v>171</v>
      </c>
      <c r="EA29" s="385">
        <v>65.615106286748087</v>
      </c>
      <c r="EB29" s="385">
        <v>2008</v>
      </c>
      <c r="EC29" s="385">
        <v>171</v>
      </c>
      <c r="ED29" s="385">
        <v>65.615106286748087</v>
      </c>
      <c r="EE29" s="385">
        <v>2008</v>
      </c>
      <c r="EF29" s="385">
        <v>171</v>
      </c>
      <c r="EG29" s="385">
        <v>65.615106286748087</v>
      </c>
      <c r="EH29" s="385">
        <v>2008</v>
      </c>
      <c r="EI29" s="385">
        <v>171</v>
      </c>
      <c r="EJ29" s="385">
        <v>65.615106286748087</v>
      </c>
      <c r="EK29" s="385">
        <v>2008</v>
      </c>
      <c r="EL29" s="385">
        <v>171</v>
      </c>
      <c r="EM29" s="385">
        <v>65.615106286748087</v>
      </c>
      <c r="EN29" s="385">
        <v>2008</v>
      </c>
      <c r="EO29" s="385">
        <v>171</v>
      </c>
      <c r="EP29" s="385">
        <v>65.615106286748087</v>
      </c>
      <c r="EQ29" s="385">
        <v>2008</v>
      </c>
      <c r="ER29" s="385">
        <v>171</v>
      </c>
      <c r="ES29" s="385">
        <v>65.615106286748087</v>
      </c>
      <c r="ET29" s="385">
        <v>2008</v>
      </c>
      <c r="EU29" s="385">
        <v>171</v>
      </c>
      <c r="EV29" s="385">
        <v>65.615106286748087</v>
      </c>
      <c r="EW29" s="385">
        <v>2008</v>
      </c>
      <c r="EX29" s="385">
        <v>171</v>
      </c>
      <c r="EY29" s="385">
        <v>65.615106286748087</v>
      </c>
      <c r="EZ29" s="385">
        <v>2008</v>
      </c>
      <c r="FA29" s="385">
        <v>171</v>
      </c>
      <c r="FB29" s="385">
        <v>65.615106286748087</v>
      </c>
      <c r="FC29" s="385">
        <v>2008</v>
      </c>
      <c r="FD29" s="385">
        <v>171</v>
      </c>
      <c r="FE29" s="385">
        <v>65.615106286748087</v>
      </c>
      <c r="FF29" s="385">
        <v>2008</v>
      </c>
      <c r="FG29" s="385">
        <v>171</v>
      </c>
      <c r="FH29" s="385">
        <v>65.615106286748087</v>
      </c>
      <c r="FI29" s="385">
        <v>2008</v>
      </c>
      <c r="FJ29" s="385">
        <v>171</v>
      </c>
      <c r="FK29" s="385">
        <v>65.615106286748087</v>
      </c>
      <c r="FL29" s="386">
        <f>(((2008-2014)/30.5)*22)+2008</f>
        <v>2003.672131147541</v>
      </c>
      <c r="FM29" s="386">
        <v>171</v>
      </c>
      <c r="FN29" s="386">
        <v>65.615106286748087</v>
      </c>
      <c r="FO29" s="385">
        <v>2013.8564263010346</v>
      </c>
      <c r="FP29" s="385">
        <v>171</v>
      </c>
      <c r="FQ29" s="385">
        <v>65.615106286748087</v>
      </c>
      <c r="FR29" s="385">
        <v>2013.8564263010346</v>
      </c>
      <c r="FS29" s="385">
        <v>171</v>
      </c>
      <c r="FT29" s="385">
        <v>65.615106286748087</v>
      </c>
      <c r="FU29" s="385">
        <v>2013.8564263010346</v>
      </c>
      <c r="FV29" s="385">
        <v>171</v>
      </c>
      <c r="FW29" s="385">
        <v>65.615106286748087</v>
      </c>
      <c r="FX29" s="385">
        <v>2013.8564263010346</v>
      </c>
      <c r="FY29" s="385">
        <v>171</v>
      </c>
      <c r="FZ29" s="385">
        <v>65.615106286748087</v>
      </c>
      <c r="GA29" s="385">
        <v>2013.8564263010346</v>
      </c>
      <c r="GB29" s="385">
        <v>171</v>
      </c>
      <c r="GC29" s="385">
        <v>65.615106286748087</v>
      </c>
      <c r="GD29" s="385">
        <v>2013.8564263010346</v>
      </c>
      <c r="GE29" s="385">
        <v>171</v>
      </c>
      <c r="GF29" s="385">
        <v>65.615106286748087</v>
      </c>
      <c r="GG29" s="385">
        <v>2013.8564263010346</v>
      </c>
      <c r="GH29" s="385">
        <v>171</v>
      </c>
      <c r="GI29" s="385">
        <v>65.615106286748087</v>
      </c>
      <c r="GJ29" s="385">
        <v>2013.8564263010346</v>
      </c>
      <c r="GK29" s="385">
        <v>171</v>
      </c>
      <c r="GL29" s="385">
        <v>65.615106286748087</v>
      </c>
      <c r="GM29" s="385">
        <v>2013.8564263010346</v>
      </c>
      <c r="GN29" s="385">
        <v>171</v>
      </c>
      <c r="GO29" s="385">
        <v>65.615106286748087</v>
      </c>
      <c r="GP29" s="385">
        <v>2013.8564263010346</v>
      </c>
      <c r="GQ29" s="385">
        <v>171</v>
      </c>
      <c r="GR29" s="385">
        <v>65.615106286748087</v>
      </c>
      <c r="GS29" s="385">
        <v>2013.8564263010346</v>
      </c>
      <c r="GT29" s="385">
        <v>171</v>
      </c>
      <c r="GU29" s="385">
        <v>65.615106286748087</v>
      </c>
      <c r="GV29" s="385">
        <v>2013.8564263010346</v>
      </c>
      <c r="GW29" s="385">
        <v>171</v>
      </c>
      <c r="GX29" s="385">
        <v>65.615106286748087</v>
      </c>
      <c r="GY29" s="386">
        <v>2013.8564263010346</v>
      </c>
      <c r="GZ29" s="386">
        <f>171*4</f>
        <v>684</v>
      </c>
      <c r="HA29" s="386">
        <v>65.615106286748087</v>
      </c>
      <c r="HB29" s="387">
        <v>2013.8564263010346</v>
      </c>
      <c r="HC29" s="385"/>
      <c r="HD29" s="387">
        <v>65.615106286748087</v>
      </c>
      <c r="HE29" s="387">
        <v>2013.8564263010346</v>
      </c>
      <c r="HF29" s="385"/>
      <c r="HG29" s="387">
        <v>65.615106286748087</v>
      </c>
      <c r="HH29" s="387">
        <v>2013.8564263010346</v>
      </c>
      <c r="HI29" s="387">
        <v>65.615106286748087</v>
      </c>
      <c r="HJ29" s="387">
        <v>2013.8564263010346</v>
      </c>
      <c r="HK29" s="387">
        <v>65.615106286748087</v>
      </c>
      <c r="HL29" s="387">
        <v>2013.8564263010346</v>
      </c>
      <c r="HM29" s="387">
        <v>65.615106286748087</v>
      </c>
      <c r="HN29" s="387">
        <v>2013.8564263010346</v>
      </c>
      <c r="HO29" s="387">
        <v>65.615106286748087</v>
      </c>
      <c r="HP29" s="387">
        <v>2013.8564263010346</v>
      </c>
      <c r="HQ29" s="387">
        <v>65.615106286748087</v>
      </c>
      <c r="HR29" s="387">
        <v>2013.8564263010346</v>
      </c>
      <c r="HS29" s="387">
        <v>65.615106286748087</v>
      </c>
      <c r="HT29" s="387">
        <v>2013.8564263010346</v>
      </c>
      <c r="HU29" s="387">
        <v>65.615106286748087</v>
      </c>
      <c r="HV29" s="388">
        <v>2013.8564263010346</v>
      </c>
      <c r="HW29" s="368">
        <v>66</v>
      </c>
      <c r="HX29" s="368">
        <v>2013.8564263010346</v>
      </c>
      <c r="HY29" s="368">
        <v>66</v>
      </c>
      <c r="HZ29" s="368">
        <v>2013.8564263010346</v>
      </c>
      <c r="IA29" s="368">
        <v>66</v>
      </c>
      <c r="IB29" s="368">
        <v>2013.8564263010346</v>
      </c>
      <c r="IC29" s="368">
        <v>66</v>
      </c>
      <c r="ID29" s="357">
        <f>VLOOKUP($C29,'[15]Prix accès'!A:D,4,FALSE)</f>
        <v>2008</v>
      </c>
      <c r="IE29" s="390">
        <v>66</v>
      </c>
      <c r="IF29" s="357">
        <f>VLOOKUP($C29,'[15]Prix accès'!$A:$D,4,FALSE)</f>
        <v>2008</v>
      </c>
      <c r="IG29" s="390">
        <v>66</v>
      </c>
      <c r="IH29" s="357">
        <f>VLOOKUP($C29,'[15]Prix accès'!$A:$D,4,FALSE)</f>
        <v>2008</v>
      </c>
      <c r="II29" s="390">
        <v>66</v>
      </c>
      <c r="IJ29" s="357">
        <f>VLOOKUP($C29,'[15]Prix accès'!$A:$D,4,FALSE)</f>
        <v>2008</v>
      </c>
      <c r="IK29" s="390">
        <v>66</v>
      </c>
      <c r="IL29" s="357">
        <f>VLOOKUP($C29,'[15]Prix accès'!$A:$D,4,FALSE)</f>
        <v>2008</v>
      </c>
      <c r="IM29" s="390">
        <v>66</v>
      </c>
      <c r="IN29" s="357">
        <f>VLOOKUP($C29,'[15]Prix accès'!$A:$D,4,FALSE)</f>
        <v>2008</v>
      </c>
      <c r="IO29" s="390">
        <v>66</v>
      </c>
      <c r="IP29" s="408">
        <v>9112.5245901639337</v>
      </c>
      <c r="IQ29" s="409">
        <v>298.62295081967216</v>
      </c>
      <c r="IR29" s="414" t="s">
        <v>2761</v>
      </c>
      <c r="IS29" s="364" t="s">
        <v>77</v>
      </c>
      <c r="IT29" s="365">
        <v>43328</v>
      </c>
      <c r="IU29" s="371">
        <v>43466</v>
      </c>
      <c r="IV29" s="393">
        <v>44418</v>
      </c>
      <c r="IW29" s="372">
        <f t="shared" si="11"/>
        <v>138</v>
      </c>
      <c r="IX29" s="373">
        <f t="shared" si="12"/>
        <v>65.836065573770497</v>
      </c>
      <c r="IY29" s="442">
        <f t="shared" si="13"/>
        <v>9085.377049180328</v>
      </c>
      <c r="IZ29" s="394"/>
      <c r="JA29" s="394"/>
    </row>
    <row r="30" spans="1:261" s="367" customFormat="1" ht="16.5" customHeight="1" x14ac:dyDescent="0.3">
      <c r="A30" s="354" t="s">
        <v>3318</v>
      </c>
      <c r="B30" s="355" t="s">
        <v>2768</v>
      </c>
      <c r="C30" s="443" t="s">
        <v>134</v>
      </c>
      <c r="D30" s="444">
        <v>1229</v>
      </c>
      <c r="E30" s="445">
        <v>71</v>
      </c>
      <c r="F30" s="445">
        <v>16</v>
      </c>
      <c r="G30" s="445">
        <v>5</v>
      </c>
      <c r="H30" s="446">
        <v>66</v>
      </c>
      <c r="I30" s="847">
        <v>1315</v>
      </c>
      <c r="J30" s="837">
        <v>5</v>
      </c>
      <c r="K30" s="837">
        <v>66</v>
      </c>
      <c r="L30" s="837">
        <v>1315</v>
      </c>
      <c r="M30" s="837">
        <v>5</v>
      </c>
      <c r="N30" s="837">
        <v>66</v>
      </c>
      <c r="O30" s="837">
        <v>1315</v>
      </c>
      <c r="P30" s="837">
        <v>5</v>
      </c>
      <c r="Q30" s="837">
        <v>66</v>
      </c>
      <c r="R30" s="837">
        <v>1315</v>
      </c>
      <c r="S30" s="837">
        <v>5</v>
      </c>
      <c r="T30" s="837">
        <v>66</v>
      </c>
      <c r="U30" s="837">
        <v>1315</v>
      </c>
      <c r="V30" s="837">
        <v>5</v>
      </c>
      <c r="W30" s="837">
        <v>66</v>
      </c>
      <c r="X30" s="837">
        <v>1315</v>
      </c>
      <c r="Y30" s="837">
        <v>5</v>
      </c>
      <c r="Z30" s="837">
        <v>66</v>
      </c>
      <c r="AA30" s="837">
        <v>1315</v>
      </c>
      <c r="AB30" s="837">
        <v>5</v>
      </c>
      <c r="AC30" s="837">
        <v>66</v>
      </c>
      <c r="AD30" s="837">
        <v>1315</v>
      </c>
      <c r="AE30" s="837">
        <v>5</v>
      </c>
      <c r="AF30" s="837">
        <v>66</v>
      </c>
      <c r="AG30" s="837">
        <v>1315</v>
      </c>
      <c r="AH30" s="837">
        <v>5</v>
      </c>
      <c r="AI30" s="837">
        <v>66</v>
      </c>
      <c r="AJ30" s="837">
        <v>1315</v>
      </c>
      <c r="AK30" s="837">
        <v>5</v>
      </c>
      <c r="AL30" s="837">
        <v>66</v>
      </c>
      <c r="AM30" s="837">
        <v>1315</v>
      </c>
      <c r="AN30" s="837">
        <v>5</v>
      </c>
      <c r="AO30" s="837">
        <v>66</v>
      </c>
      <c r="AP30" s="837">
        <v>1315</v>
      </c>
      <c r="AQ30" s="837">
        <v>5</v>
      </c>
      <c r="AR30" s="837">
        <v>66</v>
      </c>
      <c r="AS30" s="837">
        <v>1315</v>
      </c>
      <c r="AT30" s="837">
        <v>5</v>
      </c>
      <c r="AU30" s="837">
        <v>66</v>
      </c>
      <c r="AV30" s="837">
        <v>1315</v>
      </c>
      <c r="AW30" s="837">
        <v>5</v>
      </c>
      <c r="AX30" s="837">
        <v>66</v>
      </c>
      <c r="AY30" s="837">
        <v>1315</v>
      </c>
      <c r="AZ30" s="837">
        <v>5</v>
      </c>
      <c r="BA30" s="382">
        <v>66</v>
      </c>
      <c r="BB30" s="383">
        <f>((1315-743)/30.5*3)+1315</f>
        <v>1371.2622950819673</v>
      </c>
      <c r="BC30" s="383">
        <f>((5-1)/30.5*3)+5</f>
        <v>5.3934426229508201</v>
      </c>
      <c r="BD30" s="382">
        <v>66</v>
      </c>
      <c r="BE30" s="383">
        <v>743.45642630103453</v>
      </c>
      <c r="BF30" s="397">
        <f>1</f>
        <v>1</v>
      </c>
      <c r="BG30" s="397">
        <v>66</v>
      </c>
      <c r="BH30" s="397">
        <v>743.45642630103453</v>
      </c>
      <c r="BI30" s="397">
        <f>1</f>
        <v>1</v>
      </c>
      <c r="BJ30" s="397">
        <v>66</v>
      </c>
      <c r="BK30" s="397">
        <v>743.45642630103453</v>
      </c>
      <c r="BL30" s="397">
        <f>1</f>
        <v>1</v>
      </c>
      <c r="BM30" s="397">
        <v>66</v>
      </c>
      <c r="BN30" s="397">
        <v>743.45642630103453</v>
      </c>
      <c r="BO30" s="397">
        <f>1</f>
        <v>1</v>
      </c>
      <c r="BP30" s="397">
        <v>66</v>
      </c>
      <c r="BQ30" s="397">
        <v>743.45642630103453</v>
      </c>
      <c r="BR30" s="397">
        <f>1</f>
        <v>1</v>
      </c>
      <c r="BS30" s="397">
        <v>66</v>
      </c>
      <c r="BT30" s="413">
        <v>743.45642630103453</v>
      </c>
      <c r="BU30" s="385">
        <f>1</f>
        <v>1</v>
      </c>
      <c r="BV30" s="385">
        <v>66</v>
      </c>
      <c r="BW30" s="385">
        <v>743.45642630103453</v>
      </c>
      <c r="BX30" s="385">
        <f>1</f>
        <v>1</v>
      </c>
      <c r="BY30" s="385">
        <v>66</v>
      </c>
      <c r="BZ30" s="385">
        <v>743.45642630103453</v>
      </c>
      <c r="CA30" s="385">
        <f>1</f>
        <v>1</v>
      </c>
      <c r="CB30" s="385">
        <v>66</v>
      </c>
      <c r="CC30" s="385">
        <v>743.45642630103453</v>
      </c>
      <c r="CD30" s="385">
        <f>1</f>
        <v>1</v>
      </c>
      <c r="CE30" s="385">
        <v>66</v>
      </c>
      <c r="CF30" s="385">
        <v>743.45642630103453</v>
      </c>
      <c r="CG30" s="385">
        <f>1</f>
        <v>1</v>
      </c>
      <c r="CH30" s="385">
        <v>66</v>
      </c>
      <c r="CI30" s="385">
        <v>743.45642630103453</v>
      </c>
      <c r="CJ30" s="385">
        <f>1</f>
        <v>1</v>
      </c>
      <c r="CK30" s="385">
        <v>66</v>
      </c>
      <c r="CL30" s="385">
        <v>743.45642630103453</v>
      </c>
      <c r="CM30" s="385">
        <f>1</f>
        <v>1</v>
      </c>
      <c r="CN30" s="385">
        <v>66</v>
      </c>
      <c r="CO30" s="385">
        <v>743.45642630103453</v>
      </c>
      <c r="CP30" s="385">
        <f>1</f>
        <v>1</v>
      </c>
      <c r="CQ30" s="385">
        <v>66</v>
      </c>
      <c r="CR30" s="385">
        <v>743.45642630103453</v>
      </c>
      <c r="CS30" s="385">
        <f>1</f>
        <v>1</v>
      </c>
      <c r="CT30" s="385">
        <v>66</v>
      </c>
      <c r="CU30" s="385">
        <v>743.45642630103453</v>
      </c>
      <c r="CV30" s="385">
        <f>1</f>
        <v>1</v>
      </c>
      <c r="CW30" s="385">
        <v>66</v>
      </c>
      <c r="CX30" s="385">
        <v>743.45642630103453</v>
      </c>
      <c r="CY30" s="385">
        <f>1</f>
        <v>1</v>
      </c>
      <c r="CZ30" s="385">
        <v>66</v>
      </c>
      <c r="DA30" s="385">
        <v>743.45642630103453</v>
      </c>
      <c r="DB30" s="385">
        <f>1</f>
        <v>1</v>
      </c>
      <c r="DC30" s="385">
        <v>66</v>
      </c>
      <c r="DD30" s="385">
        <v>743.45642630103453</v>
      </c>
      <c r="DE30" s="385">
        <f>1</f>
        <v>1</v>
      </c>
      <c r="DF30" s="385">
        <v>66</v>
      </c>
      <c r="DG30" s="385">
        <v>743.45642630103453</v>
      </c>
      <c r="DH30" s="385">
        <f>1</f>
        <v>1</v>
      </c>
      <c r="DI30" s="385">
        <v>66</v>
      </c>
      <c r="DJ30" s="385">
        <v>743.45642630103453</v>
      </c>
      <c r="DK30" s="385">
        <f>1</f>
        <v>1</v>
      </c>
      <c r="DL30" s="385">
        <v>66</v>
      </c>
      <c r="DM30" s="385">
        <v>743.45642630103453</v>
      </c>
      <c r="DN30" s="385">
        <f>1</f>
        <v>1</v>
      </c>
      <c r="DO30" s="385">
        <v>66</v>
      </c>
      <c r="DP30" s="385">
        <v>743.45642630103453</v>
      </c>
      <c r="DQ30" s="385">
        <f>1</f>
        <v>1</v>
      </c>
      <c r="DR30" s="385">
        <v>66</v>
      </c>
      <c r="DS30" s="385">
        <v>743.45642630103453</v>
      </c>
      <c r="DT30" s="385">
        <f>1</f>
        <v>1</v>
      </c>
      <c r="DU30" s="385">
        <v>66</v>
      </c>
      <c r="DV30" s="385">
        <v>743.45642630103453</v>
      </c>
      <c r="DW30" s="385">
        <f>1</f>
        <v>1</v>
      </c>
      <c r="DX30" s="385">
        <v>66</v>
      </c>
      <c r="DY30" s="385">
        <v>743.45642630103453</v>
      </c>
      <c r="DZ30" s="385">
        <f>1</f>
        <v>1</v>
      </c>
      <c r="EA30" s="385">
        <v>66</v>
      </c>
      <c r="EB30" s="385">
        <v>743.45642630103453</v>
      </c>
      <c r="EC30" s="385">
        <f>1</f>
        <v>1</v>
      </c>
      <c r="ED30" s="385">
        <v>66</v>
      </c>
      <c r="EE30" s="385">
        <v>743.45642630103453</v>
      </c>
      <c r="EF30" s="385">
        <f>1</f>
        <v>1</v>
      </c>
      <c r="EG30" s="385">
        <v>66</v>
      </c>
      <c r="EH30" s="385">
        <v>743.45642630103453</v>
      </c>
      <c r="EI30" s="385">
        <f>1</f>
        <v>1</v>
      </c>
      <c r="EJ30" s="385">
        <v>66</v>
      </c>
      <c r="EK30" s="385">
        <v>743.45642630103453</v>
      </c>
      <c r="EL30" s="385">
        <f>1</f>
        <v>1</v>
      </c>
      <c r="EM30" s="385">
        <v>66</v>
      </c>
      <c r="EN30" s="385">
        <v>743.45642630103453</v>
      </c>
      <c r="EO30" s="385">
        <f>1</f>
        <v>1</v>
      </c>
      <c r="EP30" s="385">
        <v>66</v>
      </c>
      <c r="EQ30" s="385">
        <v>743.45642630103453</v>
      </c>
      <c r="ER30" s="385">
        <f>1</f>
        <v>1</v>
      </c>
      <c r="ES30" s="385">
        <v>66</v>
      </c>
      <c r="ET30" s="385">
        <v>743.45642630103453</v>
      </c>
      <c r="EU30" s="385">
        <f>1</f>
        <v>1</v>
      </c>
      <c r="EV30" s="385">
        <v>66</v>
      </c>
      <c r="EW30" s="385">
        <v>743.45642630103453</v>
      </c>
      <c r="EX30" s="385">
        <f>1</f>
        <v>1</v>
      </c>
      <c r="EY30" s="385">
        <v>66</v>
      </c>
      <c r="EZ30" s="385">
        <v>743.45642630103453</v>
      </c>
      <c r="FA30" s="385">
        <f>1</f>
        <v>1</v>
      </c>
      <c r="FB30" s="385">
        <v>66</v>
      </c>
      <c r="FC30" s="385">
        <v>743.45642630103453</v>
      </c>
      <c r="FD30" s="385">
        <f>1</f>
        <v>1</v>
      </c>
      <c r="FE30" s="385">
        <v>66</v>
      </c>
      <c r="FF30" s="385">
        <v>743.45642630103453</v>
      </c>
      <c r="FG30" s="385">
        <f>1</f>
        <v>1</v>
      </c>
      <c r="FH30" s="385">
        <v>66</v>
      </c>
      <c r="FI30" s="385">
        <v>743.45642630103453</v>
      </c>
      <c r="FJ30" s="385">
        <f>1</f>
        <v>1</v>
      </c>
      <c r="FK30" s="385">
        <v>66</v>
      </c>
      <c r="FL30" s="385">
        <v>743.45642630103453</v>
      </c>
      <c r="FM30" s="385">
        <f>1</f>
        <v>1</v>
      </c>
      <c r="FN30" s="385">
        <v>66</v>
      </c>
      <c r="FO30" s="385">
        <v>743.45642630103453</v>
      </c>
      <c r="FP30" s="385">
        <f>1</f>
        <v>1</v>
      </c>
      <c r="FQ30" s="385">
        <v>66</v>
      </c>
      <c r="FR30" s="385">
        <v>743.45642630103453</v>
      </c>
      <c r="FS30" s="385">
        <f>1</f>
        <v>1</v>
      </c>
      <c r="FT30" s="385">
        <v>66</v>
      </c>
      <c r="FU30" s="386">
        <v>743.45642630103453</v>
      </c>
      <c r="FV30" s="386">
        <f>1</f>
        <v>1</v>
      </c>
      <c r="FW30" s="386">
        <v>66</v>
      </c>
      <c r="FX30" s="385">
        <v>743.45642630103453</v>
      </c>
      <c r="FY30" s="385">
        <f>1</f>
        <v>1</v>
      </c>
      <c r="FZ30" s="405"/>
      <c r="GA30" s="385">
        <v>743.45642630103453</v>
      </c>
      <c r="GB30" s="385">
        <f>1</f>
        <v>1</v>
      </c>
      <c r="GC30" s="405"/>
      <c r="GD30" s="385">
        <v>743.45642630103453</v>
      </c>
      <c r="GE30" s="385">
        <f>1</f>
        <v>1</v>
      </c>
      <c r="GF30" s="405"/>
      <c r="GG30" s="385">
        <v>743.45642630103453</v>
      </c>
      <c r="GH30" s="385">
        <f>1</f>
        <v>1</v>
      </c>
      <c r="GI30" s="405"/>
      <c r="GJ30" s="385">
        <v>743.45642630103453</v>
      </c>
      <c r="GK30" s="385">
        <f>1</f>
        <v>1</v>
      </c>
      <c r="GL30" s="405"/>
      <c r="GM30" s="385">
        <v>743.45642630103453</v>
      </c>
      <c r="GN30" s="385">
        <f>1</f>
        <v>1</v>
      </c>
      <c r="GO30" s="405"/>
      <c r="GP30" s="385">
        <v>743.45642630103453</v>
      </c>
      <c r="GQ30" s="385">
        <f>1</f>
        <v>1</v>
      </c>
      <c r="GR30" s="405"/>
      <c r="GS30" s="385">
        <v>743.45642630103453</v>
      </c>
      <c r="GT30" s="385">
        <f>1</f>
        <v>1</v>
      </c>
      <c r="GU30" s="405"/>
      <c r="GV30" s="385">
        <v>743.45642630103453</v>
      </c>
      <c r="GW30" s="385">
        <f>1</f>
        <v>1</v>
      </c>
      <c r="GX30" s="405"/>
      <c r="GY30" s="385">
        <v>743.45642630103453</v>
      </c>
      <c r="GZ30" s="385">
        <f>1</f>
        <v>1</v>
      </c>
      <c r="HA30" s="405"/>
      <c r="HB30" s="385">
        <v>743.45642630103453</v>
      </c>
      <c r="HC30" s="385">
        <f>1</f>
        <v>1</v>
      </c>
      <c r="HD30" s="405"/>
      <c r="HE30" s="387">
        <v>743.45642630103453</v>
      </c>
      <c r="HF30" s="386">
        <f>1*6</f>
        <v>6</v>
      </c>
      <c r="HG30" s="386">
        <v>0</v>
      </c>
      <c r="HH30" s="387">
        <v>743.45642630103453</v>
      </c>
      <c r="HI30" s="387">
        <v>65.615106286748087</v>
      </c>
      <c r="HJ30" s="387">
        <v>743.45642630103453</v>
      </c>
      <c r="HK30" s="387">
        <v>65.615106286748087</v>
      </c>
      <c r="HL30" s="387">
        <v>743.45642630103453</v>
      </c>
      <c r="HM30" s="387">
        <v>65.615106286748087</v>
      </c>
      <c r="HN30" s="387">
        <v>743.45642630103453</v>
      </c>
      <c r="HO30" s="387">
        <v>65.615106286748087</v>
      </c>
      <c r="HP30" s="387">
        <v>743.45642630103453</v>
      </c>
      <c r="HQ30" s="387">
        <v>65.615106286748087</v>
      </c>
      <c r="HR30" s="387">
        <v>743.45642630103453</v>
      </c>
      <c r="HS30" s="387">
        <v>65.615106286748087</v>
      </c>
      <c r="HT30" s="387">
        <v>743.45642630103453</v>
      </c>
      <c r="HU30" s="387">
        <v>65.615106286748087</v>
      </c>
      <c r="HV30" s="388">
        <v>743.45642630103453</v>
      </c>
      <c r="HW30" s="368">
        <v>65.62</v>
      </c>
      <c r="HX30" s="368">
        <v>743.45642630103453</v>
      </c>
      <c r="HY30" s="368">
        <v>65.62</v>
      </c>
      <c r="HZ30" s="368">
        <v>743.45642630103453</v>
      </c>
      <c r="IA30" s="368">
        <v>65.62</v>
      </c>
      <c r="IB30" s="368">
        <v>743.45642630103453</v>
      </c>
      <c r="IC30" s="368">
        <v>65.62</v>
      </c>
      <c r="ID30" s="357">
        <f>VLOOKUP($C30,'[15]Prix accès'!A:D,4,FALSE)</f>
        <v>743.45642630103453</v>
      </c>
      <c r="IE30" s="390">
        <v>65.62</v>
      </c>
      <c r="IF30" s="357">
        <f>VLOOKUP($C30,'[15]Prix accès'!$A:$D,4,FALSE)</f>
        <v>743.45642630103453</v>
      </c>
      <c r="IG30" s="390">
        <v>65.62</v>
      </c>
      <c r="IH30" s="357">
        <f>VLOOKUP($C30,'[15]Prix accès'!$A:$D,4,FALSE)</f>
        <v>743.45642630103453</v>
      </c>
      <c r="II30" s="390">
        <v>65.62</v>
      </c>
      <c r="IJ30" s="357">
        <f>VLOOKUP($C30,'[15]Prix accès'!$A:$D,4,FALSE)</f>
        <v>743.45642630103453</v>
      </c>
      <c r="IK30" s="390">
        <v>65.62</v>
      </c>
      <c r="IL30" s="357">
        <f>VLOOKUP($C30,'[15]Prix accès'!$A:$D,4,FALSE)</f>
        <v>743.45642630103453</v>
      </c>
      <c r="IM30" s="390">
        <v>65.62</v>
      </c>
      <c r="IN30" s="357">
        <f>VLOOKUP($C30,'[15]Prix accès'!$A:$D,4,FALSE)</f>
        <v>743.45642630103453</v>
      </c>
      <c r="IO30" s="390">
        <v>65.62</v>
      </c>
      <c r="IP30" s="408">
        <v>3327.6550819672134</v>
      </c>
      <c r="IQ30" s="409">
        <v>296.90360655737703</v>
      </c>
      <c r="IR30" s="414" t="s">
        <v>2917</v>
      </c>
      <c r="IS30" s="364" t="s">
        <v>77</v>
      </c>
      <c r="IT30" s="365">
        <v>43328</v>
      </c>
      <c r="IU30" s="439">
        <v>43466</v>
      </c>
      <c r="IV30" s="440">
        <v>44348</v>
      </c>
      <c r="IW30" s="372">
        <f t="shared" si="11"/>
        <v>138</v>
      </c>
      <c r="IX30" s="373">
        <f t="shared" si="12"/>
        <v>24.375620534460147</v>
      </c>
      <c r="IY30" s="394">
        <f t="shared" si="13"/>
        <v>3363.8356337555001</v>
      </c>
      <c r="IZ30" s="394"/>
      <c r="JA30" s="394"/>
    </row>
    <row r="31" spans="1:261" s="367" customFormat="1" ht="16.5" customHeight="1" x14ac:dyDescent="0.3">
      <c r="A31" s="354" t="s">
        <v>3318</v>
      </c>
      <c r="B31" s="400" t="s">
        <v>2768</v>
      </c>
      <c r="C31" s="356" t="s">
        <v>123</v>
      </c>
      <c r="D31" s="430">
        <v>1229</v>
      </c>
      <c r="E31" s="431">
        <v>44</v>
      </c>
      <c r="F31" s="431">
        <v>32</v>
      </c>
      <c r="G31" s="431">
        <v>5</v>
      </c>
      <c r="H31" s="432">
        <v>66</v>
      </c>
      <c r="I31" s="841">
        <v>1305</v>
      </c>
      <c r="J31" s="835">
        <v>5</v>
      </c>
      <c r="K31" s="835">
        <v>66</v>
      </c>
      <c r="L31" s="835">
        <v>1305</v>
      </c>
      <c r="M31" s="835">
        <v>5</v>
      </c>
      <c r="N31" s="835">
        <v>66</v>
      </c>
      <c r="O31" s="835">
        <v>1305</v>
      </c>
      <c r="P31" s="835">
        <v>5</v>
      </c>
      <c r="Q31" s="835">
        <v>66</v>
      </c>
      <c r="R31" s="835">
        <v>1305</v>
      </c>
      <c r="S31" s="835">
        <v>5</v>
      </c>
      <c r="T31" s="835">
        <v>66</v>
      </c>
      <c r="U31" s="835">
        <v>1305</v>
      </c>
      <c r="V31" s="835">
        <v>5</v>
      </c>
      <c r="W31" s="835">
        <v>66</v>
      </c>
      <c r="X31" s="835">
        <v>1305</v>
      </c>
      <c r="Y31" s="835">
        <v>5</v>
      </c>
      <c r="Z31" s="835">
        <v>66</v>
      </c>
      <c r="AA31" s="835">
        <v>1305</v>
      </c>
      <c r="AB31" s="835">
        <v>5</v>
      </c>
      <c r="AC31" s="835">
        <v>66</v>
      </c>
      <c r="AD31" s="835">
        <v>1305</v>
      </c>
      <c r="AE31" s="835">
        <v>5</v>
      </c>
      <c r="AF31" s="835">
        <v>66</v>
      </c>
      <c r="AG31" s="835">
        <v>1305</v>
      </c>
      <c r="AH31" s="835">
        <v>5</v>
      </c>
      <c r="AI31" s="835">
        <v>66</v>
      </c>
      <c r="AJ31" s="835">
        <v>1305</v>
      </c>
      <c r="AK31" s="835">
        <v>5</v>
      </c>
      <c r="AL31" s="835">
        <v>66</v>
      </c>
      <c r="AM31" s="835">
        <v>1305</v>
      </c>
      <c r="AN31" s="835">
        <v>5</v>
      </c>
      <c r="AO31" s="835">
        <v>66</v>
      </c>
      <c r="AP31" s="835">
        <v>1305</v>
      </c>
      <c r="AQ31" s="835">
        <v>5</v>
      </c>
      <c r="AR31" s="835">
        <v>66</v>
      </c>
      <c r="AS31" s="835">
        <v>1305</v>
      </c>
      <c r="AT31" s="835">
        <v>5</v>
      </c>
      <c r="AU31" s="835">
        <v>66</v>
      </c>
      <c r="AV31" s="835">
        <v>1305</v>
      </c>
      <c r="AW31" s="835">
        <v>5</v>
      </c>
      <c r="AX31" s="835">
        <v>66</v>
      </c>
      <c r="AY31" s="835">
        <v>1305</v>
      </c>
      <c r="AZ31" s="835">
        <v>5</v>
      </c>
      <c r="BA31" s="384">
        <v>66</v>
      </c>
      <c r="BB31" s="384">
        <v>1305</v>
      </c>
      <c r="BC31" s="384">
        <v>5</v>
      </c>
      <c r="BD31" s="384">
        <v>66</v>
      </c>
      <c r="BE31" s="384">
        <v>1305</v>
      </c>
      <c r="BF31" s="384">
        <v>5</v>
      </c>
      <c r="BG31" s="384">
        <v>66</v>
      </c>
      <c r="BH31" s="384">
        <v>1305</v>
      </c>
      <c r="BI31" s="384">
        <v>5</v>
      </c>
      <c r="BJ31" s="384">
        <v>66</v>
      </c>
      <c r="BK31" s="386">
        <f>((1305-2352)/30.5)*25+1305</f>
        <v>446.80327868852453</v>
      </c>
      <c r="BL31" s="386">
        <f>(5/30.5)*25+5</f>
        <v>9.0983606557377037</v>
      </c>
      <c r="BM31" s="386">
        <v>66</v>
      </c>
      <c r="BN31" s="386">
        <v>1305</v>
      </c>
      <c r="BO31" s="386">
        <v>5</v>
      </c>
      <c r="BP31" s="386">
        <v>66</v>
      </c>
      <c r="BQ31" s="384">
        <v>2351.6564263010346</v>
      </c>
      <c r="BR31" s="384"/>
      <c r="BS31" s="384">
        <v>66</v>
      </c>
      <c r="BT31" s="384">
        <v>2351.6564263010346</v>
      </c>
      <c r="BU31" s="384"/>
      <c r="BV31" s="384">
        <v>66</v>
      </c>
      <c r="BW31" s="384">
        <v>2351.6564263010346</v>
      </c>
      <c r="BX31" s="384"/>
      <c r="BY31" s="384">
        <v>66</v>
      </c>
      <c r="BZ31" s="384">
        <v>2351.6564263010346</v>
      </c>
      <c r="CA31" s="384"/>
      <c r="CB31" s="384">
        <v>66</v>
      </c>
      <c r="CC31" s="384">
        <v>2351.6564263010346</v>
      </c>
      <c r="CD31" s="384"/>
      <c r="CE31" s="384">
        <v>66</v>
      </c>
      <c r="CF31" s="384">
        <v>2351.6564263010346</v>
      </c>
      <c r="CG31" s="384"/>
      <c r="CH31" s="384">
        <v>66</v>
      </c>
      <c r="CI31" s="384">
        <v>2351.6564263010346</v>
      </c>
      <c r="CJ31" s="384"/>
      <c r="CK31" s="384">
        <v>66</v>
      </c>
      <c r="CL31" s="384">
        <v>2351.6564263010346</v>
      </c>
      <c r="CM31" s="384"/>
      <c r="CN31" s="384">
        <v>66</v>
      </c>
      <c r="CO31" s="384">
        <v>2351.6564263010346</v>
      </c>
      <c r="CP31" s="384"/>
      <c r="CQ31" s="384">
        <v>66</v>
      </c>
      <c r="CR31" s="384">
        <v>2351.6564263010346</v>
      </c>
      <c r="CS31" s="384"/>
      <c r="CT31" s="384">
        <v>66</v>
      </c>
      <c r="CU31" s="384">
        <v>2351.6564263010346</v>
      </c>
      <c r="CV31" s="384"/>
      <c r="CW31" s="384">
        <v>66</v>
      </c>
      <c r="CX31" s="384">
        <v>2351.6564263010346</v>
      </c>
      <c r="CY31" s="384"/>
      <c r="CZ31" s="384">
        <v>66</v>
      </c>
      <c r="DA31" s="384">
        <v>2351.6564263010346</v>
      </c>
      <c r="DB31" s="384"/>
      <c r="DC31" s="384">
        <v>66</v>
      </c>
      <c r="DD31" s="384">
        <v>2351.6564263010346</v>
      </c>
      <c r="DE31" s="384"/>
      <c r="DF31" s="384">
        <v>66</v>
      </c>
      <c r="DG31" s="384">
        <v>2351.6564263010346</v>
      </c>
      <c r="DH31" s="384"/>
      <c r="DI31" s="384">
        <v>66</v>
      </c>
      <c r="DJ31" s="384">
        <v>2351.6564263010346</v>
      </c>
      <c r="DK31" s="384"/>
      <c r="DL31" s="384">
        <v>66</v>
      </c>
      <c r="DM31" s="384">
        <v>2351.6564263010346</v>
      </c>
      <c r="DN31" s="384"/>
      <c r="DO31" s="384">
        <v>66</v>
      </c>
      <c r="DP31" s="384">
        <v>2351.6564263010346</v>
      </c>
      <c r="DQ31" s="384"/>
      <c r="DR31" s="384">
        <v>66</v>
      </c>
      <c r="DS31" s="384">
        <v>2351.6564263010346</v>
      </c>
      <c r="DT31" s="384"/>
      <c r="DU31" s="384">
        <v>66</v>
      </c>
      <c r="DV31" s="384">
        <v>2351.6564263010346</v>
      </c>
      <c r="DW31" s="384"/>
      <c r="DX31" s="384">
        <v>66</v>
      </c>
      <c r="DY31" s="384">
        <v>2351.6564263010346</v>
      </c>
      <c r="DZ31" s="384"/>
      <c r="EA31" s="384">
        <v>66</v>
      </c>
      <c r="EB31" s="384">
        <v>2351.6564263010346</v>
      </c>
      <c r="EC31" s="384"/>
      <c r="ED31" s="384">
        <v>66</v>
      </c>
      <c r="EE31" s="384">
        <v>2351.6564263010346</v>
      </c>
      <c r="EF31" s="384"/>
      <c r="EG31" s="384">
        <v>66</v>
      </c>
      <c r="EH31" s="384">
        <v>2351.6564263010346</v>
      </c>
      <c r="EI31" s="384"/>
      <c r="EJ31" s="384">
        <v>66</v>
      </c>
      <c r="EK31" s="384">
        <v>2351.6564263010346</v>
      </c>
      <c r="EL31" s="384"/>
      <c r="EM31" s="384">
        <v>66</v>
      </c>
      <c r="EN31" s="384">
        <v>2351.6564263010346</v>
      </c>
      <c r="EO31" s="384"/>
      <c r="EP31" s="384">
        <v>66</v>
      </c>
      <c r="EQ31" s="384">
        <v>2351.6564263010346</v>
      </c>
      <c r="ER31" s="384"/>
      <c r="ES31" s="384">
        <v>66</v>
      </c>
      <c r="ET31" s="384">
        <v>2351.6564263010346</v>
      </c>
      <c r="EU31" s="384"/>
      <c r="EV31" s="384">
        <v>66</v>
      </c>
      <c r="EW31" s="384">
        <v>2351.6564263010346</v>
      </c>
      <c r="EX31" s="384"/>
      <c r="EY31" s="384">
        <v>66</v>
      </c>
      <c r="EZ31" s="384">
        <v>2351.6564263010346</v>
      </c>
      <c r="FA31" s="384"/>
      <c r="FB31" s="384">
        <v>66</v>
      </c>
      <c r="FC31" s="384">
        <v>2351.6564263010346</v>
      </c>
      <c r="FD31" s="384"/>
      <c r="FE31" s="384">
        <v>66</v>
      </c>
      <c r="FF31" s="384">
        <v>2351.6564263010346</v>
      </c>
      <c r="FG31" s="384"/>
      <c r="FH31" s="384">
        <v>66</v>
      </c>
      <c r="FI31" s="384">
        <v>2351.6564263010346</v>
      </c>
      <c r="FJ31" s="384"/>
      <c r="FK31" s="384">
        <v>66</v>
      </c>
      <c r="FL31" s="384">
        <v>2351.6564263010346</v>
      </c>
      <c r="FM31" s="384"/>
      <c r="FN31" s="384">
        <v>66</v>
      </c>
      <c r="FO31" s="384">
        <v>2351.6564263010346</v>
      </c>
      <c r="FP31" s="384"/>
      <c r="FQ31" s="384">
        <v>66</v>
      </c>
      <c r="FR31" s="384">
        <v>2351.6564263010346</v>
      </c>
      <c r="FS31" s="384"/>
      <c r="FT31" s="384">
        <v>66</v>
      </c>
      <c r="FU31" s="386">
        <v>2351.6564263010346</v>
      </c>
      <c r="FV31" s="386"/>
      <c r="FW31" s="386">
        <v>66</v>
      </c>
      <c r="FX31" s="385">
        <v>2351.6564263010346</v>
      </c>
      <c r="FY31" s="385"/>
      <c r="FZ31" s="405"/>
      <c r="GA31" s="385">
        <v>2351.6564263010346</v>
      </c>
      <c r="GB31" s="385"/>
      <c r="GC31" s="405"/>
      <c r="GD31" s="385">
        <v>2351.6564263010346</v>
      </c>
      <c r="GE31" s="385"/>
      <c r="GF31" s="405"/>
      <c r="GG31" s="385">
        <v>2351.6564263010346</v>
      </c>
      <c r="GH31" s="385"/>
      <c r="GI31" s="405"/>
      <c r="GJ31" s="385">
        <v>2351.6564263010346</v>
      </c>
      <c r="GK31" s="385"/>
      <c r="GL31" s="405"/>
      <c r="GM31" s="385">
        <v>2351.6564263010346</v>
      </c>
      <c r="GN31" s="385"/>
      <c r="GO31" s="405"/>
      <c r="GP31" s="385">
        <v>2351.6564263010346</v>
      </c>
      <c r="GQ31" s="385"/>
      <c r="GR31" s="405"/>
      <c r="GS31" s="385">
        <v>2351.6564263010346</v>
      </c>
      <c r="GT31" s="385"/>
      <c r="GU31" s="405"/>
      <c r="GV31" s="385">
        <v>2351.6564263010346</v>
      </c>
      <c r="GW31" s="385"/>
      <c r="GX31" s="405"/>
      <c r="GY31" s="385">
        <v>2351.6564263010346</v>
      </c>
      <c r="GZ31" s="385"/>
      <c r="HA31" s="405"/>
      <c r="HB31" s="385">
        <v>2351.6564263010346</v>
      </c>
      <c r="HC31" s="385"/>
      <c r="HD31" s="405"/>
      <c r="HE31" s="387">
        <v>2351.6564263010346</v>
      </c>
      <c r="HF31" s="387"/>
      <c r="HG31" s="386">
        <v>0</v>
      </c>
      <c r="HH31" s="387">
        <v>2351.6564263010346</v>
      </c>
      <c r="HI31" s="387">
        <v>65.615106286748087</v>
      </c>
      <c r="HJ31" s="387">
        <v>2351.6564263010346</v>
      </c>
      <c r="HK31" s="387">
        <v>65.615106286748087</v>
      </c>
      <c r="HL31" s="387">
        <v>2351.6564263010346</v>
      </c>
      <c r="HM31" s="387">
        <v>65.615106286748087</v>
      </c>
      <c r="HN31" s="387">
        <v>2351.6564263010346</v>
      </c>
      <c r="HO31" s="387">
        <v>65.615106286748087</v>
      </c>
      <c r="HP31" s="387">
        <v>2351.6564263010346</v>
      </c>
      <c r="HQ31" s="387">
        <v>65.615106286748087</v>
      </c>
      <c r="HR31" s="387">
        <v>2351.6564263010346</v>
      </c>
      <c r="HS31" s="387">
        <v>65.615106286748087</v>
      </c>
      <c r="HT31" s="387">
        <v>2351.6564263010346</v>
      </c>
      <c r="HU31" s="387">
        <v>65.615106286748087</v>
      </c>
      <c r="HV31" s="388">
        <v>2351.6564263010346</v>
      </c>
      <c r="HW31" s="368">
        <v>65.62</v>
      </c>
      <c r="HX31" s="368">
        <v>2351.6564263010346</v>
      </c>
      <c r="HY31" s="368">
        <v>65.62</v>
      </c>
      <c r="HZ31" s="368">
        <v>2351.6564263010346</v>
      </c>
      <c r="IA31" s="368">
        <v>65.62</v>
      </c>
      <c r="IB31" s="368">
        <v>2351.6564263010346</v>
      </c>
      <c r="IC31" s="368">
        <v>65.62</v>
      </c>
      <c r="ID31" s="357">
        <f>VLOOKUP($C31,'[15]Prix accès'!A:D,4,FALSE)</f>
        <v>2351.6564263010346</v>
      </c>
      <c r="IE31" s="390">
        <v>65.62</v>
      </c>
      <c r="IF31" s="357">
        <f>VLOOKUP($C31,'[15]Prix accès'!$A:$D,4,FALSE)</f>
        <v>2351.6564263010346</v>
      </c>
      <c r="IG31" s="390">
        <v>65.62</v>
      </c>
      <c r="IH31" s="357">
        <f>VLOOKUP($C31,'[15]Prix accès'!$A:$D,4,FALSE)</f>
        <v>2351.6564263010346</v>
      </c>
      <c r="II31" s="390">
        <v>65.62</v>
      </c>
      <c r="IJ31" s="357">
        <f>VLOOKUP($C31,'[15]Prix accès'!$A:$D,4,FALSE)</f>
        <v>2351.6564263010346</v>
      </c>
      <c r="IK31" s="390">
        <v>65.62</v>
      </c>
      <c r="IL31" s="357">
        <f>VLOOKUP($C31,'[15]Prix accès'!$A:$D,4,FALSE)</f>
        <v>2351.6564263010346</v>
      </c>
      <c r="IM31" s="390">
        <v>65.62</v>
      </c>
      <c r="IN31" s="357">
        <f>VLOOKUP($C31,'[15]Prix accès'!$A:$D,4,FALSE)</f>
        <v>2351.6564263010346</v>
      </c>
      <c r="IO31" s="390">
        <v>65.62</v>
      </c>
      <c r="IP31" s="408">
        <v>10185.009180327868</v>
      </c>
      <c r="IQ31" s="409">
        <v>286.14622950819671</v>
      </c>
      <c r="IR31" s="414" t="s">
        <v>3325</v>
      </c>
      <c r="IS31" s="364" t="s">
        <v>77</v>
      </c>
      <c r="IT31" s="365">
        <v>43333</v>
      </c>
      <c r="IU31" s="439">
        <v>43466</v>
      </c>
      <c r="IV31" s="440">
        <v>44348</v>
      </c>
      <c r="IW31" s="372">
        <f t="shared" si="11"/>
        <v>133</v>
      </c>
      <c r="IX31" s="373">
        <f t="shared" si="12"/>
        <v>77.103489386919165</v>
      </c>
      <c r="IY31" s="394">
        <f t="shared" si="13"/>
        <v>10254.76408846025</v>
      </c>
      <c r="IZ31" s="394"/>
      <c r="JA31" s="394"/>
    </row>
    <row r="32" spans="1:261" s="367" customFormat="1" ht="16.5" customHeight="1" x14ac:dyDescent="0.3">
      <c r="A32" s="354" t="s">
        <v>2735</v>
      </c>
      <c r="B32" s="415" t="s">
        <v>2748</v>
      </c>
      <c r="C32" s="447" t="s">
        <v>225</v>
      </c>
      <c r="D32" s="448">
        <v>1149</v>
      </c>
      <c r="E32" s="449">
        <v>44</v>
      </c>
      <c r="F32" s="449">
        <v>32</v>
      </c>
      <c r="G32" s="449">
        <v>5</v>
      </c>
      <c r="H32" s="450">
        <v>0</v>
      </c>
      <c r="I32" s="830">
        <v>1225.2564263010347</v>
      </c>
      <c r="J32" s="831">
        <f>5</f>
        <v>5</v>
      </c>
      <c r="K32" s="827"/>
      <c r="L32" s="831">
        <v>1225.2564263010347</v>
      </c>
      <c r="M32" s="831">
        <f>5</f>
        <v>5</v>
      </c>
      <c r="N32" s="827"/>
      <c r="O32" s="831">
        <v>1225.2564263010347</v>
      </c>
      <c r="P32" s="831">
        <f>5</f>
        <v>5</v>
      </c>
      <c r="Q32" s="827"/>
      <c r="R32" s="831">
        <v>1225.2564263010347</v>
      </c>
      <c r="S32" s="831">
        <f>5</f>
        <v>5</v>
      </c>
      <c r="T32" s="827"/>
      <c r="U32" s="831">
        <v>1225.2564263010347</v>
      </c>
      <c r="V32" s="831">
        <f>5</f>
        <v>5</v>
      </c>
      <c r="W32" s="827"/>
      <c r="X32" s="831">
        <v>1225.2564263010347</v>
      </c>
      <c r="Y32" s="831">
        <f>5</f>
        <v>5</v>
      </c>
      <c r="Z32" s="827"/>
      <c r="AA32" s="831">
        <v>1225.2564263010347</v>
      </c>
      <c r="AB32" s="831">
        <f>5</f>
        <v>5</v>
      </c>
      <c r="AC32" s="827"/>
      <c r="AD32" s="831">
        <v>1225.2564263010347</v>
      </c>
      <c r="AE32" s="831">
        <f>5</f>
        <v>5</v>
      </c>
      <c r="AF32" s="827"/>
      <c r="AG32" s="831">
        <v>1225.2564263010347</v>
      </c>
      <c r="AH32" s="831">
        <f>5</f>
        <v>5</v>
      </c>
      <c r="AI32" s="827"/>
      <c r="AJ32" s="831">
        <v>1225.2564263010347</v>
      </c>
      <c r="AK32" s="831">
        <f>5</f>
        <v>5</v>
      </c>
      <c r="AL32" s="827"/>
      <c r="AM32" s="831">
        <v>1225.2564263010347</v>
      </c>
      <c r="AN32" s="831">
        <f>5</f>
        <v>5</v>
      </c>
      <c r="AO32" s="827"/>
      <c r="AP32" s="831">
        <v>1225.2564263010347</v>
      </c>
      <c r="AQ32" s="831">
        <f>5</f>
        <v>5</v>
      </c>
      <c r="AR32" s="827"/>
      <c r="AS32" s="831">
        <v>1225.2564263010347</v>
      </c>
      <c r="AT32" s="831">
        <f>5</f>
        <v>5</v>
      </c>
      <c r="AU32" s="827"/>
      <c r="AV32" s="831">
        <v>1225.2564263010347</v>
      </c>
      <c r="AW32" s="831">
        <f>5</f>
        <v>5</v>
      </c>
      <c r="AX32" s="827"/>
      <c r="AY32" s="831">
        <v>1225.2564263010347</v>
      </c>
      <c r="AZ32" s="831">
        <f>5</f>
        <v>5</v>
      </c>
      <c r="BA32" s="358"/>
      <c r="BB32" s="385">
        <v>1225.2564263010347</v>
      </c>
      <c r="BC32" s="385">
        <f>5</f>
        <v>5</v>
      </c>
      <c r="BD32" s="358"/>
      <c r="BE32" s="385">
        <v>1225.2564263010347</v>
      </c>
      <c r="BF32" s="385">
        <f>5</f>
        <v>5</v>
      </c>
      <c r="BG32" s="358"/>
      <c r="BH32" s="385">
        <v>1225.2564263010347</v>
      </c>
      <c r="BI32" s="385">
        <f>5</f>
        <v>5</v>
      </c>
      <c r="BJ32" s="358"/>
      <c r="BK32" s="385">
        <v>1225.2564263010347</v>
      </c>
      <c r="BL32" s="385">
        <f>5</f>
        <v>5</v>
      </c>
      <c r="BM32" s="358"/>
      <c r="BN32" s="385">
        <v>1225.2564263010347</v>
      </c>
      <c r="BO32" s="385">
        <f>5</f>
        <v>5</v>
      </c>
      <c r="BP32" s="358"/>
      <c r="BQ32" s="385">
        <v>1225.2564263010347</v>
      </c>
      <c r="BR32" s="385">
        <f>5</f>
        <v>5</v>
      </c>
      <c r="BS32" s="358"/>
      <c r="BT32" s="385">
        <v>1225.2564263010347</v>
      </c>
      <c r="BU32" s="385">
        <f>5</f>
        <v>5</v>
      </c>
      <c r="BV32" s="358"/>
      <c r="BW32" s="385">
        <v>1225.2564263010347</v>
      </c>
      <c r="BX32" s="385">
        <f>5</f>
        <v>5</v>
      </c>
      <c r="BY32" s="358"/>
      <c r="BZ32" s="385">
        <v>1225.2564263010347</v>
      </c>
      <c r="CA32" s="385">
        <f>5</f>
        <v>5</v>
      </c>
      <c r="CB32" s="358"/>
      <c r="CC32" s="385">
        <v>1225.2564263010347</v>
      </c>
      <c r="CD32" s="385">
        <f>5</f>
        <v>5</v>
      </c>
      <c r="CE32" s="358"/>
      <c r="CF32" s="385">
        <v>1225.2564263010347</v>
      </c>
      <c r="CG32" s="385">
        <f>5</f>
        <v>5</v>
      </c>
      <c r="CH32" s="358"/>
      <c r="CI32" s="385">
        <v>1225.2564263010347</v>
      </c>
      <c r="CJ32" s="385">
        <f>5</f>
        <v>5</v>
      </c>
      <c r="CK32" s="358"/>
      <c r="CL32" s="385">
        <v>1225.2564263010347</v>
      </c>
      <c r="CM32" s="385">
        <f>5</f>
        <v>5</v>
      </c>
      <c r="CN32" s="358"/>
      <c r="CO32" s="385">
        <v>1225.2564263010347</v>
      </c>
      <c r="CP32" s="385">
        <f>5</f>
        <v>5</v>
      </c>
      <c r="CQ32" s="358"/>
      <c r="CR32" s="385">
        <v>1225.2564263010347</v>
      </c>
      <c r="CS32" s="385">
        <f>5</f>
        <v>5</v>
      </c>
      <c r="CT32" s="358"/>
      <c r="CU32" s="385">
        <v>1225.2564263010347</v>
      </c>
      <c r="CV32" s="385">
        <f>5</f>
        <v>5</v>
      </c>
      <c r="CW32" s="358"/>
      <c r="CX32" s="385">
        <v>1225.2564263010347</v>
      </c>
      <c r="CY32" s="385">
        <f>5</f>
        <v>5</v>
      </c>
      <c r="CZ32" s="358"/>
      <c r="DA32" s="385">
        <v>1225.2564263010347</v>
      </c>
      <c r="DB32" s="385">
        <f>5</f>
        <v>5</v>
      </c>
      <c r="DC32" s="358"/>
      <c r="DD32" s="385">
        <v>1225.2564263010347</v>
      </c>
      <c r="DE32" s="385">
        <f>5</f>
        <v>5</v>
      </c>
      <c r="DF32" s="358"/>
      <c r="DG32" s="385">
        <v>1225.2564263010347</v>
      </c>
      <c r="DH32" s="385">
        <f>5</f>
        <v>5</v>
      </c>
      <c r="DI32" s="358"/>
      <c r="DJ32" s="385">
        <v>1225.2564263010347</v>
      </c>
      <c r="DK32" s="385">
        <f>5</f>
        <v>5</v>
      </c>
      <c r="DL32" s="358"/>
      <c r="DM32" s="385">
        <v>1225.2564263010347</v>
      </c>
      <c r="DN32" s="385">
        <f>5</f>
        <v>5</v>
      </c>
      <c r="DO32" s="358"/>
      <c r="DP32" s="385">
        <v>1225.2564263010347</v>
      </c>
      <c r="DQ32" s="385">
        <f>5</f>
        <v>5</v>
      </c>
      <c r="DR32" s="358"/>
      <c r="DS32" s="385">
        <v>1225.2564263010347</v>
      </c>
      <c r="DT32" s="385">
        <f>5</f>
        <v>5</v>
      </c>
      <c r="DU32" s="358"/>
      <c r="DV32" s="385">
        <v>1225.2564263010347</v>
      </c>
      <c r="DW32" s="385">
        <f>5</f>
        <v>5</v>
      </c>
      <c r="DX32" s="358"/>
      <c r="DY32" s="385">
        <v>1225.2564263010347</v>
      </c>
      <c r="DZ32" s="385">
        <f>5</f>
        <v>5</v>
      </c>
      <c r="EA32" s="358"/>
      <c r="EB32" s="385">
        <v>1225.2564263010347</v>
      </c>
      <c r="EC32" s="385">
        <f>5</f>
        <v>5</v>
      </c>
      <c r="ED32" s="358"/>
      <c r="EE32" s="385">
        <v>1225.2564263010347</v>
      </c>
      <c r="EF32" s="385">
        <f>5</f>
        <v>5</v>
      </c>
      <c r="EG32" s="358"/>
      <c r="EH32" s="385">
        <v>1225.2564263010347</v>
      </c>
      <c r="EI32" s="385">
        <f>5</f>
        <v>5</v>
      </c>
      <c r="EJ32" s="358"/>
      <c r="EK32" s="385">
        <v>1225.2564263010347</v>
      </c>
      <c r="EL32" s="385">
        <f>5</f>
        <v>5</v>
      </c>
      <c r="EM32" s="358"/>
      <c r="EN32" s="385">
        <v>1225.2564263010347</v>
      </c>
      <c r="EO32" s="385">
        <f>5</f>
        <v>5</v>
      </c>
      <c r="EP32" s="358"/>
      <c r="EQ32" s="385">
        <v>1225.2564263010347</v>
      </c>
      <c r="ER32" s="385">
        <f>5</f>
        <v>5</v>
      </c>
      <c r="ES32" s="358"/>
      <c r="ET32" s="385">
        <v>1225.2564263010347</v>
      </c>
      <c r="EU32" s="385">
        <f>5</f>
        <v>5</v>
      </c>
      <c r="EV32" s="358"/>
      <c r="EW32" s="385">
        <v>1225.2564263010347</v>
      </c>
      <c r="EX32" s="385">
        <f>5</f>
        <v>5</v>
      </c>
      <c r="EY32" s="358"/>
      <c r="EZ32" s="385">
        <v>1225.2564263010347</v>
      </c>
      <c r="FA32" s="385">
        <f>5</f>
        <v>5</v>
      </c>
      <c r="FB32" s="358"/>
      <c r="FC32" s="385">
        <v>1225.2564263010347</v>
      </c>
      <c r="FD32" s="385">
        <f>5</f>
        <v>5</v>
      </c>
      <c r="FE32" s="358"/>
      <c r="FF32" s="385">
        <v>1225.2564263010347</v>
      </c>
      <c r="FG32" s="385">
        <f>5</f>
        <v>5</v>
      </c>
      <c r="FH32" s="358"/>
      <c r="FI32" s="385">
        <v>1225.2564263010347</v>
      </c>
      <c r="FJ32" s="385">
        <f>5</f>
        <v>5</v>
      </c>
      <c r="FK32" s="358"/>
      <c r="FL32" s="385">
        <v>1225.2564263010347</v>
      </c>
      <c r="FM32" s="385">
        <f>5</f>
        <v>5</v>
      </c>
      <c r="FN32" s="358"/>
      <c r="FO32" s="385">
        <v>1225.2564263010347</v>
      </c>
      <c r="FP32" s="385">
        <f>5</f>
        <v>5</v>
      </c>
      <c r="FQ32" s="358"/>
      <c r="FR32" s="385">
        <v>1225.2564263010347</v>
      </c>
      <c r="FS32" s="385">
        <f>5</f>
        <v>5</v>
      </c>
      <c r="FT32" s="358"/>
      <c r="FU32" s="385">
        <v>1225.2564263010347</v>
      </c>
      <c r="FV32" s="385">
        <f>5</f>
        <v>5</v>
      </c>
      <c r="FW32" s="358"/>
      <c r="FX32" s="385">
        <v>1225.2564263010347</v>
      </c>
      <c r="FY32" s="385">
        <f>5</f>
        <v>5</v>
      </c>
      <c r="FZ32" s="358"/>
      <c r="GA32" s="385">
        <v>1225.2564263010347</v>
      </c>
      <c r="GB32" s="385">
        <f>5</f>
        <v>5</v>
      </c>
      <c r="GC32" s="358"/>
      <c r="GD32" s="385">
        <v>1225.2564263010347</v>
      </c>
      <c r="GE32" s="385">
        <f>5</f>
        <v>5</v>
      </c>
      <c r="GF32" s="358"/>
      <c r="GG32" s="385">
        <v>1225.2564263010347</v>
      </c>
      <c r="GH32" s="385">
        <f>5</f>
        <v>5</v>
      </c>
      <c r="GI32" s="358"/>
      <c r="GJ32" s="385">
        <v>1225.2564263010347</v>
      </c>
      <c r="GK32" s="385">
        <f>5</f>
        <v>5</v>
      </c>
      <c r="GL32" s="358"/>
      <c r="GM32" s="385">
        <v>1225.2564263010347</v>
      </c>
      <c r="GN32" s="385">
        <f>5</f>
        <v>5</v>
      </c>
      <c r="GO32" s="358"/>
      <c r="GP32" s="385">
        <v>1225.2564263010347</v>
      </c>
      <c r="GQ32" s="385">
        <f>5</f>
        <v>5</v>
      </c>
      <c r="GR32" s="358"/>
      <c r="GS32" s="385">
        <v>1225.2564263010347</v>
      </c>
      <c r="GT32" s="385">
        <f>5</f>
        <v>5</v>
      </c>
      <c r="GU32" s="358"/>
      <c r="GV32" s="385">
        <v>1225.2564263010347</v>
      </c>
      <c r="GW32" s="385">
        <f>5</f>
        <v>5</v>
      </c>
      <c r="GX32" s="358"/>
      <c r="GY32" s="385">
        <v>1225.2564263010347</v>
      </c>
      <c r="GZ32" s="385">
        <f>5</f>
        <v>5</v>
      </c>
      <c r="HA32" s="358"/>
      <c r="HB32" s="385">
        <v>1225.2564263010347</v>
      </c>
      <c r="HC32" s="385">
        <f>5</f>
        <v>5</v>
      </c>
      <c r="HD32" s="358"/>
      <c r="HE32" s="387">
        <v>1225.2564263010347</v>
      </c>
      <c r="HF32" s="386">
        <f>5*6</f>
        <v>30</v>
      </c>
      <c r="HG32" s="358"/>
      <c r="HH32" s="387">
        <v>1225.2564263010347</v>
      </c>
      <c r="HI32" s="358"/>
      <c r="HJ32" s="387">
        <v>1225.2564263010347</v>
      </c>
      <c r="HK32" s="358"/>
      <c r="HL32" s="387">
        <v>1225.2564263010347</v>
      </c>
      <c r="HM32" s="358"/>
      <c r="HN32" s="387">
        <v>1225.2564263010347</v>
      </c>
      <c r="HO32" s="358"/>
      <c r="HP32" s="387">
        <v>1225.2564263010347</v>
      </c>
      <c r="HQ32" s="358"/>
      <c r="HR32" s="387">
        <v>1225.2564263010347</v>
      </c>
      <c r="HS32" s="358"/>
      <c r="HT32" s="387">
        <v>1225.2564263010347</v>
      </c>
      <c r="HU32" s="358"/>
      <c r="HV32" s="388">
        <v>1225.2564263010347</v>
      </c>
      <c r="HW32" s="451"/>
      <c r="HX32" s="452">
        <v>1225.2564263010347</v>
      </c>
      <c r="HY32" s="451"/>
      <c r="HZ32" s="452">
        <v>1225.2564263010347</v>
      </c>
      <c r="IA32" s="451"/>
      <c r="IB32" s="452">
        <v>1225.2564263010347</v>
      </c>
      <c r="IC32" s="451"/>
      <c r="ID32" s="453">
        <f>VLOOKUP($C32,'[15]Prix accès'!A:D,4,FALSE)</f>
        <v>1225.2564263010347</v>
      </c>
      <c r="IE32" s="454"/>
      <c r="IF32" s="357">
        <f>VLOOKUP($C32,'[15]Prix accès'!$A:$D,4,FALSE)</f>
        <v>1225.2564263010347</v>
      </c>
      <c r="IG32" s="426"/>
      <c r="IH32" s="357">
        <f>VLOOKUP($C32,'[15]Prix accès'!$A:$D,4,FALSE)</f>
        <v>1225.2564263010347</v>
      </c>
      <c r="II32" s="361"/>
      <c r="IJ32" s="357">
        <f>VLOOKUP($C32,'[15]Prix accès'!$A:$D,4,FALSE)</f>
        <v>1225.2564263010347</v>
      </c>
      <c r="IK32" s="361"/>
      <c r="IL32" s="357">
        <f>VLOOKUP($C32,'[15]Prix accès'!$A:$D,4,FALSE)</f>
        <v>1225.2564263010347</v>
      </c>
      <c r="IM32" s="427"/>
      <c r="IN32" s="357">
        <f>VLOOKUP($C32,'[15]Prix accès'!$A:$D,4,FALSE)</f>
        <v>1225.2564263010347</v>
      </c>
      <c r="IO32" s="427"/>
      <c r="IP32" s="408">
        <v>5061.715072587881</v>
      </c>
      <c r="IQ32" s="427"/>
      <c r="IR32" s="429" t="s">
        <v>3071</v>
      </c>
      <c r="IS32" s="364" t="s">
        <v>77</v>
      </c>
      <c r="IT32" s="365">
        <v>43340</v>
      </c>
      <c r="IU32" s="371">
        <v>43466</v>
      </c>
      <c r="IW32" s="372">
        <f t="shared" si="11"/>
        <v>126</v>
      </c>
      <c r="IX32" s="373">
        <f t="shared" si="12"/>
        <v>40.172341845935563</v>
      </c>
      <c r="IY32" s="394">
        <f t="shared" si="13"/>
        <v>5061.715072587881</v>
      </c>
      <c r="IZ32" s="394"/>
      <c r="JA32" s="394"/>
    </row>
    <row r="33" spans="1:263" s="367" customFormat="1" ht="16.5" customHeight="1" x14ac:dyDescent="0.3">
      <c r="A33" s="401" t="s">
        <v>3315</v>
      </c>
      <c r="B33" s="402" t="s">
        <v>3315</v>
      </c>
      <c r="C33" s="434" t="s">
        <v>3326</v>
      </c>
      <c r="D33" s="856"/>
      <c r="E33" s="751"/>
      <c r="F33" s="751"/>
      <c r="G33" s="751"/>
      <c r="H33" s="857"/>
      <c r="I33" s="853">
        <v>0</v>
      </c>
      <c r="J33" s="833">
        <v>0</v>
      </c>
      <c r="K33" s="833">
        <v>0</v>
      </c>
      <c r="L33" s="833">
        <v>0</v>
      </c>
      <c r="M33" s="833">
        <v>0</v>
      </c>
      <c r="N33" s="833">
        <v>0</v>
      </c>
      <c r="O33" s="833">
        <v>0</v>
      </c>
      <c r="P33" s="833">
        <v>0</v>
      </c>
      <c r="Q33" s="833">
        <v>0</v>
      </c>
      <c r="R33" s="833">
        <v>0</v>
      </c>
      <c r="S33" s="833">
        <v>0</v>
      </c>
      <c r="T33" s="833">
        <v>0</v>
      </c>
      <c r="U33" s="833">
        <v>0</v>
      </c>
      <c r="V33" s="833">
        <v>0</v>
      </c>
      <c r="W33" s="833">
        <v>0</v>
      </c>
      <c r="X33" s="833">
        <v>0</v>
      </c>
      <c r="Y33" s="833">
        <v>0</v>
      </c>
      <c r="Z33" s="833">
        <v>0</v>
      </c>
      <c r="AA33" s="833">
        <v>0</v>
      </c>
      <c r="AB33" s="833">
        <v>0</v>
      </c>
      <c r="AC33" s="833">
        <v>0</v>
      </c>
      <c r="AD33" s="833">
        <v>0</v>
      </c>
      <c r="AE33" s="833">
        <v>0</v>
      </c>
      <c r="AF33" s="833">
        <v>0</v>
      </c>
      <c r="AG33" s="833">
        <v>0</v>
      </c>
      <c r="AH33" s="833">
        <v>0</v>
      </c>
      <c r="AI33" s="833">
        <v>0</v>
      </c>
      <c r="AJ33" s="833">
        <v>0</v>
      </c>
      <c r="AK33" s="833">
        <v>0</v>
      </c>
      <c r="AL33" s="833">
        <v>0</v>
      </c>
      <c r="AM33" s="833">
        <v>0</v>
      </c>
      <c r="AN33" s="833">
        <v>0</v>
      </c>
      <c r="AO33" s="833">
        <v>0</v>
      </c>
      <c r="AP33" s="833">
        <v>0</v>
      </c>
      <c r="AQ33" s="833">
        <v>0</v>
      </c>
      <c r="AR33" s="833">
        <v>0</v>
      </c>
      <c r="AS33" s="833">
        <v>0</v>
      </c>
      <c r="AT33" s="833">
        <v>0</v>
      </c>
      <c r="AU33" s="833">
        <v>0</v>
      </c>
      <c r="AV33" s="833"/>
      <c r="AW33" s="833"/>
      <c r="AX33" s="833"/>
      <c r="AY33" s="833"/>
      <c r="AZ33" s="833"/>
      <c r="BA33" s="455"/>
      <c r="BB33" s="404"/>
      <c r="BC33" s="404"/>
      <c r="BD33" s="455"/>
      <c r="BE33" s="404"/>
      <c r="BF33" s="404"/>
      <c r="BG33" s="455"/>
      <c r="BH33" s="404"/>
      <c r="BI33" s="404"/>
      <c r="BJ33" s="455"/>
      <c r="BK33" s="404"/>
      <c r="BL33" s="404"/>
      <c r="BM33" s="455"/>
      <c r="BN33" s="404"/>
      <c r="BO33" s="404"/>
      <c r="BP33" s="455"/>
      <c r="BQ33" s="404"/>
      <c r="BR33" s="404"/>
      <c r="BS33" s="455"/>
      <c r="BT33" s="404"/>
      <c r="BU33" s="404"/>
      <c r="BV33" s="455"/>
      <c r="BW33" s="404"/>
      <c r="BX33" s="404"/>
      <c r="BY33" s="455"/>
      <c r="BZ33" s="404"/>
      <c r="CA33" s="404"/>
      <c r="CB33" s="455"/>
      <c r="CC33" s="404"/>
      <c r="CD33" s="404"/>
      <c r="CE33" s="455"/>
      <c r="CF33" s="404"/>
      <c r="CG33" s="404"/>
      <c r="CH33" s="455"/>
      <c r="CI33" s="404"/>
      <c r="CJ33" s="404"/>
      <c r="CK33" s="455"/>
      <c r="CL33" s="404"/>
      <c r="CM33" s="404"/>
      <c r="CN33" s="455"/>
      <c r="CO33" s="404"/>
      <c r="CP33" s="404"/>
      <c r="CQ33" s="455"/>
      <c r="CR33" s="404"/>
      <c r="CS33" s="404"/>
      <c r="CT33" s="455"/>
      <c r="CU33" s="404"/>
      <c r="CV33" s="404"/>
      <c r="CW33" s="455"/>
      <c r="CX33" s="404"/>
      <c r="CY33" s="404"/>
      <c r="CZ33" s="455"/>
      <c r="DA33" s="404"/>
      <c r="DB33" s="404"/>
      <c r="DC33" s="455"/>
      <c r="DD33" s="404"/>
      <c r="DE33" s="404"/>
      <c r="DF33" s="455"/>
      <c r="DG33" s="404"/>
      <c r="DH33" s="404"/>
      <c r="DI33" s="455"/>
      <c r="DJ33" s="404"/>
      <c r="DK33" s="404"/>
      <c r="DL33" s="455"/>
      <c r="DM33" s="404"/>
      <c r="DN33" s="404"/>
      <c r="DO33" s="455"/>
      <c r="DP33" s="404"/>
      <c r="DQ33" s="404"/>
      <c r="DR33" s="455"/>
      <c r="DS33" s="404"/>
      <c r="DT33" s="404"/>
      <c r="DU33" s="455"/>
      <c r="DV33" s="404"/>
      <c r="DW33" s="404"/>
      <c r="DX33" s="455"/>
      <c r="DY33" s="404"/>
      <c r="DZ33" s="404"/>
      <c r="EA33" s="455"/>
      <c r="EB33" s="404"/>
      <c r="EC33" s="404"/>
      <c r="ED33" s="455"/>
      <c r="EE33" s="404"/>
      <c r="EF33" s="404"/>
      <c r="EG33" s="455"/>
      <c r="EH33" s="404"/>
      <c r="EI33" s="404"/>
      <c r="EJ33" s="455"/>
      <c r="EK33" s="385">
        <v>1341</v>
      </c>
      <c r="EL33" s="385">
        <f>14</f>
        <v>14</v>
      </c>
      <c r="EM33" s="358"/>
      <c r="EN33" s="385">
        <v>1341</v>
      </c>
      <c r="EO33" s="385">
        <f>14</f>
        <v>14</v>
      </c>
      <c r="EP33" s="358"/>
      <c r="EQ33" s="385">
        <v>1341</v>
      </c>
      <c r="ER33" s="385">
        <f>14</f>
        <v>14</v>
      </c>
      <c r="ES33" s="358"/>
      <c r="ET33" s="385">
        <v>1341</v>
      </c>
      <c r="EU33" s="385">
        <f>14</f>
        <v>14</v>
      </c>
      <c r="EV33" s="358"/>
      <c r="EW33" s="385">
        <v>1341</v>
      </c>
      <c r="EX33" s="385">
        <f>14</f>
        <v>14</v>
      </c>
      <c r="EY33" s="358"/>
      <c r="EZ33" s="385">
        <v>1341</v>
      </c>
      <c r="FA33" s="385">
        <f>14</f>
        <v>14</v>
      </c>
      <c r="FB33" s="358"/>
      <c r="FC33" s="385">
        <v>1341</v>
      </c>
      <c r="FD33" s="385">
        <f>14</f>
        <v>14</v>
      </c>
      <c r="FE33" s="358"/>
      <c r="FF33" s="385">
        <v>1341</v>
      </c>
      <c r="FG33" s="385">
        <f>14</f>
        <v>14</v>
      </c>
      <c r="FH33" s="358"/>
      <c r="FI33" s="385">
        <v>1341</v>
      </c>
      <c r="FJ33" s="385">
        <f>14</f>
        <v>14</v>
      </c>
      <c r="FK33" s="358"/>
      <c r="FL33" s="385">
        <v>1341</v>
      </c>
      <c r="FM33" s="385">
        <f>14</f>
        <v>14</v>
      </c>
      <c r="FN33" s="358"/>
      <c r="FO33" s="385">
        <v>1341</v>
      </c>
      <c r="FP33" s="385">
        <f>14</f>
        <v>14</v>
      </c>
      <c r="FQ33" s="358"/>
      <c r="FR33" s="385">
        <v>1341</v>
      </c>
      <c r="FS33" s="385">
        <f>14</f>
        <v>14</v>
      </c>
      <c r="FT33" s="358"/>
      <c r="FU33" s="385">
        <v>1341</v>
      </c>
      <c r="FV33" s="385">
        <f>14</f>
        <v>14</v>
      </c>
      <c r="FW33" s="358"/>
      <c r="FX33" s="385">
        <v>1341</v>
      </c>
      <c r="FY33" s="385">
        <f>14</f>
        <v>14</v>
      </c>
      <c r="FZ33" s="358"/>
      <c r="GA33" s="385">
        <v>1341</v>
      </c>
      <c r="GB33" s="385">
        <f>14</f>
        <v>14</v>
      </c>
      <c r="GC33" s="358"/>
      <c r="GD33" s="385">
        <v>1341</v>
      </c>
      <c r="GE33" s="385">
        <f>14</f>
        <v>14</v>
      </c>
      <c r="GF33" s="358"/>
      <c r="GG33" s="385">
        <v>1341</v>
      </c>
      <c r="GH33" s="385">
        <f>14</f>
        <v>14</v>
      </c>
      <c r="GI33" s="358"/>
      <c r="GJ33" s="385">
        <v>1341</v>
      </c>
      <c r="GK33" s="385">
        <f>14</f>
        <v>14</v>
      </c>
      <c r="GL33" s="358"/>
      <c r="GM33" s="385">
        <v>1341</v>
      </c>
      <c r="GN33" s="385">
        <f>14</f>
        <v>14</v>
      </c>
      <c r="GO33" s="358"/>
      <c r="GP33" s="385">
        <v>1341</v>
      </c>
      <c r="GQ33" s="385">
        <f>14</f>
        <v>14</v>
      </c>
      <c r="GR33" s="358"/>
      <c r="GS33" s="385">
        <v>1341</v>
      </c>
      <c r="GT33" s="385">
        <f>14</f>
        <v>14</v>
      </c>
      <c r="GU33" s="358"/>
      <c r="GV33" s="385">
        <v>1341</v>
      </c>
      <c r="GW33" s="385">
        <f>14</f>
        <v>14</v>
      </c>
      <c r="GX33" s="358"/>
      <c r="GY33" s="385">
        <v>1341</v>
      </c>
      <c r="GZ33" s="385">
        <f>14</f>
        <v>14</v>
      </c>
      <c r="HA33" s="358"/>
      <c r="HB33" s="385">
        <v>1341</v>
      </c>
      <c r="HC33" s="385">
        <f>14</f>
        <v>14</v>
      </c>
      <c r="HD33" s="358"/>
      <c r="HE33" s="385">
        <v>1341</v>
      </c>
      <c r="HF33" s="386">
        <f>14*6</f>
        <v>84</v>
      </c>
      <c r="HG33" s="370">
        <v>0</v>
      </c>
      <c r="HH33" s="385">
        <v>1341</v>
      </c>
      <c r="HI33" s="369">
        <v>65.615106286748087</v>
      </c>
      <c r="HJ33" s="386">
        <v>1539</v>
      </c>
      <c r="HK33" s="369">
        <v>65.615106286748087</v>
      </c>
      <c r="HL33" s="387">
        <v>1275.6400000000001</v>
      </c>
      <c r="HM33" s="369">
        <v>65.615106286748087</v>
      </c>
      <c r="HN33" s="387">
        <v>1275.6400000000001</v>
      </c>
      <c r="HO33" s="369">
        <v>65.615106286748087</v>
      </c>
      <c r="HP33" s="387">
        <v>1275.6400000000001</v>
      </c>
      <c r="HQ33" s="369">
        <v>65.615106286748087</v>
      </c>
      <c r="HR33" s="387">
        <v>1275.6400000000001</v>
      </c>
      <c r="HS33" s="369">
        <v>65.615106286748087</v>
      </c>
      <c r="HT33" s="387">
        <v>1275.6400000000001</v>
      </c>
      <c r="HU33" s="369">
        <v>65.615106286748087</v>
      </c>
      <c r="HV33" s="388">
        <v>1295.3121311475411</v>
      </c>
      <c r="HW33" s="368">
        <v>66</v>
      </c>
      <c r="HX33" s="388">
        <f>VLOOKUP(C33,'[15]Prix accès'!A:D,4,FALSE)-JC33</f>
        <v>1341</v>
      </c>
      <c r="HY33" s="368">
        <v>66</v>
      </c>
      <c r="HZ33" s="456">
        <v>1290.8715325877829</v>
      </c>
      <c r="IA33" s="457">
        <v>727.08196721311481</v>
      </c>
      <c r="IB33" s="456">
        <v>1290.8715325877829</v>
      </c>
      <c r="IC33" s="458"/>
      <c r="ID33" s="459">
        <f>VLOOKUP($C33,'[15]Prix accès'!A:D,4,FALSE)</f>
        <v>1341</v>
      </c>
      <c r="IE33" s="426"/>
      <c r="IF33" s="357">
        <f>VLOOKUP($C33,'[15]Prix accès'!$A:$D,4,FALSE)</f>
        <v>1341</v>
      </c>
      <c r="IG33" s="426"/>
      <c r="IH33" s="357">
        <f>VLOOKUP($C33,'[15]Prix accès'!$A:$D,4,FALSE)</f>
        <v>1341</v>
      </c>
      <c r="II33" s="361"/>
      <c r="IJ33" s="357">
        <f>VLOOKUP($C33,'[15]Prix accès'!$A:$D,4,FALSE)</f>
        <v>1341</v>
      </c>
      <c r="IK33" s="361"/>
      <c r="IL33" s="357">
        <f>VLOOKUP($C33,'[15]Prix accès'!$A:$D,4,FALSE)</f>
        <v>1341</v>
      </c>
      <c r="IM33" s="427"/>
      <c r="IN33" s="357">
        <f>VLOOKUP($C33,'[15]Prix accès'!$A:$D,4,FALSE)</f>
        <v>1341</v>
      </c>
      <c r="IO33" s="427"/>
      <c r="IP33" s="408">
        <v>5248.1334439634456</v>
      </c>
      <c r="IQ33" s="427"/>
      <c r="IR33" s="429" t="s">
        <v>3327</v>
      </c>
      <c r="IS33" s="364" t="s">
        <v>77</v>
      </c>
      <c r="IT33" s="365">
        <v>43342</v>
      </c>
      <c r="IU33" s="371">
        <v>43678</v>
      </c>
      <c r="IW33" s="372">
        <f t="shared" si="11"/>
        <v>336</v>
      </c>
      <c r="IX33" s="373">
        <f>66/30.5</f>
        <v>2.1639344262295084</v>
      </c>
      <c r="IY33" s="394">
        <f t="shared" si="13"/>
        <v>727.08196721311481</v>
      </c>
      <c r="IZ33" s="394"/>
      <c r="JA33" s="460"/>
      <c r="JC33" s="461"/>
    </row>
    <row r="34" spans="1:263" s="367" customFormat="1" ht="16.5" customHeight="1" x14ac:dyDescent="0.3">
      <c r="A34" s="354" t="s">
        <v>2735</v>
      </c>
      <c r="B34" s="415" t="s">
        <v>2784</v>
      </c>
      <c r="C34" s="447" t="s">
        <v>252</v>
      </c>
      <c r="D34" s="448">
        <v>1454</v>
      </c>
      <c r="E34" s="449">
        <v>165</v>
      </c>
      <c r="F34" s="449">
        <v>40</v>
      </c>
      <c r="G34" s="449">
        <v>36</v>
      </c>
      <c r="H34" s="450">
        <v>0</v>
      </c>
      <c r="I34" s="830">
        <v>1659</v>
      </c>
      <c r="J34" s="831">
        <f>36</f>
        <v>36</v>
      </c>
      <c r="K34" s="827"/>
      <c r="L34" s="831">
        <v>1659</v>
      </c>
      <c r="M34" s="831">
        <f>36</f>
        <v>36</v>
      </c>
      <c r="N34" s="827"/>
      <c r="O34" s="831">
        <v>1659</v>
      </c>
      <c r="P34" s="831">
        <f>36</f>
        <v>36</v>
      </c>
      <c r="Q34" s="827"/>
      <c r="R34" s="831">
        <v>1659</v>
      </c>
      <c r="S34" s="831">
        <f>36</f>
        <v>36</v>
      </c>
      <c r="T34" s="827"/>
      <c r="U34" s="831">
        <v>1659</v>
      </c>
      <c r="V34" s="831">
        <f>36</f>
        <v>36</v>
      </c>
      <c r="W34" s="827"/>
      <c r="X34" s="831">
        <v>1659</v>
      </c>
      <c r="Y34" s="831">
        <f>36</f>
        <v>36</v>
      </c>
      <c r="Z34" s="827"/>
      <c r="AA34" s="831">
        <v>1659</v>
      </c>
      <c r="AB34" s="831">
        <f>36</f>
        <v>36</v>
      </c>
      <c r="AC34" s="827"/>
      <c r="AD34" s="831">
        <v>1659</v>
      </c>
      <c r="AE34" s="831">
        <f>36</f>
        <v>36</v>
      </c>
      <c r="AF34" s="827"/>
      <c r="AG34" s="831">
        <v>1659</v>
      </c>
      <c r="AH34" s="831">
        <f>36</f>
        <v>36</v>
      </c>
      <c r="AI34" s="827"/>
      <c r="AJ34" s="831">
        <v>1659</v>
      </c>
      <c r="AK34" s="831">
        <f>36</f>
        <v>36</v>
      </c>
      <c r="AL34" s="827"/>
      <c r="AM34" s="831">
        <v>1659</v>
      </c>
      <c r="AN34" s="831">
        <f>36</f>
        <v>36</v>
      </c>
      <c r="AO34" s="827"/>
      <c r="AP34" s="831">
        <v>1659</v>
      </c>
      <c r="AQ34" s="831">
        <f>36</f>
        <v>36</v>
      </c>
      <c r="AR34" s="827"/>
      <c r="AS34" s="831">
        <v>1659</v>
      </c>
      <c r="AT34" s="831">
        <f>36</f>
        <v>36</v>
      </c>
      <c r="AU34" s="827"/>
      <c r="AV34" s="831">
        <v>1659</v>
      </c>
      <c r="AW34" s="831">
        <f>36</f>
        <v>36</v>
      </c>
      <c r="AX34" s="827"/>
      <c r="AY34" s="831">
        <v>1659</v>
      </c>
      <c r="AZ34" s="831">
        <f>36</f>
        <v>36</v>
      </c>
      <c r="BA34" s="358"/>
      <c r="BB34" s="385">
        <v>1659</v>
      </c>
      <c r="BC34" s="385">
        <f>36</f>
        <v>36</v>
      </c>
      <c r="BD34" s="358"/>
      <c r="BE34" s="385">
        <v>1659</v>
      </c>
      <c r="BF34" s="385">
        <f>36</f>
        <v>36</v>
      </c>
      <c r="BG34" s="358"/>
      <c r="BH34" s="385">
        <v>1659</v>
      </c>
      <c r="BI34" s="385">
        <f>36</f>
        <v>36</v>
      </c>
      <c r="BJ34" s="369"/>
      <c r="BK34" s="385">
        <v>1659</v>
      </c>
      <c r="BL34" s="385">
        <f>36</f>
        <v>36</v>
      </c>
      <c r="BM34" s="369"/>
      <c r="BN34" s="385">
        <v>1659</v>
      </c>
      <c r="BO34" s="385">
        <f>36</f>
        <v>36</v>
      </c>
      <c r="BP34" s="369"/>
      <c r="BQ34" s="385">
        <v>1659</v>
      </c>
      <c r="BR34" s="385">
        <f>36</f>
        <v>36</v>
      </c>
      <c r="BS34" s="369"/>
      <c r="BT34" s="385">
        <v>1659</v>
      </c>
      <c r="BU34" s="385">
        <f>36</f>
        <v>36</v>
      </c>
      <c r="BV34" s="369"/>
      <c r="BW34" s="385">
        <v>1659</v>
      </c>
      <c r="BX34" s="385">
        <f>36</f>
        <v>36</v>
      </c>
      <c r="BY34" s="369"/>
      <c r="BZ34" s="385">
        <v>1659</v>
      </c>
      <c r="CA34" s="385">
        <f>36</f>
        <v>36</v>
      </c>
      <c r="CB34" s="369"/>
      <c r="CC34" s="385">
        <v>1659</v>
      </c>
      <c r="CD34" s="385">
        <f>36</f>
        <v>36</v>
      </c>
      <c r="CE34" s="369"/>
      <c r="CF34" s="385">
        <v>1659</v>
      </c>
      <c r="CG34" s="385">
        <f>36</f>
        <v>36</v>
      </c>
      <c r="CH34" s="369"/>
      <c r="CI34" s="385">
        <v>1659</v>
      </c>
      <c r="CJ34" s="385">
        <f>36</f>
        <v>36</v>
      </c>
      <c r="CK34" s="369"/>
      <c r="CL34" s="385">
        <v>1659</v>
      </c>
      <c r="CM34" s="385">
        <f>36</f>
        <v>36</v>
      </c>
      <c r="CN34" s="369"/>
      <c r="CO34" s="385">
        <v>1659</v>
      </c>
      <c r="CP34" s="385">
        <f>36</f>
        <v>36</v>
      </c>
      <c r="CQ34" s="369"/>
      <c r="CR34" s="385">
        <v>1659</v>
      </c>
      <c r="CS34" s="385">
        <f>36</f>
        <v>36</v>
      </c>
      <c r="CT34" s="369"/>
      <c r="CU34" s="385">
        <v>1659</v>
      </c>
      <c r="CV34" s="385">
        <f>36</f>
        <v>36</v>
      </c>
      <c r="CW34" s="369"/>
      <c r="CX34" s="385">
        <v>1659</v>
      </c>
      <c r="CY34" s="385">
        <f>36</f>
        <v>36</v>
      </c>
      <c r="CZ34" s="369"/>
      <c r="DA34" s="385">
        <v>1659</v>
      </c>
      <c r="DB34" s="385">
        <f>36</f>
        <v>36</v>
      </c>
      <c r="DC34" s="369"/>
      <c r="DD34" s="385">
        <v>1659</v>
      </c>
      <c r="DE34" s="385">
        <f>36</f>
        <v>36</v>
      </c>
      <c r="DF34" s="369"/>
      <c r="DG34" s="385">
        <v>1659</v>
      </c>
      <c r="DH34" s="385">
        <f>36</f>
        <v>36</v>
      </c>
      <c r="DI34" s="369"/>
      <c r="DJ34" s="385">
        <v>1659</v>
      </c>
      <c r="DK34" s="385">
        <f>36</f>
        <v>36</v>
      </c>
      <c r="DL34" s="369"/>
      <c r="DM34" s="385">
        <v>1659</v>
      </c>
      <c r="DN34" s="385">
        <f>36</f>
        <v>36</v>
      </c>
      <c r="DO34" s="369"/>
      <c r="DP34" s="385">
        <v>1659</v>
      </c>
      <c r="DQ34" s="385">
        <f>36</f>
        <v>36</v>
      </c>
      <c r="DR34" s="369"/>
      <c r="DS34" s="385">
        <v>1659</v>
      </c>
      <c r="DT34" s="385">
        <f>36</f>
        <v>36</v>
      </c>
      <c r="DU34" s="369"/>
      <c r="DV34" s="386">
        <f>(((1797-1643)/30.5)*5)+((1797-1643)*8)+(((1797-1643)/30.5)*24)+(((1659-1643)/30.5)*7)+1659</f>
        <v>3041.0983606557375</v>
      </c>
      <c r="DW34" s="386">
        <f>36</f>
        <v>36</v>
      </c>
      <c r="DX34" s="370"/>
      <c r="DY34" s="385">
        <v>1642.8564263010346</v>
      </c>
      <c r="DZ34" s="385">
        <f>36</f>
        <v>36</v>
      </c>
      <c r="EA34" s="358"/>
      <c r="EB34" s="385">
        <v>1642.8564263010346</v>
      </c>
      <c r="EC34" s="385">
        <f>36</f>
        <v>36</v>
      </c>
      <c r="ED34" s="358"/>
      <c r="EE34" s="385">
        <v>1642.8564263010346</v>
      </c>
      <c r="EF34" s="385">
        <f>36</f>
        <v>36</v>
      </c>
      <c r="EG34" s="358"/>
      <c r="EH34" s="385">
        <v>1642.8564263010346</v>
      </c>
      <c r="EI34" s="385">
        <f>36</f>
        <v>36</v>
      </c>
      <c r="EJ34" s="358"/>
      <c r="EK34" s="385">
        <v>1642.8564263010346</v>
      </c>
      <c r="EL34" s="385">
        <f>36</f>
        <v>36</v>
      </c>
      <c r="EM34" s="358"/>
      <c r="EN34" s="385">
        <v>1642.8564263010346</v>
      </c>
      <c r="EO34" s="385">
        <f>36</f>
        <v>36</v>
      </c>
      <c r="EP34" s="358"/>
      <c r="EQ34" s="385">
        <v>1642.8564263010346</v>
      </c>
      <c r="ER34" s="385">
        <f>36</f>
        <v>36</v>
      </c>
      <c r="ES34" s="358"/>
      <c r="ET34" s="385">
        <v>1642.8564263010346</v>
      </c>
      <c r="EU34" s="385">
        <f>36</f>
        <v>36</v>
      </c>
      <c r="EV34" s="358"/>
      <c r="EW34" s="385">
        <v>1642.8564263010346</v>
      </c>
      <c r="EX34" s="385">
        <f>36</f>
        <v>36</v>
      </c>
      <c r="EY34" s="358"/>
      <c r="EZ34" s="385">
        <v>1642.8564263010346</v>
      </c>
      <c r="FA34" s="385">
        <f>36</f>
        <v>36</v>
      </c>
      <c r="FB34" s="358"/>
      <c r="FC34" s="385">
        <v>1642.8564263010346</v>
      </c>
      <c r="FD34" s="385">
        <f>36</f>
        <v>36</v>
      </c>
      <c r="FE34" s="358"/>
      <c r="FF34" s="385">
        <v>1642.8564263010346</v>
      </c>
      <c r="FG34" s="385">
        <f>36</f>
        <v>36</v>
      </c>
      <c r="FH34" s="358"/>
      <c r="FI34" s="385">
        <v>1642.8564263010346</v>
      </c>
      <c r="FJ34" s="385">
        <f>36</f>
        <v>36</v>
      </c>
      <c r="FK34" s="358"/>
      <c r="FL34" s="385">
        <v>1642.8564263010346</v>
      </c>
      <c r="FM34" s="385">
        <f>36</f>
        <v>36</v>
      </c>
      <c r="FN34" s="358"/>
      <c r="FO34" s="385">
        <v>1642.8564263010346</v>
      </c>
      <c r="FP34" s="385">
        <f>36</f>
        <v>36</v>
      </c>
      <c r="FQ34" s="358"/>
      <c r="FR34" s="385">
        <v>1642.8564263010346</v>
      </c>
      <c r="FS34" s="385">
        <f>36</f>
        <v>36</v>
      </c>
      <c r="FT34" s="358"/>
      <c r="FU34" s="385">
        <v>1642.8564263010346</v>
      </c>
      <c r="FV34" s="385">
        <f>36</f>
        <v>36</v>
      </c>
      <c r="FW34" s="358"/>
      <c r="FX34" s="385">
        <v>1642.8564263010346</v>
      </c>
      <c r="FY34" s="385">
        <f>36</f>
        <v>36</v>
      </c>
      <c r="FZ34" s="358"/>
      <c r="GA34" s="385">
        <v>1642.8564263010346</v>
      </c>
      <c r="GB34" s="385">
        <f>36</f>
        <v>36</v>
      </c>
      <c r="GC34" s="358"/>
      <c r="GD34" s="385">
        <v>1642.8564263010346</v>
      </c>
      <c r="GE34" s="385">
        <f>36</f>
        <v>36</v>
      </c>
      <c r="GF34" s="358"/>
      <c r="GG34" s="385">
        <v>1642.8564263010346</v>
      </c>
      <c r="GH34" s="385">
        <f>36</f>
        <v>36</v>
      </c>
      <c r="GI34" s="358"/>
      <c r="GJ34" s="385">
        <v>1642.8564263010346</v>
      </c>
      <c r="GK34" s="385">
        <f>36</f>
        <v>36</v>
      </c>
      <c r="GL34" s="358"/>
      <c r="GM34" s="385">
        <v>1642.8564263010346</v>
      </c>
      <c r="GN34" s="385">
        <f>36</f>
        <v>36</v>
      </c>
      <c r="GO34" s="358"/>
      <c r="GP34" s="385">
        <v>1642.8564263010346</v>
      </c>
      <c r="GQ34" s="385">
        <f>36</f>
        <v>36</v>
      </c>
      <c r="GR34" s="358"/>
      <c r="GS34" s="385">
        <v>1642.8564263010346</v>
      </c>
      <c r="GT34" s="385">
        <f>36</f>
        <v>36</v>
      </c>
      <c r="GU34" s="358"/>
      <c r="GV34" s="385">
        <v>1642.8564263010346</v>
      </c>
      <c r="GW34" s="385">
        <f>36</f>
        <v>36</v>
      </c>
      <c r="GX34" s="358"/>
      <c r="GY34" s="385">
        <v>1642.8564263010346</v>
      </c>
      <c r="GZ34" s="385">
        <f>36</f>
        <v>36</v>
      </c>
      <c r="HA34" s="358"/>
      <c r="HB34" s="385">
        <v>1642.8564263010346</v>
      </c>
      <c r="HC34" s="385">
        <f>36</f>
        <v>36</v>
      </c>
      <c r="HD34" s="358"/>
      <c r="HE34" s="387">
        <v>1642.8564263010346</v>
      </c>
      <c r="HF34" s="386">
        <f>36*6</f>
        <v>216</v>
      </c>
      <c r="HG34" s="370">
        <v>0</v>
      </c>
      <c r="HH34" s="387">
        <v>1642.8564263010346</v>
      </c>
      <c r="HI34" s="369">
        <v>65.615106286748087</v>
      </c>
      <c r="HJ34" s="387">
        <v>1642.8564263010346</v>
      </c>
      <c r="HK34" s="369">
        <v>65.615106286748087</v>
      </c>
      <c r="HL34" s="387">
        <v>1642.8564263010346</v>
      </c>
      <c r="HM34" s="369">
        <v>65.615106286748087</v>
      </c>
      <c r="HN34" s="387">
        <v>1642.8564263010346</v>
      </c>
      <c r="HO34" s="369">
        <v>65.615106286748087</v>
      </c>
      <c r="HP34" s="387">
        <v>1642.8564263010346</v>
      </c>
      <c r="HQ34" s="369">
        <v>65.615106286748087</v>
      </c>
      <c r="HR34" s="387">
        <v>1642.8564263010346</v>
      </c>
      <c r="HS34" s="369">
        <v>65.615106286748087</v>
      </c>
      <c r="HT34" s="387">
        <v>1642.8564263010346</v>
      </c>
      <c r="HU34" s="369">
        <v>65.615106286748087</v>
      </c>
      <c r="HV34" s="388">
        <v>1642.8564263010346</v>
      </c>
      <c r="HW34" s="368">
        <v>65.62</v>
      </c>
      <c r="HX34" s="388">
        <f>VLOOKUP(C34,'[15]Prix accès'!A:D,4,FALSE)-JC34</f>
        <v>1642.8564263010346</v>
      </c>
      <c r="HY34" s="368">
        <v>65.62</v>
      </c>
      <c r="HZ34" s="424">
        <v>1708.4715325877828</v>
      </c>
      <c r="IA34" s="462">
        <v>714.09836065573779</v>
      </c>
      <c r="IB34" s="424">
        <v>1708.4715325877828</v>
      </c>
      <c r="IC34" s="425"/>
      <c r="ID34" s="357">
        <f>VLOOKUP($C34,'[15]Prix accès'!A:D,4,FALSE)</f>
        <v>1642.8564263010346</v>
      </c>
      <c r="IE34" s="426"/>
      <c r="IF34" s="357">
        <f>VLOOKUP($C34,'[15]Prix accès'!$A:$D,4,FALSE)</f>
        <v>1642.8564263010346</v>
      </c>
      <c r="IG34" s="426"/>
      <c r="IH34" s="357">
        <f>VLOOKUP($C34,'[15]Prix accès'!$A:$D,4,FALSE)</f>
        <v>1642.8564263010346</v>
      </c>
      <c r="II34" s="426"/>
      <c r="IJ34" s="357">
        <f>VLOOKUP($C34,'[15]Prix accès'!$A:$D,4,FALSE)</f>
        <v>1642.8564263010346</v>
      </c>
      <c r="IK34" s="426"/>
      <c r="IL34" s="357">
        <f>VLOOKUP($C34,'[15]Prix accès'!$A:$D,4,FALSE)</f>
        <v>1642.8564263010346</v>
      </c>
      <c r="IM34" s="427"/>
      <c r="IN34" s="357">
        <f>VLOOKUP($C34,'[15]Prix accès'!$A:$D,4,FALSE)</f>
        <v>1642.8564263010346</v>
      </c>
      <c r="IO34" s="427"/>
      <c r="IP34" s="428">
        <v>6609.8242900117493</v>
      </c>
      <c r="IQ34" s="427"/>
      <c r="IR34" s="463" t="s">
        <v>2974</v>
      </c>
      <c r="IS34" s="364" t="s">
        <v>77</v>
      </c>
      <c r="IT34" s="365">
        <v>43348</v>
      </c>
      <c r="IU34" s="371">
        <v>43678</v>
      </c>
      <c r="IV34" s="464">
        <v>44588</v>
      </c>
      <c r="IW34" s="372">
        <f t="shared" si="11"/>
        <v>330</v>
      </c>
      <c r="IX34" s="373">
        <f>66/30.5</f>
        <v>2.1639344262295084</v>
      </c>
      <c r="IY34" s="394">
        <f t="shared" si="13"/>
        <v>714.09836065573779</v>
      </c>
      <c r="IZ34" s="394"/>
      <c r="JA34" s="460"/>
      <c r="JC34" s="461"/>
    </row>
    <row r="35" spans="1:263" s="367" customFormat="1" ht="16.5" customHeight="1" x14ac:dyDescent="0.3">
      <c r="A35" s="354" t="s">
        <v>2735</v>
      </c>
      <c r="B35" s="465" t="s">
        <v>2765</v>
      </c>
      <c r="C35" s="466" t="s">
        <v>183</v>
      </c>
      <c r="D35" s="467">
        <v>1249</v>
      </c>
      <c r="E35" s="468">
        <v>71</v>
      </c>
      <c r="F35" s="468">
        <v>96</v>
      </c>
      <c r="G35" s="468">
        <v>14</v>
      </c>
      <c r="H35" s="469">
        <v>0</v>
      </c>
      <c r="I35" s="841">
        <f>(1415+576)</f>
        <v>1991</v>
      </c>
      <c r="J35" s="835">
        <f>14</f>
        <v>14</v>
      </c>
      <c r="K35" s="827"/>
      <c r="L35" s="835">
        <v>1367</v>
      </c>
      <c r="M35" s="835">
        <f>14</f>
        <v>14</v>
      </c>
      <c r="N35" s="827"/>
      <c r="O35" s="835">
        <v>1367</v>
      </c>
      <c r="P35" s="835">
        <f>14</f>
        <v>14</v>
      </c>
      <c r="Q35" s="827"/>
      <c r="R35" s="835">
        <v>1367</v>
      </c>
      <c r="S35" s="835">
        <f>14</f>
        <v>14</v>
      </c>
      <c r="T35" s="827"/>
      <c r="U35" s="835">
        <v>1367</v>
      </c>
      <c r="V35" s="835">
        <f>14</f>
        <v>14</v>
      </c>
      <c r="W35" s="827"/>
      <c r="X35" s="835">
        <v>1367</v>
      </c>
      <c r="Y35" s="835">
        <f>14</f>
        <v>14</v>
      </c>
      <c r="Z35" s="827"/>
      <c r="AA35" s="835">
        <v>1367</v>
      </c>
      <c r="AB35" s="835">
        <f>14</f>
        <v>14</v>
      </c>
      <c r="AC35" s="827"/>
      <c r="AD35" s="835">
        <v>1367</v>
      </c>
      <c r="AE35" s="835">
        <f>14</f>
        <v>14</v>
      </c>
      <c r="AF35" s="827"/>
      <c r="AG35" s="835">
        <v>1367</v>
      </c>
      <c r="AH35" s="835">
        <f>14</f>
        <v>14</v>
      </c>
      <c r="AI35" s="827"/>
      <c r="AJ35" s="835">
        <v>1367</v>
      </c>
      <c r="AK35" s="835">
        <f>14</f>
        <v>14</v>
      </c>
      <c r="AL35" s="827"/>
      <c r="AM35" s="835">
        <v>1367</v>
      </c>
      <c r="AN35" s="835">
        <f>14</f>
        <v>14</v>
      </c>
      <c r="AO35" s="827"/>
      <c r="AP35" s="835">
        <v>1367</v>
      </c>
      <c r="AQ35" s="835">
        <f>14</f>
        <v>14</v>
      </c>
      <c r="AR35" s="827"/>
      <c r="AS35" s="835">
        <v>1367</v>
      </c>
      <c r="AT35" s="835">
        <f>14</f>
        <v>14</v>
      </c>
      <c r="AU35" s="827"/>
      <c r="AV35" s="835">
        <v>1367</v>
      </c>
      <c r="AW35" s="835">
        <f>14</f>
        <v>14</v>
      </c>
      <c r="AX35" s="827"/>
      <c r="AY35" s="831">
        <v>1367</v>
      </c>
      <c r="AZ35" s="831">
        <f>14</f>
        <v>14</v>
      </c>
      <c r="BA35" s="358"/>
      <c r="BB35" s="385">
        <v>1367</v>
      </c>
      <c r="BC35" s="385">
        <f>14</f>
        <v>14</v>
      </c>
      <c r="BD35" s="358"/>
      <c r="BE35" s="385">
        <v>1367</v>
      </c>
      <c r="BF35" s="385">
        <f>14</f>
        <v>14</v>
      </c>
      <c r="BG35" s="358"/>
      <c r="BH35" s="385">
        <v>1367</v>
      </c>
      <c r="BI35" s="385">
        <f>14</f>
        <v>14</v>
      </c>
      <c r="BJ35" s="369"/>
      <c r="BK35" s="385">
        <v>1367</v>
      </c>
      <c r="BL35" s="385">
        <f>14</f>
        <v>14</v>
      </c>
      <c r="BM35" s="369"/>
      <c r="BN35" s="385">
        <v>1367</v>
      </c>
      <c r="BO35" s="385">
        <f>14</f>
        <v>14</v>
      </c>
      <c r="BP35" s="369"/>
      <c r="BQ35" s="385">
        <v>1367</v>
      </c>
      <c r="BR35" s="385">
        <f>14</f>
        <v>14</v>
      </c>
      <c r="BS35" s="369"/>
      <c r="BT35" s="385">
        <v>1367</v>
      </c>
      <c r="BU35" s="385">
        <f>14</f>
        <v>14</v>
      </c>
      <c r="BV35" s="369"/>
      <c r="BW35" s="385">
        <v>1367</v>
      </c>
      <c r="BX35" s="385">
        <f>14</f>
        <v>14</v>
      </c>
      <c r="BY35" s="369"/>
      <c r="BZ35" s="385">
        <v>1367</v>
      </c>
      <c r="CA35" s="385">
        <f>14</f>
        <v>14</v>
      </c>
      <c r="CB35" s="369"/>
      <c r="CC35" s="385">
        <v>1367</v>
      </c>
      <c r="CD35" s="385">
        <f>14</f>
        <v>14</v>
      </c>
      <c r="CE35" s="369"/>
      <c r="CF35" s="385">
        <v>1367</v>
      </c>
      <c r="CG35" s="385">
        <f>14</f>
        <v>14</v>
      </c>
      <c r="CH35" s="369"/>
      <c r="CI35" s="385">
        <v>1367</v>
      </c>
      <c r="CJ35" s="385">
        <f>14</f>
        <v>14</v>
      </c>
      <c r="CK35" s="369"/>
      <c r="CL35" s="385">
        <v>1367</v>
      </c>
      <c r="CM35" s="385">
        <f>14</f>
        <v>14</v>
      </c>
      <c r="CN35" s="369"/>
      <c r="CO35" s="385">
        <v>1367</v>
      </c>
      <c r="CP35" s="385">
        <f>14</f>
        <v>14</v>
      </c>
      <c r="CQ35" s="369"/>
      <c r="CR35" s="386">
        <v>1367</v>
      </c>
      <c r="CS35" s="386">
        <f>14</f>
        <v>14</v>
      </c>
      <c r="CT35" s="370"/>
      <c r="CU35" s="385">
        <v>1718.6564263010346</v>
      </c>
      <c r="CV35" s="385">
        <f>14</f>
        <v>14</v>
      </c>
      <c r="CW35" s="358"/>
      <c r="CX35" s="385">
        <v>1718.6564263010346</v>
      </c>
      <c r="CY35" s="385">
        <f>14</f>
        <v>14</v>
      </c>
      <c r="CZ35" s="358"/>
      <c r="DA35" s="385">
        <v>1718.6564263010346</v>
      </c>
      <c r="DB35" s="385">
        <f>14</f>
        <v>14</v>
      </c>
      <c r="DC35" s="358"/>
      <c r="DD35" s="385">
        <v>1718.6564263010346</v>
      </c>
      <c r="DE35" s="385">
        <f>14</f>
        <v>14</v>
      </c>
      <c r="DF35" s="358"/>
      <c r="DG35" s="385">
        <v>1718.6564263010346</v>
      </c>
      <c r="DH35" s="385">
        <f>14</f>
        <v>14</v>
      </c>
      <c r="DI35" s="358"/>
      <c r="DJ35" s="385">
        <v>1718.6564263010346</v>
      </c>
      <c r="DK35" s="385">
        <f>14</f>
        <v>14</v>
      </c>
      <c r="DL35" s="358"/>
      <c r="DM35" s="385">
        <v>1718.6564263010346</v>
      </c>
      <c r="DN35" s="385">
        <f>14</f>
        <v>14</v>
      </c>
      <c r="DO35" s="358"/>
      <c r="DP35" s="385">
        <v>1718.6564263010346</v>
      </c>
      <c r="DQ35" s="385">
        <f>14</f>
        <v>14</v>
      </c>
      <c r="DR35" s="358"/>
      <c r="DS35" s="385">
        <v>1718.6564263010346</v>
      </c>
      <c r="DT35" s="385">
        <f>14</f>
        <v>14</v>
      </c>
      <c r="DU35" s="358"/>
      <c r="DV35" s="385">
        <v>1718.6564263010346</v>
      </c>
      <c r="DW35" s="385">
        <f>14</f>
        <v>14</v>
      </c>
      <c r="DX35" s="358"/>
      <c r="DY35" s="385">
        <v>1718.6564263010346</v>
      </c>
      <c r="DZ35" s="385">
        <f>14</f>
        <v>14</v>
      </c>
      <c r="EA35" s="358"/>
      <c r="EB35" s="385">
        <v>1718.6564263010346</v>
      </c>
      <c r="EC35" s="385">
        <f>14</f>
        <v>14</v>
      </c>
      <c r="ED35" s="358"/>
      <c r="EE35" s="385">
        <v>1718.6564263010346</v>
      </c>
      <c r="EF35" s="385">
        <f>14</f>
        <v>14</v>
      </c>
      <c r="EG35" s="358"/>
      <c r="EH35" s="385">
        <v>1718.6564263010346</v>
      </c>
      <c r="EI35" s="385">
        <f>14</f>
        <v>14</v>
      </c>
      <c r="EJ35" s="358"/>
      <c r="EK35" s="385">
        <v>1718.6564263010346</v>
      </c>
      <c r="EL35" s="385">
        <f>14</f>
        <v>14</v>
      </c>
      <c r="EM35" s="358"/>
      <c r="EN35" s="385">
        <v>1718.6564263010346</v>
      </c>
      <c r="EO35" s="385">
        <f>14</f>
        <v>14</v>
      </c>
      <c r="EP35" s="358"/>
      <c r="EQ35" s="385">
        <v>1718.6564263010346</v>
      </c>
      <c r="ER35" s="385">
        <f>14</f>
        <v>14</v>
      </c>
      <c r="ES35" s="358"/>
      <c r="ET35" s="385">
        <v>1718.6564263010346</v>
      </c>
      <c r="EU35" s="385">
        <f>14</f>
        <v>14</v>
      </c>
      <c r="EV35" s="358"/>
      <c r="EW35" s="385">
        <v>1718.6564263010346</v>
      </c>
      <c r="EX35" s="385">
        <f>14</f>
        <v>14</v>
      </c>
      <c r="EY35" s="358"/>
      <c r="EZ35" s="385">
        <v>1718.6564263010346</v>
      </c>
      <c r="FA35" s="385">
        <f>14</f>
        <v>14</v>
      </c>
      <c r="FB35" s="358"/>
      <c r="FC35" s="385">
        <v>1718.6564263010346</v>
      </c>
      <c r="FD35" s="385">
        <f>14</f>
        <v>14</v>
      </c>
      <c r="FE35" s="358"/>
      <c r="FF35" s="385">
        <v>1718.6564263010346</v>
      </c>
      <c r="FG35" s="385">
        <f>14</f>
        <v>14</v>
      </c>
      <c r="FH35" s="358"/>
      <c r="FI35" s="385">
        <v>1718.6564263010346</v>
      </c>
      <c r="FJ35" s="385">
        <f>14</f>
        <v>14</v>
      </c>
      <c r="FK35" s="358"/>
      <c r="FL35" s="385">
        <v>1718.6564263010346</v>
      </c>
      <c r="FM35" s="385">
        <f>14</f>
        <v>14</v>
      </c>
      <c r="FN35" s="358"/>
      <c r="FO35" s="385">
        <v>1718.6564263010346</v>
      </c>
      <c r="FP35" s="385">
        <f>14</f>
        <v>14</v>
      </c>
      <c r="FQ35" s="358"/>
      <c r="FR35" s="385">
        <v>1718.6564263010346</v>
      </c>
      <c r="FS35" s="385">
        <f>14</f>
        <v>14</v>
      </c>
      <c r="FT35" s="358"/>
      <c r="FU35" s="385">
        <v>1718.6564263010346</v>
      </c>
      <c r="FV35" s="385">
        <f>14</f>
        <v>14</v>
      </c>
      <c r="FW35" s="358"/>
      <c r="FX35" s="385">
        <v>1718.6564263010346</v>
      </c>
      <c r="FY35" s="385">
        <f>14</f>
        <v>14</v>
      </c>
      <c r="FZ35" s="358"/>
      <c r="GA35" s="385">
        <v>1718.6564263010346</v>
      </c>
      <c r="GB35" s="385">
        <f>14</f>
        <v>14</v>
      </c>
      <c r="GC35" s="358"/>
      <c r="GD35" s="385">
        <v>1718.6564263010346</v>
      </c>
      <c r="GE35" s="385">
        <f>14</f>
        <v>14</v>
      </c>
      <c r="GF35" s="358"/>
      <c r="GG35" s="385">
        <v>1718.6564263010346</v>
      </c>
      <c r="GH35" s="385">
        <f>14</f>
        <v>14</v>
      </c>
      <c r="GI35" s="358"/>
      <c r="GJ35" s="385">
        <v>1718.6564263010346</v>
      </c>
      <c r="GK35" s="385">
        <f>14</f>
        <v>14</v>
      </c>
      <c r="GL35" s="358"/>
      <c r="GM35" s="385">
        <v>1718.6564263010346</v>
      </c>
      <c r="GN35" s="385">
        <f>14</f>
        <v>14</v>
      </c>
      <c r="GO35" s="358"/>
      <c r="GP35" s="385">
        <v>1718.6564263010346</v>
      </c>
      <c r="GQ35" s="385">
        <f>14</f>
        <v>14</v>
      </c>
      <c r="GR35" s="358"/>
      <c r="GS35" s="385">
        <v>1718.6564263010346</v>
      </c>
      <c r="GT35" s="385">
        <f>14</f>
        <v>14</v>
      </c>
      <c r="GU35" s="358"/>
      <c r="GV35" s="385">
        <v>1718.6564263010346</v>
      </c>
      <c r="GW35" s="385">
        <f>14</f>
        <v>14</v>
      </c>
      <c r="GX35" s="358"/>
      <c r="GY35" s="385">
        <v>1718.6564263010346</v>
      </c>
      <c r="GZ35" s="385">
        <f>14</f>
        <v>14</v>
      </c>
      <c r="HA35" s="358"/>
      <c r="HB35" s="385">
        <v>1718.6564263010346</v>
      </c>
      <c r="HC35" s="385">
        <f>14</f>
        <v>14</v>
      </c>
      <c r="HD35" s="358"/>
      <c r="HE35" s="387">
        <v>1718.6564263010346</v>
      </c>
      <c r="HF35" s="386">
        <f>14*6</f>
        <v>84</v>
      </c>
      <c r="HG35" s="370">
        <v>0</v>
      </c>
      <c r="HH35" s="387">
        <v>1718.6564263010346</v>
      </c>
      <c r="HI35" s="369">
        <v>65.615106286748087</v>
      </c>
      <c r="HJ35" s="387">
        <v>1718.6564263010346</v>
      </c>
      <c r="HK35" s="369">
        <v>65.615106286748087</v>
      </c>
      <c r="HL35" s="387">
        <v>1718.6564263010346</v>
      </c>
      <c r="HM35" s="369">
        <v>65.615106286748087</v>
      </c>
      <c r="HN35" s="387">
        <v>1718.6564263010346</v>
      </c>
      <c r="HO35" s="369">
        <v>65.615106286748087</v>
      </c>
      <c r="HP35" s="387">
        <v>1718.6564263010346</v>
      </c>
      <c r="HQ35" s="369">
        <v>65.615106286748087</v>
      </c>
      <c r="HR35" s="387">
        <v>1718.6564263010346</v>
      </c>
      <c r="HS35" s="369">
        <v>65.615106286748087</v>
      </c>
      <c r="HT35" s="387">
        <v>1718.6564263010346</v>
      </c>
      <c r="HU35" s="369">
        <v>65.615106286748087</v>
      </c>
      <c r="HV35" s="388">
        <v>1718.6564263010346</v>
      </c>
      <c r="HW35" s="368">
        <v>65.62</v>
      </c>
      <c r="HX35" s="388" t="e">
        <f>VLOOKUP(C35,'[15]Prix accès'!A:D,4,FALSE)-JC35</f>
        <v>#N/A</v>
      </c>
      <c r="HY35" s="368">
        <v>65.62</v>
      </c>
      <c r="HZ35" s="424">
        <v>1784.2715325877828</v>
      </c>
      <c r="IA35" s="462">
        <v>711.93442622950829</v>
      </c>
      <c r="IB35" s="424">
        <v>1784.2715325877828</v>
      </c>
      <c r="IC35" s="425"/>
      <c r="ID35" s="357" t="e">
        <f>VLOOKUP($C35,'[15]Prix accès'!A:D,4,FALSE)</f>
        <v>#N/A</v>
      </c>
      <c r="IE35" s="426"/>
      <c r="IF35" s="357" t="e">
        <f>VLOOKUP($C35,'[15]Prix accès'!$A:$D,4,FALSE)</f>
        <v>#N/A</v>
      </c>
      <c r="IG35" s="426"/>
      <c r="IH35" s="357" t="e">
        <f>VLOOKUP($C35,'[15]Prix accès'!$A:$D,4,FALSE)</f>
        <v>#N/A</v>
      </c>
      <c r="II35" s="361"/>
      <c r="IJ35" s="357" t="e">
        <f>VLOOKUP($C35,'[15]Prix accès'!$A:$D,4,FALSE)</f>
        <v>#N/A</v>
      </c>
      <c r="IK35" s="361"/>
      <c r="IL35" s="357" t="e">
        <f>VLOOKUP($C35,'[15]Prix accès'!$A:$D,4,FALSE)</f>
        <v>#N/A</v>
      </c>
      <c r="IM35" s="427"/>
      <c r="IN35" s="357" t="e">
        <f>VLOOKUP($C35,'[15]Prix accès'!$A:$D,4,FALSE)</f>
        <v>#N/A</v>
      </c>
      <c r="IO35" s="427"/>
      <c r="IP35" s="428">
        <v>6844.5826004187074</v>
      </c>
      <c r="IQ35" s="427"/>
      <c r="IR35" s="463" t="s">
        <v>3157</v>
      </c>
      <c r="IS35" s="364" t="s">
        <v>77</v>
      </c>
      <c r="IT35" s="365">
        <v>43349</v>
      </c>
      <c r="IU35" s="371">
        <v>43678</v>
      </c>
      <c r="IW35" s="372">
        <f t="shared" si="11"/>
        <v>329</v>
      </c>
      <c r="IX35" s="373">
        <f>66/30.5</f>
        <v>2.1639344262295084</v>
      </c>
      <c r="IY35" s="394">
        <f t="shared" si="13"/>
        <v>711.93442622950829</v>
      </c>
      <c r="IZ35" s="394"/>
      <c r="JA35" s="460"/>
      <c r="JC35" s="461"/>
    </row>
    <row r="36" spans="1:263" s="367" customFormat="1" ht="16.5" customHeight="1" x14ac:dyDescent="0.3">
      <c r="A36" s="354" t="s">
        <v>2735</v>
      </c>
      <c r="B36" s="465" t="s">
        <v>2771</v>
      </c>
      <c r="C36" s="466" t="s">
        <v>282</v>
      </c>
      <c r="D36" s="467">
        <v>1995</v>
      </c>
      <c r="E36" s="468">
        <v>239</v>
      </c>
      <c r="F36" s="468">
        <v>48</v>
      </c>
      <c r="G36" s="468">
        <v>108</v>
      </c>
      <c r="H36" s="469">
        <v>0</v>
      </c>
      <c r="I36" s="841">
        <f>(2282+384)</f>
        <v>2666</v>
      </c>
      <c r="J36" s="831">
        <f>108</f>
        <v>108</v>
      </c>
      <c r="K36" s="827"/>
      <c r="L36" s="831">
        <v>2250.2564263010345</v>
      </c>
      <c r="M36" s="831">
        <f>108</f>
        <v>108</v>
      </c>
      <c r="N36" s="827"/>
      <c r="O36" s="831">
        <v>2250.2564263010345</v>
      </c>
      <c r="P36" s="831">
        <f>108</f>
        <v>108</v>
      </c>
      <c r="Q36" s="827"/>
      <c r="R36" s="831">
        <v>2250.2564263010345</v>
      </c>
      <c r="S36" s="831">
        <f>108</f>
        <v>108</v>
      </c>
      <c r="T36" s="827"/>
      <c r="U36" s="831">
        <v>2250.2564263010345</v>
      </c>
      <c r="V36" s="831">
        <f>108</f>
        <v>108</v>
      </c>
      <c r="W36" s="827"/>
      <c r="X36" s="831">
        <v>2250.2564263010345</v>
      </c>
      <c r="Y36" s="831">
        <f>108</f>
        <v>108</v>
      </c>
      <c r="Z36" s="827"/>
      <c r="AA36" s="831">
        <v>2250.2564263010345</v>
      </c>
      <c r="AB36" s="831">
        <f>108</f>
        <v>108</v>
      </c>
      <c r="AC36" s="827"/>
      <c r="AD36" s="831">
        <v>2250.2564263010345</v>
      </c>
      <c r="AE36" s="831">
        <f>108</f>
        <v>108</v>
      </c>
      <c r="AF36" s="827"/>
      <c r="AG36" s="831">
        <v>2250.2564263010345</v>
      </c>
      <c r="AH36" s="831">
        <f>108</f>
        <v>108</v>
      </c>
      <c r="AI36" s="827"/>
      <c r="AJ36" s="831">
        <v>2250.2564263010345</v>
      </c>
      <c r="AK36" s="831">
        <f>108</f>
        <v>108</v>
      </c>
      <c r="AL36" s="827"/>
      <c r="AM36" s="831">
        <v>2250.2564263010345</v>
      </c>
      <c r="AN36" s="831">
        <f>108</f>
        <v>108</v>
      </c>
      <c r="AO36" s="827"/>
      <c r="AP36" s="831">
        <v>2250.2564263010345</v>
      </c>
      <c r="AQ36" s="831">
        <f>108</f>
        <v>108</v>
      </c>
      <c r="AR36" s="827"/>
      <c r="AS36" s="831">
        <v>2250.2564263010345</v>
      </c>
      <c r="AT36" s="831">
        <f>108</f>
        <v>108</v>
      </c>
      <c r="AU36" s="827"/>
      <c r="AV36" s="831">
        <v>2250.2564263010345</v>
      </c>
      <c r="AW36" s="831">
        <f>108</f>
        <v>108</v>
      </c>
      <c r="AX36" s="827"/>
      <c r="AY36" s="831">
        <v>2250.2564263010345</v>
      </c>
      <c r="AZ36" s="831">
        <f>108</f>
        <v>108</v>
      </c>
      <c r="BA36" s="358"/>
      <c r="BB36" s="385">
        <v>2250.2564263010345</v>
      </c>
      <c r="BC36" s="385">
        <f>108</f>
        <v>108</v>
      </c>
      <c r="BD36" s="358"/>
      <c r="BE36" s="385">
        <v>2250.2564263010345</v>
      </c>
      <c r="BF36" s="385">
        <f>108</f>
        <v>108</v>
      </c>
      <c r="BG36" s="358"/>
      <c r="BH36" s="385">
        <v>2250.2564263010345</v>
      </c>
      <c r="BI36" s="385">
        <f>108</f>
        <v>108</v>
      </c>
      <c r="BJ36" s="358"/>
      <c r="BK36" s="385">
        <v>2250.2564263010345</v>
      </c>
      <c r="BL36" s="385">
        <f>108</f>
        <v>108</v>
      </c>
      <c r="BM36" s="358"/>
      <c r="BN36" s="385">
        <v>2250.2564263010345</v>
      </c>
      <c r="BO36" s="385">
        <f>108</f>
        <v>108</v>
      </c>
      <c r="BP36" s="358"/>
      <c r="BQ36" s="385">
        <v>2250.2564263010345</v>
      </c>
      <c r="BR36" s="385">
        <f>108</f>
        <v>108</v>
      </c>
      <c r="BS36" s="358"/>
      <c r="BT36" s="385">
        <v>2250.2564263010345</v>
      </c>
      <c r="BU36" s="385">
        <f>108</f>
        <v>108</v>
      </c>
      <c r="BV36" s="358"/>
      <c r="BW36" s="385">
        <v>2250.2564263010345</v>
      </c>
      <c r="BX36" s="385">
        <f>108</f>
        <v>108</v>
      </c>
      <c r="BY36" s="358"/>
      <c r="BZ36" s="385">
        <v>2250.2564263010345</v>
      </c>
      <c r="CA36" s="385">
        <f>108</f>
        <v>108</v>
      </c>
      <c r="CB36" s="358"/>
      <c r="CC36" s="385">
        <v>2250.2564263010345</v>
      </c>
      <c r="CD36" s="385">
        <f>108</f>
        <v>108</v>
      </c>
      <c r="CE36" s="358"/>
      <c r="CF36" s="385">
        <v>2250.2564263010345</v>
      </c>
      <c r="CG36" s="385">
        <f>108</f>
        <v>108</v>
      </c>
      <c r="CH36" s="358"/>
      <c r="CI36" s="385">
        <v>2250.2564263010345</v>
      </c>
      <c r="CJ36" s="385">
        <f>108</f>
        <v>108</v>
      </c>
      <c r="CK36" s="358"/>
      <c r="CL36" s="385">
        <v>2250.2564263010345</v>
      </c>
      <c r="CM36" s="385">
        <f>108</f>
        <v>108</v>
      </c>
      <c r="CN36" s="358"/>
      <c r="CO36" s="385">
        <v>2250.2564263010345</v>
      </c>
      <c r="CP36" s="385">
        <f>108</f>
        <v>108</v>
      </c>
      <c r="CQ36" s="358"/>
      <c r="CR36" s="385">
        <v>2250.2564263010345</v>
      </c>
      <c r="CS36" s="385">
        <f>108</f>
        <v>108</v>
      </c>
      <c r="CT36" s="358"/>
      <c r="CU36" s="385">
        <v>2250.2564263010345</v>
      </c>
      <c r="CV36" s="385">
        <f>108</f>
        <v>108</v>
      </c>
      <c r="CW36" s="358"/>
      <c r="CX36" s="385">
        <v>2250.2564263010345</v>
      </c>
      <c r="CY36" s="385">
        <f>108</f>
        <v>108</v>
      </c>
      <c r="CZ36" s="358"/>
      <c r="DA36" s="385">
        <v>2250.2564263010345</v>
      </c>
      <c r="DB36" s="385">
        <f>108</f>
        <v>108</v>
      </c>
      <c r="DC36" s="358"/>
      <c r="DD36" s="385">
        <v>2250.2564263010345</v>
      </c>
      <c r="DE36" s="385">
        <f>108</f>
        <v>108</v>
      </c>
      <c r="DF36" s="358"/>
      <c r="DG36" s="385">
        <v>2250.2564263010345</v>
      </c>
      <c r="DH36" s="385">
        <f>108</f>
        <v>108</v>
      </c>
      <c r="DI36" s="358"/>
      <c r="DJ36" s="385">
        <v>2250.2564263010345</v>
      </c>
      <c r="DK36" s="385">
        <f>108</f>
        <v>108</v>
      </c>
      <c r="DL36" s="358"/>
      <c r="DM36" s="385">
        <v>2250.2564263010345</v>
      </c>
      <c r="DN36" s="385">
        <f>108</f>
        <v>108</v>
      </c>
      <c r="DO36" s="358"/>
      <c r="DP36" s="385">
        <v>2250.2564263010345</v>
      </c>
      <c r="DQ36" s="385">
        <f>108</f>
        <v>108</v>
      </c>
      <c r="DR36" s="358"/>
      <c r="DS36" s="385">
        <v>2250.2564263010345</v>
      </c>
      <c r="DT36" s="385">
        <f>108</f>
        <v>108</v>
      </c>
      <c r="DU36" s="358"/>
      <c r="DV36" s="385">
        <v>2250.2564263010345</v>
      </c>
      <c r="DW36" s="385">
        <f>108</f>
        <v>108</v>
      </c>
      <c r="DX36" s="358"/>
      <c r="DY36" s="385">
        <v>2250.2564263010345</v>
      </c>
      <c r="DZ36" s="385">
        <f>108</f>
        <v>108</v>
      </c>
      <c r="EA36" s="358"/>
      <c r="EB36" s="385">
        <v>2250.2564263010345</v>
      </c>
      <c r="EC36" s="385">
        <f>108</f>
        <v>108</v>
      </c>
      <c r="ED36" s="358"/>
      <c r="EE36" s="385">
        <v>2250.2564263010345</v>
      </c>
      <c r="EF36" s="385">
        <f>108</f>
        <v>108</v>
      </c>
      <c r="EG36" s="358"/>
      <c r="EH36" s="385">
        <v>2250.2564263010345</v>
      </c>
      <c r="EI36" s="385">
        <f>108</f>
        <v>108</v>
      </c>
      <c r="EJ36" s="358"/>
      <c r="EK36" s="385">
        <v>2250.2564263010345</v>
      </c>
      <c r="EL36" s="385">
        <f>108</f>
        <v>108</v>
      </c>
      <c r="EM36" s="358"/>
      <c r="EN36" s="385">
        <v>2250.2564263010345</v>
      </c>
      <c r="EO36" s="385">
        <f>108</f>
        <v>108</v>
      </c>
      <c r="EP36" s="358"/>
      <c r="EQ36" s="385">
        <v>2250.2564263010345</v>
      </c>
      <c r="ER36" s="385">
        <f>108</f>
        <v>108</v>
      </c>
      <c r="ES36" s="358"/>
      <c r="ET36" s="385">
        <v>2250.2564263010345</v>
      </c>
      <c r="EU36" s="385">
        <f>108</f>
        <v>108</v>
      </c>
      <c r="EV36" s="358"/>
      <c r="EW36" s="385">
        <v>2250.2564263010345</v>
      </c>
      <c r="EX36" s="385">
        <f>108</f>
        <v>108</v>
      </c>
      <c r="EY36" s="358"/>
      <c r="EZ36" s="385">
        <v>2250.2564263010345</v>
      </c>
      <c r="FA36" s="385">
        <f>108</f>
        <v>108</v>
      </c>
      <c r="FB36" s="358"/>
      <c r="FC36" s="385">
        <v>2250.2564263010345</v>
      </c>
      <c r="FD36" s="385">
        <f>108</f>
        <v>108</v>
      </c>
      <c r="FE36" s="358"/>
      <c r="FF36" s="385">
        <v>2250.2564263010345</v>
      </c>
      <c r="FG36" s="385">
        <f>108</f>
        <v>108</v>
      </c>
      <c r="FH36" s="358"/>
      <c r="FI36" s="385">
        <v>2250.2564263010345</v>
      </c>
      <c r="FJ36" s="385">
        <f>108</f>
        <v>108</v>
      </c>
      <c r="FK36" s="358"/>
      <c r="FL36" s="385">
        <v>2250.2564263010345</v>
      </c>
      <c r="FM36" s="385">
        <f>108</f>
        <v>108</v>
      </c>
      <c r="FN36" s="358"/>
      <c r="FO36" s="385">
        <v>2250.2564263010345</v>
      </c>
      <c r="FP36" s="385">
        <f>108</f>
        <v>108</v>
      </c>
      <c r="FQ36" s="358"/>
      <c r="FR36" s="385">
        <v>2250.2564263010345</v>
      </c>
      <c r="FS36" s="385">
        <f>108</f>
        <v>108</v>
      </c>
      <c r="FT36" s="358"/>
      <c r="FU36" s="385">
        <v>2250.2564263010345</v>
      </c>
      <c r="FV36" s="385">
        <f>108</f>
        <v>108</v>
      </c>
      <c r="FW36" s="358"/>
      <c r="FX36" s="385">
        <v>2250.2564263010345</v>
      </c>
      <c r="FY36" s="385">
        <f>108</f>
        <v>108</v>
      </c>
      <c r="FZ36" s="358"/>
      <c r="GA36" s="385">
        <v>2250.2564263010345</v>
      </c>
      <c r="GB36" s="385">
        <f>108</f>
        <v>108</v>
      </c>
      <c r="GC36" s="358"/>
      <c r="GD36" s="385">
        <v>2250.2564263010345</v>
      </c>
      <c r="GE36" s="385">
        <f>108</f>
        <v>108</v>
      </c>
      <c r="GF36" s="358"/>
      <c r="GG36" s="385">
        <v>2250.2564263010345</v>
      </c>
      <c r="GH36" s="385">
        <f>108</f>
        <v>108</v>
      </c>
      <c r="GI36" s="358"/>
      <c r="GJ36" s="385">
        <v>2250.2564263010345</v>
      </c>
      <c r="GK36" s="385">
        <f>108</f>
        <v>108</v>
      </c>
      <c r="GL36" s="358"/>
      <c r="GM36" s="385">
        <v>2250.2564263010345</v>
      </c>
      <c r="GN36" s="385">
        <f>108</f>
        <v>108</v>
      </c>
      <c r="GO36" s="358"/>
      <c r="GP36" s="385">
        <v>2250.2564263010345</v>
      </c>
      <c r="GQ36" s="385">
        <f>108</f>
        <v>108</v>
      </c>
      <c r="GR36" s="358"/>
      <c r="GS36" s="385">
        <v>2250.2564263010345</v>
      </c>
      <c r="GT36" s="385">
        <f>108</f>
        <v>108</v>
      </c>
      <c r="GU36" s="358"/>
      <c r="GV36" s="385">
        <v>2250.2564263010345</v>
      </c>
      <c r="GW36" s="385">
        <f>108</f>
        <v>108</v>
      </c>
      <c r="GX36" s="358"/>
      <c r="GY36" s="385">
        <v>2250.2564263010345</v>
      </c>
      <c r="GZ36" s="385">
        <f>108</f>
        <v>108</v>
      </c>
      <c r="HA36" s="358"/>
      <c r="HB36" s="385">
        <v>2250.2564263010345</v>
      </c>
      <c r="HC36" s="385">
        <f>108</f>
        <v>108</v>
      </c>
      <c r="HD36" s="358"/>
      <c r="HE36" s="387">
        <v>2250.2564263010345</v>
      </c>
      <c r="HF36" s="386">
        <f>108*6</f>
        <v>648</v>
      </c>
      <c r="HG36" s="370">
        <v>0</v>
      </c>
      <c r="HH36" s="387">
        <v>2250.2564263010345</v>
      </c>
      <c r="HI36" s="369">
        <v>65.615106286748087</v>
      </c>
      <c r="HJ36" s="387">
        <v>2250.2564263010345</v>
      </c>
      <c r="HK36" s="369">
        <v>65.615106286748087</v>
      </c>
      <c r="HL36" s="387">
        <v>2250.2564263010345</v>
      </c>
      <c r="HM36" s="369">
        <v>65.615106286748087</v>
      </c>
      <c r="HN36" s="387">
        <v>2250.2564263010345</v>
      </c>
      <c r="HO36" s="369">
        <v>65.615106286748087</v>
      </c>
      <c r="HP36" s="387">
        <v>2250.2564263010345</v>
      </c>
      <c r="HQ36" s="369">
        <v>65.615106286748087</v>
      </c>
      <c r="HR36" s="387">
        <v>2250.2564263010345</v>
      </c>
      <c r="HS36" s="369">
        <v>65.615106286748087</v>
      </c>
      <c r="HT36" s="387">
        <v>2250.2564263010345</v>
      </c>
      <c r="HU36" s="369">
        <v>65.615106286748087</v>
      </c>
      <c r="HV36" s="388">
        <v>2250.2564263010345</v>
      </c>
      <c r="HW36" s="423">
        <v>66</v>
      </c>
      <c r="HX36" s="424">
        <v>2315.8715325877824</v>
      </c>
      <c r="HY36" s="425"/>
      <c r="HZ36" s="424">
        <v>2315.8715325877824</v>
      </c>
      <c r="IA36" s="425"/>
      <c r="IB36" s="424">
        <v>2315.8715325877824</v>
      </c>
      <c r="IC36" s="425"/>
      <c r="ID36" s="357">
        <f>VLOOKUP($C36,'[15]Prix accès'!A:D,4,FALSE)</f>
        <v>2250.2564263010345</v>
      </c>
      <c r="IE36" s="426"/>
      <c r="IF36" s="357">
        <f>VLOOKUP($C36,'[15]Prix accès'!$A:$D,4,FALSE)</f>
        <v>2250.2564263010345</v>
      </c>
      <c r="IG36" s="426"/>
      <c r="IH36" s="357">
        <f>VLOOKUP($C36,'[15]Prix accès'!$A:$D,4,FALSE)</f>
        <v>2250.2564263010345</v>
      </c>
      <c r="II36" s="361"/>
      <c r="IJ36" s="357">
        <f>VLOOKUP($C36,'[15]Prix accès'!$A:$D,4,FALSE)</f>
        <v>2250.2564263010345</v>
      </c>
      <c r="IK36" s="361"/>
      <c r="IL36" s="357">
        <f>VLOOKUP($C36,'[15]Prix accès'!$A:$D,4,FALSE)</f>
        <v>2250.2564263010345</v>
      </c>
      <c r="IM36" s="427"/>
      <c r="IN36" s="357">
        <f>VLOOKUP($C36,'[15]Prix accès'!$A:$D,4,FALSE)</f>
        <v>2250.2564263010345</v>
      </c>
      <c r="IO36" s="427"/>
      <c r="IP36" s="428">
        <v>8883.8350594350995</v>
      </c>
      <c r="IQ36" s="427"/>
      <c r="IR36" s="463" t="s">
        <v>3107</v>
      </c>
      <c r="IS36" s="364" t="s">
        <v>77</v>
      </c>
      <c r="IT36" s="365">
        <v>43349</v>
      </c>
      <c r="IU36" s="371">
        <v>43466</v>
      </c>
      <c r="IW36" s="372">
        <f t="shared" si="11"/>
        <v>117</v>
      </c>
      <c r="IX36" s="373">
        <f t="shared" ref="IX36:IX99" si="14">ID36/30.5</f>
        <v>73.778899222984734</v>
      </c>
      <c r="IY36" s="394">
        <f t="shared" si="13"/>
        <v>8632.1312090892134</v>
      </c>
      <c r="IZ36" s="394"/>
      <c r="JA36" s="394"/>
    </row>
    <row r="37" spans="1:263" s="367" customFormat="1" ht="16.5" customHeight="1" x14ac:dyDescent="0.3">
      <c r="A37" s="354" t="s">
        <v>2735</v>
      </c>
      <c r="B37" s="470" t="s">
        <v>2791</v>
      </c>
      <c r="C37" s="466" t="s">
        <v>203</v>
      </c>
      <c r="D37" s="467">
        <v>1454</v>
      </c>
      <c r="E37" s="468">
        <v>71</v>
      </c>
      <c r="F37" s="468">
        <v>32</v>
      </c>
      <c r="G37" s="468">
        <v>36</v>
      </c>
      <c r="H37" s="469">
        <v>0</v>
      </c>
      <c r="I37" s="841">
        <v>1556</v>
      </c>
      <c r="J37" s="835">
        <v>36</v>
      </c>
      <c r="K37" s="827"/>
      <c r="L37" s="835">
        <v>1556</v>
      </c>
      <c r="M37" s="835">
        <v>36</v>
      </c>
      <c r="N37" s="827"/>
      <c r="O37" s="835">
        <v>1556</v>
      </c>
      <c r="P37" s="835">
        <v>36</v>
      </c>
      <c r="Q37" s="827"/>
      <c r="R37" s="835">
        <v>1556</v>
      </c>
      <c r="S37" s="835">
        <v>36</v>
      </c>
      <c r="T37" s="827"/>
      <c r="U37" s="835">
        <v>1556</v>
      </c>
      <c r="V37" s="835">
        <v>36</v>
      </c>
      <c r="W37" s="827"/>
      <c r="X37" s="842">
        <f>((1556-1335)/30.5*45)+1556</f>
        <v>1882.0655737704917</v>
      </c>
      <c r="Y37" s="842">
        <f>((36-14)/30.5)*45+36</f>
        <v>68.459016393442624</v>
      </c>
      <c r="Z37" s="827"/>
      <c r="AA37" s="831">
        <v>1335.4564263010345</v>
      </c>
      <c r="AB37" s="831">
        <f>14</f>
        <v>14</v>
      </c>
      <c r="AC37" s="827"/>
      <c r="AD37" s="831">
        <v>1335.4564263010345</v>
      </c>
      <c r="AE37" s="831">
        <f>14</f>
        <v>14</v>
      </c>
      <c r="AF37" s="827"/>
      <c r="AG37" s="831">
        <v>1335.4564263010345</v>
      </c>
      <c r="AH37" s="831">
        <f>14</f>
        <v>14</v>
      </c>
      <c r="AI37" s="827"/>
      <c r="AJ37" s="831">
        <v>1335.4564263010345</v>
      </c>
      <c r="AK37" s="831">
        <f>14</f>
        <v>14</v>
      </c>
      <c r="AL37" s="827"/>
      <c r="AM37" s="831">
        <v>1335.4564263010345</v>
      </c>
      <c r="AN37" s="831">
        <f>14</f>
        <v>14</v>
      </c>
      <c r="AO37" s="827"/>
      <c r="AP37" s="831">
        <v>1335.4564263010345</v>
      </c>
      <c r="AQ37" s="831">
        <f>14</f>
        <v>14</v>
      </c>
      <c r="AR37" s="827"/>
      <c r="AS37" s="831">
        <v>1335.4564263010345</v>
      </c>
      <c r="AT37" s="831">
        <f>14</f>
        <v>14</v>
      </c>
      <c r="AU37" s="827"/>
      <c r="AV37" s="831">
        <v>1335.4564263010345</v>
      </c>
      <c r="AW37" s="831">
        <f>14</f>
        <v>14</v>
      </c>
      <c r="AX37" s="827"/>
      <c r="AY37" s="831">
        <v>1335.4564263010345</v>
      </c>
      <c r="AZ37" s="831">
        <f>14</f>
        <v>14</v>
      </c>
      <c r="BA37" s="358"/>
      <c r="BB37" s="385">
        <v>1335.4564263010345</v>
      </c>
      <c r="BC37" s="385">
        <f>14</f>
        <v>14</v>
      </c>
      <c r="BD37" s="358"/>
      <c r="BE37" s="385">
        <v>1335.4564263010345</v>
      </c>
      <c r="BF37" s="385">
        <f>14</f>
        <v>14</v>
      </c>
      <c r="BG37" s="358"/>
      <c r="BH37" s="385">
        <v>1335.4564263010345</v>
      </c>
      <c r="BI37" s="385">
        <f>14</f>
        <v>14</v>
      </c>
      <c r="BJ37" s="358"/>
      <c r="BK37" s="385">
        <v>1335.4564263010345</v>
      </c>
      <c r="BL37" s="385">
        <f>14</f>
        <v>14</v>
      </c>
      <c r="BM37" s="358"/>
      <c r="BN37" s="385">
        <v>1335.4564263010345</v>
      </c>
      <c r="BO37" s="385">
        <f>14</f>
        <v>14</v>
      </c>
      <c r="BP37" s="358"/>
      <c r="BQ37" s="385">
        <v>1335.4564263010345</v>
      </c>
      <c r="BR37" s="385">
        <f>14</f>
        <v>14</v>
      </c>
      <c r="BS37" s="358"/>
      <c r="BT37" s="385">
        <v>1335.4564263010345</v>
      </c>
      <c r="BU37" s="385">
        <f>14</f>
        <v>14</v>
      </c>
      <c r="BV37" s="358"/>
      <c r="BW37" s="385">
        <v>1335.4564263010345</v>
      </c>
      <c r="BX37" s="385">
        <f>14</f>
        <v>14</v>
      </c>
      <c r="BY37" s="358"/>
      <c r="BZ37" s="385">
        <v>1335.4564263010345</v>
      </c>
      <c r="CA37" s="385">
        <f>14</f>
        <v>14</v>
      </c>
      <c r="CB37" s="358"/>
      <c r="CC37" s="385">
        <v>1335.4564263010345</v>
      </c>
      <c r="CD37" s="385">
        <f>14</f>
        <v>14</v>
      </c>
      <c r="CE37" s="358"/>
      <c r="CF37" s="385">
        <v>1335.4564263010345</v>
      </c>
      <c r="CG37" s="385">
        <f>14</f>
        <v>14</v>
      </c>
      <c r="CH37" s="358"/>
      <c r="CI37" s="385">
        <v>1335.4564263010345</v>
      </c>
      <c r="CJ37" s="385">
        <f>14</f>
        <v>14</v>
      </c>
      <c r="CK37" s="358"/>
      <c r="CL37" s="385">
        <v>1335.4564263010345</v>
      </c>
      <c r="CM37" s="385">
        <f>14</f>
        <v>14</v>
      </c>
      <c r="CN37" s="358"/>
      <c r="CO37" s="385">
        <v>1335.4564263010345</v>
      </c>
      <c r="CP37" s="385">
        <f>14</f>
        <v>14</v>
      </c>
      <c r="CQ37" s="358"/>
      <c r="CR37" s="385">
        <v>1335.4564263010345</v>
      </c>
      <c r="CS37" s="385">
        <f>14</f>
        <v>14</v>
      </c>
      <c r="CT37" s="358"/>
      <c r="CU37" s="385">
        <v>1335.4564263010345</v>
      </c>
      <c r="CV37" s="385">
        <f>14</f>
        <v>14</v>
      </c>
      <c r="CW37" s="358"/>
      <c r="CX37" s="385">
        <v>1335.4564263010345</v>
      </c>
      <c r="CY37" s="385">
        <f>14</f>
        <v>14</v>
      </c>
      <c r="CZ37" s="358"/>
      <c r="DA37" s="385">
        <v>1335.4564263010345</v>
      </c>
      <c r="DB37" s="385">
        <f>14</f>
        <v>14</v>
      </c>
      <c r="DC37" s="358"/>
      <c r="DD37" s="385">
        <v>1335.4564263010345</v>
      </c>
      <c r="DE37" s="385">
        <f>14</f>
        <v>14</v>
      </c>
      <c r="DF37" s="358"/>
      <c r="DG37" s="385">
        <v>1335.4564263010345</v>
      </c>
      <c r="DH37" s="385">
        <f>14</f>
        <v>14</v>
      </c>
      <c r="DI37" s="358"/>
      <c r="DJ37" s="385">
        <v>1335.4564263010345</v>
      </c>
      <c r="DK37" s="385">
        <f>14</f>
        <v>14</v>
      </c>
      <c r="DL37" s="358"/>
      <c r="DM37" s="385">
        <v>1335.4564263010345</v>
      </c>
      <c r="DN37" s="385">
        <f>14</f>
        <v>14</v>
      </c>
      <c r="DO37" s="358"/>
      <c r="DP37" s="385">
        <v>1335.4564263010345</v>
      </c>
      <c r="DQ37" s="385">
        <f>14</f>
        <v>14</v>
      </c>
      <c r="DR37" s="358"/>
      <c r="DS37" s="385">
        <v>1335.4564263010345</v>
      </c>
      <c r="DT37" s="385">
        <f>14</f>
        <v>14</v>
      </c>
      <c r="DU37" s="358"/>
      <c r="DV37" s="385">
        <v>1335.4564263010345</v>
      </c>
      <c r="DW37" s="385">
        <f>14</f>
        <v>14</v>
      </c>
      <c r="DX37" s="358"/>
      <c r="DY37" s="385">
        <v>1335.4564263010345</v>
      </c>
      <c r="DZ37" s="385">
        <f>14</f>
        <v>14</v>
      </c>
      <c r="EA37" s="358"/>
      <c r="EB37" s="385">
        <v>1335.4564263010345</v>
      </c>
      <c r="EC37" s="385">
        <f>14</f>
        <v>14</v>
      </c>
      <c r="ED37" s="358"/>
      <c r="EE37" s="385">
        <v>1335.4564263010345</v>
      </c>
      <c r="EF37" s="385">
        <f>14</f>
        <v>14</v>
      </c>
      <c r="EG37" s="358"/>
      <c r="EH37" s="385">
        <v>1335.4564263010345</v>
      </c>
      <c r="EI37" s="385">
        <f>14</f>
        <v>14</v>
      </c>
      <c r="EJ37" s="358"/>
      <c r="EK37" s="385">
        <v>1335.4564263010345</v>
      </c>
      <c r="EL37" s="385">
        <f>14</f>
        <v>14</v>
      </c>
      <c r="EM37" s="358"/>
      <c r="EN37" s="385">
        <v>1335.4564263010345</v>
      </c>
      <c r="EO37" s="385">
        <f>14</f>
        <v>14</v>
      </c>
      <c r="EP37" s="358"/>
      <c r="EQ37" s="385">
        <v>1335.4564263010345</v>
      </c>
      <c r="ER37" s="385">
        <f>14</f>
        <v>14</v>
      </c>
      <c r="ES37" s="358"/>
      <c r="ET37" s="385">
        <v>1335.4564263010345</v>
      </c>
      <c r="EU37" s="385">
        <f>14</f>
        <v>14</v>
      </c>
      <c r="EV37" s="358"/>
      <c r="EW37" s="385">
        <v>1335.4564263010345</v>
      </c>
      <c r="EX37" s="385">
        <f>14</f>
        <v>14</v>
      </c>
      <c r="EY37" s="358"/>
      <c r="EZ37" s="385">
        <v>1335.4564263010345</v>
      </c>
      <c r="FA37" s="385">
        <f>14</f>
        <v>14</v>
      </c>
      <c r="FB37" s="358"/>
      <c r="FC37" s="385">
        <v>1335.4564263010345</v>
      </c>
      <c r="FD37" s="385">
        <f>14</f>
        <v>14</v>
      </c>
      <c r="FE37" s="358"/>
      <c r="FF37" s="385">
        <v>1335.4564263010345</v>
      </c>
      <c r="FG37" s="385">
        <f>14</f>
        <v>14</v>
      </c>
      <c r="FH37" s="358"/>
      <c r="FI37" s="385">
        <v>1335.4564263010345</v>
      </c>
      <c r="FJ37" s="385">
        <f>14</f>
        <v>14</v>
      </c>
      <c r="FK37" s="358"/>
      <c r="FL37" s="385">
        <v>1335.4564263010345</v>
      </c>
      <c r="FM37" s="385">
        <f>14</f>
        <v>14</v>
      </c>
      <c r="FN37" s="358"/>
      <c r="FO37" s="385">
        <v>1335.4564263010345</v>
      </c>
      <c r="FP37" s="385">
        <f>14</f>
        <v>14</v>
      </c>
      <c r="FQ37" s="358"/>
      <c r="FR37" s="385">
        <v>1335.4564263010345</v>
      </c>
      <c r="FS37" s="385">
        <f>14</f>
        <v>14</v>
      </c>
      <c r="FT37" s="358"/>
      <c r="FU37" s="385">
        <v>1335.4564263010345</v>
      </c>
      <c r="FV37" s="385">
        <f>14</f>
        <v>14</v>
      </c>
      <c r="FW37" s="358"/>
      <c r="FX37" s="385">
        <v>1335.4564263010345</v>
      </c>
      <c r="FY37" s="385">
        <f>14</f>
        <v>14</v>
      </c>
      <c r="FZ37" s="358"/>
      <c r="GA37" s="385">
        <v>1335.4564263010345</v>
      </c>
      <c r="GB37" s="385">
        <f>14</f>
        <v>14</v>
      </c>
      <c r="GC37" s="358"/>
      <c r="GD37" s="385">
        <v>1335.4564263010345</v>
      </c>
      <c r="GE37" s="385">
        <f>14</f>
        <v>14</v>
      </c>
      <c r="GF37" s="358"/>
      <c r="GG37" s="385">
        <v>1335.4564263010345</v>
      </c>
      <c r="GH37" s="385">
        <f>14</f>
        <v>14</v>
      </c>
      <c r="GI37" s="358"/>
      <c r="GJ37" s="385">
        <v>1335.4564263010345</v>
      </c>
      <c r="GK37" s="385">
        <f>14</f>
        <v>14</v>
      </c>
      <c r="GL37" s="358"/>
      <c r="GM37" s="385">
        <v>1335.4564263010345</v>
      </c>
      <c r="GN37" s="385">
        <f>14</f>
        <v>14</v>
      </c>
      <c r="GO37" s="358"/>
      <c r="GP37" s="385">
        <v>1335.4564263010345</v>
      </c>
      <c r="GQ37" s="385">
        <f>14</f>
        <v>14</v>
      </c>
      <c r="GR37" s="358"/>
      <c r="GS37" s="385">
        <v>1335.4564263010345</v>
      </c>
      <c r="GT37" s="385">
        <f>14</f>
        <v>14</v>
      </c>
      <c r="GU37" s="358"/>
      <c r="GV37" s="385">
        <v>1335.4564263010345</v>
      </c>
      <c r="GW37" s="385">
        <f>14</f>
        <v>14</v>
      </c>
      <c r="GX37" s="358"/>
      <c r="GY37" s="385">
        <v>1335.4564263010345</v>
      </c>
      <c r="GZ37" s="385">
        <f>14</f>
        <v>14</v>
      </c>
      <c r="HA37" s="358"/>
      <c r="HB37" s="385">
        <v>1335.4564263010345</v>
      </c>
      <c r="HC37" s="385">
        <f>14</f>
        <v>14</v>
      </c>
      <c r="HD37" s="358"/>
      <c r="HE37" s="387">
        <v>1335.4564263010345</v>
      </c>
      <c r="HF37" s="386">
        <f>14*6</f>
        <v>84</v>
      </c>
      <c r="HG37" s="358"/>
      <c r="HH37" s="387">
        <v>1335.4564263010345</v>
      </c>
      <c r="HI37" s="358"/>
      <c r="HJ37" s="387">
        <v>1335.4564263010345</v>
      </c>
      <c r="HK37" s="358"/>
      <c r="HL37" s="387">
        <v>1335.4564263010345</v>
      </c>
      <c r="HM37" s="358"/>
      <c r="HN37" s="387">
        <v>1335.4564263010345</v>
      </c>
      <c r="HO37" s="358"/>
      <c r="HP37" s="387">
        <v>1335.4564263010345</v>
      </c>
      <c r="HQ37" s="358"/>
      <c r="HR37" s="387">
        <v>1335.4564263010345</v>
      </c>
      <c r="HS37" s="358"/>
      <c r="HT37" s="387">
        <v>1335.4564263010345</v>
      </c>
      <c r="HU37" s="358"/>
      <c r="HV37" s="388">
        <v>1335.4564263010345</v>
      </c>
      <c r="HW37" s="425" t="s">
        <v>3310</v>
      </c>
      <c r="HX37" s="424">
        <v>1335.4564263010345</v>
      </c>
      <c r="HY37" s="425" t="s">
        <v>3310</v>
      </c>
      <c r="HZ37" s="424">
        <v>1335.4564263010345</v>
      </c>
      <c r="IA37" s="425" t="s">
        <v>3310</v>
      </c>
      <c r="IB37" s="424">
        <v>1335.4564263010345</v>
      </c>
      <c r="IC37" s="425" t="s">
        <v>3310</v>
      </c>
      <c r="ID37" s="357">
        <f>VLOOKUP($C37,'[15]Prix accès'!A:D,4,FALSE)</f>
        <v>1335.4564263010345</v>
      </c>
      <c r="IE37" s="426" t="s">
        <v>3310</v>
      </c>
      <c r="IF37" s="357">
        <f>VLOOKUP($C37,'[15]Prix accès'!$A:$D,4,FALSE)</f>
        <v>1335.4564263010345</v>
      </c>
      <c r="IG37" s="426" t="s">
        <v>3310</v>
      </c>
      <c r="IH37" s="357">
        <f>VLOOKUP($C37,'[15]Prix accès'!$A:$D,4,FALSE)</f>
        <v>1335.4564263010345</v>
      </c>
      <c r="II37" s="426" t="s">
        <v>3310</v>
      </c>
      <c r="IJ37" s="357">
        <f>VLOOKUP($C37,'[15]Prix accès'!$A:$D,4,FALSE)</f>
        <v>1335.4564263010345</v>
      </c>
      <c r="IK37" s="426" t="s">
        <v>3310</v>
      </c>
      <c r="IL37" s="357">
        <f>VLOOKUP($C37,'[15]Prix accès'!$A:$D,4,FALSE)</f>
        <v>1335.4564263010345</v>
      </c>
      <c r="IM37" s="426"/>
      <c r="IN37" s="357">
        <f>VLOOKUP($C37,'[15]Prix accès'!$A:$D,4,FALSE)</f>
        <v>1335.4564263010345</v>
      </c>
      <c r="IO37" s="427"/>
      <c r="IP37" s="428">
        <v>3064.9819620023741</v>
      </c>
      <c r="IQ37" s="427"/>
      <c r="IR37" s="463" t="s">
        <v>3082</v>
      </c>
      <c r="IS37" s="364" t="s">
        <v>77</v>
      </c>
      <c r="IT37" s="365">
        <v>43396</v>
      </c>
      <c r="IU37" s="371">
        <v>43466</v>
      </c>
      <c r="IW37" s="372">
        <f t="shared" si="11"/>
        <v>70</v>
      </c>
      <c r="IX37" s="373">
        <f t="shared" si="14"/>
        <v>43.785456600033918</v>
      </c>
      <c r="IY37" s="394">
        <f t="shared" si="13"/>
        <v>3064.9819620023741</v>
      </c>
      <c r="IZ37" s="394"/>
      <c r="JA37" s="394"/>
    </row>
    <row r="38" spans="1:263" s="367" customFormat="1" ht="16.5" customHeight="1" x14ac:dyDescent="0.3">
      <c r="A38" s="401" t="s">
        <v>3315</v>
      </c>
      <c r="B38" s="402" t="s">
        <v>3315</v>
      </c>
      <c r="C38" s="471" t="s">
        <v>2770</v>
      </c>
      <c r="D38" s="863"/>
      <c r="E38" s="864"/>
      <c r="F38" s="864"/>
      <c r="G38" s="864"/>
      <c r="H38" s="865"/>
      <c r="I38" s="853">
        <v>0</v>
      </c>
      <c r="J38" s="833">
        <v>0</v>
      </c>
      <c r="K38" s="834"/>
      <c r="L38" s="833">
        <v>0</v>
      </c>
      <c r="M38" s="833">
        <v>0</v>
      </c>
      <c r="N38" s="834"/>
      <c r="O38" s="833">
        <v>0</v>
      </c>
      <c r="P38" s="833">
        <v>0</v>
      </c>
      <c r="Q38" s="834"/>
      <c r="R38" s="833">
        <v>0</v>
      </c>
      <c r="S38" s="833">
        <v>0</v>
      </c>
      <c r="T38" s="834"/>
      <c r="U38" s="833">
        <v>0</v>
      </c>
      <c r="V38" s="833">
        <v>0</v>
      </c>
      <c r="W38" s="834"/>
      <c r="X38" s="833">
        <v>0</v>
      </c>
      <c r="Y38" s="833">
        <v>0</v>
      </c>
      <c r="Z38" s="834"/>
      <c r="AA38" s="833">
        <v>0</v>
      </c>
      <c r="AB38" s="833">
        <v>0</v>
      </c>
      <c r="AC38" s="834"/>
      <c r="AD38" s="833">
        <v>0</v>
      </c>
      <c r="AE38" s="833">
        <v>0</v>
      </c>
      <c r="AF38" s="834"/>
      <c r="AG38" s="833">
        <v>0</v>
      </c>
      <c r="AH38" s="833">
        <v>0</v>
      </c>
      <c r="AI38" s="834"/>
      <c r="AJ38" s="834">
        <v>-4522</v>
      </c>
      <c r="AK38" s="834">
        <v>-216</v>
      </c>
      <c r="AL38" s="834"/>
      <c r="AM38" s="834">
        <v>-4522</v>
      </c>
      <c r="AN38" s="834">
        <v>-216</v>
      </c>
      <c r="AO38" s="834"/>
      <c r="AP38" s="833">
        <v>2266</v>
      </c>
      <c r="AQ38" s="833">
        <v>108</v>
      </c>
      <c r="AR38" s="833"/>
      <c r="AS38" s="833">
        <v>2266</v>
      </c>
      <c r="AT38" s="833">
        <v>108</v>
      </c>
      <c r="AU38" s="827"/>
      <c r="AV38" s="842">
        <f>((2266/30.5)*22)</f>
        <v>1634.4918032786886</v>
      </c>
      <c r="AW38" s="842">
        <f>((108/30.5)*22)</f>
        <v>77.901639344262293</v>
      </c>
      <c r="AX38" s="827"/>
      <c r="AY38" s="835">
        <v>2266.2564263010345</v>
      </c>
      <c r="AZ38" s="835">
        <f>108</f>
        <v>108</v>
      </c>
      <c r="BA38" s="358"/>
      <c r="BB38" s="384">
        <v>2266.2564263010345</v>
      </c>
      <c r="BC38" s="384">
        <f>108</f>
        <v>108</v>
      </c>
      <c r="BD38" s="358"/>
      <c r="BE38" s="384">
        <v>2266.2564263010345</v>
      </c>
      <c r="BF38" s="384">
        <f>108</f>
        <v>108</v>
      </c>
      <c r="BG38" s="358"/>
      <c r="BH38" s="384">
        <v>2266.2564263010345</v>
      </c>
      <c r="BI38" s="384">
        <f>108</f>
        <v>108</v>
      </c>
      <c r="BJ38" s="472"/>
      <c r="BK38" s="385">
        <v>2266.2564263010345</v>
      </c>
      <c r="BL38" s="385">
        <f>108</f>
        <v>108</v>
      </c>
      <c r="BM38" s="358"/>
      <c r="BN38" s="385">
        <v>2266.2564263010345</v>
      </c>
      <c r="BO38" s="385">
        <f>108</f>
        <v>108</v>
      </c>
      <c r="BP38" s="358"/>
      <c r="BQ38" s="385">
        <v>2266.2564263010345</v>
      </c>
      <c r="BR38" s="385">
        <f>108</f>
        <v>108</v>
      </c>
      <c r="BS38" s="358"/>
      <c r="BT38" s="385">
        <v>2266.2564263010345</v>
      </c>
      <c r="BU38" s="385">
        <f>108</f>
        <v>108</v>
      </c>
      <c r="BV38" s="358"/>
      <c r="BW38" s="385">
        <v>2266.2564263010345</v>
      </c>
      <c r="BX38" s="385">
        <f>108</f>
        <v>108</v>
      </c>
      <c r="BY38" s="358"/>
      <c r="BZ38" s="385">
        <v>2266.2564263010345</v>
      </c>
      <c r="CA38" s="385">
        <f>108</f>
        <v>108</v>
      </c>
      <c r="CB38" s="358"/>
      <c r="CC38" s="385">
        <v>2266.2564263010345</v>
      </c>
      <c r="CD38" s="385">
        <f>108</f>
        <v>108</v>
      </c>
      <c r="CE38" s="358"/>
      <c r="CF38" s="385">
        <v>2266.2564263010345</v>
      </c>
      <c r="CG38" s="385">
        <f>108</f>
        <v>108</v>
      </c>
      <c r="CH38" s="358"/>
      <c r="CI38" s="385">
        <v>2266.2564263010345</v>
      </c>
      <c r="CJ38" s="385">
        <f>108</f>
        <v>108</v>
      </c>
      <c r="CK38" s="358"/>
      <c r="CL38" s="385">
        <v>2266.2564263010345</v>
      </c>
      <c r="CM38" s="385">
        <f>108</f>
        <v>108</v>
      </c>
      <c r="CN38" s="358"/>
      <c r="CO38" s="385">
        <v>2266.2564263010345</v>
      </c>
      <c r="CP38" s="385">
        <f>108</f>
        <v>108</v>
      </c>
      <c r="CQ38" s="358"/>
      <c r="CR38" s="385">
        <v>2266.2564263010345</v>
      </c>
      <c r="CS38" s="385">
        <f>108</f>
        <v>108</v>
      </c>
      <c r="CT38" s="358"/>
      <c r="CU38" s="385">
        <v>2266.2564263010345</v>
      </c>
      <c r="CV38" s="385">
        <f>108</f>
        <v>108</v>
      </c>
      <c r="CW38" s="358"/>
      <c r="CX38" s="385">
        <v>2266.2564263010345</v>
      </c>
      <c r="CY38" s="385">
        <f>108</f>
        <v>108</v>
      </c>
      <c r="CZ38" s="358"/>
      <c r="DA38" s="385">
        <v>2266.2564263010345</v>
      </c>
      <c r="DB38" s="385">
        <f>108</f>
        <v>108</v>
      </c>
      <c r="DC38" s="358"/>
      <c r="DD38" s="385">
        <v>2266.2564263010345</v>
      </c>
      <c r="DE38" s="385">
        <f>108</f>
        <v>108</v>
      </c>
      <c r="DF38" s="358"/>
      <c r="DG38" s="385">
        <v>2266.2564263010345</v>
      </c>
      <c r="DH38" s="385">
        <f>108</f>
        <v>108</v>
      </c>
      <c r="DI38" s="358"/>
      <c r="DJ38" s="385">
        <v>2266.2564263010345</v>
      </c>
      <c r="DK38" s="385">
        <f>108</f>
        <v>108</v>
      </c>
      <c r="DL38" s="358"/>
      <c r="DM38" s="385">
        <v>2266.2564263010345</v>
      </c>
      <c r="DN38" s="385">
        <f>108</f>
        <v>108</v>
      </c>
      <c r="DO38" s="358"/>
      <c r="DP38" s="385">
        <v>2266.2564263010345</v>
      </c>
      <c r="DQ38" s="385">
        <f>108</f>
        <v>108</v>
      </c>
      <c r="DR38" s="358"/>
      <c r="DS38" s="385">
        <v>2266.2564263010345</v>
      </c>
      <c r="DT38" s="385">
        <f>108</f>
        <v>108</v>
      </c>
      <c r="DU38" s="358"/>
      <c r="DV38" s="385">
        <v>2266.2564263010345</v>
      </c>
      <c r="DW38" s="385">
        <f>108</f>
        <v>108</v>
      </c>
      <c r="DX38" s="358"/>
      <c r="DY38" s="385">
        <v>2266.2564263010345</v>
      </c>
      <c r="DZ38" s="385">
        <f>108</f>
        <v>108</v>
      </c>
      <c r="EA38" s="358"/>
      <c r="EB38" s="385">
        <v>2266.2564263010345</v>
      </c>
      <c r="EC38" s="385">
        <f>108</f>
        <v>108</v>
      </c>
      <c r="ED38" s="358"/>
      <c r="EE38" s="385">
        <v>2266.2564263010345</v>
      </c>
      <c r="EF38" s="385">
        <f>108</f>
        <v>108</v>
      </c>
      <c r="EG38" s="358"/>
      <c r="EH38" s="385">
        <v>2266.2564263010345</v>
      </c>
      <c r="EI38" s="385">
        <f>108</f>
        <v>108</v>
      </c>
      <c r="EJ38" s="358"/>
      <c r="EK38" s="385">
        <v>2266.2564263010345</v>
      </c>
      <c r="EL38" s="385">
        <f>108</f>
        <v>108</v>
      </c>
      <c r="EM38" s="358"/>
      <c r="EN38" s="385">
        <v>2266.2564263010345</v>
      </c>
      <c r="EO38" s="385">
        <f>108</f>
        <v>108</v>
      </c>
      <c r="EP38" s="358"/>
      <c r="EQ38" s="385">
        <v>2266.2564263010345</v>
      </c>
      <c r="ER38" s="385">
        <f>108</f>
        <v>108</v>
      </c>
      <c r="ES38" s="358"/>
      <c r="ET38" s="385">
        <v>2266.2564263010345</v>
      </c>
      <c r="EU38" s="385">
        <f>108</f>
        <v>108</v>
      </c>
      <c r="EV38" s="358"/>
      <c r="EW38" s="385">
        <v>2266.2564263010345</v>
      </c>
      <c r="EX38" s="385">
        <f>108</f>
        <v>108</v>
      </c>
      <c r="EY38" s="358"/>
      <c r="EZ38" s="385">
        <v>2266.2564263010345</v>
      </c>
      <c r="FA38" s="385">
        <f>108</f>
        <v>108</v>
      </c>
      <c r="FB38" s="358"/>
      <c r="FC38" s="385">
        <v>2266.2564263010345</v>
      </c>
      <c r="FD38" s="385">
        <f>108</f>
        <v>108</v>
      </c>
      <c r="FE38" s="358"/>
      <c r="FF38" s="385">
        <v>2266.2564263010345</v>
      </c>
      <c r="FG38" s="385">
        <f>108</f>
        <v>108</v>
      </c>
      <c r="FH38" s="358"/>
      <c r="FI38" s="385">
        <v>2266.2564263010345</v>
      </c>
      <c r="FJ38" s="385">
        <f>108</f>
        <v>108</v>
      </c>
      <c r="FK38" s="358"/>
      <c r="FL38" s="385">
        <v>2266.2564263010345</v>
      </c>
      <c r="FM38" s="385">
        <f>108</f>
        <v>108</v>
      </c>
      <c r="FN38" s="358"/>
      <c r="FO38" s="385">
        <v>2266.2564263010345</v>
      </c>
      <c r="FP38" s="385">
        <f>108</f>
        <v>108</v>
      </c>
      <c r="FQ38" s="358"/>
      <c r="FR38" s="385">
        <v>2266.2564263010345</v>
      </c>
      <c r="FS38" s="385">
        <f>108</f>
        <v>108</v>
      </c>
      <c r="FT38" s="358"/>
      <c r="FU38" s="385">
        <v>2266.2564263010345</v>
      </c>
      <c r="FV38" s="385">
        <f>108</f>
        <v>108</v>
      </c>
      <c r="FW38" s="358"/>
      <c r="FX38" s="385">
        <v>2266.2564263010345</v>
      </c>
      <c r="FY38" s="385">
        <f>108</f>
        <v>108</v>
      </c>
      <c r="FZ38" s="358"/>
      <c r="GA38" s="385">
        <v>2266.2564263010345</v>
      </c>
      <c r="GB38" s="385">
        <f>108</f>
        <v>108</v>
      </c>
      <c r="GC38" s="358"/>
      <c r="GD38" s="385">
        <v>2266.2564263010345</v>
      </c>
      <c r="GE38" s="385">
        <f>108</f>
        <v>108</v>
      </c>
      <c r="GF38" s="358"/>
      <c r="GG38" s="385">
        <v>2266.2564263010345</v>
      </c>
      <c r="GH38" s="385">
        <f>108</f>
        <v>108</v>
      </c>
      <c r="GI38" s="358"/>
      <c r="GJ38" s="385">
        <v>2266.2564263010345</v>
      </c>
      <c r="GK38" s="385">
        <f>108</f>
        <v>108</v>
      </c>
      <c r="GL38" s="358"/>
      <c r="GM38" s="385">
        <v>2266.2564263010345</v>
      </c>
      <c r="GN38" s="385">
        <f>108</f>
        <v>108</v>
      </c>
      <c r="GO38" s="358"/>
      <c r="GP38" s="385">
        <v>2266.2564263010345</v>
      </c>
      <c r="GQ38" s="385">
        <f>108</f>
        <v>108</v>
      </c>
      <c r="GR38" s="358"/>
      <c r="GS38" s="385">
        <v>2266.2564263010345</v>
      </c>
      <c r="GT38" s="385">
        <f>108</f>
        <v>108</v>
      </c>
      <c r="GU38" s="358"/>
      <c r="GV38" s="385">
        <v>2266.2564263010345</v>
      </c>
      <c r="GW38" s="385">
        <f>108</f>
        <v>108</v>
      </c>
      <c r="GX38" s="358"/>
      <c r="GY38" s="385">
        <v>2266.2564263010345</v>
      </c>
      <c r="GZ38" s="385">
        <f>108</f>
        <v>108</v>
      </c>
      <c r="HA38" s="358"/>
      <c r="HB38" s="385">
        <v>2266.2564263010345</v>
      </c>
      <c r="HC38" s="385">
        <f>108</f>
        <v>108</v>
      </c>
      <c r="HD38" s="358"/>
      <c r="HE38" s="387">
        <v>2266.2564263010345</v>
      </c>
      <c r="HF38" s="386">
        <f>108*6</f>
        <v>648</v>
      </c>
      <c r="HG38" s="370">
        <v>0</v>
      </c>
      <c r="HH38" s="387">
        <v>2266.2564263010345</v>
      </c>
      <c r="HI38" s="369">
        <v>65.615106286748087</v>
      </c>
      <c r="HJ38" s="387">
        <v>2266.2564263010345</v>
      </c>
      <c r="HK38" s="369">
        <v>65.615106286748087</v>
      </c>
      <c r="HL38" s="387">
        <v>2266.2564263010345</v>
      </c>
      <c r="HM38" s="369">
        <v>65.615106286748087</v>
      </c>
      <c r="HN38" s="387">
        <v>2266.2564263010345</v>
      </c>
      <c r="HO38" s="369">
        <v>65.615106286748087</v>
      </c>
      <c r="HP38" s="387">
        <v>2266.2564263010345</v>
      </c>
      <c r="HQ38" s="369">
        <v>65.615106286748087</v>
      </c>
      <c r="HR38" s="387">
        <v>2266.2564263010345</v>
      </c>
      <c r="HS38" s="369">
        <v>65.615106286748087</v>
      </c>
      <c r="HT38" s="387">
        <v>2266.2564263010345</v>
      </c>
      <c r="HU38" s="369">
        <v>65.615106286748087</v>
      </c>
      <c r="HV38" s="388">
        <v>2266.2564263010345</v>
      </c>
      <c r="HW38" s="368">
        <v>65.615106286748087</v>
      </c>
      <c r="HX38" s="388">
        <f>VLOOKUP(C38,'[15]Prix accès'!A:D,4,FALSE)-JC38</f>
        <v>2266.2564263010345</v>
      </c>
      <c r="HY38" s="368">
        <v>65.615106286748087</v>
      </c>
      <c r="HZ38" s="368">
        <v>2331.8715325877824</v>
      </c>
      <c r="IA38" s="368">
        <v>65.615106286748087</v>
      </c>
      <c r="IB38" s="368">
        <v>2331.8715325877824</v>
      </c>
      <c r="IC38" s="368">
        <v>65.615106286748087</v>
      </c>
      <c r="ID38" s="357">
        <f>VLOOKUP($C38,'[15]Prix accès'!A:D,4,FALSE)</f>
        <v>2266.2564263010345</v>
      </c>
      <c r="IE38" s="407">
        <v>65.615106286748087</v>
      </c>
      <c r="IF38" s="357">
        <f>VLOOKUP($C38,'[15]Prix accès'!$A:$D,4,FALSE)</f>
        <v>2266.2564263010345</v>
      </c>
      <c r="IG38" s="407">
        <v>65.615106286748087</v>
      </c>
      <c r="IH38" s="357">
        <f>VLOOKUP($C38,'[15]Prix accès'!$A:$D,4,FALSE)</f>
        <v>2266.2564263010345</v>
      </c>
      <c r="II38" s="407">
        <v>65.615106286748087</v>
      </c>
      <c r="IJ38" s="357">
        <f>VLOOKUP($C38,'[15]Prix accès'!$A:$D,4,FALSE)</f>
        <v>2266.2564263010345</v>
      </c>
      <c r="IK38" s="407">
        <v>65.615106286748087</v>
      </c>
      <c r="IL38" s="357">
        <f>VLOOKUP($C38,'[15]Prix accès'!$A:$D,4,FALSE)</f>
        <v>2266.2564263010345</v>
      </c>
      <c r="IM38" s="407">
        <v>65.615106286748087</v>
      </c>
      <c r="IN38" s="357">
        <f>VLOOKUP($C38,'[15]Prix accès'!$A:$D,4,FALSE)</f>
        <v>2266.2564263010345</v>
      </c>
      <c r="IO38" s="407">
        <v>65.615106286748087</v>
      </c>
      <c r="IP38" s="428">
        <v>5198.926695605548</v>
      </c>
      <c r="IQ38" s="361"/>
      <c r="IR38" s="473" t="s">
        <v>2769</v>
      </c>
      <c r="IS38" s="364" t="s">
        <v>77</v>
      </c>
      <c r="IT38" s="365">
        <v>43398</v>
      </c>
      <c r="IU38" s="371">
        <v>43466</v>
      </c>
      <c r="IV38" s="393"/>
      <c r="IW38" s="372">
        <f t="shared" si="11"/>
        <v>68</v>
      </c>
      <c r="IX38" s="373">
        <f t="shared" si="14"/>
        <v>74.303489386919168</v>
      </c>
      <c r="IY38" s="394">
        <f t="shared" si="13"/>
        <v>5052.6372783105035</v>
      </c>
      <c r="IZ38" s="394"/>
      <c r="JA38" s="460"/>
      <c r="JC38" s="461"/>
    </row>
    <row r="39" spans="1:263" s="367" customFormat="1" ht="16.5" customHeight="1" x14ac:dyDescent="0.3">
      <c r="A39" s="354" t="s">
        <v>2743</v>
      </c>
      <c r="B39" s="400" t="s">
        <v>2745</v>
      </c>
      <c r="C39" s="375" t="s">
        <v>193</v>
      </c>
      <c r="D39" s="474">
        <v>1628</v>
      </c>
      <c r="E39" s="475">
        <v>239</v>
      </c>
      <c r="F39" s="475">
        <v>64</v>
      </c>
      <c r="G39" s="475">
        <v>108</v>
      </c>
      <c r="H39" s="476">
        <v>0</v>
      </c>
      <c r="I39" s="844">
        <v>1931</v>
      </c>
      <c r="J39" s="844">
        <v>108</v>
      </c>
      <c r="K39" s="827"/>
      <c r="L39" s="844">
        <v>1931</v>
      </c>
      <c r="M39" s="844">
        <v>108</v>
      </c>
      <c r="N39" s="827"/>
      <c r="O39" s="844">
        <v>1931</v>
      </c>
      <c r="P39" s="844">
        <v>108</v>
      </c>
      <c r="Q39" s="827"/>
      <c r="R39" s="844">
        <v>1931</v>
      </c>
      <c r="S39" s="844">
        <v>108</v>
      </c>
      <c r="T39" s="827"/>
      <c r="U39" s="844">
        <v>1931</v>
      </c>
      <c r="V39" s="844">
        <v>108</v>
      </c>
      <c r="W39" s="827"/>
      <c r="X39" s="844">
        <v>1931</v>
      </c>
      <c r="Y39" s="844">
        <v>108</v>
      </c>
      <c r="Z39" s="827"/>
      <c r="AA39" s="844">
        <v>1931</v>
      </c>
      <c r="AB39" s="844">
        <v>108</v>
      </c>
      <c r="AC39" s="827"/>
      <c r="AD39" s="844">
        <v>1931</v>
      </c>
      <c r="AE39" s="844">
        <v>108</v>
      </c>
      <c r="AF39" s="827"/>
      <c r="AG39" s="844">
        <v>1931</v>
      </c>
      <c r="AH39" s="844">
        <v>108</v>
      </c>
      <c r="AI39" s="827"/>
      <c r="AJ39" s="844">
        <v>1931</v>
      </c>
      <c r="AK39" s="844">
        <v>108</v>
      </c>
      <c r="AL39" s="827"/>
      <c r="AM39" s="844">
        <v>1931</v>
      </c>
      <c r="AN39" s="844">
        <v>108</v>
      </c>
      <c r="AO39" s="827"/>
      <c r="AP39" s="844">
        <v>1931</v>
      </c>
      <c r="AQ39" s="844">
        <v>108</v>
      </c>
      <c r="AR39" s="827"/>
      <c r="AS39" s="844">
        <v>1931</v>
      </c>
      <c r="AT39" s="844">
        <v>108</v>
      </c>
      <c r="AU39" s="827"/>
      <c r="AV39" s="866">
        <f>((1931/30.5)*8+1931)</f>
        <v>2437.4918032786886</v>
      </c>
      <c r="AW39" s="866">
        <f>((108/30.5)*8+108)</f>
        <v>136.32786885245901</v>
      </c>
      <c r="AX39" s="827"/>
      <c r="AY39" s="835"/>
      <c r="AZ39" s="835"/>
      <c r="BA39" s="358"/>
      <c r="BB39" s="384"/>
      <c r="BC39" s="384"/>
      <c r="BD39" s="358"/>
      <c r="BE39" s="384"/>
      <c r="BF39" s="384"/>
      <c r="BG39" s="358"/>
      <c r="BH39" s="384"/>
      <c r="BI39" s="384"/>
      <c r="BJ39" s="472"/>
      <c r="BK39" s="385"/>
      <c r="BL39" s="385"/>
      <c r="BM39" s="358"/>
      <c r="BN39" s="385"/>
      <c r="BO39" s="385"/>
      <c r="BP39" s="358"/>
      <c r="BQ39" s="385"/>
      <c r="BR39" s="385"/>
      <c r="BS39" s="358"/>
      <c r="BT39" s="385"/>
      <c r="BU39" s="385"/>
      <c r="BV39" s="358"/>
      <c r="BW39" s="385"/>
      <c r="BX39" s="385"/>
      <c r="BY39" s="358"/>
      <c r="BZ39" s="385"/>
      <c r="CA39" s="385"/>
      <c r="CB39" s="358"/>
      <c r="CC39" s="385"/>
      <c r="CD39" s="385"/>
      <c r="CE39" s="358"/>
      <c r="CF39" s="385"/>
      <c r="CG39" s="385"/>
      <c r="CH39" s="358"/>
      <c r="CI39" s="385"/>
      <c r="CJ39" s="385"/>
      <c r="CK39" s="358"/>
      <c r="CL39" s="385"/>
      <c r="CM39" s="385"/>
      <c r="CN39" s="358"/>
      <c r="CO39" s="385"/>
      <c r="CP39" s="385"/>
      <c r="CQ39" s="358"/>
      <c r="CR39" s="385"/>
      <c r="CS39" s="385"/>
      <c r="CT39" s="358"/>
      <c r="CU39" s="385"/>
      <c r="CV39" s="385"/>
      <c r="CW39" s="358"/>
      <c r="CX39" s="385"/>
      <c r="CY39" s="385"/>
      <c r="CZ39" s="358"/>
      <c r="DA39" s="385"/>
      <c r="DB39" s="385"/>
      <c r="DC39" s="358"/>
      <c r="DD39" s="385"/>
      <c r="DE39" s="385"/>
      <c r="DF39" s="358"/>
      <c r="DG39" s="385"/>
      <c r="DH39" s="385"/>
      <c r="DI39" s="358"/>
      <c r="DJ39" s="385"/>
      <c r="DK39" s="385"/>
      <c r="DL39" s="358"/>
      <c r="DM39" s="385"/>
      <c r="DN39" s="385"/>
      <c r="DO39" s="358"/>
      <c r="DP39" s="385"/>
      <c r="DQ39" s="385"/>
      <c r="DR39" s="358"/>
      <c r="DS39" s="385"/>
      <c r="DT39" s="385"/>
      <c r="DU39" s="358"/>
      <c r="DV39" s="385"/>
      <c r="DW39" s="385"/>
      <c r="DX39" s="358"/>
      <c r="DY39" s="385"/>
      <c r="DZ39" s="385"/>
      <c r="EA39" s="358"/>
      <c r="EB39" s="385"/>
      <c r="EC39" s="385"/>
      <c r="ED39" s="358"/>
      <c r="EE39" s="385"/>
      <c r="EF39" s="385"/>
      <c r="EG39" s="358"/>
      <c r="EH39" s="385"/>
      <c r="EI39" s="385"/>
      <c r="EJ39" s="358"/>
      <c r="EK39" s="385"/>
      <c r="EL39" s="385"/>
      <c r="EM39" s="358"/>
      <c r="EN39" s="385"/>
      <c r="EO39" s="385"/>
      <c r="EP39" s="358"/>
      <c r="EQ39" s="385"/>
      <c r="ER39" s="385"/>
      <c r="ES39" s="358"/>
      <c r="ET39" s="385"/>
      <c r="EU39" s="385"/>
      <c r="EV39" s="358"/>
      <c r="EW39" s="385"/>
      <c r="EX39" s="385"/>
      <c r="EY39" s="358"/>
      <c r="EZ39" s="385"/>
      <c r="FA39" s="385"/>
      <c r="FB39" s="358"/>
      <c r="FC39" s="385"/>
      <c r="FD39" s="385"/>
      <c r="FE39" s="358"/>
      <c r="FF39" s="385"/>
      <c r="FG39" s="385"/>
      <c r="FH39" s="358"/>
      <c r="FI39" s="385"/>
      <c r="FJ39" s="385"/>
      <c r="FK39" s="358"/>
      <c r="FL39" s="385"/>
      <c r="FM39" s="385"/>
      <c r="FN39" s="358"/>
      <c r="FO39" s="385"/>
      <c r="FP39" s="385"/>
      <c r="FQ39" s="358"/>
      <c r="FR39" s="385"/>
      <c r="FS39" s="385"/>
      <c r="FT39" s="358"/>
      <c r="FU39" s="385"/>
      <c r="FV39" s="385"/>
      <c r="FW39" s="358"/>
      <c r="FX39" s="385"/>
      <c r="FY39" s="385"/>
      <c r="FZ39" s="358"/>
      <c r="GA39" s="385"/>
      <c r="GB39" s="385"/>
      <c r="GC39" s="358"/>
      <c r="GD39" s="385"/>
      <c r="GE39" s="385"/>
      <c r="GF39" s="358"/>
      <c r="GG39" s="385"/>
      <c r="GH39" s="385"/>
      <c r="GI39" s="358"/>
      <c r="GJ39" s="385"/>
      <c r="GK39" s="385"/>
      <c r="GL39" s="358"/>
      <c r="GM39" s="385"/>
      <c r="GN39" s="385"/>
      <c r="GO39" s="358"/>
      <c r="GP39" s="385"/>
      <c r="GQ39" s="385"/>
      <c r="GR39" s="358"/>
      <c r="GS39" s="385"/>
      <c r="GT39" s="385"/>
      <c r="GU39" s="358"/>
      <c r="GV39" s="385"/>
      <c r="GW39" s="385"/>
      <c r="GX39" s="358"/>
      <c r="GY39" s="385"/>
      <c r="GZ39" s="385"/>
      <c r="HA39" s="358"/>
      <c r="HB39" s="385"/>
      <c r="HC39" s="385"/>
      <c r="HD39" s="358"/>
      <c r="HE39" s="387"/>
      <c r="HF39" s="386"/>
      <c r="HG39" s="370"/>
      <c r="HH39" s="387"/>
      <c r="HI39" s="369"/>
      <c r="HJ39" s="387"/>
      <c r="HK39" s="369"/>
      <c r="HL39" s="387"/>
      <c r="HM39" s="369"/>
      <c r="HN39" s="387"/>
      <c r="HO39" s="369"/>
      <c r="HP39" s="387"/>
      <c r="HQ39" s="369"/>
      <c r="HR39" s="387"/>
      <c r="HS39" s="369"/>
      <c r="HT39" s="387"/>
      <c r="HU39" s="369"/>
      <c r="HV39" s="388"/>
      <c r="HW39" s="368"/>
      <c r="HX39" s="388"/>
      <c r="HY39" s="368"/>
      <c r="HZ39" s="368"/>
      <c r="IA39" s="368"/>
      <c r="IB39" s="368"/>
      <c r="IC39" s="368"/>
      <c r="ID39" s="357"/>
      <c r="IE39" s="407"/>
      <c r="IF39" s="357"/>
      <c r="IG39" s="407"/>
      <c r="IH39" s="357"/>
      <c r="II39" s="407"/>
      <c r="IJ39" s="357"/>
      <c r="IK39" s="407"/>
      <c r="IL39" s="357"/>
      <c r="IM39" s="407"/>
      <c r="IN39" s="357"/>
      <c r="IO39" s="407"/>
      <c r="IP39" s="428"/>
      <c r="IQ39" s="361"/>
      <c r="IR39" s="473"/>
      <c r="IS39" s="364"/>
      <c r="IT39" s="365"/>
      <c r="IU39" s="371"/>
      <c r="IV39" s="393"/>
      <c r="IW39" s="372"/>
      <c r="IX39" s="373"/>
      <c r="IY39" s="394"/>
      <c r="IZ39" s="394"/>
      <c r="JA39" s="460"/>
      <c r="JC39" s="461"/>
    </row>
    <row r="40" spans="1:263" s="367" customFormat="1" ht="16.5" customHeight="1" x14ac:dyDescent="0.3">
      <c r="A40" s="354" t="s">
        <v>2735</v>
      </c>
      <c r="B40" s="465" t="s">
        <v>2825</v>
      </c>
      <c r="C40" s="378" t="s">
        <v>270</v>
      </c>
      <c r="D40" s="867">
        <v>2532</v>
      </c>
      <c r="E40" s="868">
        <v>443</v>
      </c>
      <c r="F40" s="867">
        <v>64</v>
      </c>
      <c r="G40" s="846">
        <f>(-107*4)+1242</f>
        <v>814</v>
      </c>
      <c r="H40" s="468">
        <v>66</v>
      </c>
      <c r="I40" s="869">
        <v>3039</v>
      </c>
      <c r="J40" s="870">
        <v>1349</v>
      </c>
      <c r="K40" s="835">
        <v>66</v>
      </c>
      <c r="L40" s="870">
        <v>3039</v>
      </c>
      <c r="M40" s="870">
        <v>1349</v>
      </c>
      <c r="N40" s="835">
        <v>66</v>
      </c>
      <c r="O40" s="870">
        <v>3039</v>
      </c>
      <c r="P40" s="870">
        <v>1349</v>
      </c>
      <c r="Q40" s="835">
        <v>66</v>
      </c>
      <c r="R40" s="871">
        <f>((3039-2991)/30.5)*4+3039</f>
        <v>3045.2950819672133</v>
      </c>
      <c r="S40" s="871">
        <f>((1349-792)/30.5)*4+1349</f>
        <v>1422.049180327869</v>
      </c>
      <c r="T40" s="827">
        <v>66</v>
      </c>
      <c r="U40" s="870">
        <v>2991</v>
      </c>
      <c r="V40" s="870">
        <v>792</v>
      </c>
      <c r="W40" s="827">
        <v>66</v>
      </c>
      <c r="X40" s="870">
        <v>2991</v>
      </c>
      <c r="Y40" s="870">
        <v>792</v>
      </c>
      <c r="Z40" s="827">
        <v>66</v>
      </c>
      <c r="AA40" s="870">
        <v>2991</v>
      </c>
      <c r="AB40" s="870">
        <v>792</v>
      </c>
      <c r="AC40" s="827">
        <v>66</v>
      </c>
      <c r="AD40" s="870">
        <v>2991</v>
      </c>
      <c r="AE40" s="870">
        <v>792</v>
      </c>
      <c r="AF40" s="827">
        <v>66</v>
      </c>
      <c r="AG40" s="870">
        <v>2991</v>
      </c>
      <c r="AH40" s="870">
        <v>792</v>
      </c>
      <c r="AI40" s="827">
        <v>66</v>
      </c>
      <c r="AJ40" s="870">
        <v>2991</v>
      </c>
      <c r="AK40" s="870">
        <v>792</v>
      </c>
      <c r="AL40" s="827">
        <v>66</v>
      </c>
      <c r="AM40" s="870">
        <v>2991</v>
      </c>
      <c r="AN40" s="870">
        <v>792</v>
      </c>
      <c r="AO40" s="827">
        <v>66</v>
      </c>
      <c r="AP40" s="870">
        <v>2991</v>
      </c>
      <c r="AQ40" s="870">
        <v>792</v>
      </c>
      <c r="AR40" s="827">
        <v>66</v>
      </c>
      <c r="AS40" s="870">
        <v>2991</v>
      </c>
      <c r="AT40" s="870">
        <v>792</v>
      </c>
      <c r="AU40" s="827">
        <v>66</v>
      </c>
      <c r="AV40" s="870">
        <v>2991</v>
      </c>
      <c r="AW40" s="870">
        <v>792</v>
      </c>
      <c r="AX40" s="827">
        <v>66</v>
      </c>
      <c r="AY40" s="870">
        <v>2991</v>
      </c>
      <c r="AZ40" s="870">
        <v>792</v>
      </c>
      <c r="BA40" s="358">
        <v>66</v>
      </c>
      <c r="BB40" s="477">
        <v>2991</v>
      </c>
      <c r="BC40" s="477">
        <v>792</v>
      </c>
      <c r="BD40" s="358">
        <v>66</v>
      </c>
      <c r="BE40" s="478">
        <f>((2991-3039)/30.5)*14+2991</f>
        <v>2968.967213114754</v>
      </c>
      <c r="BF40" s="478">
        <f>((792-1242)/30.5)*14+792</f>
        <v>585.44262295081967</v>
      </c>
      <c r="BG40" s="358">
        <v>66</v>
      </c>
      <c r="BH40" s="477">
        <v>3039</v>
      </c>
      <c r="BI40" s="477">
        <v>1242</v>
      </c>
      <c r="BJ40" s="479">
        <v>66</v>
      </c>
      <c r="BK40" s="478">
        <f>((3039-2975)/30.5)*24+3039</f>
        <v>3089.3606557377047</v>
      </c>
      <c r="BL40" s="478">
        <f>((1242-954)/30.5)*24+1242</f>
        <v>1468.622950819672</v>
      </c>
      <c r="BM40" s="480">
        <v>65.615106286748087</v>
      </c>
      <c r="BN40" s="478">
        <v>3039</v>
      </c>
      <c r="BO40" s="478">
        <v>1242</v>
      </c>
      <c r="BP40" s="480">
        <v>65.615106286748087</v>
      </c>
      <c r="BQ40" s="384">
        <v>2975.1522483827339</v>
      </c>
      <c r="BR40" s="384">
        <f>954</f>
        <v>954</v>
      </c>
      <c r="BS40" s="472">
        <v>65.615106286748087</v>
      </c>
      <c r="BT40" s="384">
        <v>2975.1522483827339</v>
      </c>
      <c r="BU40" s="384">
        <f>954</f>
        <v>954</v>
      </c>
      <c r="BV40" s="472">
        <v>65.615106286748087</v>
      </c>
      <c r="BW40" s="384">
        <v>2975.1522483827339</v>
      </c>
      <c r="BX40" s="384">
        <f>954</f>
        <v>954</v>
      </c>
      <c r="BY40" s="472">
        <v>65.615106286748087</v>
      </c>
      <c r="BZ40" s="384">
        <v>2975.1522483827339</v>
      </c>
      <c r="CA40" s="384">
        <f>954</f>
        <v>954</v>
      </c>
      <c r="CB40" s="472">
        <v>65.615106286748087</v>
      </c>
      <c r="CC40" s="384">
        <v>2975.1522483827339</v>
      </c>
      <c r="CD40" s="384">
        <f>954</f>
        <v>954</v>
      </c>
      <c r="CE40" s="472">
        <v>65.615106286748087</v>
      </c>
      <c r="CF40" s="384">
        <v>2975.1522483827339</v>
      </c>
      <c r="CG40" s="384">
        <f>954</f>
        <v>954</v>
      </c>
      <c r="CH40" s="472">
        <v>65.615106286748087</v>
      </c>
      <c r="CI40" s="384">
        <v>2975.1522483827339</v>
      </c>
      <c r="CJ40" s="384">
        <f>954</f>
        <v>954</v>
      </c>
      <c r="CK40" s="472">
        <v>65.615106286748087</v>
      </c>
      <c r="CL40" s="384">
        <v>2975.1522483827339</v>
      </c>
      <c r="CM40" s="384">
        <f>954</f>
        <v>954</v>
      </c>
      <c r="CN40" s="472">
        <v>65.615106286748087</v>
      </c>
      <c r="CO40" s="384">
        <v>2975.1522483827339</v>
      </c>
      <c r="CP40" s="384">
        <f>954</f>
        <v>954</v>
      </c>
      <c r="CQ40" s="472">
        <v>65.615106286748087</v>
      </c>
      <c r="CR40" s="384">
        <v>2975.1522483827339</v>
      </c>
      <c r="CS40" s="384">
        <f>954</f>
        <v>954</v>
      </c>
      <c r="CT40" s="472">
        <v>65.615106286748087</v>
      </c>
      <c r="CU40" s="384">
        <v>2975.1522483827339</v>
      </c>
      <c r="CV40" s="384">
        <f>954</f>
        <v>954</v>
      </c>
      <c r="CW40" s="472">
        <v>65.615106286748087</v>
      </c>
      <c r="CX40" s="384">
        <v>2975.1522483827339</v>
      </c>
      <c r="CY40" s="384">
        <f>954</f>
        <v>954</v>
      </c>
      <c r="CZ40" s="472">
        <v>65.615106286748087</v>
      </c>
      <c r="DA40" s="384">
        <v>2975.1522483827339</v>
      </c>
      <c r="DB40" s="384">
        <f>954</f>
        <v>954</v>
      </c>
      <c r="DC40" s="472">
        <v>65.615106286748087</v>
      </c>
      <c r="DD40" s="384">
        <v>2975.1522483827339</v>
      </c>
      <c r="DE40" s="384">
        <f>954</f>
        <v>954</v>
      </c>
      <c r="DF40" s="472">
        <v>65.615106286748087</v>
      </c>
      <c r="DG40" s="384">
        <v>2975.1522483827339</v>
      </c>
      <c r="DH40" s="384">
        <f>954</f>
        <v>954</v>
      </c>
      <c r="DI40" s="472">
        <v>65.615106286748087</v>
      </c>
      <c r="DJ40" s="384">
        <v>2975.1522483827339</v>
      </c>
      <c r="DK40" s="384">
        <f>954</f>
        <v>954</v>
      </c>
      <c r="DL40" s="472">
        <v>65.615106286748087</v>
      </c>
      <c r="DM40" s="384">
        <v>2975.1522483827339</v>
      </c>
      <c r="DN40" s="384">
        <f>954</f>
        <v>954</v>
      </c>
      <c r="DO40" s="472">
        <v>65.615106286748087</v>
      </c>
      <c r="DP40" s="384">
        <v>2975.1522483827339</v>
      </c>
      <c r="DQ40" s="384">
        <f>954</f>
        <v>954</v>
      </c>
      <c r="DR40" s="472">
        <v>65.615106286748087</v>
      </c>
      <c r="DS40" s="384">
        <v>2975.1522483827339</v>
      </c>
      <c r="DT40" s="384">
        <f>954</f>
        <v>954</v>
      </c>
      <c r="DU40" s="472">
        <v>65.615106286748087</v>
      </c>
      <c r="DV40" s="384">
        <v>2975.1522483827339</v>
      </c>
      <c r="DW40" s="384">
        <f>954</f>
        <v>954</v>
      </c>
      <c r="DX40" s="472">
        <v>65.615106286748087</v>
      </c>
      <c r="DY40" s="384">
        <v>2975.1522483827339</v>
      </c>
      <c r="DZ40" s="384">
        <f>954</f>
        <v>954</v>
      </c>
      <c r="EA40" s="472">
        <v>65.615106286748087</v>
      </c>
      <c r="EB40" s="384">
        <v>2975.1522483827339</v>
      </c>
      <c r="EC40" s="384">
        <f>954</f>
        <v>954</v>
      </c>
      <c r="ED40" s="472">
        <v>65.615106286748087</v>
      </c>
      <c r="EE40" s="384">
        <v>2975.1522483827339</v>
      </c>
      <c r="EF40" s="384">
        <f>954</f>
        <v>954</v>
      </c>
      <c r="EG40" s="472">
        <v>65.615106286748087</v>
      </c>
      <c r="EH40" s="384">
        <v>2975.1522483827339</v>
      </c>
      <c r="EI40" s="384">
        <f>954</f>
        <v>954</v>
      </c>
      <c r="EJ40" s="472">
        <v>65.615106286748087</v>
      </c>
      <c r="EK40" s="384">
        <v>2975.1522483827339</v>
      </c>
      <c r="EL40" s="384">
        <f>954</f>
        <v>954</v>
      </c>
      <c r="EM40" s="472">
        <v>65.615106286748087</v>
      </c>
      <c r="EN40" s="384">
        <v>2975.1522483827339</v>
      </c>
      <c r="EO40" s="384">
        <f>954</f>
        <v>954</v>
      </c>
      <c r="EP40" s="472">
        <v>65.615106286748087</v>
      </c>
      <c r="EQ40" s="384">
        <v>2975.1522483827339</v>
      </c>
      <c r="ER40" s="384">
        <f>954</f>
        <v>954</v>
      </c>
      <c r="ES40" s="472">
        <v>65.615106286748087</v>
      </c>
      <c r="ET40" s="384">
        <v>2975.1522483827339</v>
      </c>
      <c r="EU40" s="384">
        <f>954</f>
        <v>954</v>
      </c>
      <c r="EV40" s="472">
        <v>65.615106286748087</v>
      </c>
      <c r="EW40" s="384">
        <v>2975.1522483827339</v>
      </c>
      <c r="EX40" s="384">
        <f>954</f>
        <v>954</v>
      </c>
      <c r="EY40" s="472">
        <v>65.615106286748087</v>
      </c>
      <c r="EZ40" s="384">
        <v>2975.1522483827339</v>
      </c>
      <c r="FA40" s="384">
        <f>954</f>
        <v>954</v>
      </c>
      <c r="FB40" s="472">
        <v>65.615106286748087</v>
      </c>
      <c r="FC40" s="384">
        <v>2975.1522483827339</v>
      </c>
      <c r="FD40" s="384">
        <f>954</f>
        <v>954</v>
      </c>
      <c r="FE40" s="472">
        <v>65.615106286748087</v>
      </c>
      <c r="FF40" s="384">
        <v>2975.1522483827339</v>
      </c>
      <c r="FG40" s="384">
        <f>954</f>
        <v>954</v>
      </c>
      <c r="FH40" s="472">
        <v>65.615106286748087</v>
      </c>
      <c r="FI40" s="384">
        <v>2975.1522483827339</v>
      </c>
      <c r="FJ40" s="384">
        <f>954</f>
        <v>954</v>
      </c>
      <c r="FK40" s="472">
        <v>65.615106286748087</v>
      </c>
      <c r="FL40" s="384">
        <v>2975.1522483827339</v>
      </c>
      <c r="FM40" s="384">
        <f>954</f>
        <v>954</v>
      </c>
      <c r="FN40" s="472">
        <v>65.615106286748087</v>
      </c>
      <c r="FO40" s="384">
        <v>2975.1522483827339</v>
      </c>
      <c r="FP40" s="384">
        <f>954</f>
        <v>954</v>
      </c>
      <c r="FQ40" s="472">
        <v>65.615106286748087</v>
      </c>
      <c r="FR40" s="384">
        <v>2975.1522483827339</v>
      </c>
      <c r="FS40" s="384">
        <f>954</f>
        <v>954</v>
      </c>
      <c r="FT40" s="472">
        <v>65.615106286748087</v>
      </c>
      <c r="FU40" s="385">
        <v>2975.1522483827339</v>
      </c>
      <c r="FV40" s="385">
        <f>954</f>
        <v>954</v>
      </c>
      <c r="FW40" s="369">
        <v>65.615106286748087</v>
      </c>
      <c r="FX40" s="385">
        <v>2975.1522483827339</v>
      </c>
      <c r="FY40" s="385">
        <f>954</f>
        <v>954</v>
      </c>
      <c r="FZ40" s="369">
        <v>65.615106286748087</v>
      </c>
      <c r="GA40" s="385">
        <v>2975.1522483827339</v>
      </c>
      <c r="GB40" s="385">
        <f>954</f>
        <v>954</v>
      </c>
      <c r="GC40" s="369">
        <v>65.615106286748087</v>
      </c>
      <c r="GD40" s="385">
        <v>2975.1522483827339</v>
      </c>
      <c r="GE40" s="385">
        <f>954</f>
        <v>954</v>
      </c>
      <c r="GF40" s="369">
        <v>65.615106286748087</v>
      </c>
      <c r="GG40" s="385">
        <v>2975.1522483827339</v>
      </c>
      <c r="GH40" s="385">
        <f>954</f>
        <v>954</v>
      </c>
      <c r="GI40" s="369">
        <v>65.615106286748087</v>
      </c>
      <c r="GJ40" s="385">
        <v>2975.1522483827339</v>
      </c>
      <c r="GK40" s="385">
        <f>954</f>
        <v>954</v>
      </c>
      <c r="GL40" s="369">
        <v>65.615106286748087</v>
      </c>
      <c r="GM40" s="385">
        <v>2975.1522483827339</v>
      </c>
      <c r="GN40" s="385">
        <f>954</f>
        <v>954</v>
      </c>
      <c r="GO40" s="369">
        <v>65.615106286748087</v>
      </c>
      <c r="GP40" s="385">
        <v>2975.1522483827339</v>
      </c>
      <c r="GQ40" s="385">
        <f>954</f>
        <v>954</v>
      </c>
      <c r="GR40" s="369">
        <v>65.615106286748087</v>
      </c>
      <c r="GS40" s="385">
        <v>2975.1522483827339</v>
      </c>
      <c r="GT40" s="385">
        <f>954</f>
        <v>954</v>
      </c>
      <c r="GU40" s="369">
        <v>65.615106286748087</v>
      </c>
      <c r="GV40" s="385">
        <v>2975.1522483827339</v>
      </c>
      <c r="GW40" s="385">
        <f>954</f>
        <v>954</v>
      </c>
      <c r="GX40" s="369">
        <v>65.615106286748087</v>
      </c>
      <c r="GY40" s="385">
        <v>2975.1522483827339</v>
      </c>
      <c r="GZ40" s="385">
        <f>954</f>
        <v>954</v>
      </c>
      <c r="HA40" s="369">
        <v>65.615106286748087</v>
      </c>
      <c r="HB40" s="385">
        <v>2975.1522483827339</v>
      </c>
      <c r="HC40" s="385">
        <f>954</f>
        <v>954</v>
      </c>
      <c r="HD40" s="369">
        <v>65.615106286748087</v>
      </c>
      <c r="HE40" s="387">
        <v>2975.1522483827339</v>
      </c>
      <c r="HF40" s="386">
        <f>954*6</f>
        <v>5724</v>
      </c>
      <c r="HG40" s="369">
        <v>65.615106286748087</v>
      </c>
      <c r="HH40" s="387">
        <v>2975.1522483827339</v>
      </c>
      <c r="HI40" s="369">
        <v>65.615106286748087</v>
      </c>
      <c r="HJ40" s="387">
        <v>2975.1522483827339</v>
      </c>
      <c r="HK40" s="369">
        <v>65.615106286748087</v>
      </c>
      <c r="HL40" s="387">
        <v>2975.1522483827339</v>
      </c>
      <c r="HM40" s="369">
        <v>65.615106286748087</v>
      </c>
      <c r="HN40" s="387">
        <v>2975.1522483827339</v>
      </c>
      <c r="HO40" s="369">
        <v>65.615106286748087</v>
      </c>
      <c r="HP40" s="387">
        <v>2975.1522483827339</v>
      </c>
      <c r="HQ40" s="369">
        <v>65.615106286748087</v>
      </c>
      <c r="HR40" s="387">
        <v>2975.1522483827339</v>
      </c>
      <c r="HS40" s="369">
        <v>65.615106286748087</v>
      </c>
      <c r="HT40" s="387">
        <v>2975.1522483827339</v>
      </c>
      <c r="HU40" s="369">
        <v>65.615106286748087</v>
      </c>
      <c r="HV40" s="388">
        <v>2975.1522483827339</v>
      </c>
      <c r="HW40" s="424">
        <v>65.615106286748087</v>
      </c>
      <c r="HX40" s="388">
        <f>VLOOKUP(C40,'[15]Prix accès'!A:D,4,FALSE)-JC40</f>
        <v>2975.1522483827339</v>
      </c>
      <c r="HY40" s="424">
        <v>65.615106286748087</v>
      </c>
      <c r="HZ40" s="424">
        <v>3040.7673546694818</v>
      </c>
      <c r="IA40" s="424">
        <v>65.615106286748087</v>
      </c>
      <c r="IB40" s="424">
        <v>3040.7673546694818</v>
      </c>
      <c r="IC40" s="424">
        <v>65.615106286748087</v>
      </c>
      <c r="ID40" s="357">
        <f>VLOOKUP($C40,'[15]Prix accès'!A:D,4,FALSE)</f>
        <v>2975.1522483827339</v>
      </c>
      <c r="IE40" s="435">
        <v>65.615106286748087</v>
      </c>
      <c r="IF40" s="357">
        <f>VLOOKUP($C40,'[15]Prix accès'!$A:$D,4,FALSE)</f>
        <v>2975.1522483827339</v>
      </c>
      <c r="IG40" s="435">
        <v>65.615106286748087</v>
      </c>
      <c r="IH40" s="357">
        <f>VLOOKUP($C40,'[15]Prix accès'!$A:$D,4,FALSE)</f>
        <v>2975.1522483827339</v>
      </c>
      <c r="II40" s="435">
        <v>65.615106286748087</v>
      </c>
      <c r="IJ40" s="357">
        <f>VLOOKUP($C40,'[15]Prix accès'!$A:$D,4,FALSE)</f>
        <v>2975.1522483827339</v>
      </c>
      <c r="IK40" s="435">
        <v>65.615106286748087</v>
      </c>
      <c r="IL40" s="357">
        <f>VLOOKUP($C40,'[15]Prix accès'!$A:$D,4,FALSE)</f>
        <v>2975.1522483827339</v>
      </c>
      <c r="IM40" s="435">
        <v>65.615106286748087</v>
      </c>
      <c r="IN40" s="357">
        <f>VLOOKUP($C40,'[15]Prix accès'!$A:$D,4,FALSE)</f>
        <v>2975.1522483827339</v>
      </c>
      <c r="IO40" s="435">
        <v>65.615106286748087</v>
      </c>
      <c r="IP40" s="428">
        <v>3589.1024514131591</v>
      </c>
      <c r="IQ40" s="409">
        <v>77.447338567964962</v>
      </c>
      <c r="IR40" s="463" t="s">
        <v>2824</v>
      </c>
      <c r="IS40" s="364" t="s">
        <v>77</v>
      </c>
      <c r="IT40" s="365">
        <v>43430</v>
      </c>
      <c r="IU40" s="371">
        <v>43466</v>
      </c>
      <c r="IW40" s="372">
        <f t="shared" si="11"/>
        <v>36</v>
      </c>
      <c r="IX40" s="373">
        <f t="shared" si="14"/>
        <v>97.545975356810942</v>
      </c>
      <c r="IY40" s="394">
        <f t="shared" si="13"/>
        <v>3511.6551128451938</v>
      </c>
      <c r="IZ40" s="394"/>
      <c r="JA40" s="460"/>
      <c r="JC40" s="461"/>
    </row>
    <row r="41" spans="1:263" s="367" customFormat="1" ht="16.5" customHeight="1" x14ac:dyDescent="0.3">
      <c r="A41" s="354" t="s">
        <v>2739</v>
      </c>
      <c r="B41" s="411" t="s">
        <v>2877</v>
      </c>
      <c r="C41" s="481" t="s">
        <v>825</v>
      </c>
      <c r="D41" s="482">
        <f>((738-568)/30.5)*3+738</f>
        <v>754.72131147540983</v>
      </c>
      <c r="E41" s="482">
        <f>((22-35)/30.5)*3+22</f>
        <v>20.721311475409838</v>
      </c>
      <c r="F41" s="431">
        <v>20</v>
      </c>
      <c r="G41" s="482">
        <f>((14-5)/30.5)*3+14</f>
        <v>14.885245901639344</v>
      </c>
      <c r="H41" s="872">
        <v>0</v>
      </c>
      <c r="I41" s="830">
        <v>623</v>
      </c>
      <c r="J41" s="831">
        <f>((5/30.5)*28)</f>
        <v>4.5901639344262293</v>
      </c>
      <c r="K41" s="827"/>
      <c r="L41" s="831">
        <v>623</v>
      </c>
      <c r="M41" s="831">
        <f>((5/30.5)*28)</f>
        <v>4.5901639344262293</v>
      </c>
      <c r="N41" s="827"/>
      <c r="O41" s="831">
        <v>623</v>
      </c>
      <c r="P41" s="831">
        <f>((5/30.5)*28)</f>
        <v>4.5901639344262293</v>
      </c>
      <c r="Q41" s="827"/>
      <c r="R41" s="831">
        <v>623</v>
      </c>
      <c r="S41" s="831">
        <f>((5/30.5)*28)</f>
        <v>4.5901639344262293</v>
      </c>
      <c r="T41" s="827"/>
      <c r="U41" s="831">
        <v>623</v>
      </c>
      <c r="V41" s="831">
        <f>((5/30.5)*28)</f>
        <v>4.5901639344262293</v>
      </c>
      <c r="W41" s="827"/>
      <c r="X41" s="831">
        <v>623</v>
      </c>
      <c r="Y41" s="831">
        <f>((5/30.5)*28)</f>
        <v>4.5901639344262293</v>
      </c>
      <c r="Z41" s="827"/>
      <c r="AA41" s="831">
        <v>623</v>
      </c>
      <c r="AB41" s="831">
        <f>((5/30.5)*28)</f>
        <v>4.5901639344262293</v>
      </c>
      <c r="AC41" s="827"/>
      <c r="AD41" s="831">
        <v>623</v>
      </c>
      <c r="AE41" s="831">
        <f>((5/30.5)*28)</f>
        <v>4.5901639344262293</v>
      </c>
      <c r="AF41" s="827"/>
      <c r="AG41" s="831">
        <v>623</v>
      </c>
      <c r="AH41" s="831">
        <f>((5/30.5)*28)</f>
        <v>4.5901639344262293</v>
      </c>
      <c r="AI41" s="827"/>
      <c r="AJ41" s="831">
        <v>623</v>
      </c>
      <c r="AK41" s="831">
        <f>((5/30.5)*28)</f>
        <v>4.5901639344262293</v>
      </c>
      <c r="AL41" s="827"/>
      <c r="AM41" s="831">
        <v>623</v>
      </c>
      <c r="AN41" s="831">
        <f>((5/30.5)*28)</f>
        <v>4.5901639344262293</v>
      </c>
      <c r="AO41" s="827"/>
      <c r="AP41" s="831">
        <v>623</v>
      </c>
      <c r="AQ41" s="831">
        <f>((5/30.5)*28)</f>
        <v>4.5901639344262293</v>
      </c>
      <c r="AR41" s="827"/>
      <c r="AS41" s="831">
        <v>623</v>
      </c>
      <c r="AT41" s="831">
        <f>((5/30.5)*28)</f>
        <v>4.5901639344262293</v>
      </c>
      <c r="AU41" s="827"/>
      <c r="AV41" s="831">
        <v>623</v>
      </c>
      <c r="AW41" s="831">
        <f>((5/30.5)*28)</f>
        <v>4.5901639344262293</v>
      </c>
      <c r="AX41" s="827"/>
      <c r="AY41" s="831">
        <v>623</v>
      </c>
      <c r="AZ41" s="831">
        <f>((5/30.5)*28)</f>
        <v>4.5901639344262293</v>
      </c>
      <c r="BA41" s="358"/>
      <c r="BB41" s="385">
        <v>623</v>
      </c>
      <c r="BC41" s="385">
        <f>((5/30.5)*28)</f>
        <v>4.5901639344262293</v>
      </c>
      <c r="BD41" s="358"/>
      <c r="BE41" s="385">
        <v>623</v>
      </c>
      <c r="BF41" s="385">
        <f>((5/30.5)*28)</f>
        <v>4.5901639344262293</v>
      </c>
      <c r="BG41" s="358"/>
      <c r="BH41" s="385">
        <v>623</v>
      </c>
      <c r="BI41" s="385">
        <f>((5/30.5)*28)</f>
        <v>4.5901639344262293</v>
      </c>
      <c r="BJ41" s="369"/>
      <c r="BK41" s="385">
        <v>623</v>
      </c>
      <c r="BL41" s="385">
        <f>((5/30.5)*28)</f>
        <v>4.5901639344262293</v>
      </c>
      <c r="BM41" s="369"/>
      <c r="BN41" s="385">
        <v>623</v>
      </c>
      <c r="BO41" s="385">
        <f>((5/30.5)*28)</f>
        <v>4.5901639344262293</v>
      </c>
      <c r="BP41" s="369"/>
      <c r="BQ41" s="385">
        <v>623</v>
      </c>
      <c r="BR41" s="385">
        <f>((5/30.5)*28)</f>
        <v>4.5901639344262293</v>
      </c>
      <c r="BS41" s="369"/>
      <c r="BT41" s="385">
        <v>623</v>
      </c>
      <c r="BU41" s="385">
        <f>((5/30.5)*28)</f>
        <v>4.5901639344262293</v>
      </c>
      <c r="BV41" s="369"/>
      <c r="BW41" s="385">
        <v>623</v>
      </c>
      <c r="BX41" s="385">
        <f>((5/30.5)*28)</f>
        <v>4.5901639344262293</v>
      </c>
      <c r="BY41" s="369"/>
      <c r="BZ41" s="385">
        <v>623</v>
      </c>
      <c r="CA41" s="385">
        <f>((5/30.5)*28)</f>
        <v>4.5901639344262293</v>
      </c>
      <c r="CB41" s="369"/>
      <c r="CC41" s="385">
        <v>623</v>
      </c>
      <c r="CD41" s="385">
        <f>((5/30.5)*28)</f>
        <v>4.5901639344262293</v>
      </c>
      <c r="CE41" s="369"/>
      <c r="CF41" s="385">
        <v>623</v>
      </c>
      <c r="CG41" s="385">
        <f>((5/30.5)*28)</f>
        <v>4.5901639344262293</v>
      </c>
      <c r="CH41" s="369"/>
      <c r="CI41" s="385">
        <v>623</v>
      </c>
      <c r="CJ41" s="385">
        <f>((5/30.5)*28)</f>
        <v>4.5901639344262293</v>
      </c>
      <c r="CK41" s="369"/>
      <c r="CL41" s="385">
        <v>623</v>
      </c>
      <c r="CM41" s="385">
        <f>((5/30.5)*28)</f>
        <v>4.5901639344262293</v>
      </c>
      <c r="CN41" s="369"/>
      <c r="CO41" s="385">
        <v>623</v>
      </c>
      <c r="CP41" s="385">
        <f>((5/30.5)*28)</f>
        <v>4.5901639344262293</v>
      </c>
      <c r="CQ41" s="369"/>
      <c r="CR41" s="385">
        <v>623</v>
      </c>
      <c r="CS41" s="385">
        <f>((5/30.5)*28)</f>
        <v>4.5901639344262293</v>
      </c>
      <c r="CT41" s="369"/>
      <c r="CU41" s="385">
        <v>623</v>
      </c>
      <c r="CV41" s="385">
        <f>((5/30.5)*28)</f>
        <v>4.5901639344262293</v>
      </c>
      <c r="CW41" s="369"/>
      <c r="CX41" s="385">
        <v>623</v>
      </c>
      <c r="CY41" s="385">
        <f>((5/30.5)*28)</f>
        <v>4.5901639344262293</v>
      </c>
      <c r="CZ41" s="369"/>
      <c r="DA41" s="385">
        <v>623</v>
      </c>
      <c r="DB41" s="385">
        <f>((5/30.5)*28)</f>
        <v>4.5901639344262293</v>
      </c>
      <c r="DC41" s="369"/>
      <c r="DD41" s="385">
        <v>623</v>
      </c>
      <c r="DE41" s="385">
        <f>((5/30.5)*28)</f>
        <v>4.5901639344262293</v>
      </c>
      <c r="DF41" s="369"/>
      <c r="DG41" s="385">
        <v>623</v>
      </c>
      <c r="DH41" s="385">
        <f>((5/30.5)*28)</f>
        <v>4.5901639344262293</v>
      </c>
      <c r="DI41" s="369"/>
      <c r="DJ41" s="385">
        <v>623</v>
      </c>
      <c r="DK41" s="385">
        <f>((5/30.5)*28)</f>
        <v>4.5901639344262293</v>
      </c>
      <c r="DL41" s="369"/>
      <c r="DM41" s="385">
        <v>623</v>
      </c>
      <c r="DN41" s="385">
        <f>((5/30.5)*28)</f>
        <v>4.5901639344262293</v>
      </c>
      <c r="DO41" s="369"/>
      <c r="DP41" s="385">
        <v>623</v>
      </c>
      <c r="DQ41" s="385">
        <f>((5/30.5)*28)</f>
        <v>4.5901639344262293</v>
      </c>
      <c r="DR41" s="369"/>
      <c r="DS41" s="385">
        <v>623</v>
      </c>
      <c r="DT41" s="385">
        <f>((5/30.5)*28)</f>
        <v>4.5901639344262293</v>
      </c>
      <c r="DU41" s="369"/>
      <c r="DV41" s="385">
        <v>623</v>
      </c>
      <c r="DW41" s="385">
        <f>((5/30.5)*28)</f>
        <v>4.5901639344262293</v>
      </c>
      <c r="DX41" s="369"/>
      <c r="DY41" s="385">
        <v>623</v>
      </c>
      <c r="DZ41" s="385">
        <f>((5/30.5)*28)</f>
        <v>4.5901639344262293</v>
      </c>
      <c r="EA41" s="369"/>
      <c r="EB41" s="385">
        <v>623</v>
      </c>
      <c r="EC41" s="385">
        <f>((5/30.5)*28)</f>
        <v>4.5901639344262293</v>
      </c>
      <c r="ED41" s="369"/>
      <c r="EE41" s="385">
        <v>623</v>
      </c>
      <c r="EF41" s="385">
        <f>((5/30.5)*28)</f>
        <v>4.5901639344262293</v>
      </c>
      <c r="EG41" s="369"/>
      <c r="EH41" s="385">
        <v>623</v>
      </c>
      <c r="EI41" s="385">
        <f>((5/30.5)*28)</f>
        <v>4.5901639344262293</v>
      </c>
      <c r="EJ41" s="369"/>
      <c r="EK41" s="385">
        <v>623</v>
      </c>
      <c r="EL41" s="385">
        <f>((5/30.5)*28)</f>
        <v>4.5901639344262293</v>
      </c>
      <c r="EM41" s="369"/>
      <c r="EN41" s="385">
        <v>623</v>
      </c>
      <c r="EO41" s="385">
        <f>((5/30.5)*28)</f>
        <v>4.5901639344262293</v>
      </c>
      <c r="EP41" s="369"/>
      <c r="EQ41" s="385">
        <v>623</v>
      </c>
      <c r="ER41" s="385">
        <f>((5/30.5)*28)</f>
        <v>4.5901639344262293</v>
      </c>
      <c r="ES41" s="369"/>
      <c r="ET41" s="385">
        <v>623</v>
      </c>
      <c r="EU41" s="385">
        <f>((5/30.5)*28)</f>
        <v>4.5901639344262293</v>
      </c>
      <c r="EV41" s="369"/>
      <c r="EW41" s="385">
        <v>623</v>
      </c>
      <c r="EX41" s="385">
        <f>((5/30.5)*28)</f>
        <v>4.5901639344262293</v>
      </c>
      <c r="EY41" s="369"/>
      <c r="EZ41" s="385">
        <v>623</v>
      </c>
      <c r="FA41" s="385">
        <f>((5/30.5)*28)</f>
        <v>4.5901639344262293</v>
      </c>
      <c r="FB41" s="369"/>
      <c r="FC41" s="385">
        <v>623</v>
      </c>
      <c r="FD41" s="385">
        <f>((5/30.5)*28)</f>
        <v>4.5901639344262293</v>
      </c>
      <c r="FE41" s="369"/>
      <c r="FF41" s="386">
        <f>((368/30.5)*2)+((623/30.5)*28)</f>
        <v>596.06557377049182</v>
      </c>
      <c r="FG41" s="386">
        <f>((5/30.5)*28)</f>
        <v>4.5901639344262293</v>
      </c>
      <c r="FH41" s="370"/>
      <c r="FI41" s="387">
        <v>368.21198190000001</v>
      </c>
      <c r="FJ41" s="387"/>
      <c r="FK41" s="358"/>
      <c r="FL41" s="387">
        <v>368.21198190000001</v>
      </c>
      <c r="FM41" s="387"/>
      <c r="FN41" s="358"/>
      <c r="FO41" s="387">
        <v>368.21198190000001</v>
      </c>
      <c r="FP41" s="387"/>
      <c r="FQ41" s="358"/>
      <c r="FR41" s="387">
        <v>368.21198190000001</v>
      </c>
      <c r="FS41" s="387"/>
      <c r="FT41" s="358"/>
      <c r="FU41" s="387">
        <v>368.21198190000001</v>
      </c>
      <c r="FV41" s="387"/>
      <c r="FW41" s="358"/>
      <c r="FX41" s="387">
        <v>368.21198190000001</v>
      </c>
      <c r="FY41" s="387"/>
      <c r="FZ41" s="358"/>
      <c r="GA41" s="387">
        <v>368.21198190000001</v>
      </c>
      <c r="GB41" s="387"/>
      <c r="GC41" s="358"/>
      <c r="GD41" s="387">
        <v>368.21198190000001</v>
      </c>
      <c r="GE41" s="387"/>
      <c r="GF41" s="358"/>
      <c r="GG41" s="387">
        <v>368.21198190000001</v>
      </c>
      <c r="GH41" s="387"/>
      <c r="GI41" s="358"/>
      <c r="GJ41" s="387">
        <v>368.21198190000001</v>
      </c>
      <c r="GK41" s="387"/>
      <c r="GL41" s="358"/>
      <c r="GM41" s="387">
        <v>368.21198190000001</v>
      </c>
      <c r="GN41" s="387"/>
      <c r="GO41" s="358"/>
      <c r="GP41" s="387">
        <v>368.21198190000001</v>
      </c>
      <c r="GQ41" s="387"/>
      <c r="GR41" s="358"/>
      <c r="GS41" s="387">
        <v>368.21198190000001</v>
      </c>
      <c r="GT41" s="387"/>
      <c r="GU41" s="358"/>
      <c r="GV41" s="387">
        <v>368.21198190000001</v>
      </c>
      <c r="GW41" s="387"/>
      <c r="GX41" s="358"/>
      <c r="GY41" s="387">
        <v>368.21198190000001</v>
      </c>
      <c r="GZ41" s="387"/>
      <c r="HA41" s="358"/>
      <c r="HB41" s="387">
        <v>368.21198190000001</v>
      </c>
      <c r="HC41" s="387"/>
      <c r="HD41" s="358"/>
      <c r="HE41" s="387">
        <v>368.21198190000001</v>
      </c>
      <c r="HF41" s="387"/>
      <c r="HG41" s="358"/>
      <c r="HH41" s="387">
        <v>368.21198190000001</v>
      </c>
      <c r="HI41" s="358"/>
      <c r="HJ41" s="387">
        <v>368.21198190000001</v>
      </c>
      <c r="HK41" s="358"/>
      <c r="HL41" s="387">
        <v>368.21198190000001</v>
      </c>
      <c r="HM41" s="358"/>
      <c r="HN41" s="387">
        <v>368.21198190000001</v>
      </c>
      <c r="HO41" s="358"/>
      <c r="HP41" s="387">
        <v>368.21198190000001</v>
      </c>
      <c r="HQ41" s="358"/>
      <c r="HR41" s="387">
        <v>368.21198190000001</v>
      </c>
      <c r="HS41" s="358"/>
      <c r="HT41" s="387">
        <v>368.21198190000001</v>
      </c>
      <c r="HU41" s="358"/>
      <c r="HV41" s="388">
        <v>368.21198190000001</v>
      </c>
      <c r="HW41" s="358"/>
      <c r="HX41" s="472">
        <v>368.21198190000001</v>
      </c>
      <c r="HY41" s="358"/>
      <c r="HZ41" s="472">
        <v>368.21198190000001</v>
      </c>
      <c r="IA41" s="358"/>
      <c r="IB41" s="472">
        <v>368.21198190000001</v>
      </c>
      <c r="IC41" s="358"/>
      <c r="ID41" s="357">
        <f>VLOOKUP($C41,'[15]Prix accès'!A:D,4,FALSE)</f>
        <v>623</v>
      </c>
      <c r="IE41" s="361"/>
      <c r="IF41" s="357">
        <f>VLOOKUP($C41,'[15]Prix accès'!$A:$D,4,FALSE)</f>
        <v>623</v>
      </c>
      <c r="IG41" s="361"/>
      <c r="IH41" s="357">
        <f>VLOOKUP($C41,'[15]Prix accès'!$A:$D,4,FALSE)</f>
        <v>623</v>
      </c>
      <c r="II41" s="361"/>
      <c r="IJ41" s="357">
        <f>VLOOKUP($C41,'[15]Prix accès'!$A:$D,4,FALSE)</f>
        <v>623</v>
      </c>
      <c r="IK41" s="361"/>
      <c r="IL41" s="357">
        <f>VLOOKUP($C41,'[15]Prix accès'!$A:$D,4,FALSE)</f>
        <v>623</v>
      </c>
      <c r="IM41" s="361"/>
      <c r="IN41" s="357">
        <f>VLOOKUP($C41,'[15]Prix accès'!$A:$D,4,FALSE)</f>
        <v>623</v>
      </c>
      <c r="IO41" s="361"/>
      <c r="IP41" s="428">
        <v>422.53833988524593</v>
      </c>
      <c r="IQ41" s="361"/>
      <c r="IR41" s="473" t="s">
        <v>3328</v>
      </c>
      <c r="IS41" s="364" t="s">
        <v>77</v>
      </c>
      <c r="IT41" s="365">
        <v>43431</v>
      </c>
      <c r="IU41" s="371">
        <v>43466</v>
      </c>
      <c r="IV41" s="393">
        <v>44503</v>
      </c>
      <c r="IW41" s="372">
        <f t="shared" si="11"/>
        <v>35</v>
      </c>
      <c r="IX41" s="373">
        <f t="shared" si="14"/>
        <v>20.42622950819672</v>
      </c>
      <c r="IY41" s="394">
        <f t="shared" si="13"/>
        <v>714.91803278688519</v>
      </c>
      <c r="IZ41" s="394"/>
      <c r="JA41" s="394"/>
    </row>
    <row r="42" spans="1:263" s="367" customFormat="1" ht="16.5" customHeight="1" x14ac:dyDescent="0.3">
      <c r="A42" s="354" t="s">
        <v>2735</v>
      </c>
      <c r="B42" s="415" t="s">
        <v>2748</v>
      </c>
      <c r="C42" s="447" t="s">
        <v>705</v>
      </c>
      <c r="D42" s="448">
        <v>1149</v>
      </c>
      <c r="E42" s="449">
        <v>71</v>
      </c>
      <c r="F42" s="449">
        <v>48</v>
      </c>
      <c r="G42" s="449">
        <v>5</v>
      </c>
      <c r="H42" s="450">
        <v>0</v>
      </c>
      <c r="I42" s="830">
        <v>1267</v>
      </c>
      <c r="J42" s="831">
        <f>5</f>
        <v>5</v>
      </c>
      <c r="K42" s="827"/>
      <c r="L42" s="831">
        <v>1267</v>
      </c>
      <c r="M42" s="831">
        <f>5</f>
        <v>5</v>
      </c>
      <c r="N42" s="827"/>
      <c r="O42" s="831">
        <v>1267</v>
      </c>
      <c r="P42" s="831">
        <f>5</f>
        <v>5</v>
      </c>
      <c r="Q42" s="827"/>
      <c r="R42" s="831">
        <v>1267</v>
      </c>
      <c r="S42" s="831">
        <f>5</f>
        <v>5</v>
      </c>
      <c r="T42" s="827"/>
      <c r="U42" s="831">
        <v>1267</v>
      </c>
      <c r="V42" s="831">
        <f>5</f>
        <v>5</v>
      </c>
      <c r="W42" s="827"/>
      <c r="X42" s="831">
        <v>1267</v>
      </c>
      <c r="Y42" s="831">
        <f>5</f>
        <v>5</v>
      </c>
      <c r="Z42" s="827"/>
      <c r="AA42" s="831">
        <v>1267</v>
      </c>
      <c r="AB42" s="831">
        <f>5</f>
        <v>5</v>
      </c>
      <c r="AC42" s="827"/>
      <c r="AD42" s="831">
        <v>1267</v>
      </c>
      <c r="AE42" s="831">
        <f>5</f>
        <v>5</v>
      </c>
      <c r="AF42" s="827"/>
      <c r="AG42" s="831">
        <v>1267</v>
      </c>
      <c r="AH42" s="831">
        <f>5</f>
        <v>5</v>
      </c>
      <c r="AI42" s="827"/>
      <c r="AJ42" s="831">
        <v>1267</v>
      </c>
      <c r="AK42" s="831">
        <f>5</f>
        <v>5</v>
      </c>
      <c r="AL42" s="827"/>
      <c r="AM42" s="831">
        <v>1267</v>
      </c>
      <c r="AN42" s="831">
        <f>5</f>
        <v>5</v>
      </c>
      <c r="AO42" s="827"/>
      <c r="AP42" s="831">
        <v>1267</v>
      </c>
      <c r="AQ42" s="831">
        <f>5</f>
        <v>5</v>
      </c>
      <c r="AR42" s="827"/>
      <c r="AS42" s="831">
        <v>1267</v>
      </c>
      <c r="AT42" s="831">
        <f>5</f>
        <v>5</v>
      </c>
      <c r="AU42" s="827"/>
      <c r="AV42" s="831">
        <v>1267</v>
      </c>
      <c r="AW42" s="831">
        <f>5</f>
        <v>5</v>
      </c>
      <c r="AX42" s="827"/>
      <c r="AY42" s="831">
        <v>1267</v>
      </c>
      <c r="AZ42" s="831">
        <f>5</f>
        <v>5</v>
      </c>
      <c r="BA42" s="358"/>
      <c r="BB42" s="385">
        <v>1267</v>
      </c>
      <c r="BC42" s="385">
        <f>5</f>
        <v>5</v>
      </c>
      <c r="BD42" s="358"/>
      <c r="BE42" s="385">
        <v>1267</v>
      </c>
      <c r="BF42" s="385">
        <f>5</f>
        <v>5</v>
      </c>
      <c r="BG42" s="358"/>
      <c r="BH42" s="385">
        <v>1267</v>
      </c>
      <c r="BI42" s="385">
        <f>5</f>
        <v>5</v>
      </c>
      <c r="BJ42" s="369"/>
      <c r="BK42" s="385">
        <v>1267</v>
      </c>
      <c r="BL42" s="385">
        <f>5</f>
        <v>5</v>
      </c>
      <c r="BM42" s="369"/>
      <c r="BN42" s="385">
        <v>1267</v>
      </c>
      <c r="BO42" s="385">
        <f>5</f>
        <v>5</v>
      </c>
      <c r="BP42" s="369"/>
      <c r="BQ42" s="385">
        <v>1267</v>
      </c>
      <c r="BR42" s="385">
        <f>5</f>
        <v>5</v>
      </c>
      <c r="BS42" s="369"/>
      <c r="BT42" s="385">
        <v>1267</v>
      </c>
      <c r="BU42" s="385">
        <f>5</f>
        <v>5</v>
      </c>
      <c r="BV42" s="369"/>
      <c r="BW42" s="385">
        <v>1267</v>
      </c>
      <c r="BX42" s="385">
        <f>5</f>
        <v>5</v>
      </c>
      <c r="BY42" s="369"/>
      <c r="BZ42" s="386">
        <f>(((1267-1081)/30.5)*9)+1267</f>
        <v>1321.8852459016393</v>
      </c>
      <c r="CA42" s="386">
        <f>5</f>
        <v>5</v>
      </c>
      <c r="CB42" s="370"/>
      <c r="CC42" s="385">
        <v>1081.2564263010345</v>
      </c>
      <c r="CD42" s="385">
        <f>5</f>
        <v>5</v>
      </c>
      <c r="CE42" s="358"/>
      <c r="CF42" s="385">
        <v>1081.2564263010345</v>
      </c>
      <c r="CG42" s="385">
        <f>5</f>
        <v>5</v>
      </c>
      <c r="CH42" s="358"/>
      <c r="CI42" s="385">
        <v>1081.2564263010345</v>
      </c>
      <c r="CJ42" s="385">
        <f>5</f>
        <v>5</v>
      </c>
      <c r="CK42" s="358"/>
      <c r="CL42" s="385">
        <v>1081.2564263010345</v>
      </c>
      <c r="CM42" s="385">
        <f>5</f>
        <v>5</v>
      </c>
      <c r="CN42" s="358"/>
      <c r="CO42" s="385">
        <v>1081.2564263010345</v>
      </c>
      <c r="CP42" s="385">
        <f>5</f>
        <v>5</v>
      </c>
      <c r="CQ42" s="358"/>
      <c r="CR42" s="385">
        <v>1081.2564263010345</v>
      </c>
      <c r="CS42" s="385">
        <f>5</f>
        <v>5</v>
      </c>
      <c r="CT42" s="358"/>
      <c r="CU42" s="385">
        <v>1081.2564263010345</v>
      </c>
      <c r="CV42" s="385">
        <f>5</f>
        <v>5</v>
      </c>
      <c r="CW42" s="358"/>
      <c r="CX42" s="385">
        <v>1081.2564263010345</v>
      </c>
      <c r="CY42" s="385">
        <f>5</f>
        <v>5</v>
      </c>
      <c r="CZ42" s="358"/>
      <c r="DA42" s="385">
        <v>1081.2564263010345</v>
      </c>
      <c r="DB42" s="385">
        <f>5</f>
        <v>5</v>
      </c>
      <c r="DC42" s="358"/>
      <c r="DD42" s="385">
        <v>1081.2564263010345</v>
      </c>
      <c r="DE42" s="385">
        <f>5</f>
        <v>5</v>
      </c>
      <c r="DF42" s="358"/>
      <c r="DG42" s="385">
        <v>1081.2564263010345</v>
      </c>
      <c r="DH42" s="385">
        <f>5</f>
        <v>5</v>
      </c>
      <c r="DI42" s="358"/>
      <c r="DJ42" s="385">
        <v>1081.2564263010345</v>
      </c>
      <c r="DK42" s="385">
        <f>5</f>
        <v>5</v>
      </c>
      <c r="DL42" s="358"/>
      <c r="DM42" s="385">
        <v>1081.2564263010345</v>
      </c>
      <c r="DN42" s="385">
        <f>5</f>
        <v>5</v>
      </c>
      <c r="DO42" s="358"/>
      <c r="DP42" s="385">
        <v>1081.2564263010345</v>
      </c>
      <c r="DQ42" s="385">
        <f>5</f>
        <v>5</v>
      </c>
      <c r="DR42" s="358"/>
      <c r="DS42" s="385">
        <v>1081.2564263010345</v>
      </c>
      <c r="DT42" s="385">
        <f>5</f>
        <v>5</v>
      </c>
      <c r="DU42" s="358"/>
      <c r="DV42" s="385">
        <v>1081.2564263010345</v>
      </c>
      <c r="DW42" s="385">
        <f>5</f>
        <v>5</v>
      </c>
      <c r="DX42" s="358"/>
      <c r="DY42" s="385">
        <v>1081.2564263010345</v>
      </c>
      <c r="DZ42" s="385">
        <f>5</f>
        <v>5</v>
      </c>
      <c r="EA42" s="358"/>
      <c r="EB42" s="385">
        <v>1081.2564263010345</v>
      </c>
      <c r="EC42" s="385">
        <f>5</f>
        <v>5</v>
      </c>
      <c r="ED42" s="358"/>
      <c r="EE42" s="385">
        <v>1081.2564263010345</v>
      </c>
      <c r="EF42" s="385">
        <f>5</f>
        <v>5</v>
      </c>
      <c r="EG42" s="358"/>
      <c r="EH42" s="385">
        <v>1081.2564263010345</v>
      </c>
      <c r="EI42" s="385">
        <f>5</f>
        <v>5</v>
      </c>
      <c r="EJ42" s="358"/>
      <c r="EK42" s="385">
        <v>1081.2564263010345</v>
      </c>
      <c r="EL42" s="385">
        <f>5</f>
        <v>5</v>
      </c>
      <c r="EM42" s="358"/>
      <c r="EN42" s="385">
        <v>1081.2564263010345</v>
      </c>
      <c r="EO42" s="385">
        <f>5</f>
        <v>5</v>
      </c>
      <c r="EP42" s="358"/>
      <c r="EQ42" s="385">
        <v>1081.2564263010345</v>
      </c>
      <c r="ER42" s="385">
        <f>5</f>
        <v>5</v>
      </c>
      <c r="ES42" s="358"/>
      <c r="ET42" s="385">
        <v>1081.2564263010345</v>
      </c>
      <c r="EU42" s="385">
        <f>5</f>
        <v>5</v>
      </c>
      <c r="EV42" s="358"/>
      <c r="EW42" s="385">
        <v>1081.2564263010345</v>
      </c>
      <c r="EX42" s="385">
        <f>5</f>
        <v>5</v>
      </c>
      <c r="EY42" s="358"/>
      <c r="EZ42" s="385">
        <v>1081.2564263010345</v>
      </c>
      <c r="FA42" s="385">
        <f>5</f>
        <v>5</v>
      </c>
      <c r="FB42" s="358"/>
      <c r="FC42" s="385">
        <v>1081.2564263010345</v>
      </c>
      <c r="FD42" s="385">
        <f>5</f>
        <v>5</v>
      </c>
      <c r="FE42" s="358"/>
      <c r="FF42" s="385">
        <v>1081.2564263010345</v>
      </c>
      <c r="FG42" s="385">
        <f>5</f>
        <v>5</v>
      </c>
      <c r="FH42" s="358"/>
      <c r="FI42" s="385">
        <v>1081.2564263010345</v>
      </c>
      <c r="FJ42" s="385">
        <f>5</f>
        <v>5</v>
      </c>
      <c r="FK42" s="358"/>
      <c r="FL42" s="385">
        <v>1081.2564263010345</v>
      </c>
      <c r="FM42" s="385">
        <f>5</f>
        <v>5</v>
      </c>
      <c r="FN42" s="358"/>
      <c r="FO42" s="385">
        <v>1081.2564263010345</v>
      </c>
      <c r="FP42" s="385">
        <f>5</f>
        <v>5</v>
      </c>
      <c r="FQ42" s="358"/>
      <c r="FR42" s="385">
        <v>1081.2564263010345</v>
      </c>
      <c r="FS42" s="385">
        <f>5</f>
        <v>5</v>
      </c>
      <c r="FT42" s="358"/>
      <c r="FU42" s="385">
        <v>1081.2564263010345</v>
      </c>
      <c r="FV42" s="385">
        <f>5</f>
        <v>5</v>
      </c>
      <c r="FW42" s="358"/>
      <c r="FX42" s="385">
        <v>1081.2564263010345</v>
      </c>
      <c r="FY42" s="385">
        <f>5</f>
        <v>5</v>
      </c>
      <c r="FZ42" s="358"/>
      <c r="GA42" s="385">
        <v>1081.2564263010345</v>
      </c>
      <c r="GB42" s="385">
        <f>5</f>
        <v>5</v>
      </c>
      <c r="GC42" s="358"/>
      <c r="GD42" s="385">
        <v>1081.2564263010345</v>
      </c>
      <c r="GE42" s="385">
        <f>5</f>
        <v>5</v>
      </c>
      <c r="GF42" s="358"/>
      <c r="GG42" s="385">
        <v>1081.2564263010345</v>
      </c>
      <c r="GH42" s="385">
        <f>5</f>
        <v>5</v>
      </c>
      <c r="GI42" s="358"/>
      <c r="GJ42" s="385">
        <v>1081.2564263010345</v>
      </c>
      <c r="GK42" s="385">
        <f>5</f>
        <v>5</v>
      </c>
      <c r="GL42" s="358"/>
      <c r="GM42" s="385">
        <v>1081.2564263010345</v>
      </c>
      <c r="GN42" s="385">
        <f>5</f>
        <v>5</v>
      </c>
      <c r="GO42" s="358"/>
      <c r="GP42" s="385">
        <v>1081.2564263010345</v>
      </c>
      <c r="GQ42" s="385">
        <f>5</f>
        <v>5</v>
      </c>
      <c r="GR42" s="358"/>
      <c r="GS42" s="385">
        <v>1081.2564263010345</v>
      </c>
      <c r="GT42" s="385">
        <f>5</f>
        <v>5</v>
      </c>
      <c r="GU42" s="358"/>
      <c r="GV42" s="385">
        <v>1081.2564263010345</v>
      </c>
      <c r="GW42" s="385">
        <f>5</f>
        <v>5</v>
      </c>
      <c r="GX42" s="358"/>
      <c r="GY42" s="385">
        <v>1081.2564263010345</v>
      </c>
      <c r="GZ42" s="385">
        <f>5</f>
        <v>5</v>
      </c>
      <c r="HA42" s="358"/>
      <c r="HB42" s="385">
        <v>1081.2564263010345</v>
      </c>
      <c r="HC42" s="385">
        <f>5</f>
        <v>5</v>
      </c>
      <c r="HD42" s="358"/>
      <c r="HE42" s="387">
        <v>1081.2564263010345</v>
      </c>
      <c r="HF42" s="386">
        <f>5*6</f>
        <v>30</v>
      </c>
      <c r="HG42" s="358"/>
      <c r="HH42" s="387">
        <v>1081.2564263010345</v>
      </c>
      <c r="HI42" s="358"/>
      <c r="HJ42" s="387">
        <v>1081.2564263010345</v>
      </c>
      <c r="HK42" s="358"/>
      <c r="HL42" s="387">
        <v>1081.2564263010345</v>
      </c>
      <c r="HM42" s="358"/>
      <c r="HN42" s="387">
        <v>1081.2564263010345</v>
      </c>
      <c r="HO42" s="358"/>
      <c r="HP42" s="387">
        <v>1081.2564263010345</v>
      </c>
      <c r="HQ42" s="358"/>
      <c r="HR42" s="387">
        <v>1081.2564263010345</v>
      </c>
      <c r="HS42" s="358"/>
      <c r="HT42" s="387">
        <v>1081.2564263010345</v>
      </c>
      <c r="HU42" s="358"/>
      <c r="HV42" s="388">
        <v>1081.2564263010345</v>
      </c>
      <c r="HW42" s="425"/>
      <c r="HX42" s="424">
        <v>1081.2564263010345</v>
      </c>
      <c r="HY42" s="425"/>
      <c r="HZ42" s="424">
        <v>1081.2564263010345</v>
      </c>
      <c r="IA42" s="425"/>
      <c r="IB42" s="424">
        <v>1081.2564263010345</v>
      </c>
      <c r="IC42" s="425"/>
      <c r="ID42" s="357">
        <f>VLOOKUP($C42,'[15]Prix accès'!A:D,4,FALSE)</f>
        <v>1081.2564263010345</v>
      </c>
      <c r="IE42" s="426"/>
      <c r="IF42" s="357">
        <f>VLOOKUP($C42,'[15]Prix accès'!$A:$D,4,FALSE)</f>
        <v>1081.2564263010345</v>
      </c>
      <c r="IG42" s="426"/>
      <c r="IH42" s="357">
        <f>VLOOKUP($C42,'[15]Prix accès'!$A:$D,4,FALSE)</f>
        <v>1081.2564263010345</v>
      </c>
      <c r="II42" s="426"/>
      <c r="IJ42" s="357">
        <f>VLOOKUP($C42,'[15]Prix accès'!$A:$D,4,FALSE)</f>
        <v>1081.2564263010345</v>
      </c>
      <c r="IK42" s="426"/>
      <c r="IL42" s="357">
        <f>VLOOKUP($C42,'[15]Prix accès'!$A:$D,4,FALSE)</f>
        <v>1081.2564263010345</v>
      </c>
      <c r="IM42" s="427"/>
      <c r="IN42" s="357">
        <f>VLOOKUP($C42,'[15]Prix accès'!$A:$D,4,FALSE)</f>
        <v>1081.2564263010345</v>
      </c>
      <c r="IO42" s="427"/>
      <c r="IP42" s="428">
        <v>1240.7860629684003</v>
      </c>
      <c r="IQ42" s="427"/>
      <c r="IR42" s="463" t="s">
        <v>3160</v>
      </c>
      <c r="IS42" s="364" t="s">
        <v>77</v>
      </c>
      <c r="IT42" s="365">
        <v>43431</v>
      </c>
      <c r="IU42" s="371">
        <v>43466</v>
      </c>
      <c r="IW42" s="372">
        <f t="shared" si="11"/>
        <v>35</v>
      </c>
      <c r="IX42" s="373">
        <f t="shared" si="14"/>
        <v>35.451030370525721</v>
      </c>
      <c r="IY42" s="394">
        <f t="shared" si="13"/>
        <v>1240.7860629684003</v>
      </c>
      <c r="IZ42" s="394"/>
      <c r="JA42" s="394"/>
    </row>
    <row r="43" spans="1:263" s="367" customFormat="1" ht="16.5" customHeight="1" x14ac:dyDescent="0.3">
      <c r="A43" s="401" t="s">
        <v>3315</v>
      </c>
      <c r="B43" s="402" t="s">
        <v>3315</v>
      </c>
      <c r="C43" s="434" t="s">
        <v>3329</v>
      </c>
      <c r="D43" s="856"/>
      <c r="E43" s="751"/>
      <c r="F43" s="751"/>
      <c r="G43" s="751"/>
      <c r="H43" s="857"/>
      <c r="I43" s="853">
        <v>0</v>
      </c>
      <c r="J43" s="833">
        <v>0</v>
      </c>
      <c r="K43" s="833">
        <v>0</v>
      </c>
      <c r="L43" s="833">
        <v>0</v>
      </c>
      <c r="M43" s="833">
        <v>0</v>
      </c>
      <c r="N43" s="833">
        <v>0</v>
      </c>
      <c r="O43" s="833">
        <v>0</v>
      </c>
      <c r="P43" s="833">
        <v>0</v>
      </c>
      <c r="Q43" s="833">
        <v>0</v>
      </c>
      <c r="R43" s="833">
        <v>0</v>
      </c>
      <c r="S43" s="833">
        <v>0</v>
      </c>
      <c r="T43" s="833">
        <v>0</v>
      </c>
      <c r="U43" s="833">
        <v>0</v>
      </c>
      <c r="V43" s="833">
        <v>0</v>
      </c>
      <c r="W43" s="833">
        <v>0</v>
      </c>
      <c r="X43" s="833">
        <v>0</v>
      </c>
      <c r="Y43" s="833">
        <v>0</v>
      </c>
      <c r="Z43" s="833">
        <v>0</v>
      </c>
      <c r="AA43" s="833">
        <v>0</v>
      </c>
      <c r="AB43" s="833">
        <v>0</v>
      </c>
      <c r="AC43" s="833">
        <v>0</v>
      </c>
      <c r="AD43" s="833">
        <v>0</v>
      </c>
      <c r="AE43" s="833">
        <v>0</v>
      </c>
      <c r="AF43" s="833">
        <v>0</v>
      </c>
      <c r="AG43" s="833">
        <v>0</v>
      </c>
      <c r="AH43" s="833">
        <v>0</v>
      </c>
      <c r="AI43" s="833">
        <v>0</v>
      </c>
      <c r="AJ43" s="833">
        <v>0</v>
      </c>
      <c r="AK43" s="833">
        <v>0</v>
      </c>
      <c r="AL43" s="833">
        <v>0</v>
      </c>
      <c r="AM43" s="833">
        <v>0</v>
      </c>
      <c r="AN43" s="833">
        <v>0</v>
      </c>
      <c r="AO43" s="833">
        <v>0</v>
      </c>
      <c r="AP43" s="833">
        <v>0</v>
      </c>
      <c r="AQ43" s="833">
        <v>0</v>
      </c>
      <c r="AR43" s="833">
        <v>0</v>
      </c>
      <c r="AS43" s="833">
        <v>0</v>
      </c>
      <c r="AT43" s="833">
        <v>0</v>
      </c>
      <c r="AU43" s="833">
        <v>0</v>
      </c>
      <c r="AV43" s="833"/>
      <c r="AW43" s="833"/>
      <c r="AX43" s="833"/>
      <c r="AY43" s="833"/>
      <c r="AZ43" s="833"/>
      <c r="BA43" s="455"/>
      <c r="BB43" s="404"/>
      <c r="BC43" s="404"/>
      <c r="BD43" s="455"/>
      <c r="BE43" s="404"/>
      <c r="BF43" s="404"/>
      <c r="BG43" s="455"/>
      <c r="BH43" s="404"/>
      <c r="BI43" s="404"/>
      <c r="BJ43" s="455"/>
      <c r="BK43" s="404"/>
      <c r="BL43" s="404"/>
      <c r="BM43" s="455"/>
      <c r="BN43" s="404"/>
      <c r="BO43" s="404"/>
      <c r="BP43" s="455"/>
      <c r="BQ43" s="404"/>
      <c r="BR43" s="404"/>
      <c r="BS43" s="455"/>
      <c r="BT43" s="404"/>
      <c r="BU43" s="404"/>
      <c r="BV43" s="455"/>
      <c r="BW43" s="404"/>
      <c r="BX43" s="404"/>
      <c r="BY43" s="455"/>
      <c r="BZ43" s="404"/>
      <c r="CA43" s="404"/>
      <c r="CB43" s="455"/>
      <c r="CC43" s="404"/>
      <c r="CD43" s="404"/>
      <c r="CE43" s="455"/>
      <c r="CF43" s="404"/>
      <c r="CG43" s="404"/>
      <c r="CH43" s="455"/>
      <c r="CI43" s="404"/>
      <c r="CJ43" s="404"/>
      <c r="CK43" s="455"/>
      <c r="CL43" s="404"/>
      <c r="CM43" s="404"/>
      <c r="CN43" s="455"/>
      <c r="CO43" s="404"/>
      <c r="CP43" s="404"/>
      <c r="CQ43" s="455"/>
      <c r="CR43" s="404"/>
      <c r="CS43" s="404"/>
      <c r="CT43" s="455"/>
      <c r="CU43" s="404"/>
      <c r="CV43" s="404"/>
      <c r="CW43" s="455"/>
      <c r="CX43" s="404"/>
      <c r="CY43" s="404"/>
      <c r="CZ43" s="455"/>
      <c r="DA43" s="404"/>
      <c r="DB43" s="404"/>
      <c r="DC43" s="455"/>
      <c r="DD43" s="404"/>
      <c r="DE43" s="404"/>
      <c r="DF43" s="455"/>
      <c r="DG43" s="404"/>
      <c r="DH43" s="404"/>
      <c r="DI43" s="455"/>
      <c r="DJ43" s="404"/>
      <c r="DK43" s="404"/>
      <c r="DL43" s="455"/>
      <c r="DM43" s="404"/>
      <c r="DN43" s="404"/>
      <c r="DO43" s="455"/>
      <c r="DP43" s="404"/>
      <c r="DQ43" s="404"/>
      <c r="DR43" s="455"/>
      <c r="DS43" s="404"/>
      <c r="DT43" s="404"/>
      <c r="DU43" s="455"/>
      <c r="DV43" s="404"/>
      <c r="DW43" s="404"/>
      <c r="DX43" s="455"/>
      <c r="DY43" s="404"/>
      <c r="DZ43" s="404"/>
      <c r="EA43" s="455"/>
      <c r="EB43" s="385">
        <v>1267.4564263010345</v>
      </c>
      <c r="EC43" s="385">
        <f>5</f>
        <v>5</v>
      </c>
      <c r="ED43" s="358"/>
      <c r="EE43" s="385">
        <v>1267.4564263010345</v>
      </c>
      <c r="EF43" s="385">
        <f>5</f>
        <v>5</v>
      </c>
      <c r="EG43" s="358"/>
      <c r="EH43" s="385">
        <v>1267.4564263010345</v>
      </c>
      <c r="EI43" s="385">
        <f>5</f>
        <v>5</v>
      </c>
      <c r="EJ43" s="358"/>
      <c r="EK43" s="385">
        <v>1267.4564263010345</v>
      </c>
      <c r="EL43" s="385">
        <f>5</f>
        <v>5</v>
      </c>
      <c r="EM43" s="358"/>
      <c r="EN43" s="385">
        <v>1267.4564263010345</v>
      </c>
      <c r="EO43" s="385">
        <f>5</f>
        <v>5</v>
      </c>
      <c r="EP43" s="358"/>
      <c r="EQ43" s="385">
        <v>1267.4564263010345</v>
      </c>
      <c r="ER43" s="385">
        <f>5</f>
        <v>5</v>
      </c>
      <c r="ES43" s="358"/>
      <c r="ET43" s="385">
        <v>1267.4564263010345</v>
      </c>
      <c r="EU43" s="385">
        <f>5</f>
        <v>5</v>
      </c>
      <c r="EV43" s="358"/>
      <c r="EW43" s="385">
        <v>1267.4564263010345</v>
      </c>
      <c r="EX43" s="385">
        <f>5</f>
        <v>5</v>
      </c>
      <c r="EY43" s="358"/>
      <c r="EZ43" s="385">
        <v>1267.4564263010345</v>
      </c>
      <c r="FA43" s="385">
        <f>5</f>
        <v>5</v>
      </c>
      <c r="FB43" s="358"/>
      <c r="FC43" s="385">
        <v>1267.4564263010345</v>
      </c>
      <c r="FD43" s="385">
        <f>5</f>
        <v>5</v>
      </c>
      <c r="FE43" s="358"/>
      <c r="FF43" s="385">
        <v>1267.4564263010345</v>
      </c>
      <c r="FG43" s="385">
        <f>5</f>
        <v>5</v>
      </c>
      <c r="FH43" s="358"/>
      <c r="FI43" s="385">
        <v>1267.4564263010345</v>
      </c>
      <c r="FJ43" s="385">
        <f>5</f>
        <v>5</v>
      </c>
      <c r="FK43" s="358"/>
      <c r="FL43" s="385">
        <v>1267.4564263010345</v>
      </c>
      <c r="FM43" s="385">
        <f>5</f>
        <v>5</v>
      </c>
      <c r="FN43" s="358"/>
      <c r="FO43" s="385">
        <v>1267.4564263010345</v>
      </c>
      <c r="FP43" s="385">
        <f>5</f>
        <v>5</v>
      </c>
      <c r="FQ43" s="358"/>
      <c r="FR43" s="385">
        <v>1267.4564263010345</v>
      </c>
      <c r="FS43" s="385">
        <f>5</f>
        <v>5</v>
      </c>
      <c r="FT43" s="358"/>
      <c r="FU43" s="385">
        <v>1267.4564263010345</v>
      </c>
      <c r="FV43" s="385">
        <f>5</f>
        <v>5</v>
      </c>
      <c r="FW43" s="358"/>
      <c r="FX43" s="385">
        <v>1267.4564263010345</v>
      </c>
      <c r="FY43" s="385">
        <f>5</f>
        <v>5</v>
      </c>
      <c r="FZ43" s="358"/>
      <c r="GA43" s="385">
        <v>1267.4564263010345</v>
      </c>
      <c r="GB43" s="385">
        <f>5</f>
        <v>5</v>
      </c>
      <c r="GC43" s="358"/>
      <c r="GD43" s="385">
        <v>1267.4564263010345</v>
      </c>
      <c r="GE43" s="385">
        <f>5</f>
        <v>5</v>
      </c>
      <c r="GF43" s="358"/>
      <c r="GG43" s="385">
        <v>1267.4564263010345</v>
      </c>
      <c r="GH43" s="385">
        <f>5</f>
        <v>5</v>
      </c>
      <c r="GI43" s="358"/>
      <c r="GJ43" s="385">
        <v>1267.4564263010345</v>
      </c>
      <c r="GK43" s="385">
        <f>5</f>
        <v>5</v>
      </c>
      <c r="GL43" s="358"/>
      <c r="GM43" s="385">
        <v>1267.4564263010345</v>
      </c>
      <c r="GN43" s="385">
        <f>5</f>
        <v>5</v>
      </c>
      <c r="GO43" s="358"/>
      <c r="GP43" s="385">
        <v>1267.4564263010345</v>
      </c>
      <c r="GQ43" s="385">
        <f>5</f>
        <v>5</v>
      </c>
      <c r="GR43" s="358"/>
      <c r="GS43" s="385">
        <v>1267.4564263010345</v>
      </c>
      <c r="GT43" s="385">
        <f>5</f>
        <v>5</v>
      </c>
      <c r="GU43" s="358"/>
      <c r="GV43" s="385">
        <v>1267.4564263010345</v>
      </c>
      <c r="GW43" s="385">
        <f>5</f>
        <v>5</v>
      </c>
      <c r="GX43" s="358"/>
      <c r="GY43" s="385">
        <v>1267.4564263010345</v>
      </c>
      <c r="GZ43" s="385">
        <f>5</f>
        <v>5</v>
      </c>
      <c r="HA43" s="358"/>
      <c r="HB43" s="385">
        <v>1267.4564263010345</v>
      </c>
      <c r="HC43" s="385">
        <f>5</f>
        <v>5</v>
      </c>
      <c r="HD43" s="358"/>
      <c r="HE43" s="387">
        <v>1267.4564263010345</v>
      </c>
      <c r="HF43" s="386">
        <f>5*6</f>
        <v>30</v>
      </c>
      <c r="HG43" s="358"/>
      <c r="HH43" s="387">
        <v>1267.4564263010345</v>
      </c>
      <c r="HI43" s="358"/>
      <c r="HJ43" s="387">
        <v>1267.4564263010345</v>
      </c>
      <c r="HK43" s="358"/>
      <c r="HL43" s="387">
        <v>1267.4564263010345</v>
      </c>
      <c r="HM43" s="358"/>
      <c r="HN43" s="387">
        <v>1267.4564263010345</v>
      </c>
      <c r="HO43" s="358"/>
      <c r="HP43" s="387">
        <v>1267.4564263010345</v>
      </c>
      <c r="HQ43" s="358"/>
      <c r="HR43" s="387">
        <v>1267.4564263010345</v>
      </c>
      <c r="HS43" s="358"/>
      <c r="HT43" s="387">
        <v>1267.4564263010345</v>
      </c>
      <c r="HU43" s="358"/>
      <c r="HV43" s="388">
        <v>1267.4564263010345</v>
      </c>
      <c r="HW43" s="425"/>
      <c r="HX43" s="424">
        <v>1267.4564263010345</v>
      </c>
      <c r="HY43" s="425"/>
      <c r="HZ43" s="424">
        <v>1267.4564263010345</v>
      </c>
      <c r="IA43" s="425"/>
      <c r="IB43" s="424">
        <v>1267.4564263010345</v>
      </c>
      <c r="IC43" s="425"/>
      <c r="ID43" s="357">
        <f>VLOOKUP($C43,'[15]Prix accès'!A:D,4,FALSE)</f>
        <v>1267.4564263010345</v>
      </c>
      <c r="IE43" s="426"/>
      <c r="IF43" s="357">
        <f>VLOOKUP($C43,'[15]Prix accès'!$A:$D,4,FALSE)</f>
        <v>1267.4564263010345</v>
      </c>
      <c r="IG43" s="426"/>
      <c r="IH43" s="357">
        <f>VLOOKUP($C43,'[15]Prix accès'!$A:$D,4,FALSE)</f>
        <v>1267.4564263010345</v>
      </c>
      <c r="II43" s="361"/>
      <c r="IJ43" s="357">
        <f>VLOOKUP($C43,'[15]Prix accès'!$A:$D,4,FALSE)</f>
        <v>1267.4564263010345</v>
      </c>
      <c r="IK43" s="361"/>
      <c r="IL43" s="357">
        <f>VLOOKUP($C43,'[15]Prix accès'!$A:$D,4,FALSE)</f>
        <v>1267.4564263010345</v>
      </c>
      <c r="IM43" s="427"/>
      <c r="IN43" s="357">
        <f>VLOOKUP($C43,'[15]Prix accès'!$A:$D,4,FALSE)</f>
        <v>1267.4564263010345</v>
      </c>
      <c r="IO43" s="427"/>
      <c r="IP43" s="428">
        <v>1454.4581941159413</v>
      </c>
      <c r="IQ43" s="427"/>
      <c r="IR43" s="463" t="s">
        <v>3330</v>
      </c>
      <c r="IS43" s="364" t="s">
        <v>77</v>
      </c>
      <c r="IT43" s="365">
        <v>43431</v>
      </c>
      <c r="IU43" s="371">
        <v>43466</v>
      </c>
      <c r="IW43" s="372">
        <f t="shared" si="11"/>
        <v>35</v>
      </c>
      <c r="IX43" s="373">
        <f t="shared" si="14"/>
        <v>41.555948403312605</v>
      </c>
      <c r="IY43" s="394">
        <f t="shared" si="13"/>
        <v>1454.4581941159413</v>
      </c>
      <c r="IZ43" s="394"/>
      <c r="JA43" s="394"/>
    </row>
    <row r="44" spans="1:263" s="367" customFormat="1" ht="16.5" customHeight="1" x14ac:dyDescent="0.3">
      <c r="A44" s="401" t="s">
        <v>3315</v>
      </c>
      <c r="B44" s="402" t="s">
        <v>3315</v>
      </c>
      <c r="C44" s="441" t="s">
        <v>3331</v>
      </c>
      <c r="D44" s="860"/>
      <c r="E44" s="861"/>
      <c r="F44" s="861"/>
      <c r="G44" s="861"/>
      <c r="H44" s="862"/>
      <c r="I44" s="853">
        <v>0</v>
      </c>
      <c r="J44" s="833">
        <v>0</v>
      </c>
      <c r="K44" s="833">
        <v>0</v>
      </c>
      <c r="L44" s="833">
        <v>0</v>
      </c>
      <c r="M44" s="833">
        <v>0</v>
      </c>
      <c r="N44" s="833">
        <v>0</v>
      </c>
      <c r="O44" s="833">
        <v>0</v>
      </c>
      <c r="P44" s="833">
        <v>0</v>
      </c>
      <c r="Q44" s="833">
        <v>0</v>
      </c>
      <c r="R44" s="833">
        <v>0</v>
      </c>
      <c r="S44" s="833">
        <v>0</v>
      </c>
      <c r="T44" s="833">
        <v>0</v>
      </c>
      <c r="U44" s="833">
        <v>0</v>
      </c>
      <c r="V44" s="833">
        <v>0</v>
      </c>
      <c r="W44" s="833">
        <v>0</v>
      </c>
      <c r="X44" s="833">
        <v>0</v>
      </c>
      <c r="Y44" s="833">
        <v>0</v>
      </c>
      <c r="Z44" s="833">
        <v>0</v>
      </c>
      <c r="AA44" s="833">
        <v>0</v>
      </c>
      <c r="AB44" s="833">
        <v>0</v>
      </c>
      <c r="AC44" s="833">
        <v>0</v>
      </c>
      <c r="AD44" s="833">
        <v>0</v>
      </c>
      <c r="AE44" s="833">
        <v>0</v>
      </c>
      <c r="AF44" s="833">
        <v>0</v>
      </c>
      <c r="AG44" s="833">
        <v>0</v>
      </c>
      <c r="AH44" s="833">
        <v>0</v>
      </c>
      <c r="AI44" s="833">
        <v>0</v>
      </c>
      <c r="AJ44" s="833">
        <v>0</v>
      </c>
      <c r="AK44" s="833">
        <v>0</v>
      </c>
      <c r="AL44" s="833">
        <v>0</v>
      </c>
      <c r="AM44" s="833">
        <v>0</v>
      </c>
      <c r="AN44" s="833">
        <v>0</v>
      </c>
      <c r="AO44" s="833">
        <v>0</v>
      </c>
      <c r="AP44" s="833">
        <v>0</v>
      </c>
      <c r="AQ44" s="833">
        <v>0</v>
      </c>
      <c r="AR44" s="833">
        <v>0</v>
      </c>
      <c r="AS44" s="833">
        <v>0</v>
      </c>
      <c r="AT44" s="833">
        <v>0</v>
      </c>
      <c r="AU44" s="833">
        <v>0</v>
      </c>
      <c r="AV44" s="833">
        <v>0</v>
      </c>
      <c r="AW44" s="833"/>
      <c r="AX44" s="833"/>
      <c r="AY44" s="833">
        <v>0</v>
      </c>
      <c r="AZ44" s="833"/>
      <c r="BA44" s="455"/>
      <c r="BB44" s="404">
        <v>0</v>
      </c>
      <c r="BC44" s="404"/>
      <c r="BD44" s="455"/>
      <c r="BE44" s="404">
        <v>0</v>
      </c>
      <c r="BF44" s="404"/>
      <c r="BG44" s="455"/>
      <c r="BH44" s="404">
        <v>0</v>
      </c>
      <c r="BI44" s="404"/>
      <c r="BJ44" s="455"/>
      <c r="BK44" s="404">
        <v>0</v>
      </c>
      <c r="BL44" s="404"/>
      <c r="BM44" s="455"/>
      <c r="BN44" s="404">
        <v>0</v>
      </c>
      <c r="BO44" s="404"/>
      <c r="BP44" s="455"/>
      <c r="BQ44" s="404">
        <v>0</v>
      </c>
      <c r="BR44" s="404"/>
      <c r="BS44" s="455"/>
      <c r="BT44" s="404">
        <v>0</v>
      </c>
      <c r="BU44" s="404"/>
      <c r="BV44" s="455"/>
      <c r="BW44" s="404">
        <v>0</v>
      </c>
      <c r="BX44" s="404"/>
      <c r="BY44" s="455"/>
      <c r="BZ44" s="404">
        <v>0</v>
      </c>
      <c r="CA44" s="404"/>
      <c r="CB44" s="455"/>
      <c r="CC44" s="404">
        <v>0</v>
      </c>
      <c r="CD44" s="404"/>
      <c r="CE44" s="455"/>
      <c r="CF44" s="404">
        <v>0</v>
      </c>
      <c r="CG44" s="404"/>
      <c r="CH44" s="455"/>
      <c r="CI44" s="404">
        <v>0</v>
      </c>
      <c r="CJ44" s="404"/>
      <c r="CK44" s="455"/>
      <c r="CL44" s="404">
        <v>0</v>
      </c>
      <c r="CM44" s="404"/>
      <c r="CN44" s="455"/>
      <c r="CO44" s="404">
        <v>0</v>
      </c>
      <c r="CP44" s="404"/>
      <c r="CQ44" s="455"/>
      <c r="CR44" s="404">
        <v>0</v>
      </c>
      <c r="CS44" s="404"/>
      <c r="CT44" s="455"/>
      <c r="CU44" s="404">
        <v>0</v>
      </c>
      <c r="CV44" s="404"/>
      <c r="CW44" s="455"/>
      <c r="CX44" s="404">
        <v>0</v>
      </c>
      <c r="CY44" s="404"/>
      <c r="CZ44" s="455"/>
      <c r="DA44" s="404">
        <v>0</v>
      </c>
      <c r="DB44" s="404"/>
      <c r="DC44" s="455"/>
      <c r="DD44" s="404">
        <v>0</v>
      </c>
      <c r="DE44" s="404"/>
      <c r="DF44" s="455"/>
      <c r="DG44" s="404">
        <v>0</v>
      </c>
      <c r="DH44" s="404"/>
      <c r="DI44" s="455"/>
      <c r="DJ44" s="404">
        <v>0</v>
      </c>
      <c r="DK44" s="404"/>
      <c r="DL44" s="455"/>
      <c r="DM44" s="404">
        <v>0</v>
      </c>
      <c r="DN44" s="404"/>
      <c r="DO44" s="455"/>
      <c r="DP44" s="404">
        <v>0</v>
      </c>
      <c r="DQ44" s="404"/>
      <c r="DR44" s="455"/>
      <c r="DS44" s="404">
        <v>0</v>
      </c>
      <c r="DT44" s="404"/>
      <c r="DU44" s="455"/>
      <c r="DV44" s="404">
        <v>0</v>
      </c>
      <c r="DW44" s="404"/>
      <c r="DX44" s="455"/>
      <c r="DY44" s="404">
        <v>0</v>
      </c>
      <c r="DZ44" s="404"/>
      <c r="EA44" s="455"/>
      <c r="EB44" s="387">
        <v>254</v>
      </c>
      <c r="EC44" s="387"/>
      <c r="ED44" s="358"/>
      <c r="EE44" s="387">
        <v>254</v>
      </c>
      <c r="EF44" s="387"/>
      <c r="EG44" s="358"/>
      <c r="EH44" s="387">
        <v>254</v>
      </c>
      <c r="EI44" s="387"/>
      <c r="EJ44" s="358"/>
      <c r="EK44" s="387">
        <v>254</v>
      </c>
      <c r="EL44" s="387"/>
      <c r="EM44" s="358"/>
      <c r="EN44" s="387">
        <v>254</v>
      </c>
      <c r="EO44" s="387"/>
      <c r="EP44" s="358"/>
      <c r="EQ44" s="387">
        <v>254</v>
      </c>
      <c r="ER44" s="387"/>
      <c r="ES44" s="358"/>
      <c r="ET44" s="387">
        <v>254</v>
      </c>
      <c r="EU44" s="387"/>
      <c r="EV44" s="358"/>
      <c r="EW44" s="387">
        <v>254</v>
      </c>
      <c r="EX44" s="387"/>
      <c r="EY44" s="358"/>
      <c r="EZ44" s="387">
        <v>254</v>
      </c>
      <c r="FA44" s="387"/>
      <c r="FB44" s="358"/>
      <c r="FC44" s="387">
        <v>254</v>
      </c>
      <c r="FD44" s="387"/>
      <c r="FE44" s="358"/>
      <c r="FF44" s="387">
        <v>254</v>
      </c>
      <c r="FG44" s="387"/>
      <c r="FH44" s="358"/>
      <c r="FI44" s="387">
        <v>254</v>
      </c>
      <c r="FJ44" s="387"/>
      <c r="FK44" s="358"/>
      <c r="FL44" s="387">
        <v>254</v>
      </c>
      <c r="FM44" s="387"/>
      <c r="FN44" s="358"/>
      <c r="FO44" s="387">
        <v>254</v>
      </c>
      <c r="FP44" s="387"/>
      <c r="FQ44" s="358"/>
      <c r="FR44" s="387">
        <v>254</v>
      </c>
      <c r="FS44" s="387"/>
      <c r="FT44" s="358"/>
      <c r="FU44" s="387">
        <v>254</v>
      </c>
      <c r="FV44" s="387"/>
      <c r="FW44" s="358"/>
      <c r="FX44" s="387">
        <v>254</v>
      </c>
      <c r="FY44" s="387"/>
      <c r="FZ44" s="358"/>
      <c r="GA44" s="387">
        <v>254</v>
      </c>
      <c r="GB44" s="387"/>
      <c r="GC44" s="358"/>
      <c r="GD44" s="387">
        <v>254</v>
      </c>
      <c r="GE44" s="387"/>
      <c r="GF44" s="358"/>
      <c r="GG44" s="387">
        <v>254</v>
      </c>
      <c r="GH44" s="387"/>
      <c r="GI44" s="358"/>
      <c r="GJ44" s="387">
        <v>254</v>
      </c>
      <c r="GK44" s="387"/>
      <c r="GL44" s="358"/>
      <c r="GM44" s="387">
        <v>254</v>
      </c>
      <c r="GN44" s="387"/>
      <c r="GO44" s="358"/>
      <c r="GP44" s="387">
        <v>254</v>
      </c>
      <c r="GQ44" s="387"/>
      <c r="GR44" s="358"/>
      <c r="GS44" s="387">
        <v>254</v>
      </c>
      <c r="GT44" s="387"/>
      <c r="GU44" s="358"/>
      <c r="GV44" s="387">
        <v>254</v>
      </c>
      <c r="GW44" s="387"/>
      <c r="GX44" s="358"/>
      <c r="GY44" s="387">
        <v>254</v>
      </c>
      <c r="GZ44" s="387"/>
      <c r="HA44" s="358"/>
      <c r="HB44" s="387">
        <v>254</v>
      </c>
      <c r="HC44" s="387"/>
      <c r="HD44" s="358"/>
      <c r="HE44" s="387">
        <v>254</v>
      </c>
      <c r="HF44" s="387"/>
      <c r="HG44" s="358"/>
      <c r="HH44" s="387">
        <v>254</v>
      </c>
      <c r="HI44" s="358"/>
      <c r="HJ44" s="387">
        <v>254</v>
      </c>
      <c r="HK44" s="358"/>
      <c r="HL44" s="387">
        <v>254</v>
      </c>
      <c r="HM44" s="358"/>
      <c r="HN44" s="387">
        <v>254</v>
      </c>
      <c r="HO44" s="358"/>
      <c r="HP44" s="387">
        <v>254</v>
      </c>
      <c r="HQ44" s="358"/>
      <c r="HR44" s="387">
        <v>254</v>
      </c>
      <c r="HS44" s="358"/>
      <c r="HT44" s="387">
        <v>254</v>
      </c>
      <c r="HU44" s="358"/>
      <c r="HV44" s="388">
        <v>254</v>
      </c>
      <c r="HW44" s="358"/>
      <c r="HX44" s="472">
        <v>254</v>
      </c>
      <c r="HY44" s="358"/>
      <c r="HZ44" s="472">
        <v>254</v>
      </c>
      <c r="IA44" s="358"/>
      <c r="IB44" s="472">
        <v>254</v>
      </c>
      <c r="IC44" s="358"/>
      <c r="ID44" s="357">
        <f>VLOOKUP($C44,'[15]Prix accès'!A:D,4,FALSE)</f>
        <v>254</v>
      </c>
      <c r="IE44" s="361"/>
      <c r="IF44" s="357">
        <f>VLOOKUP($C44,'[15]Prix accès'!$A:$D,4,FALSE)</f>
        <v>254</v>
      </c>
      <c r="IG44" s="361"/>
      <c r="IH44" s="357">
        <f>VLOOKUP($C44,'[15]Prix accès'!$A:$D,4,FALSE)</f>
        <v>254</v>
      </c>
      <c r="II44" s="361"/>
      <c r="IJ44" s="357">
        <f>VLOOKUP($C44,'[15]Prix accès'!$A:$D,4,FALSE)</f>
        <v>254</v>
      </c>
      <c r="IK44" s="361"/>
      <c r="IL44" s="357">
        <f>VLOOKUP($C44,'[15]Prix accès'!$A:$D,4,FALSE)</f>
        <v>254</v>
      </c>
      <c r="IM44" s="361"/>
      <c r="IN44" s="357">
        <f>VLOOKUP($C44,'[15]Prix accès'!$A:$D,4,FALSE)</f>
        <v>254</v>
      </c>
      <c r="IO44" s="361"/>
      <c r="IP44" s="428">
        <v>241.50819672131146</v>
      </c>
      <c r="IQ44" s="361"/>
      <c r="IR44" s="473" t="s">
        <v>3332</v>
      </c>
      <c r="IS44" s="364" t="s">
        <v>77</v>
      </c>
      <c r="IT44" s="365">
        <v>43437</v>
      </c>
      <c r="IU44" s="371">
        <v>43466</v>
      </c>
      <c r="IV44" s="393"/>
      <c r="IW44" s="372">
        <f t="shared" si="11"/>
        <v>29</v>
      </c>
      <c r="IX44" s="373">
        <f t="shared" si="14"/>
        <v>8.3278688524590159</v>
      </c>
      <c r="IY44" s="394">
        <f t="shared" si="13"/>
        <v>241.50819672131146</v>
      </c>
      <c r="IZ44" s="394"/>
      <c r="JA44" s="394"/>
    </row>
    <row r="45" spans="1:263" s="367" customFormat="1" ht="16.5" customHeight="1" x14ac:dyDescent="0.3">
      <c r="A45" s="354" t="s">
        <v>2735</v>
      </c>
      <c r="B45" s="465" t="s">
        <v>2784</v>
      </c>
      <c r="C45" s="466" t="s">
        <v>414</v>
      </c>
      <c r="D45" s="467">
        <v>1454</v>
      </c>
      <c r="E45" s="468">
        <v>165</v>
      </c>
      <c r="F45" s="468">
        <v>16</v>
      </c>
      <c r="G45" s="468">
        <v>36</v>
      </c>
      <c r="H45" s="469">
        <v>0</v>
      </c>
      <c r="I45" s="841">
        <v>1634.8564263010346</v>
      </c>
      <c r="J45" s="835">
        <f>36</f>
        <v>36</v>
      </c>
      <c r="K45" s="827"/>
      <c r="L45" s="835">
        <v>1634.8564263010346</v>
      </c>
      <c r="M45" s="835">
        <f>36</f>
        <v>36</v>
      </c>
      <c r="N45" s="827"/>
      <c r="O45" s="835">
        <v>1634.8564263010346</v>
      </c>
      <c r="P45" s="835">
        <f>36</f>
        <v>36</v>
      </c>
      <c r="Q45" s="827"/>
      <c r="R45" s="835">
        <v>1634.8564263010346</v>
      </c>
      <c r="S45" s="835">
        <f>36</f>
        <v>36</v>
      </c>
      <c r="T45" s="827"/>
      <c r="U45" s="835">
        <v>1634.8564263010346</v>
      </c>
      <c r="V45" s="835">
        <f>36</f>
        <v>36</v>
      </c>
      <c r="W45" s="827"/>
      <c r="X45" s="835">
        <v>1634.8564263010346</v>
      </c>
      <c r="Y45" s="835">
        <f>36</f>
        <v>36</v>
      </c>
      <c r="Z45" s="827"/>
      <c r="AA45" s="835">
        <v>1634.8564263010346</v>
      </c>
      <c r="AB45" s="835">
        <f>36</f>
        <v>36</v>
      </c>
      <c r="AC45" s="827"/>
      <c r="AD45" s="835">
        <v>1634.8564263010346</v>
      </c>
      <c r="AE45" s="835">
        <f>36</f>
        <v>36</v>
      </c>
      <c r="AF45" s="827"/>
      <c r="AG45" s="835">
        <v>1634.8564263010346</v>
      </c>
      <c r="AH45" s="835">
        <f>36</f>
        <v>36</v>
      </c>
      <c r="AI45" s="827"/>
      <c r="AJ45" s="835">
        <v>1634.8564263010346</v>
      </c>
      <c r="AK45" s="835">
        <f>36</f>
        <v>36</v>
      </c>
      <c r="AL45" s="827"/>
      <c r="AM45" s="835">
        <v>1634.8564263010346</v>
      </c>
      <c r="AN45" s="835">
        <f>36</f>
        <v>36</v>
      </c>
      <c r="AO45" s="827"/>
      <c r="AP45" s="835">
        <v>1634.8564263010346</v>
      </c>
      <c r="AQ45" s="835">
        <f>36</f>
        <v>36</v>
      </c>
      <c r="AR45" s="827"/>
      <c r="AS45" s="835">
        <v>1634.8564263010346</v>
      </c>
      <c r="AT45" s="835">
        <f>36</f>
        <v>36</v>
      </c>
      <c r="AU45" s="827"/>
      <c r="AV45" s="835">
        <v>1634.8564263010346</v>
      </c>
      <c r="AW45" s="835">
        <f>36</f>
        <v>36</v>
      </c>
      <c r="AX45" s="827"/>
      <c r="AY45" s="835">
        <v>1634.8564263010346</v>
      </c>
      <c r="AZ45" s="835">
        <f>36</f>
        <v>36</v>
      </c>
      <c r="BA45" s="358"/>
      <c r="BB45" s="384">
        <v>1634.8564263010346</v>
      </c>
      <c r="BC45" s="384">
        <f>36</f>
        <v>36</v>
      </c>
      <c r="BD45" s="358"/>
      <c r="BE45" s="384">
        <v>1634.8564263010346</v>
      </c>
      <c r="BF45" s="384">
        <f>36</f>
        <v>36</v>
      </c>
      <c r="BG45" s="358"/>
      <c r="BH45" s="384">
        <v>1634.8564263010346</v>
      </c>
      <c r="BI45" s="384">
        <f>36</f>
        <v>36</v>
      </c>
      <c r="BJ45" s="472"/>
      <c r="BK45" s="385">
        <v>1634.8564263010346</v>
      </c>
      <c r="BL45" s="385">
        <f>36</f>
        <v>36</v>
      </c>
      <c r="BM45" s="358"/>
      <c r="BN45" s="385">
        <v>1634.8564263010346</v>
      </c>
      <c r="BO45" s="385">
        <f>36</f>
        <v>36</v>
      </c>
      <c r="BP45" s="358"/>
      <c r="BQ45" s="385">
        <v>1634.8564263010346</v>
      </c>
      <c r="BR45" s="385">
        <f>36</f>
        <v>36</v>
      </c>
      <c r="BS45" s="358"/>
      <c r="BT45" s="385">
        <v>1634.8564263010346</v>
      </c>
      <c r="BU45" s="385">
        <f>36</f>
        <v>36</v>
      </c>
      <c r="BV45" s="358"/>
      <c r="BW45" s="385">
        <v>1634.8564263010346</v>
      </c>
      <c r="BX45" s="385">
        <f>36</f>
        <v>36</v>
      </c>
      <c r="BY45" s="358"/>
      <c r="BZ45" s="385">
        <v>1634.8564263010346</v>
      </c>
      <c r="CA45" s="385">
        <f>36</f>
        <v>36</v>
      </c>
      <c r="CB45" s="358"/>
      <c r="CC45" s="385">
        <v>1634.8564263010346</v>
      </c>
      <c r="CD45" s="385">
        <f>36</f>
        <v>36</v>
      </c>
      <c r="CE45" s="358"/>
      <c r="CF45" s="385">
        <v>1634.8564263010346</v>
      </c>
      <c r="CG45" s="385">
        <f>36</f>
        <v>36</v>
      </c>
      <c r="CH45" s="358"/>
      <c r="CI45" s="385">
        <v>1634.8564263010346</v>
      </c>
      <c r="CJ45" s="385">
        <f>36</f>
        <v>36</v>
      </c>
      <c r="CK45" s="358"/>
      <c r="CL45" s="385">
        <v>1634.8564263010346</v>
      </c>
      <c r="CM45" s="385">
        <f>36</f>
        <v>36</v>
      </c>
      <c r="CN45" s="358"/>
      <c r="CO45" s="385">
        <v>1634.8564263010346</v>
      </c>
      <c r="CP45" s="385">
        <f>36</f>
        <v>36</v>
      </c>
      <c r="CQ45" s="358"/>
      <c r="CR45" s="385">
        <v>1634.8564263010346</v>
      </c>
      <c r="CS45" s="385">
        <f>36</f>
        <v>36</v>
      </c>
      <c r="CT45" s="358"/>
      <c r="CU45" s="385">
        <v>1634.8564263010346</v>
      </c>
      <c r="CV45" s="385">
        <f>36</f>
        <v>36</v>
      </c>
      <c r="CW45" s="358"/>
      <c r="CX45" s="385">
        <v>1634.8564263010346</v>
      </c>
      <c r="CY45" s="385">
        <f>36</f>
        <v>36</v>
      </c>
      <c r="CZ45" s="358"/>
      <c r="DA45" s="385">
        <v>1634.8564263010346</v>
      </c>
      <c r="DB45" s="385">
        <f>36</f>
        <v>36</v>
      </c>
      <c r="DC45" s="358"/>
      <c r="DD45" s="385">
        <v>1634.8564263010346</v>
      </c>
      <c r="DE45" s="385">
        <f>36</f>
        <v>36</v>
      </c>
      <c r="DF45" s="358"/>
      <c r="DG45" s="385">
        <v>1634.8564263010346</v>
      </c>
      <c r="DH45" s="385">
        <f>36</f>
        <v>36</v>
      </c>
      <c r="DI45" s="358"/>
      <c r="DJ45" s="385">
        <v>1634.8564263010346</v>
      </c>
      <c r="DK45" s="385">
        <f>36</f>
        <v>36</v>
      </c>
      <c r="DL45" s="358"/>
      <c r="DM45" s="385">
        <v>1634.8564263010346</v>
      </c>
      <c r="DN45" s="385">
        <f>36</f>
        <v>36</v>
      </c>
      <c r="DO45" s="358"/>
      <c r="DP45" s="385">
        <v>1634.8564263010346</v>
      </c>
      <c r="DQ45" s="385">
        <f>36</f>
        <v>36</v>
      </c>
      <c r="DR45" s="358"/>
      <c r="DS45" s="385">
        <v>1634.8564263010346</v>
      </c>
      <c r="DT45" s="385">
        <f>36</f>
        <v>36</v>
      </c>
      <c r="DU45" s="358"/>
      <c r="DV45" s="385">
        <v>1634.8564263010346</v>
      </c>
      <c r="DW45" s="385">
        <f>36</f>
        <v>36</v>
      </c>
      <c r="DX45" s="358"/>
      <c r="DY45" s="385">
        <v>1634.8564263010346</v>
      </c>
      <c r="DZ45" s="385">
        <f>36</f>
        <v>36</v>
      </c>
      <c r="EA45" s="358"/>
      <c r="EB45" s="385">
        <v>1634.8564263010346</v>
      </c>
      <c r="EC45" s="385">
        <f>36</f>
        <v>36</v>
      </c>
      <c r="ED45" s="358"/>
      <c r="EE45" s="385">
        <v>1634.8564263010346</v>
      </c>
      <c r="EF45" s="385">
        <f>36</f>
        <v>36</v>
      </c>
      <c r="EG45" s="358"/>
      <c r="EH45" s="385">
        <v>1634.8564263010346</v>
      </c>
      <c r="EI45" s="385">
        <f>36</f>
        <v>36</v>
      </c>
      <c r="EJ45" s="358"/>
      <c r="EK45" s="385">
        <v>1634.8564263010346</v>
      </c>
      <c r="EL45" s="385">
        <f>36</f>
        <v>36</v>
      </c>
      <c r="EM45" s="358"/>
      <c r="EN45" s="385">
        <v>1634.8564263010346</v>
      </c>
      <c r="EO45" s="385">
        <f>36</f>
        <v>36</v>
      </c>
      <c r="EP45" s="358"/>
      <c r="EQ45" s="385">
        <v>1634.8564263010346</v>
      </c>
      <c r="ER45" s="385">
        <f>36</f>
        <v>36</v>
      </c>
      <c r="ES45" s="358"/>
      <c r="ET45" s="385">
        <v>1634.8564263010346</v>
      </c>
      <c r="EU45" s="385">
        <f>36</f>
        <v>36</v>
      </c>
      <c r="EV45" s="358"/>
      <c r="EW45" s="385">
        <v>1634.8564263010346</v>
      </c>
      <c r="EX45" s="385">
        <f>36</f>
        <v>36</v>
      </c>
      <c r="EY45" s="358"/>
      <c r="EZ45" s="385">
        <v>1634.8564263010346</v>
      </c>
      <c r="FA45" s="385">
        <f>36</f>
        <v>36</v>
      </c>
      <c r="FB45" s="358"/>
      <c r="FC45" s="385">
        <v>1634.8564263010346</v>
      </c>
      <c r="FD45" s="385">
        <f>36</f>
        <v>36</v>
      </c>
      <c r="FE45" s="358"/>
      <c r="FF45" s="385">
        <v>1634.8564263010346</v>
      </c>
      <c r="FG45" s="385">
        <f>36</f>
        <v>36</v>
      </c>
      <c r="FH45" s="358"/>
      <c r="FI45" s="385">
        <v>1634.8564263010346</v>
      </c>
      <c r="FJ45" s="385">
        <f>36</f>
        <v>36</v>
      </c>
      <c r="FK45" s="358"/>
      <c r="FL45" s="385">
        <v>1634.8564263010346</v>
      </c>
      <c r="FM45" s="385">
        <f>36</f>
        <v>36</v>
      </c>
      <c r="FN45" s="358"/>
      <c r="FO45" s="385">
        <v>1634.8564263010346</v>
      </c>
      <c r="FP45" s="385">
        <f>36</f>
        <v>36</v>
      </c>
      <c r="FQ45" s="358"/>
      <c r="FR45" s="385">
        <v>1634.8564263010346</v>
      </c>
      <c r="FS45" s="385">
        <f>36</f>
        <v>36</v>
      </c>
      <c r="FT45" s="358"/>
      <c r="FU45" s="385">
        <v>1634.8564263010346</v>
      </c>
      <c r="FV45" s="385">
        <f>36</f>
        <v>36</v>
      </c>
      <c r="FW45" s="358"/>
      <c r="FX45" s="385">
        <v>1634.8564263010346</v>
      </c>
      <c r="FY45" s="385">
        <f>36</f>
        <v>36</v>
      </c>
      <c r="FZ45" s="358"/>
      <c r="GA45" s="385">
        <v>1634.8564263010346</v>
      </c>
      <c r="GB45" s="385">
        <f>36</f>
        <v>36</v>
      </c>
      <c r="GC45" s="358"/>
      <c r="GD45" s="385">
        <v>1634.8564263010346</v>
      </c>
      <c r="GE45" s="385">
        <f>36</f>
        <v>36</v>
      </c>
      <c r="GF45" s="358"/>
      <c r="GG45" s="385">
        <v>1634.8564263010346</v>
      </c>
      <c r="GH45" s="385">
        <f>36</f>
        <v>36</v>
      </c>
      <c r="GI45" s="358"/>
      <c r="GJ45" s="385">
        <v>1634.8564263010346</v>
      </c>
      <c r="GK45" s="385">
        <f>36</f>
        <v>36</v>
      </c>
      <c r="GL45" s="358"/>
      <c r="GM45" s="385">
        <v>1634.8564263010346</v>
      </c>
      <c r="GN45" s="385">
        <f>36</f>
        <v>36</v>
      </c>
      <c r="GO45" s="358"/>
      <c r="GP45" s="385">
        <v>1634.8564263010346</v>
      </c>
      <c r="GQ45" s="385">
        <f>36</f>
        <v>36</v>
      </c>
      <c r="GR45" s="358"/>
      <c r="GS45" s="385">
        <v>1634.8564263010346</v>
      </c>
      <c r="GT45" s="385">
        <f>36</f>
        <v>36</v>
      </c>
      <c r="GU45" s="358"/>
      <c r="GV45" s="385">
        <v>1634.8564263010346</v>
      </c>
      <c r="GW45" s="385">
        <f>36</f>
        <v>36</v>
      </c>
      <c r="GX45" s="358"/>
      <c r="GY45" s="385">
        <v>1634.8564263010346</v>
      </c>
      <c r="GZ45" s="385">
        <f>36</f>
        <v>36</v>
      </c>
      <c r="HA45" s="358"/>
      <c r="HB45" s="385">
        <v>1634.8564263010346</v>
      </c>
      <c r="HC45" s="385">
        <f>36</f>
        <v>36</v>
      </c>
      <c r="HD45" s="358"/>
      <c r="HE45" s="387">
        <v>1634.8564263010346</v>
      </c>
      <c r="HF45" s="386">
        <f>36*6</f>
        <v>216</v>
      </c>
      <c r="HG45" s="358"/>
      <c r="HH45" s="387">
        <v>1634.8564263010346</v>
      </c>
      <c r="HI45" s="358"/>
      <c r="HJ45" s="387">
        <v>1634.8564263010346</v>
      </c>
      <c r="HK45" s="358"/>
      <c r="HL45" s="387">
        <v>1634.8564263010346</v>
      </c>
      <c r="HM45" s="358"/>
      <c r="HN45" s="387">
        <v>1634.8564263010346</v>
      </c>
      <c r="HO45" s="358"/>
      <c r="HP45" s="387">
        <v>1634.8564263010346</v>
      </c>
      <c r="HQ45" s="358"/>
      <c r="HR45" s="387">
        <v>1634.8564263010346</v>
      </c>
      <c r="HS45" s="358"/>
      <c r="HT45" s="387">
        <v>1634.8564263010346</v>
      </c>
      <c r="HU45" s="358"/>
      <c r="HV45" s="388">
        <v>1634.8564263010346</v>
      </c>
      <c r="HW45" s="425"/>
      <c r="HX45" s="424">
        <v>1634.8564263010346</v>
      </c>
      <c r="HY45" s="425"/>
      <c r="HZ45" s="424">
        <v>1634.8564263010346</v>
      </c>
      <c r="IA45" s="425"/>
      <c r="IB45" s="424">
        <v>1634.8564263010346</v>
      </c>
      <c r="IC45" s="425"/>
      <c r="ID45" s="357">
        <f>VLOOKUP($C45,'[15]Prix accès'!A:D,4,FALSE)</f>
        <v>1634.8564263010346</v>
      </c>
      <c r="IE45" s="426"/>
      <c r="IF45" s="357">
        <f>VLOOKUP($C45,'[15]Prix accès'!$A:$D,4,FALSE)</f>
        <v>1634.8564263010346</v>
      </c>
      <c r="IG45" s="426"/>
      <c r="IH45" s="357">
        <f>VLOOKUP($C45,'[15]Prix accès'!$A:$D,4,FALSE)</f>
        <v>1634.8564263010346</v>
      </c>
      <c r="II45" s="361"/>
      <c r="IJ45" s="357">
        <f>VLOOKUP($C45,'[15]Prix accès'!$A:$D,4,FALSE)</f>
        <v>1634.8564263010346</v>
      </c>
      <c r="IK45" s="361"/>
      <c r="IL45" s="357">
        <f>VLOOKUP($C45,'[15]Prix accès'!$A:$D,4,FALSE)</f>
        <v>1634.8564263010346</v>
      </c>
      <c r="IM45" s="427"/>
      <c r="IN45" s="357">
        <f>VLOOKUP($C45,'[15]Prix accès'!$A:$D,4,FALSE)</f>
        <v>1634.8564263010346</v>
      </c>
      <c r="IO45" s="427"/>
      <c r="IP45" s="428">
        <v>1500.8518011943925</v>
      </c>
      <c r="IQ45" s="427"/>
      <c r="IR45" s="429" t="s">
        <v>3029</v>
      </c>
      <c r="IS45" s="364" t="s">
        <v>77</v>
      </c>
      <c r="IT45" s="365">
        <v>43438</v>
      </c>
      <c r="IU45" s="371">
        <v>43466</v>
      </c>
      <c r="IW45" s="372">
        <f t="shared" si="11"/>
        <v>28</v>
      </c>
      <c r="IX45" s="373">
        <f t="shared" si="14"/>
        <v>53.601850042656871</v>
      </c>
      <c r="IY45" s="394">
        <f t="shared" si="13"/>
        <v>1500.8518011943925</v>
      </c>
      <c r="IZ45" s="394"/>
      <c r="JA45" s="394"/>
    </row>
    <row r="46" spans="1:263" s="367" customFormat="1" ht="16.5" customHeight="1" x14ac:dyDescent="0.3">
      <c r="A46" s="401" t="s">
        <v>3315</v>
      </c>
      <c r="B46" s="402" t="s">
        <v>3315</v>
      </c>
      <c r="C46" s="434" t="s">
        <v>3333</v>
      </c>
      <c r="D46" s="856"/>
      <c r="E46" s="751"/>
      <c r="F46" s="751"/>
      <c r="G46" s="751"/>
      <c r="H46" s="857"/>
      <c r="I46" s="853">
        <v>0</v>
      </c>
      <c r="J46" s="833">
        <v>0</v>
      </c>
      <c r="K46" s="833">
        <v>0</v>
      </c>
      <c r="L46" s="833">
        <v>0</v>
      </c>
      <c r="M46" s="833">
        <v>0</v>
      </c>
      <c r="N46" s="833">
        <v>0</v>
      </c>
      <c r="O46" s="833">
        <v>0</v>
      </c>
      <c r="P46" s="833">
        <v>0</v>
      </c>
      <c r="Q46" s="833">
        <v>0</v>
      </c>
      <c r="R46" s="833">
        <v>0</v>
      </c>
      <c r="S46" s="833">
        <v>0</v>
      </c>
      <c r="T46" s="833">
        <v>0</v>
      </c>
      <c r="U46" s="833">
        <v>0</v>
      </c>
      <c r="V46" s="833">
        <v>0</v>
      </c>
      <c r="W46" s="833">
        <v>0</v>
      </c>
      <c r="X46" s="833">
        <v>0</v>
      </c>
      <c r="Y46" s="833">
        <v>0</v>
      </c>
      <c r="Z46" s="833">
        <v>0</v>
      </c>
      <c r="AA46" s="833">
        <v>0</v>
      </c>
      <c r="AB46" s="833">
        <v>0</v>
      </c>
      <c r="AC46" s="833">
        <v>0</v>
      </c>
      <c r="AD46" s="833">
        <v>0</v>
      </c>
      <c r="AE46" s="833">
        <v>0</v>
      </c>
      <c r="AF46" s="833">
        <v>0</v>
      </c>
      <c r="AG46" s="833">
        <v>0</v>
      </c>
      <c r="AH46" s="833">
        <v>0</v>
      </c>
      <c r="AI46" s="833">
        <v>0</v>
      </c>
      <c r="AJ46" s="833">
        <v>0</v>
      </c>
      <c r="AK46" s="833">
        <v>0</v>
      </c>
      <c r="AL46" s="833">
        <v>0</v>
      </c>
      <c r="AM46" s="833">
        <v>0</v>
      </c>
      <c r="AN46" s="833">
        <v>0</v>
      </c>
      <c r="AO46" s="833">
        <v>0</v>
      </c>
      <c r="AP46" s="833">
        <v>0</v>
      </c>
      <c r="AQ46" s="833">
        <v>0</v>
      </c>
      <c r="AR46" s="833">
        <v>0</v>
      </c>
      <c r="AS46" s="833">
        <v>0</v>
      </c>
      <c r="AT46" s="833">
        <v>0</v>
      </c>
      <c r="AU46" s="833">
        <v>0</v>
      </c>
      <c r="AV46" s="833">
        <v>0</v>
      </c>
      <c r="AW46" s="833">
        <v>0</v>
      </c>
      <c r="AX46" s="833"/>
      <c r="AY46" s="833">
        <v>0</v>
      </c>
      <c r="AZ46" s="833">
        <v>0</v>
      </c>
      <c r="BA46" s="455"/>
      <c r="BB46" s="404">
        <v>0</v>
      </c>
      <c r="BC46" s="404">
        <v>0</v>
      </c>
      <c r="BD46" s="455"/>
      <c r="BE46" s="404">
        <v>0</v>
      </c>
      <c r="BF46" s="404">
        <v>0</v>
      </c>
      <c r="BG46" s="455"/>
      <c r="BH46" s="404">
        <v>0</v>
      </c>
      <c r="BI46" s="404">
        <v>0</v>
      </c>
      <c r="BJ46" s="455"/>
      <c r="BK46" s="404">
        <v>0</v>
      </c>
      <c r="BL46" s="404">
        <v>0</v>
      </c>
      <c r="BM46" s="455"/>
      <c r="BN46" s="404">
        <v>0</v>
      </c>
      <c r="BO46" s="404">
        <v>0</v>
      </c>
      <c r="BP46" s="455"/>
      <c r="BQ46" s="404">
        <v>0</v>
      </c>
      <c r="BR46" s="404">
        <v>0</v>
      </c>
      <c r="BS46" s="455"/>
      <c r="BT46" s="404">
        <v>0</v>
      </c>
      <c r="BU46" s="404">
        <v>0</v>
      </c>
      <c r="BV46" s="455"/>
      <c r="BW46" s="404">
        <v>0</v>
      </c>
      <c r="BX46" s="404">
        <v>0</v>
      </c>
      <c r="BY46" s="455"/>
      <c r="BZ46" s="404">
        <v>0</v>
      </c>
      <c r="CA46" s="404">
        <v>0</v>
      </c>
      <c r="CB46" s="455"/>
      <c r="CC46" s="404">
        <v>0</v>
      </c>
      <c r="CD46" s="404">
        <v>0</v>
      </c>
      <c r="CE46" s="455"/>
      <c r="CF46" s="404">
        <v>0</v>
      </c>
      <c r="CG46" s="404">
        <v>0</v>
      </c>
      <c r="CH46" s="455"/>
      <c r="CI46" s="404">
        <v>0</v>
      </c>
      <c r="CJ46" s="404">
        <v>0</v>
      </c>
      <c r="CK46" s="455"/>
      <c r="CL46" s="404">
        <v>0</v>
      </c>
      <c r="CM46" s="404">
        <v>0</v>
      </c>
      <c r="CN46" s="455"/>
      <c r="CO46" s="404">
        <v>0</v>
      </c>
      <c r="CP46" s="404">
        <v>0</v>
      </c>
      <c r="CQ46" s="455"/>
      <c r="CR46" s="404">
        <v>0</v>
      </c>
      <c r="CS46" s="404">
        <v>0</v>
      </c>
      <c r="CT46" s="455"/>
      <c r="CU46" s="404">
        <v>0</v>
      </c>
      <c r="CV46" s="404">
        <v>0</v>
      </c>
      <c r="CW46" s="455"/>
      <c r="CX46" s="404">
        <v>0</v>
      </c>
      <c r="CY46" s="404">
        <v>0</v>
      </c>
      <c r="CZ46" s="455"/>
      <c r="DA46" s="404">
        <v>0</v>
      </c>
      <c r="DB46" s="404">
        <v>0</v>
      </c>
      <c r="DC46" s="455"/>
      <c r="DD46" s="404">
        <v>0</v>
      </c>
      <c r="DE46" s="404">
        <v>0</v>
      </c>
      <c r="DF46" s="455"/>
      <c r="DG46" s="404">
        <v>0</v>
      </c>
      <c r="DH46" s="404">
        <v>0</v>
      </c>
      <c r="DI46" s="455"/>
      <c r="DJ46" s="404">
        <v>0</v>
      </c>
      <c r="DK46" s="404">
        <v>0</v>
      </c>
      <c r="DL46" s="455"/>
      <c r="DM46" s="404">
        <v>0</v>
      </c>
      <c r="DN46" s="404">
        <v>0</v>
      </c>
      <c r="DO46" s="455"/>
      <c r="DP46" s="404">
        <v>0</v>
      </c>
      <c r="DQ46" s="404">
        <v>0</v>
      </c>
      <c r="DR46" s="455"/>
      <c r="DS46" s="404">
        <v>0</v>
      </c>
      <c r="DT46" s="404">
        <v>0</v>
      </c>
      <c r="DU46" s="455"/>
      <c r="DV46" s="404">
        <v>0</v>
      </c>
      <c r="DW46" s="404">
        <v>0</v>
      </c>
      <c r="DX46" s="455"/>
      <c r="DY46" s="404">
        <v>0</v>
      </c>
      <c r="DZ46" s="404">
        <v>0</v>
      </c>
      <c r="EA46" s="455"/>
      <c r="EB46" s="404">
        <v>0</v>
      </c>
      <c r="EC46" s="404">
        <v>0</v>
      </c>
      <c r="ED46" s="455"/>
      <c r="EE46" s="404">
        <v>0</v>
      </c>
      <c r="EF46" s="404">
        <v>0</v>
      </c>
      <c r="EG46" s="455"/>
      <c r="EH46" s="404">
        <v>0</v>
      </c>
      <c r="EI46" s="404">
        <v>0</v>
      </c>
      <c r="EJ46" s="455"/>
      <c r="EK46" s="404">
        <v>0</v>
      </c>
      <c r="EL46" s="404">
        <v>0</v>
      </c>
      <c r="EM46" s="455"/>
      <c r="EN46" s="404">
        <v>0</v>
      </c>
      <c r="EO46" s="404">
        <v>0</v>
      </c>
      <c r="EP46" s="455"/>
      <c r="EQ46" s="404">
        <v>0</v>
      </c>
      <c r="ER46" s="404">
        <v>0</v>
      </c>
      <c r="ES46" s="455"/>
      <c r="ET46" s="404">
        <v>0</v>
      </c>
      <c r="EU46" s="404">
        <v>0</v>
      </c>
      <c r="EV46" s="455"/>
      <c r="EW46" s="404">
        <v>0</v>
      </c>
      <c r="EX46" s="404">
        <v>0</v>
      </c>
      <c r="EY46" s="455"/>
      <c r="EZ46" s="404">
        <v>0</v>
      </c>
      <c r="FA46" s="404">
        <v>0</v>
      </c>
      <c r="FB46" s="455"/>
      <c r="FC46" s="385">
        <v>1335.4564263010345</v>
      </c>
      <c r="FD46" s="385">
        <f>14</f>
        <v>14</v>
      </c>
      <c r="FE46" s="358"/>
      <c r="FF46" s="385">
        <v>1335.4564263010345</v>
      </c>
      <c r="FG46" s="385">
        <f>14</f>
        <v>14</v>
      </c>
      <c r="FH46" s="358"/>
      <c r="FI46" s="385">
        <v>1335.4564263010345</v>
      </c>
      <c r="FJ46" s="385">
        <f>14</f>
        <v>14</v>
      </c>
      <c r="FK46" s="358"/>
      <c r="FL46" s="385">
        <v>1335.4564263010345</v>
      </c>
      <c r="FM46" s="385">
        <f>14</f>
        <v>14</v>
      </c>
      <c r="FN46" s="358"/>
      <c r="FO46" s="385">
        <v>1335.4564263010345</v>
      </c>
      <c r="FP46" s="385">
        <f>14</f>
        <v>14</v>
      </c>
      <c r="FQ46" s="358"/>
      <c r="FR46" s="385">
        <v>1335.4564263010345</v>
      </c>
      <c r="FS46" s="385">
        <f>14</f>
        <v>14</v>
      </c>
      <c r="FT46" s="358"/>
      <c r="FU46" s="385">
        <v>1335.4564263010345</v>
      </c>
      <c r="FV46" s="385">
        <f>14</f>
        <v>14</v>
      </c>
      <c r="FW46" s="358"/>
      <c r="FX46" s="385">
        <v>1335.4564263010345</v>
      </c>
      <c r="FY46" s="385">
        <f>14</f>
        <v>14</v>
      </c>
      <c r="FZ46" s="358"/>
      <c r="GA46" s="385">
        <v>1335.4564263010345</v>
      </c>
      <c r="GB46" s="385">
        <f>14</f>
        <v>14</v>
      </c>
      <c r="GC46" s="358"/>
      <c r="GD46" s="385">
        <v>1335.4564263010345</v>
      </c>
      <c r="GE46" s="385">
        <f>14</f>
        <v>14</v>
      </c>
      <c r="GF46" s="358"/>
      <c r="GG46" s="385">
        <v>1335.4564263010345</v>
      </c>
      <c r="GH46" s="385">
        <f>14</f>
        <v>14</v>
      </c>
      <c r="GI46" s="358"/>
      <c r="GJ46" s="385">
        <v>1335.4564263010345</v>
      </c>
      <c r="GK46" s="385">
        <f>14</f>
        <v>14</v>
      </c>
      <c r="GL46" s="358"/>
      <c r="GM46" s="385">
        <v>1335.4564263010345</v>
      </c>
      <c r="GN46" s="385">
        <f>14</f>
        <v>14</v>
      </c>
      <c r="GO46" s="358"/>
      <c r="GP46" s="385">
        <v>1335.4564263010345</v>
      </c>
      <c r="GQ46" s="385">
        <f>14</f>
        <v>14</v>
      </c>
      <c r="GR46" s="358"/>
      <c r="GS46" s="385">
        <v>1335.4564263010345</v>
      </c>
      <c r="GT46" s="385">
        <f>14</f>
        <v>14</v>
      </c>
      <c r="GU46" s="358"/>
      <c r="GV46" s="385">
        <v>1335.4564263010345</v>
      </c>
      <c r="GW46" s="385">
        <f>14</f>
        <v>14</v>
      </c>
      <c r="GX46" s="358"/>
      <c r="GY46" s="385">
        <v>1335.4564263010345</v>
      </c>
      <c r="GZ46" s="385">
        <f>14</f>
        <v>14</v>
      </c>
      <c r="HA46" s="358"/>
      <c r="HB46" s="385">
        <v>1335.4564263010345</v>
      </c>
      <c r="HC46" s="385">
        <f>14</f>
        <v>14</v>
      </c>
      <c r="HD46" s="358"/>
      <c r="HE46" s="387">
        <v>1335.4564263010345</v>
      </c>
      <c r="HF46" s="386">
        <f>14*6</f>
        <v>84</v>
      </c>
      <c r="HG46" s="370">
        <v>0</v>
      </c>
      <c r="HH46" s="387">
        <v>1335.4564263010345</v>
      </c>
      <c r="HI46" s="369">
        <v>65.615106286748087</v>
      </c>
      <c r="HJ46" s="387">
        <v>1335.4564263010345</v>
      </c>
      <c r="HK46" s="369">
        <v>65.615106286748087</v>
      </c>
      <c r="HL46" s="387">
        <v>1335.4564263010345</v>
      </c>
      <c r="HM46" s="369">
        <v>65.615106286748087</v>
      </c>
      <c r="HN46" s="387">
        <v>1335.4564263010345</v>
      </c>
      <c r="HO46" s="369">
        <v>65.615106286748087</v>
      </c>
      <c r="HP46" s="387">
        <v>1335.4564263010345</v>
      </c>
      <c r="HQ46" s="369">
        <v>65.615106286748087</v>
      </c>
      <c r="HR46" s="387">
        <v>1335.4564263010345</v>
      </c>
      <c r="HS46" s="369">
        <v>65.615106286748087</v>
      </c>
      <c r="HT46" s="387">
        <v>1335.4564263010345</v>
      </c>
      <c r="HU46" s="369">
        <v>65.615106286748087</v>
      </c>
      <c r="HV46" s="388">
        <v>1335.4564263010345</v>
      </c>
      <c r="HW46" s="423">
        <v>66</v>
      </c>
      <c r="HX46" s="424">
        <v>1401.0715325877827</v>
      </c>
      <c r="HY46" s="425"/>
      <c r="HZ46" s="424">
        <v>1401.0715325877827</v>
      </c>
      <c r="IA46" s="425"/>
      <c r="IB46" s="424">
        <v>1401.0715325877827</v>
      </c>
      <c r="IC46" s="425"/>
      <c r="ID46" s="357">
        <f>VLOOKUP($C46,'[15]Prix accès'!A:D,4,FALSE)</f>
        <v>1335.4564263010345</v>
      </c>
      <c r="IE46" s="426"/>
      <c r="IF46" s="357">
        <f>VLOOKUP($C46,'[15]Prix accès'!$A:$D,4,FALSE)</f>
        <v>1335.4564263010345</v>
      </c>
      <c r="IG46" s="426"/>
      <c r="IH46" s="357">
        <f>VLOOKUP($C46,'[15]Prix accès'!$A:$D,4,FALSE)</f>
        <v>1335.4564263010345</v>
      </c>
      <c r="II46" s="361"/>
      <c r="IJ46" s="357">
        <f>VLOOKUP($C46,'[15]Prix accès'!$A:$D,4,FALSE)</f>
        <v>1335.4564263010345</v>
      </c>
      <c r="IK46" s="361"/>
      <c r="IL46" s="357">
        <f>VLOOKUP($C46,'[15]Prix accès'!$A:$D,4,FALSE)</f>
        <v>1335.4564263010345</v>
      </c>
      <c r="IM46" s="427"/>
      <c r="IN46" s="357">
        <f>VLOOKUP($C46,'[15]Prix accès'!$A:$D,4,FALSE)</f>
        <v>1335.4564263010345</v>
      </c>
      <c r="IO46" s="427"/>
      <c r="IP46" s="428">
        <v>1194.3560605666346</v>
      </c>
      <c r="IQ46" s="427"/>
      <c r="IR46" s="429" t="s">
        <v>3334</v>
      </c>
      <c r="IS46" s="364" t="s">
        <v>77</v>
      </c>
      <c r="IT46" s="365">
        <v>43440</v>
      </c>
      <c r="IU46" s="371">
        <v>43466</v>
      </c>
      <c r="IW46" s="372">
        <f t="shared" si="11"/>
        <v>26</v>
      </c>
      <c r="IX46" s="373">
        <f t="shared" si="14"/>
        <v>43.785456600033918</v>
      </c>
      <c r="IY46" s="394">
        <f t="shared" si="13"/>
        <v>1138.4218716008818</v>
      </c>
      <c r="IZ46" s="394"/>
      <c r="JA46" s="394"/>
    </row>
    <row r="47" spans="1:263" s="367" customFormat="1" ht="16.5" customHeight="1" x14ac:dyDescent="0.3">
      <c r="A47" s="354" t="s">
        <v>2735</v>
      </c>
      <c r="B47" s="355" t="s">
        <v>2784</v>
      </c>
      <c r="C47" s="443" t="s">
        <v>405</v>
      </c>
      <c r="D47" s="444">
        <v>1454</v>
      </c>
      <c r="E47" s="445">
        <v>95</v>
      </c>
      <c r="F47" s="445">
        <v>32</v>
      </c>
      <c r="G47" s="445">
        <v>36</v>
      </c>
      <c r="H47" s="446">
        <v>0</v>
      </c>
      <c r="I47" s="841">
        <v>1580</v>
      </c>
      <c r="J47" s="835">
        <v>36</v>
      </c>
      <c r="K47" s="827"/>
      <c r="L47" s="835">
        <v>1580</v>
      </c>
      <c r="M47" s="835">
        <v>36</v>
      </c>
      <c r="N47" s="827"/>
      <c r="O47" s="835">
        <v>1580</v>
      </c>
      <c r="P47" s="835">
        <v>36</v>
      </c>
      <c r="Q47" s="827"/>
      <c r="R47" s="835">
        <v>1580</v>
      </c>
      <c r="S47" s="835">
        <v>36</v>
      </c>
      <c r="T47" s="827"/>
      <c r="U47" s="835">
        <v>1580</v>
      </c>
      <c r="V47" s="835">
        <v>36</v>
      </c>
      <c r="W47" s="827"/>
      <c r="X47" s="835">
        <v>1580</v>
      </c>
      <c r="Y47" s="835">
        <v>36</v>
      </c>
      <c r="Z47" s="827"/>
      <c r="AA47" s="835">
        <v>1580</v>
      </c>
      <c r="AB47" s="835">
        <v>36</v>
      </c>
      <c r="AC47" s="827"/>
      <c r="AD47" s="835">
        <v>1580</v>
      </c>
      <c r="AE47" s="835">
        <v>36</v>
      </c>
      <c r="AF47" s="827"/>
      <c r="AG47" s="835">
        <v>1580</v>
      </c>
      <c r="AH47" s="835">
        <v>36</v>
      </c>
      <c r="AI47" s="827"/>
      <c r="AJ47" s="835">
        <v>1580</v>
      </c>
      <c r="AK47" s="835">
        <v>36</v>
      </c>
      <c r="AL47" s="827"/>
      <c r="AM47" s="835">
        <v>1580</v>
      </c>
      <c r="AN47" s="835">
        <v>36</v>
      </c>
      <c r="AO47" s="827"/>
      <c r="AP47" s="835">
        <v>1580</v>
      </c>
      <c r="AQ47" s="835">
        <v>36</v>
      </c>
      <c r="AR47" s="827"/>
      <c r="AS47" s="835">
        <v>1580</v>
      </c>
      <c r="AT47" s="835">
        <v>36</v>
      </c>
      <c r="AU47" s="827"/>
      <c r="AV47" s="835">
        <v>1580</v>
      </c>
      <c r="AW47" s="835">
        <v>36</v>
      </c>
      <c r="AX47" s="827"/>
      <c r="AY47" s="835">
        <v>1580</v>
      </c>
      <c r="AZ47" s="835">
        <v>36</v>
      </c>
      <c r="BA47" s="358"/>
      <c r="BB47" s="384">
        <v>1580</v>
      </c>
      <c r="BC47" s="384">
        <v>36</v>
      </c>
      <c r="BD47" s="358"/>
      <c r="BE47" s="386">
        <f>((1560-1335)/30.5)*17+1580</f>
        <v>1705.4098360655737</v>
      </c>
      <c r="BF47" s="386">
        <f>((36-14)/30.5)*17+36</f>
        <v>48.26229508196721</v>
      </c>
      <c r="BG47" s="358"/>
      <c r="BH47" s="384">
        <v>1335.4564263010345</v>
      </c>
      <c r="BI47" s="384">
        <f>14</f>
        <v>14</v>
      </c>
      <c r="BJ47" s="472"/>
      <c r="BK47" s="385">
        <v>1335.4564263010345</v>
      </c>
      <c r="BL47" s="385">
        <f>14</f>
        <v>14</v>
      </c>
      <c r="BM47" s="358"/>
      <c r="BN47" s="385">
        <v>1335.4564263010345</v>
      </c>
      <c r="BO47" s="385">
        <f>14</f>
        <v>14</v>
      </c>
      <c r="BP47" s="358"/>
      <c r="BQ47" s="385">
        <v>1335.4564263010345</v>
      </c>
      <c r="BR47" s="385">
        <f>14</f>
        <v>14</v>
      </c>
      <c r="BS47" s="358"/>
      <c r="BT47" s="385">
        <v>1335.4564263010345</v>
      </c>
      <c r="BU47" s="385">
        <f>14</f>
        <v>14</v>
      </c>
      <c r="BV47" s="358"/>
      <c r="BW47" s="385">
        <v>1335.4564263010345</v>
      </c>
      <c r="BX47" s="385">
        <f>14</f>
        <v>14</v>
      </c>
      <c r="BY47" s="358"/>
      <c r="BZ47" s="385">
        <v>1335.4564263010345</v>
      </c>
      <c r="CA47" s="385">
        <f>14</f>
        <v>14</v>
      </c>
      <c r="CB47" s="358"/>
      <c r="CC47" s="385">
        <v>1335.4564263010345</v>
      </c>
      <c r="CD47" s="385">
        <f>14</f>
        <v>14</v>
      </c>
      <c r="CE47" s="358"/>
      <c r="CF47" s="385">
        <v>1335.4564263010345</v>
      </c>
      <c r="CG47" s="385">
        <f>14</f>
        <v>14</v>
      </c>
      <c r="CH47" s="358"/>
      <c r="CI47" s="385">
        <v>1335.4564263010345</v>
      </c>
      <c r="CJ47" s="385">
        <f>14</f>
        <v>14</v>
      </c>
      <c r="CK47" s="358"/>
      <c r="CL47" s="385">
        <v>1335.4564263010345</v>
      </c>
      <c r="CM47" s="385">
        <f>14</f>
        <v>14</v>
      </c>
      <c r="CN47" s="358"/>
      <c r="CO47" s="385">
        <v>1335.4564263010345</v>
      </c>
      <c r="CP47" s="385">
        <f>14</f>
        <v>14</v>
      </c>
      <c r="CQ47" s="358"/>
      <c r="CR47" s="385">
        <v>1335.4564263010345</v>
      </c>
      <c r="CS47" s="385">
        <f>14</f>
        <v>14</v>
      </c>
      <c r="CT47" s="358"/>
      <c r="CU47" s="385">
        <v>1335.4564263010345</v>
      </c>
      <c r="CV47" s="385">
        <f>14</f>
        <v>14</v>
      </c>
      <c r="CW47" s="358"/>
      <c r="CX47" s="385">
        <v>1335.4564263010345</v>
      </c>
      <c r="CY47" s="385">
        <f>14</f>
        <v>14</v>
      </c>
      <c r="CZ47" s="358"/>
      <c r="DA47" s="385">
        <v>1335.4564263010345</v>
      </c>
      <c r="DB47" s="385">
        <f>14</f>
        <v>14</v>
      </c>
      <c r="DC47" s="358"/>
      <c r="DD47" s="385">
        <v>1335.4564263010345</v>
      </c>
      <c r="DE47" s="385">
        <f>14</f>
        <v>14</v>
      </c>
      <c r="DF47" s="358"/>
      <c r="DG47" s="385">
        <v>1335.4564263010345</v>
      </c>
      <c r="DH47" s="385">
        <f>14</f>
        <v>14</v>
      </c>
      <c r="DI47" s="358"/>
      <c r="DJ47" s="385">
        <v>1335.4564263010345</v>
      </c>
      <c r="DK47" s="385">
        <f>14</f>
        <v>14</v>
      </c>
      <c r="DL47" s="358"/>
      <c r="DM47" s="385">
        <v>1335.4564263010345</v>
      </c>
      <c r="DN47" s="385">
        <f>14</f>
        <v>14</v>
      </c>
      <c r="DO47" s="358"/>
      <c r="DP47" s="385">
        <v>1335.4564263010345</v>
      </c>
      <c r="DQ47" s="385">
        <f>14</f>
        <v>14</v>
      </c>
      <c r="DR47" s="358"/>
      <c r="DS47" s="385">
        <v>1335.4564263010345</v>
      </c>
      <c r="DT47" s="385">
        <f>14</f>
        <v>14</v>
      </c>
      <c r="DU47" s="358"/>
      <c r="DV47" s="385">
        <v>1335.4564263010345</v>
      </c>
      <c r="DW47" s="385">
        <f>14</f>
        <v>14</v>
      </c>
      <c r="DX47" s="358"/>
      <c r="DY47" s="385">
        <v>1335.4564263010345</v>
      </c>
      <c r="DZ47" s="385">
        <f>14</f>
        <v>14</v>
      </c>
      <c r="EA47" s="358"/>
      <c r="EB47" s="385">
        <v>1335.4564263010345</v>
      </c>
      <c r="EC47" s="385">
        <f>14</f>
        <v>14</v>
      </c>
      <c r="ED47" s="358"/>
      <c r="EE47" s="385">
        <v>1335.4564263010345</v>
      </c>
      <c r="EF47" s="385">
        <f>14</f>
        <v>14</v>
      </c>
      <c r="EG47" s="358"/>
      <c r="EH47" s="385">
        <v>1335.4564263010345</v>
      </c>
      <c r="EI47" s="385">
        <f>14</f>
        <v>14</v>
      </c>
      <c r="EJ47" s="358"/>
      <c r="EK47" s="385">
        <v>1335.4564263010345</v>
      </c>
      <c r="EL47" s="385">
        <f>14</f>
        <v>14</v>
      </c>
      <c r="EM47" s="358"/>
      <c r="EN47" s="385">
        <v>1335.4564263010345</v>
      </c>
      <c r="EO47" s="385">
        <f>14</f>
        <v>14</v>
      </c>
      <c r="EP47" s="358"/>
      <c r="EQ47" s="385">
        <v>1335.4564263010345</v>
      </c>
      <c r="ER47" s="385">
        <f>14</f>
        <v>14</v>
      </c>
      <c r="ES47" s="358"/>
      <c r="ET47" s="385">
        <v>1335.4564263010345</v>
      </c>
      <c r="EU47" s="385">
        <f>14</f>
        <v>14</v>
      </c>
      <c r="EV47" s="358"/>
      <c r="EW47" s="385">
        <v>1335.4564263010345</v>
      </c>
      <c r="EX47" s="385">
        <f>14</f>
        <v>14</v>
      </c>
      <c r="EY47" s="358"/>
      <c r="EZ47" s="385">
        <v>1335.4564263010345</v>
      </c>
      <c r="FA47" s="385">
        <f>14</f>
        <v>14</v>
      </c>
      <c r="FB47" s="358"/>
      <c r="FC47" s="385">
        <v>1335.4564263010345</v>
      </c>
      <c r="FD47" s="385">
        <f>14</f>
        <v>14</v>
      </c>
      <c r="FE47" s="358"/>
      <c r="FF47" s="385">
        <v>1335.4564263010345</v>
      </c>
      <c r="FG47" s="385">
        <f>14</f>
        <v>14</v>
      </c>
      <c r="FH47" s="358"/>
      <c r="FI47" s="385">
        <v>1335.4564263010345</v>
      </c>
      <c r="FJ47" s="385">
        <f>14</f>
        <v>14</v>
      </c>
      <c r="FK47" s="358"/>
      <c r="FL47" s="385">
        <v>1335.4564263010345</v>
      </c>
      <c r="FM47" s="385">
        <f>14</f>
        <v>14</v>
      </c>
      <c r="FN47" s="358"/>
      <c r="FO47" s="385">
        <v>1335.4564263010345</v>
      </c>
      <c r="FP47" s="385">
        <f>14</f>
        <v>14</v>
      </c>
      <c r="FQ47" s="358"/>
      <c r="FR47" s="385">
        <v>1335.4564263010345</v>
      </c>
      <c r="FS47" s="385">
        <f>14</f>
        <v>14</v>
      </c>
      <c r="FT47" s="358"/>
      <c r="FU47" s="385">
        <v>1335.4564263010345</v>
      </c>
      <c r="FV47" s="385">
        <f>14</f>
        <v>14</v>
      </c>
      <c r="FW47" s="358"/>
      <c r="FX47" s="385">
        <v>1335.4564263010345</v>
      </c>
      <c r="FY47" s="385">
        <f>14</f>
        <v>14</v>
      </c>
      <c r="FZ47" s="358"/>
      <c r="GA47" s="385">
        <v>1335.4564263010345</v>
      </c>
      <c r="GB47" s="385">
        <f>14</f>
        <v>14</v>
      </c>
      <c r="GC47" s="358"/>
      <c r="GD47" s="385">
        <v>1335.4564263010345</v>
      </c>
      <c r="GE47" s="385">
        <f>14</f>
        <v>14</v>
      </c>
      <c r="GF47" s="358"/>
      <c r="GG47" s="385">
        <v>1335.4564263010345</v>
      </c>
      <c r="GH47" s="385">
        <f>14</f>
        <v>14</v>
      </c>
      <c r="GI47" s="358"/>
      <c r="GJ47" s="385">
        <v>1335.4564263010345</v>
      </c>
      <c r="GK47" s="385">
        <f>14</f>
        <v>14</v>
      </c>
      <c r="GL47" s="358"/>
      <c r="GM47" s="385">
        <v>1335.4564263010345</v>
      </c>
      <c r="GN47" s="385">
        <f>14</f>
        <v>14</v>
      </c>
      <c r="GO47" s="358"/>
      <c r="GP47" s="385">
        <v>1335.4564263010345</v>
      </c>
      <c r="GQ47" s="385">
        <f>14</f>
        <v>14</v>
      </c>
      <c r="GR47" s="358"/>
      <c r="GS47" s="385">
        <v>1335.4564263010345</v>
      </c>
      <c r="GT47" s="385">
        <f>14</f>
        <v>14</v>
      </c>
      <c r="GU47" s="358"/>
      <c r="GV47" s="385">
        <v>1335.4564263010345</v>
      </c>
      <c r="GW47" s="385">
        <f>14</f>
        <v>14</v>
      </c>
      <c r="GX47" s="358"/>
      <c r="GY47" s="385">
        <v>1335.4564263010345</v>
      </c>
      <c r="GZ47" s="385">
        <f>14</f>
        <v>14</v>
      </c>
      <c r="HA47" s="358"/>
      <c r="HB47" s="385">
        <v>1335.4564263010345</v>
      </c>
      <c r="HC47" s="385">
        <f>14</f>
        <v>14</v>
      </c>
      <c r="HD47" s="358"/>
      <c r="HE47" s="387">
        <v>1335.4564263010345</v>
      </c>
      <c r="HF47" s="386">
        <f>14*6</f>
        <v>84</v>
      </c>
      <c r="HG47" s="358"/>
      <c r="HH47" s="387">
        <v>1335.4564263010345</v>
      </c>
      <c r="HI47" s="358"/>
      <c r="HJ47" s="387">
        <v>1335.4564263010345</v>
      </c>
      <c r="HK47" s="358"/>
      <c r="HL47" s="387">
        <v>1335.4564263010345</v>
      </c>
      <c r="HM47" s="358"/>
      <c r="HN47" s="387">
        <v>1335.4564263010345</v>
      </c>
      <c r="HO47" s="358"/>
      <c r="HP47" s="387">
        <v>1335.4564263010345</v>
      </c>
      <c r="HQ47" s="358"/>
      <c r="HR47" s="387">
        <v>1335.4564263010345</v>
      </c>
      <c r="HS47" s="358"/>
      <c r="HT47" s="387">
        <v>1335.4564263010345</v>
      </c>
      <c r="HU47" s="358"/>
      <c r="HV47" s="388">
        <v>1335.4564263010345</v>
      </c>
      <c r="HW47" s="358" t="s">
        <v>3310</v>
      </c>
      <c r="HX47" s="368">
        <v>1335.4564263010345</v>
      </c>
      <c r="HY47" s="358" t="s">
        <v>3310</v>
      </c>
      <c r="HZ47" s="368">
        <v>1335.4564263010345</v>
      </c>
      <c r="IA47" s="358" t="s">
        <v>3310</v>
      </c>
      <c r="IB47" s="368">
        <v>1335.4564263010345</v>
      </c>
      <c r="IC47" s="358" t="s">
        <v>3310</v>
      </c>
      <c r="ID47" s="357">
        <f>VLOOKUP($C47,'[15]Prix accès'!A:D,4,FALSE)</f>
        <v>1335.4564263010345</v>
      </c>
      <c r="IE47" s="361" t="s">
        <v>3310</v>
      </c>
      <c r="IF47" s="357">
        <f>VLOOKUP($C47,'[15]Prix accès'!$A:$D,4,FALSE)</f>
        <v>1335.4564263010345</v>
      </c>
      <c r="IG47" s="361" t="s">
        <v>3310</v>
      </c>
      <c r="IH47" s="357">
        <f>VLOOKUP($C47,'[15]Prix accès'!$A:$D,4,FALSE)</f>
        <v>1335.4564263010345</v>
      </c>
      <c r="II47" s="361" t="s">
        <v>3310</v>
      </c>
      <c r="IJ47" s="357">
        <f>VLOOKUP($C47,'[15]Prix accès'!$A:$D,4,FALSE)</f>
        <v>1335.4564263010345</v>
      </c>
      <c r="IK47" s="361" t="s">
        <v>3310</v>
      </c>
      <c r="IL47" s="357">
        <f>VLOOKUP($C47,'[15]Prix accès'!$A:$D,4,FALSE)</f>
        <v>1335.4564263010345</v>
      </c>
      <c r="IM47" s="361" t="s">
        <v>3310</v>
      </c>
      <c r="IN47" s="357">
        <f>VLOOKUP($C47,'[15]Prix accès'!$A:$D,4,FALSE)</f>
        <v>1335.4564263010345</v>
      </c>
      <c r="IO47" s="361" t="s">
        <v>3310</v>
      </c>
      <c r="IP47" s="428">
        <v>963.28004520074614</v>
      </c>
      <c r="IQ47" s="361" t="s">
        <v>3310</v>
      </c>
      <c r="IR47" s="400" t="s">
        <v>3032</v>
      </c>
      <c r="IS47" s="364" t="s">
        <v>77</v>
      </c>
      <c r="IT47" s="365">
        <v>43444</v>
      </c>
      <c r="IU47" s="371">
        <v>43466</v>
      </c>
      <c r="IV47" s="393"/>
      <c r="IW47" s="372">
        <f t="shared" si="11"/>
        <v>22</v>
      </c>
      <c r="IX47" s="373">
        <f t="shared" si="14"/>
        <v>43.785456600033918</v>
      </c>
      <c r="IY47" s="394">
        <f t="shared" si="13"/>
        <v>963.28004520074614</v>
      </c>
      <c r="IZ47" s="394"/>
      <c r="JA47" s="394"/>
    </row>
    <row r="48" spans="1:263" s="367" customFormat="1" ht="16.5" customHeight="1" x14ac:dyDescent="0.3">
      <c r="A48" s="354" t="s">
        <v>2735</v>
      </c>
      <c r="B48" s="411" t="s">
        <v>2768</v>
      </c>
      <c r="C48" s="436" t="s">
        <v>358</v>
      </c>
      <c r="D48" s="437">
        <v>979</v>
      </c>
      <c r="E48" s="412">
        <v>44</v>
      </c>
      <c r="F48" s="412">
        <v>32</v>
      </c>
      <c r="G48" s="412">
        <v>5</v>
      </c>
      <c r="H48" s="438">
        <v>0</v>
      </c>
      <c r="I48" s="830">
        <v>1055.0564263010344</v>
      </c>
      <c r="J48" s="831">
        <f>5</f>
        <v>5</v>
      </c>
      <c r="K48" s="827"/>
      <c r="L48" s="831">
        <v>1055.0564263010344</v>
      </c>
      <c r="M48" s="831">
        <f>5</f>
        <v>5</v>
      </c>
      <c r="N48" s="827"/>
      <c r="O48" s="831">
        <v>1055.0564263010344</v>
      </c>
      <c r="P48" s="831">
        <f>5</f>
        <v>5</v>
      </c>
      <c r="Q48" s="827"/>
      <c r="R48" s="831">
        <v>1055.0564263010344</v>
      </c>
      <c r="S48" s="831">
        <f>5</f>
        <v>5</v>
      </c>
      <c r="T48" s="827"/>
      <c r="U48" s="831">
        <v>1055.0564263010344</v>
      </c>
      <c r="V48" s="831">
        <f>5</f>
        <v>5</v>
      </c>
      <c r="W48" s="827"/>
      <c r="X48" s="831">
        <v>1055.0564263010344</v>
      </c>
      <c r="Y48" s="831">
        <f>5</f>
        <v>5</v>
      </c>
      <c r="Z48" s="827"/>
      <c r="AA48" s="831">
        <v>1055.0564263010344</v>
      </c>
      <c r="AB48" s="831">
        <f>5</f>
        <v>5</v>
      </c>
      <c r="AC48" s="827"/>
      <c r="AD48" s="831">
        <v>1055.0564263010344</v>
      </c>
      <c r="AE48" s="831">
        <f>5</f>
        <v>5</v>
      </c>
      <c r="AF48" s="827"/>
      <c r="AG48" s="831">
        <v>1055.0564263010344</v>
      </c>
      <c r="AH48" s="831">
        <f>5</f>
        <v>5</v>
      </c>
      <c r="AI48" s="827"/>
      <c r="AJ48" s="831">
        <v>1055.0564263010344</v>
      </c>
      <c r="AK48" s="831">
        <f>5</f>
        <v>5</v>
      </c>
      <c r="AL48" s="827"/>
      <c r="AM48" s="831">
        <v>1055.0564263010344</v>
      </c>
      <c r="AN48" s="831">
        <f>5</f>
        <v>5</v>
      </c>
      <c r="AO48" s="827"/>
      <c r="AP48" s="831">
        <v>1055.0564263010344</v>
      </c>
      <c r="AQ48" s="831">
        <f>5</f>
        <v>5</v>
      </c>
      <c r="AR48" s="827"/>
      <c r="AS48" s="831">
        <v>1055.0564263010344</v>
      </c>
      <c r="AT48" s="831">
        <f>5</f>
        <v>5</v>
      </c>
      <c r="AU48" s="827"/>
      <c r="AV48" s="831">
        <v>1055.0564263010344</v>
      </c>
      <c r="AW48" s="831">
        <f>5</f>
        <v>5</v>
      </c>
      <c r="AX48" s="827"/>
      <c r="AY48" s="831">
        <v>1055.0564263010344</v>
      </c>
      <c r="AZ48" s="831">
        <f>5</f>
        <v>5</v>
      </c>
      <c r="BA48" s="358"/>
      <c r="BB48" s="385">
        <v>1055.0564263010344</v>
      </c>
      <c r="BC48" s="385">
        <f>5</f>
        <v>5</v>
      </c>
      <c r="BD48" s="358"/>
      <c r="BE48" s="385">
        <v>1055.0564263010344</v>
      </c>
      <c r="BF48" s="385">
        <f>5</f>
        <v>5</v>
      </c>
      <c r="BG48" s="358"/>
      <c r="BH48" s="385">
        <v>1055.0564263010344</v>
      </c>
      <c r="BI48" s="385">
        <f>5</f>
        <v>5</v>
      </c>
      <c r="BJ48" s="358"/>
      <c r="BK48" s="385">
        <v>1055.0564263010344</v>
      </c>
      <c r="BL48" s="385">
        <f>5</f>
        <v>5</v>
      </c>
      <c r="BM48" s="358"/>
      <c r="BN48" s="385">
        <v>1055.0564263010344</v>
      </c>
      <c r="BO48" s="385">
        <f>5</f>
        <v>5</v>
      </c>
      <c r="BP48" s="358"/>
      <c r="BQ48" s="385">
        <v>1055.0564263010344</v>
      </c>
      <c r="BR48" s="385">
        <f>5</f>
        <v>5</v>
      </c>
      <c r="BS48" s="358"/>
      <c r="BT48" s="385">
        <v>1055.0564263010344</v>
      </c>
      <c r="BU48" s="385">
        <f>5</f>
        <v>5</v>
      </c>
      <c r="BV48" s="358"/>
      <c r="BW48" s="385">
        <v>1055.0564263010344</v>
      </c>
      <c r="BX48" s="385">
        <f>5</f>
        <v>5</v>
      </c>
      <c r="BY48" s="358"/>
      <c r="BZ48" s="385">
        <v>1055.0564263010344</v>
      </c>
      <c r="CA48" s="385">
        <f>5</f>
        <v>5</v>
      </c>
      <c r="CB48" s="358"/>
      <c r="CC48" s="385">
        <v>1055.0564263010344</v>
      </c>
      <c r="CD48" s="385">
        <f>5</f>
        <v>5</v>
      </c>
      <c r="CE48" s="358"/>
      <c r="CF48" s="385">
        <v>1055.0564263010344</v>
      </c>
      <c r="CG48" s="385">
        <f>5</f>
        <v>5</v>
      </c>
      <c r="CH48" s="358"/>
      <c r="CI48" s="385">
        <v>1055.0564263010344</v>
      </c>
      <c r="CJ48" s="385">
        <f>5</f>
        <v>5</v>
      </c>
      <c r="CK48" s="358"/>
      <c r="CL48" s="385">
        <v>1055.0564263010344</v>
      </c>
      <c r="CM48" s="385">
        <f>5</f>
        <v>5</v>
      </c>
      <c r="CN48" s="358"/>
      <c r="CO48" s="385">
        <v>1055.0564263010344</v>
      </c>
      <c r="CP48" s="385">
        <f>5</f>
        <v>5</v>
      </c>
      <c r="CQ48" s="358"/>
      <c r="CR48" s="385">
        <v>1055.0564263010344</v>
      </c>
      <c r="CS48" s="385">
        <f>5</f>
        <v>5</v>
      </c>
      <c r="CT48" s="358"/>
      <c r="CU48" s="385">
        <v>1055.0564263010344</v>
      </c>
      <c r="CV48" s="385">
        <f>5</f>
        <v>5</v>
      </c>
      <c r="CW48" s="358"/>
      <c r="CX48" s="385">
        <v>1055.0564263010344</v>
      </c>
      <c r="CY48" s="385">
        <f>5</f>
        <v>5</v>
      </c>
      <c r="CZ48" s="358"/>
      <c r="DA48" s="385">
        <v>1055.0564263010344</v>
      </c>
      <c r="DB48" s="385">
        <f>5</f>
        <v>5</v>
      </c>
      <c r="DC48" s="358"/>
      <c r="DD48" s="385">
        <v>1055.0564263010344</v>
      </c>
      <c r="DE48" s="385">
        <f>5</f>
        <v>5</v>
      </c>
      <c r="DF48" s="358"/>
      <c r="DG48" s="385">
        <v>1055.0564263010344</v>
      </c>
      <c r="DH48" s="385">
        <f>5</f>
        <v>5</v>
      </c>
      <c r="DI48" s="358"/>
      <c r="DJ48" s="385">
        <v>1055.0564263010344</v>
      </c>
      <c r="DK48" s="385">
        <f>5</f>
        <v>5</v>
      </c>
      <c r="DL48" s="358"/>
      <c r="DM48" s="385">
        <v>1055.0564263010344</v>
      </c>
      <c r="DN48" s="385">
        <f>5</f>
        <v>5</v>
      </c>
      <c r="DO48" s="358"/>
      <c r="DP48" s="385">
        <v>1055.0564263010344</v>
      </c>
      <c r="DQ48" s="385">
        <f>5</f>
        <v>5</v>
      </c>
      <c r="DR48" s="358"/>
      <c r="DS48" s="385">
        <v>1055.0564263010344</v>
      </c>
      <c r="DT48" s="385">
        <f>5</f>
        <v>5</v>
      </c>
      <c r="DU48" s="358"/>
      <c r="DV48" s="385">
        <v>1055.0564263010344</v>
      </c>
      <c r="DW48" s="385">
        <f>5</f>
        <v>5</v>
      </c>
      <c r="DX48" s="358"/>
      <c r="DY48" s="385">
        <v>1055.0564263010344</v>
      </c>
      <c r="DZ48" s="385">
        <f>5</f>
        <v>5</v>
      </c>
      <c r="EA48" s="358"/>
      <c r="EB48" s="385">
        <v>1055.0564263010344</v>
      </c>
      <c r="EC48" s="385">
        <f>5</f>
        <v>5</v>
      </c>
      <c r="ED48" s="358"/>
      <c r="EE48" s="385">
        <v>1055.0564263010344</v>
      </c>
      <c r="EF48" s="385">
        <f>5</f>
        <v>5</v>
      </c>
      <c r="EG48" s="358"/>
      <c r="EH48" s="385">
        <v>1055.0564263010344</v>
      </c>
      <c r="EI48" s="385">
        <f>5</f>
        <v>5</v>
      </c>
      <c r="EJ48" s="358"/>
      <c r="EK48" s="385">
        <v>1055.0564263010344</v>
      </c>
      <c r="EL48" s="385">
        <f>5</f>
        <v>5</v>
      </c>
      <c r="EM48" s="358"/>
      <c r="EN48" s="385">
        <v>1055.0564263010344</v>
      </c>
      <c r="EO48" s="385">
        <f>5</f>
        <v>5</v>
      </c>
      <c r="EP48" s="358"/>
      <c r="EQ48" s="385">
        <v>1055.0564263010344</v>
      </c>
      <c r="ER48" s="385">
        <f>5</f>
        <v>5</v>
      </c>
      <c r="ES48" s="358"/>
      <c r="ET48" s="385">
        <v>1055.0564263010344</v>
      </c>
      <c r="EU48" s="385">
        <f>5</f>
        <v>5</v>
      </c>
      <c r="EV48" s="358"/>
      <c r="EW48" s="385">
        <v>1055.0564263010344</v>
      </c>
      <c r="EX48" s="385">
        <f>5</f>
        <v>5</v>
      </c>
      <c r="EY48" s="358"/>
      <c r="EZ48" s="385">
        <v>1055.0564263010344</v>
      </c>
      <c r="FA48" s="385">
        <f>5</f>
        <v>5</v>
      </c>
      <c r="FB48" s="358"/>
      <c r="FC48" s="385">
        <v>1055.0564263010344</v>
      </c>
      <c r="FD48" s="385">
        <f>5</f>
        <v>5</v>
      </c>
      <c r="FE48" s="358"/>
      <c r="FF48" s="385">
        <v>1055.0564263010344</v>
      </c>
      <c r="FG48" s="385">
        <f>5</f>
        <v>5</v>
      </c>
      <c r="FH48" s="358"/>
      <c r="FI48" s="385">
        <v>1055.0564263010344</v>
      </c>
      <c r="FJ48" s="385">
        <f>5</f>
        <v>5</v>
      </c>
      <c r="FK48" s="358"/>
      <c r="FL48" s="385">
        <v>1055.0564263010344</v>
      </c>
      <c r="FM48" s="385">
        <f>5</f>
        <v>5</v>
      </c>
      <c r="FN48" s="358"/>
      <c r="FO48" s="385">
        <v>1055.0564263010344</v>
      </c>
      <c r="FP48" s="385">
        <f>5</f>
        <v>5</v>
      </c>
      <c r="FQ48" s="358"/>
      <c r="FR48" s="385">
        <v>1055.0564263010344</v>
      </c>
      <c r="FS48" s="385">
        <f>5</f>
        <v>5</v>
      </c>
      <c r="FT48" s="358"/>
      <c r="FU48" s="385">
        <v>1055.0564263010344</v>
      </c>
      <c r="FV48" s="385">
        <f>5</f>
        <v>5</v>
      </c>
      <c r="FW48" s="358"/>
      <c r="FX48" s="385">
        <v>1055.0564263010344</v>
      </c>
      <c r="FY48" s="385">
        <f>5</f>
        <v>5</v>
      </c>
      <c r="FZ48" s="358"/>
      <c r="GA48" s="385">
        <v>1055.0564263010344</v>
      </c>
      <c r="GB48" s="385">
        <f>5</f>
        <v>5</v>
      </c>
      <c r="GC48" s="358"/>
      <c r="GD48" s="385">
        <v>1055.0564263010344</v>
      </c>
      <c r="GE48" s="385">
        <f>5</f>
        <v>5</v>
      </c>
      <c r="GF48" s="358"/>
      <c r="GG48" s="385">
        <v>1055.0564263010344</v>
      </c>
      <c r="GH48" s="385">
        <f>5</f>
        <v>5</v>
      </c>
      <c r="GI48" s="358"/>
      <c r="GJ48" s="385">
        <v>1055.0564263010344</v>
      </c>
      <c r="GK48" s="385">
        <f>5</f>
        <v>5</v>
      </c>
      <c r="GL48" s="358"/>
      <c r="GM48" s="385">
        <v>1055.0564263010344</v>
      </c>
      <c r="GN48" s="385">
        <f>5</f>
        <v>5</v>
      </c>
      <c r="GO48" s="358"/>
      <c r="GP48" s="385">
        <v>1055.0564263010344</v>
      </c>
      <c r="GQ48" s="385">
        <f>5</f>
        <v>5</v>
      </c>
      <c r="GR48" s="358"/>
      <c r="GS48" s="385">
        <v>1055.0564263010344</v>
      </c>
      <c r="GT48" s="385">
        <f>5</f>
        <v>5</v>
      </c>
      <c r="GU48" s="358"/>
      <c r="GV48" s="385">
        <v>1055.0564263010344</v>
      </c>
      <c r="GW48" s="385">
        <f>5</f>
        <v>5</v>
      </c>
      <c r="GX48" s="358"/>
      <c r="GY48" s="385">
        <v>1055.0564263010344</v>
      </c>
      <c r="GZ48" s="385">
        <f>5</f>
        <v>5</v>
      </c>
      <c r="HA48" s="358"/>
      <c r="HB48" s="385">
        <v>1055.0564263010344</v>
      </c>
      <c r="HC48" s="385">
        <f>5</f>
        <v>5</v>
      </c>
      <c r="HD48" s="358"/>
      <c r="HE48" s="387">
        <v>1055.0564263010344</v>
      </c>
      <c r="HF48" s="386">
        <f>5*6</f>
        <v>30</v>
      </c>
      <c r="HG48" s="358"/>
      <c r="HH48" s="387">
        <v>1055.0564263010344</v>
      </c>
      <c r="HI48" s="358"/>
      <c r="HJ48" s="387">
        <v>1055.0564263010344</v>
      </c>
      <c r="HK48" s="358"/>
      <c r="HL48" s="387">
        <v>1055.0564263010344</v>
      </c>
      <c r="HM48" s="358"/>
      <c r="HN48" s="387">
        <v>1055.0564263010344</v>
      </c>
      <c r="HO48" s="358"/>
      <c r="HP48" s="387">
        <v>1055.0564263010344</v>
      </c>
      <c r="HQ48" s="358"/>
      <c r="HR48" s="387">
        <v>1055.0564263010344</v>
      </c>
      <c r="HS48" s="358"/>
      <c r="HT48" s="387">
        <v>1055.0564263010344</v>
      </c>
      <c r="HU48" s="358"/>
      <c r="HV48" s="388">
        <v>1055.0564263010344</v>
      </c>
      <c r="HW48" s="358" t="s">
        <v>3310</v>
      </c>
      <c r="HX48" s="368">
        <v>1055.0564263010344</v>
      </c>
      <c r="HY48" s="358" t="s">
        <v>3310</v>
      </c>
      <c r="HZ48" s="368">
        <v>1055.0564263010344</v>
      </c>
      <c r="IA48" s="358" t="s">
        <v>3310</v>
      </c>
      <c r="IB48" s="368">
        <v>1055.0564263010344</v>
      </c>
      <c r="IC48" s="358" t="s">
        <v>3310</v>
      </c>
      <c r="ID48" s="357">
        <f>VLOOKUP($C48,'[15]Prix accès'!A:D,4,FALSE)</f>
        <v>1055.0564263010344</v>
      </c>
      <c r="IE48" s="361" t="s">
        <v>3310</v>
      </c>
      <c r="IF48" s="357">
        <f>VLOOKUP($C48,'[15]Prix accès'!$A:$D,4,FALSE)</f>
        <v>1055.0564263010344</v>
      </c>
      <c r="IG48" s="361" t="s">
        <v>3310</v>
      </c>
      <c r="IH48" s="357">
        <f>VLOOKUP($C48,'[15]Prix accès'!$A:$D,4,FALSE)</f>
        <v>1055.0564263010344</v>
      </c>
      <c r="II48" s="361" t="s">
        <v>3310</v>
      </c>
      <c r="IJ48" s="357">
        <f>VLOOKUP($C48,'[15]Prix accès'!$A:$D,4,FALSE)</f>
        <v>1055.0564263010344</v>
      </c>
      <c r="IK48" s="361" t="s">
        <v>3310</v>
      </c>
      <c r="IL48" s="357">
        <f>VLOOKUP($C48,'[15]Prix accès'!$A:$D,4,FALSE)</f>
        <v>1055.0564263010344</v>
      </c>
      <c r="IM48" s="361" t="s">
        <v>3310</v>
      </c>
      <c r="IN48" s="357">
        <f>VLOOKUP($C48,'[15]Prix accès'!$A:$D,4,FALSE)</f>
        <v>1055.0564263010344</v>
      </c>
      <c r="IO48" s="361" t="s">
        <v>3310</v>
      </c>
      <c r="IP48" s="428">
        <v>761.02430749582823</v>
      </c>
      <c r="IQ48" s="361" t="s">
        <v>3310</v>
      </c>
      <c r="IR48" s="400" t="s">
        <v>3053</v>
      </c>
      <c r="IS48" s="364" t="s">
        <v>77</v>
      </c>
      <c r="IT48" s="365">
        <v>43444</v>
      </c>
      <c r="IU48" s="371">
        <v>43466</v>
      </c>
      <c r="IV48" s="393"/>
      <c r="IW48" s="372">
        <f t="shared" si="11"/>
        <v>22</v>
      </c>
      <c r="IX48" s="373">
        <f t="shared" si="14"/>
        <v>34.592013977083099</v>
      </c>
      <c r="IY48" s="394">
        <f t="shared" si="13"/>
        <v>761.02430749582823</v>
      </c>
      <c r="IZ48" s="394"/>
      <c r="JA48" s="394"/>
    </row>
    <row r="49" spans="1:263" s="367" customFormat="1" ht="16.5" customHeight="1" x14ac:dyDescent="0.3">
      <c r="A49" s="354" t="s">
        <v>2735</v>
      </c>
      <c r="B49" s="400" t="s">
        <v>2784</v>
      </c>
      <c r="C49" s="483" t="s">
        <v>502</v>
      </c>
      <c r="D49" s="430">
        <v>1454</v>
      </c>
      <c r="E49" s="431">
        <v>71</v>
      </c>
      <c r="F49" s="431">
        <v>72</v>
      </c>
      <c r="G49" s="431">
        <v>36</v>
      </c>
      <c r="H49" s="432">
        <v>0</v>
      </c>
      <c r="I49" s="873">
        <v>1596</v>
      </c>
      <c r="J49" s="874">
        <v>36</v>
      </c>
      <c r="K49" s="827"/>
      <c r="L49" s="874">
        <v>1596</v>
      </c>
      <c r="M49" s="874">
        <v>36</v>
      </c>
      <c r="N49" s="827"/>
      <c r="O49" s="874">
        <v>1596</v>
      </c>
      <c r="P49" s="874">
        <v>36</v>
      </c>
      <c r="Q49" s="827"/>
      <c r="R49" s="874">
        <v>1596</v>
      </c>
      <c r="S49" s="874">
        <v>36</v>
      </c>
      <c r="T49" s="827"/>
      <c r="U49" s="874">
        <v>1596</v>
      </c>
      <c r="V49" s="874">
        <v>36</v>
      </c>
      <c r="W49" s="827"/>
      <c r="X49" s="874">
        <v>1596</v>
      </c>
      <c r="Y49" s="874">
        <v>36</v>
      </c>
      <c r="Z49" s="827"/>
      <c r="AA49" s="874">
        <v>1596</v>
      </c>
      <c r="AB49" s="874">
        <v>36</v>
      </c>
      <c r="AC49" s="827"/>
      <c r="AD49" s="871">
        <f>((1596-1375)/30.5)*6+1596</f>
        <v>1639.4754098360656</v>
      </c>
      <c r="AE49" s="871">
        <f>((36-14)/30.5)*6+36</f>
        <v>40.327868852459019</v>
      </c>
      <c r="AF49" s="827"/>
      <c r="AG49" s="831">
        <v>1375</v>
      </c>
      <c r="AH49" s="831">
        <f>14</f>
        <v>14</v>
      </c>
      <c r="AI49" s="827"/>
      <c r="AJ49" s="831">
        <v>1375</v>
      </c>
      <c r="AK49" s="831">
        <f>14</f>
        <v>14</v>
      </c>
      <c r="AL49" s="827"/>
      <c r="AM49" s="831">
        <v>1375</v>
      </c>
      <c r="AN49" s="831">
        <f>14</f>
        <v>14</v>
      </c>
      <c r="AO49" s="827"/>
      <c r="AP49" s="831">
        <v>1375</v>
      </c>
      <c r="AQ49" s="831">
        <f>14</f>
        <v>14</v>
      </c>
      <c r="AR49" s="827"/>
      <c r="AS49" s="831">
        <v>1375</v>
      </c>
      <c r="AT49" s="831">
        <f>14</f>
        <v>14</v>
      </c>
      <c r="AU49" s="827"/>
      <c r="AV49" s="831">
        <v>1375</v>
      </c>
      <c r="AW49" s="831">
        <f>14</f>
        <v>14</v>
      </c>
      <c r="AX49" s="827"/>
      <c r="AY49" s="831">
        <v>1375</v>
      </c>
      <c r="AZ49" s="831">
        <f>14</f>
        <v>14</v>
      </c>
      <c r="BA49" s="358"/>
      <c r="BB49" s="385">
        <v>1375</v>
      </c>
      <c r="BC49" s="385">
        <f>14</f>
        <v>14</v>
      </c>
      <c r="BD49" s="358"/>
      <c r="BE49" s="385">
        <v>1375</v>
      </c>
      <c r="BF49" s="385">
        <f>14</f>
        <v>14</v>
      </c>
      <c r="BG49" s="358"/>
      <c r="BH49" s="385">
        <v>1375</v>
      </c>
      <c r="BI49" s="385">
        <f>14</f>
        <v>14</v>
      </c>
      <c r="BJ49" s="358"/>
      <c r="BK49" s="385">
        <v>1375</v>
      </c>
      <c r="BL49" s="385">
        <f>14</f>
        <v>14</v>
      </c>
      <c r="BM49" s="358"/>
      <c r="BN49" s="385">
        <v>1375</v>
      </c>
      <c r="BO49" s="385">
        <f>14</f>
        <v>14</v>
      </c>
      <c r="BP49" s="358"/>
      <c r="BQ49" s="385">
        <v>1375</v>
      </c>
      <c r="BR49" s="385">
        <f>14</f>
        <v>14</v>
      </c>
      <c r="BS49" s="358"/>
      <c r="BT49" s="385">
        <v>1375</v>
      </c>
      <c r="BU49" s="385">
        <f>14</f>
        <v>14</v>
      </c>
      <c r="BV49" s="358"/>
      <c r="BW49" s="385">
        <v>1375</v>
      </c>
      <c r="BX49" s="385">
        <f>14</f>
        <v>14</v>
      </c>
      <c r="BY49" s="358"/>
      <c r="BZ49" s="385">
        <v>1375</v>
      </c>
      <c r="CA49" s="385">
        <f>14</f>
        <v>14</v>
      </c>
      <c r="CB49" s="358"/>
      <c r="CC49" s="385">
        <v>1375</v>
      </c>
      <c r="CD49" s="385">
        <f>14</f>
        <v>14</v>
      </c>
      <c r="CE49" s="358"/>
      <c r="CF49" s="385">
        <v>1375</v>
      </c>
      <c r="CG49" s="385">
        <f>14</f>
        <v>14</v>
      </c>
      <c r="CH49" s="358"/>
      <c r="CI49" s="385">
        <v>1375</v>
      </c>
      <c r="CJ49" s="385">
        <f>14</f>
        <v>14</v>
      </c>
      <c r="CK49" s="358"/>
      <c r="CL49" s="385">
        <v>1375</v>
      </c>
      <c r="CM49" s="385">
        <f>14</f>
        <v>14</v>
      </c>
      <c r="CN49" s="358"/>
      <c r="CO49" s="385">
        <v>1375</v>
      </c>
      <c r="CP49" s="385">
        <f>14</f>
        <v>14</v>
      </c>
      <c r="CQ49" s="358"/>
      <c r="CR49" s="385">
        <v>1375</v>
      </c>
      <c r="CS49" s="385">
        <f>14</f>
        <v>14</v>
      </c>
      <c r="CT49" s="358"/>
      <c r="CU49" s="385">
        <v>1375</v>
      </c>
      <c r="CV49" s="385">
        <f>14</f>
        <v>14</v>
      </c>
      <c r="CW49" s="358"/>
      <c r="CX49" s="385">
        <v>1375</v>
      </c>
      <c r="CY49" s="385">
        <f>14</f>
        <v>14</v>
      </c>
      <c r="CZ49" s="358"/>
      <c r="DA49" s="385">
        <v>1375</v>
      </c>
      <c r="DB49" s="385">
        <f>14</f>
        <v>14</v>
      </c>
      <c r="DC49" s="358"/>
      <c r="DD49" s="385">
        <v>1375</v>
      </c>
      <c r="DE49" s="385">
        <f>14</f>
        <v>14</v>
      </c>
      <c r="DF49" s="358"/>
      <c r="DG49" s="385">
        <v>1375</v>
      </c>
      <c r="DH49" s="385">
        <f>14</f>
        <v>14</v>
      </c>
      <c r="DI49" s="358"/>
      <c r="DJ49" s="385">
        <v>1375</v>
      </c>
      <c r="DK49" s="385">
        <f>14</f>
        <v>14</v>
      </c>
      <c r="DL49" s="358"/>
      <c r="DM49" s="385">
        <v>1375</v>
      </c>
      <c r="DN49" s="385">
        <f>14</f>
        <v>14</v>
      </c>
      <c r="DO49" s="358"/>
      <c r="DP49" s="385">
        <v>1375</v>
      </c>
      <c r="DQ49" s="385">
        <f>14</f>
        <v>14</v>
      </c>
      <c r="DR49" s="358"/>
      <c r="DS49" s="385">
        <v>1375</v>
      </c>
      <c r="DT49" s="385">
        <f>14</f>
        <v>14</v>
      </c>
      <c r="DU49" s="358"/>
      <c r="DV49" s="385">
        <v>1375</v>
      </c>
      <c r="DW49" s="385">
        <f>14</f>
        <v>14</v>
      </c>
      <c r="DX49" s="358"/>
      <c r="DY49" s="385">
        <v>1375</v>
      </c>
      <c r="DZ49" s="385">
        <f>14</f>
        <v>14</v>
      </c>
      <c r="EA49" s="358"/>
      <c r="EB49" s="385">
        <v>1375</v>
      </c>
      <c r="EC49" s="385">
        <f>14</f>
        <v>14</v>
      </c>
      <c r="ED49" s="358"/>
      <c r="EE49" s="385">
        <v>1375</v>
      </c>
      <c r="EF49" s="385">
        <f>14</f>
        <v>14</v>
      </c>
      <c r="EG49" s="358"/>
      <c r="EH49" s="385">
        <v>1375</v>
      </c>
      <c r="EI49" s="385">
        <f>14</f>
        <v>14</v>
      </c>
      <c r="EJ49" s="358"/>
      <c r="EK49" s="385">
        <v>1375</v>
      </c>
      <c r="EL49" s="385">
        <f>14</f>
        <v>14</v>
      </c>
      <c r="EM49" s="358"/>
      <c r="EN49" s="385">
        <v>1375</v>
      </c>
      <c r="EO49" s="385">
        <f>14</f>
        <v>14</v>
      </c>
      <c r="EP49" s="358"/>
      <c r="EQ49" s="385">
        <v>1375</v>
      </c>
      <c r="ER49" s="385">
        <f>14</f>
        <v>14</v>
      </c>
      <c r="ES49" s="358"/>
      <c r="ET49" s="385">
        <v>1375</v>
      </c>
      <c r="EU49" s="385">
        <f>14</f>
        <v>14</v>
      </c>
      <c r="EV49" s="358"/>
      <c r="EW49" s="385">
        <v>1375</v>
      </c>
      <c r="EX49" s="385">
        <f>14</f>
        <v>14</v>
      </c>
      <c r="EY49" s="358"/>
      <c r="EZ49" s="385">
        <v>1375</v>
      </c>
      <c r="FA49" s="385">
        <f>14</f>
        <v>14</v>
      </c>
      <c r="FB49" s="358"/>
      <c r="FC49" s="385">
        <v>1375</v>
      </c>
      <c r="FD49" s="385">
        <f>14</f>
        <v>14</v>
      </c>
      <c r="FE49" s="358"/>
      <c r="FF49" s="385">
        <v>1375</v>
      </c>
      <c r="FG49" s="385">
        <f>14</f>
        <v>14</v>
      </c>
      <c r="FH49" s="358"/>
      <c r="FI49" s="385">
        <v>1375</v>
      </c>
      <c r="FJ49" s="385">
        <f>14</f>
        <v>14</v>
      </c>
      <c r="FK49" s="358"/>
      <c r="FL49" s="385">
        <v>1375</v>
      </c>
      <c r="FM49" s="385">
        <f>14</f>
        <v>14</v>
      </c>
      <c r="FN49" s="358"/>
      <c r="FO49" s="385">
        <v>1375</v>
      </c>
      <c r="FP49" s="385">
        <f>14</f>
        <v>14</v>
      </c>
      <c r="FQ49" s="358"/>
      <c r="FR49" s="385">
        <v>1375</v>
      </c>
      <c r="FS49" s="385">
        <f>14</f>
        <v>14</v>
      </c>
      <c r="FT49" s="358"/>
      <c r="FU49" s="385">
        <v>1375</v>
      </c>
      <c r="FV49" s="385">
        <f>14</f>
        <v>14</v>
      </c>
      <c r="FW49" s="358"/>
      <c r="FX49" s="385">
        <v>1375</v>
      </c>
      <c r="FY49" s="385">
        <f>14</f>
        <v>14</v>
      </c>
      <c r="FZ49" s="358"/>
      <c r="GA49" s="385">
        <v>1375</v>
      </c>
      <c r="GB49" s="385">
        <f>14</f>
        <v>14</v>
      </c>
      <c r="GC49" s="358"/>
      <c r="GD49" s="385">
        <v>1375</v>
      </c>
      <c r="GE49" s="385">
        <f>14</f>
        <v>14</v>
      </c>
      <c r="GF49" s="358"/>
      <c r="GG49" s="385">
        <v>1375</v>
      </c>
      <c r="GH49" s="385">
        <f>14</f>
        <v>14</v>
      </c>
      <c r="GI49" s="358"/>
      <c r="GJ49" s="385">
        <v>1375</v>
      </c>
      <c r="GK49" s="385">
        <f>14</f>
        <v>14</v>
      </c>
      <c r="GL49" s="358"/>
      <c r="GM49" s="385">
        <v>1375</v>
      </c>
      <c r="GN49" s="385">
        <f>14</f>
        <v>14</v>
      </c>
      <c r="GO49" s="358"/>
      <c r="GP49" s="386">
        <v>1414.344262295082</v>
      </c>
      <c r="GQ49" s="386">
        <f>14</f>
        <v>14</v>
      </c>
      <c r="GR49" s="358"/>
      <c r="GS49" s="385">
        <v>1335.4564263010345</v>
      </c>
      <c r="GT49" s="385">
        <f>14</f>
        <v>14</v>
      </c>
      <c r="GU49" s="358"/>
      <c r="GV49" s="385">
        <v>1335.4564263010345</v>
      </c>
      <c r="GW49" s="385">
        <f>14</f>
        <v>14</v>
      </c>
      <c r="GX49" s="358"/>
      <c r="GY49" s="385">
        <v>1335.4564263010345</v>
      </c>
      <c r="GZ49" s="385">
        <f>14</f>
        <v>14</v>
      </c>
      <c r="HA49" s="358"/>
      <c r="HB49" s="385">
        <v>1335.4564263010345</v>
      </c>
      <c r="HC49" s="385">
        <f>14</f>
        <v>14</v>
      </c>
      <c r="HD49" s="358"/>
      <c r="HE49" s="387">
        <v>1335.4564263010345</v>
      </c>
      <c r="HF49" s="386">
        <f>14*6</f>
        <v>84</v>
      </c>
      <c r="HG49" s="358"/>
      <c r="HH49" s="387">
        <v>1335.4564263010345</v>
      </c>
      <c r="HI49" s="358"/>
      <c r="HJ49" s="387">
        <v>1335.4564263010345</v>
      </c>
      <c r="HK49" s="358"/>
      <c r="HL49" s="387">
        <v>1335.4564263010345</v>
      </c>
      <c r="HM49" s="358"/>
      <c r="HN49" s="387">
        <v>1335.4564263010345</v>
      </c>
      <c r="HO49" s="358"/>
      <c r="HP49" s="387">
        <v>1335.4564263010345</v>
      </c>
      <c r="HQ49" s="358"/>
      <c r="HR49" s="387">
        <v>1335.4564263010345</v>
      </c>
      <c r="HS49" s="358"/>
      <c r="HT49" s="387">
        <v>1335.4564263010345</v>
      </c>
      <c r="HU49" s="358"/>
      <c r="HV49" s="388">
        <v>1335.4564263010345</v>
      </c>
      <c r="HW49" s="358" t="s">
        <v>3310</v>
      </c>
      <c r="HX49" s="368">
        <v>1335.4564263010345</v>
      </c>
      <c r="HY49" s="358" t="s">
        <v>3310</v>
      </c>
      <c r="HZ49" s="368">
        <v>1335.4564263010345</v>
      </c>
      <c r="IA49" s="358" t="s">
        <v>3310</v>
      </c>
      <c r="IB49" s="368">
        <v>1335.4564263010345</v>
      </c>
      <c r="IC49" s="358" t="s">
        <v>3310</v>
      </c>
      <c r="ID49" s="357">
        <f>VLOOKUP($C49,'[15]Prix accès'!A:D,4,FALSE)</f>
        <v>1375</v>
      </c>
      <c r="IE49" s="361" t="s">
        <v>3310</v>
      </c>
      <c r="IF49" s="357">
        <f>VLOOKUP($C49,'[15]Prix accès'!$A:$D,4,FALSE)</f>
        <v>1375</v>
      </c>
      <c r="IG49" s="361" t="s">
        <v>3310</v>
      </c>
      <c r="IH49" s="357">
        <f>VLOOKUP($C49,'[15]Prix accès'!$A:$D,4,FALSE)</f>
        <v>1375</v>
      </c>
      <c r="II49" s="361" t="s">
        <v>3310</v>
      </c>
      <c r="IJ49" s="357">
        <f>VLOOKUP($C49,'[15]Prix accès'!$A:$D,4,FALSE)</f>
        <v>1375</v>
      </c>
      <c r="IK49" s="361" t="s">
        <v>3310</v>
      </c>
      <c r="IL49" s="357">
        <f>VLOOKUP($C49,'[15]Prix accès'!$A:$D,4,FALSE)</f>
        <v>1375</v>
      </c>
      <c r="IM49" s="361" t="s">
        <v>3310</v>
      </c>
      <c r="IN49" s="357">
        <f>VLOOKUP($C49,'[15]Prix accès'!$A:$D,4,FALSE)</f>
        <v>1375</v>
      </c>
      <c r="IO49" s="361" t="s">
        <v>3310</v>
      </c>
      <c r="IP49" s="428">
        <v>919.49458860071229</v>
      </c>
      <c r="IQ49" s="361" t="s">
        <v>3310</v>
      </c>
      <c r="IR49" s="400" t="s">
        <v>2944</v>
      </c>
      <c r="IS49" s="364" t="s">
        <v>77</v>
      </c>
      <c r="IT49" s="365">
        <v>43445</v>
      </c>
      <c r="IU49" s="371">
        <v>43466</v>
      </c>
      <c r="IV49" s="485">
        <v>44106</v>
      </c>
      <c r="IW49" s="372">
        <f t="shared" si="11"/>
        <v>21</v>
      </c>
      <c r="IX49" s="373">
        <f t="shared" si="14"/>
        <v>45.081967213114751</v>
      </c>
      <c r="IY49" s="394">
        <f t="shared" si="13"/>
        <v>946.72131147540972</v>
      </c>
      <c r="IZ49" s="394"/>
      <c r="JA49" s="394"/>
    </row>
    <row r="50" spans="1:263" s="367" customFormat="1" ht="16.5" customHeight="1" x14ac:dyDescent="0.3">
      <c r="A50" s="354" t="s">
        <v>2735</v>
      </c>
      <c r="B50" s="411" t="s">
        <v>2784</v>
      </c>
      <c r="C50" s="436" t="s">
        <v>697</v>
      </c>
      <c r="D50" s="437">
        <v>1454</v>
      </c>
      <c r="E50" s="412">
        <v>165</v>
      </c>
      <c r="F50" s="412">
        <v>16</v>
      </c>
      <c r="G50" s="412">
        <v>36</v>
      </c>
      <c r="H50" s="438"/>
      <c r="I50" s="830">
        <v>1634.8564263010346</v>
      </c>
      <c r="J50" s="831">
        <f>36</f>
        <v>36</v>
      </c>
      <c r="K50" s="827"/>
      <c r="L50" s="831">
        <v>1634.8564263010346</v>
      </c>
      <c r="M50" s="831">
        <f>36</f>
        <v>36</v>
      </c>
      <c r="N50" s="827"/>
      <c r="O50" s="831">
        <v>1634.8564263010346</v>
      </c>
      <c r="P50" s="831">
        <f>36</f>
        <v>36</v>
      </c>
      <c r="Q50" s="827"/>
      <c r="R50" s="831">
        <v>1634.8564263010346</v>
      </c>
      <c r="S50" s="831">
        <f>36</f>
        <v>36</v>
      </c>
      <c r="T50" s="827"/>
      <c r="U50" s="831">
        <v>1634.8564263010346</v>
      </c>
      <c r="V50" s="831">
        <f>36</f>
        <v>36</v>
      </c>
      <c r="W50" s="827"/>
      <c r="X50" s="831">
        <v>1634.8564263010346</v>
      </c>
      <c r="Y50" s="831">
        <f>36</f>
        <v>36</v>
      </c>
      <c r="Z50" s="827"/>
      <c r="AA50" s="831">
        <v>1634.8564263010346</v>
      </c>
      <c r="AB50" s="831">
        <f>36</f>
        <v>36</v>
      </c>
      <c r="AC50" s="827"/>
      <c r="AD50" s="831">
        <v>1634.8564263010346</v>
      </c>
      <c r="AE50" s="831">
        <f>36</f>
        <v>36</v>
      </c>
      <c r="AF50" s="827"/>
      <c r="AG50" s="831">
        <v>1634.8564263010346</v>
      </c>
      <c r="AH50" s="831">
        <f>36</f>
        <v>36</v>
      </c>
      <c r="AI50" s="827"/>
      <c r="AJ50" s="831">
        <v>1634.8564263010346</v>
      </c>
      <c r="AK50" s="831">
        <f>36</f>
        <v>36</v>
      </c>
      <c r="AL50" s="827"/>
      <c r="AM50" s="831">
        <v>1634.8564263010346</v>
      </c>
      <c r="AN50" s="831">
        <f>36</f>
        <v>36</v>
      </c>
      <c r="AO50" s="827"/>
      <c r="AP50" s="831">
        <v>1634.8564263010346</v>
      </c>
      <c r="AQ50" s="831">
        <f>36</f>
        <v>36</v>
      </c>
      <c r="AR50" s="827"/>
      <c r="AS50" s="831">
        <v>1634.8564263010346</v>
      </c>
      <c r="AT50" s="831">
        <f>36</f>
        <v>36</v>
      </c>
      <c r="AU50" s="827"/>
      <c r="AV50" s="831">
        <v>1634.8564263010346</v>
      </c>
      <c r="AW50" s="831">
        <f>36</f>
        <v>36</v>
      </c>
      <c r="AX50" s="827"/>
      <c r="AY50" s="831">
        <v>1634.8564263010346</v>
      </c>
      <c r="AZ50" s="831">
        <f>36</f>
        <v>36</v>
      </c>
      <c r="BA50" s="358"/>
      <c r="BB50" s="385">
        <v>1634.8564263010346</v>
      </c>
      <c r="BC50" s="385">
        <f>36</f>
        <v>36</v>
      </c>
      <c r="BD50" s="358"/>
      <c r="BE50" s="385">
        <v>1634.8564263010346</v>
      </c>
      <c r="BF50" s="385">
        <f>36</f>
        <v>36</v>
      </c>
      <c r="BG50" s="358"/>
      <c r="BH50" s="385">
        <v>1634.8564263010346</v>
      </c>
      <c r="BI50" s="385">
        <f>36</f>
        <v>36</v>
      </c>
      <c r="BJ50" s="358"/>
      <c r="BK50" s="385">
        <v>1634.8564263010346</v>
      </c>
      <c r="BL50" s="385">
        <f>36</f>
        <v>36</v>
      </c>
      <c r="BM50" s="358"/>
      <c r="BN50" s="385">
        <v>1634.8564263010346</v>
      </c>
      <c r="BO50" s="385">
        <f>36</f>
        <v>36</v>
      </c>
      <c r="BP50" s="358"/>
      <c r="BQ50" s="385">
        <v>1634.8564263010346</v>
      </c>
      <c r="BR50" s="385">
        <f>36</f>
        <v>36</v>
      </c>
      <c r="BS50" s="358"/>
      <c r="BT50" s="385">
        <v>1634.8564263010346</v>
      </c>
      <c r="BU50" s="385">
        <f>36</f>
        <v>36</v>
      </c>
      <c r="BV50" s="358"/>
      <c r="BW50" s="385">
        <v>1634.8564263010346</v>
      </c>
      <c r="BX50" s="385">
        <f>36</f>
        <v>36</v>
      </c>
      <c r="BY50" s="358"/>
      <c r="BZ50" s="385">
        <v>1634.8564263010346</v>
      </c>
      <c r="CA50" s="385">
        <f>36</f>
        <v>36</v>
      </c>
      <c r="CB50" s="358"/>
      <c r="CC50" s="385">
        <v>1634.8564263010346</v>
      </c>
      <c r="CD50" s="385">
        <f>36</f>
        <v>36</v>
      </c>
      <c r="CE50" s="358"/>
      <c r="CF50" s="385">
        <v>1634.8564263010346</v>
      </c>
      <c r="CG50" s="385">
        <f>36</f>
        <v>36</v>
      </c>
      <c r="CH50" s="358"/>
      <c r="CI50" s="385">
        <v>1634.8564263010346</v>
      </c>
      <c r="CJ50" s="385">
        <f>36</f>
        <v>36</v>
      </c>
      <c r="CK50" s="358"/>
      <c r="CL50" s="385">
        <v>1634.8564263010346</v>
      </c>
      <c r="CM50" s="385">
        <f>36</f>
        <v>36</v>
      </c>
      <c r="CN50" s="358"/>
      <c r="CO50" s="385">
        <v>1634.8564263010346</v>
      </c>
      <c r="CP50" s="385">
        <f>36</f>
        <v>36</v>
      </c>
      <c r="CQ50" s="358"/>
      <c r="CR50" s="385">
        <v>1634.8564263010346</v>
      </c>
      <c r="CS50" s="385">
        <f>36</f>
        <v>36</v>
      </c>
      <c r="CT50" s="358"/>
      <c r="CU50" s="385">
        <v>1634.8564263010346</v>
      </c>
      <c r="CV50" s="385">
        <f>36</f>
        <v>36</v>
      </c>
      <c r="CW50" s="358"/>
      <c r="CX50" s="385">
        <v>1634.8564263010346</v>
      </c>
      <c r="CY50" s="385">
        <f>36</f>
        <v>36</v>
      </c>
      <c r="CZ50" s="358"/>
      <c r="DA50" s="385">
        <v>1634.8564263010346</v>
      </c>
      <c r="DB50" s="385">
        <f>36</f>
        <v>36</v>
      </c>
      <c r="DC50" s="358"/>
      <c r="DD50" s="385">
        <v>1634.8564263010346</v>
      </c>
      <c r="DE50" s="385">
        <f>36</f>
        <v>36</v>
      </c>
      <c r="DF50" s="358"/>
      <c r="DG50" s="385">
        <v>1634.8564263010346</v>
      </c>
      <c r="DH50" s="385">
        <f>36</f>
        <v>36</v>
      </c>
      <c r="DI50" s="358"/>
      <c r="DJ50" s="385">
        <v>1634.8564263010346</v>
      </c>
      <c r="DK50" s="385">
        <f>36</f>
        <v>36</v>
      </c>
      <c r="DL50" s="358"/>
      <c r="DM50" s="385">
        <v>1634.8564263010346</v>
      </c>
      <c r="DN50" s="385">
        <f>36</f>
        <v>36</v>
      </c>
      <c r="DO50" s="358"/>
      <c r="DP50" s="385">
        <v>1634.8564263010346</v>
      </c>
      <c r="DQ50" s="385">
        <f>36</f>
        <v>36</v>
      </c>
      <c r="DR50" s="358"/>
      <c r="DS50" s="385">
        <v>1634.8564263010346</v>
      </c>
      <c r="DT50" s="385">
        <f>36</f>
        <v>36</v>
      </c>
      <c r="DU50" s="358"/>
      <c r="DV50" s="385">
        <v>1634.8564263010346</v>
      </c>
      <c r="DW50" s="385">
        <f>36</f>
        <v>36</v>
      </c>
      <c r="DX50" s="358"/>
      <c r="DY50" s="385">
        <v>1634.8564263010346</v>
      </c>
      <c r="DZ50" s="385">
        <f>36</f>
        <v>36</v>
      </c>
      <c r="EA50" s="358"/>
      <c r="EB50" s="385">
        <v>1634.8564263010346</v>
      </c>
      <c r="EC50" s="385">
        <f>36</f>
        <v>36</v>
      </c>
      <c r="ED50" s="358"/>
      <c r="EE50" s="385">
        <v>1634.8564263010346</v>
      </c>
      <c r="EF50" s="385">
        <f>36</f>
        <v>36</v>
      </c>
      <c r="EG50" s="358"/>
      <c r="EH50" s="385">
        <v>1634.8564263010346</v>
      </c>
      <c r="EI50" s="385">
        <f>36</f>
        <v>36</v>
      </c>
      <c r="EJ50" s="358"/>
      <c r="EK50" s="385">
        <v>1634.8564263010346</v>
      </c>
      <c r="EL50" s="385">
        <f>36</f>
        <v>36</v>
      </c>
      <c r="EM50" s="358"/>
      <c r="EN50" s="385">
        <v>1634.8564263010346</v>
      </c>
      <c r="EO50" s="385">
        <f>36</f>
        <v>36</v>
      </c>
      <c r="EP50" s="358"/>
      <c r="EQ50" s="385">
        <v>1634.8564263010346</v>
      </c>
      <c r="ER50" s="385">
        <f>36</f>
        <v>36</v>
      </c>
      <c r="ES50" s="358"/>
      <c r="ET50" s="385">
        <v>1634.8564263010346</v>
      </c>
      <c r="EU50" s="385">
        <f>36</f>
        <v>36</v>
      </c>
      <c r="EV50" s="358"/>
      <c r="EW50" s="385">
        <v>1634.8564263010346</v>
      </c>
      <c r="EX50" s="385">
        <f>36</f>
        <v>36</v>
      </c>
      <c r="EY50" s="358"/>
      <c r="EZ50" s="385">
        <v>1634.8564263010346</v>
      </c>
      <c r="FA50" s="385">
        <f>36</f>
        <v>36</v>
      </c>
      <c r="FB50" s="358"/>
      <c r="FC50" s="385">
        <v>1634.8564263010346</v>
      </c>
      <c r="FD50" s="385">
        <f>36</f>
        <v>36</v>
      </c>
      <c r="FE50" s="358"/>
      <c r="FF50" s="385">
        <v>1634.8564263010346</v>
      </c>
      <c r="FG50" s="385">
        <f>36</f>
        <v>36</v>
      </c>
      <c r="FH50" s="358"/>
      <c r="FI50" s="385">
        <v>1634.8564263010346</v>
      </c>
      <c r="FJ50" s="385">
        <f>36</f>
        <v>36</v>
      </c>
      <c r="FK50" s="358"/>
      <c r="FL50" s="385">
        <v>1634.8564263010346</v>
      </c>
      <c r="FM50" s="385">
        <f>36</f>
        <v>36</v>
      </c>
      <c r="FN50" s="358"/>
      <c r="FO50" s="385">
        <v>1634.8564263010346</v>
      </c>
      <c r="FP50" s="385">
        <f>36</f>
        <v>36</v>
      </c>
      <c r="FQ50" s="358"/>
      <c r="FR50" s="385">
        <v>1634.8564263010346</v>
      </c>
      <c r="FS50" s="385">
        <f>36</f>
        <v>36</v>
      </c>
      <c r="FT50" s="358"/>
      <c r="FU50" s="385">
        <v>1634.8564263010346</v>
      </c>
      <c r="FV50" s="385">
        <f>36</f>
        <v>36</v>
      </c>
      <c r="FW50" s="358"/>
      <c r="FX50" s="385">
        <v>1634.8564263010346</v>
      </c>
      <c r="FY50" s="385">
        <f>36</f>
        <v>36</v>
      </c>
      <c r="FZ50" s="358"/>
      <c r="GA50" s="385">
        <v>1634.8564263010346</v>
      </c>
      <c r="GB50" s="385">
        <f>36</f>
        <v>36</v>
      </c>
      <c r="GC50" s="358"/>
      <c r="GD50" s="385">
        <v>1634.8564263010346</v>
      </c>
      <c r="GE50" s="385">
        <f>36</f>
        <v>36</v>
      </c>
      <c r="GF50" s="358"/>
      <c r="GG50" s="385">
        <v>1634.8564263010346</v>
      </c>
      <c r="GH50" s="385">
        <f>36</f>
        <v>36</v>
      </c>
      <c r="GI50" s="358"/>
      <c r="GJ50" s="385">
        <v>1634.8564263010346</v>
      </c>
      <c r="GK50" s="385">
        <f>36</f>
        <v>36</v>
      </c>
      <c r="GL50" s="358"/>
      <c r="GM50" s="385">
        <v>1634.8564263010346</v>
      </c>
      <c r="GN50" s="385">
        <f>36</f>
        <v>36</v>
      </c>
      <c r="GO50" s="358"/>
      <c r="GP50" s="385">
        <v>1634.8564263010346</v>
      </c>
      <c r="GQ50" s="385">
        <f>36</f>
        <v>36</v>
      </c>
      <c r="GR50" s="358"/>
      <c r="GS50" s="385">
        <v>1634.8564263010346</v>
      </c>
      <c r="GT50" s="385">
        <f>36</f>
        <v>36</v>
      </c>
      <c r="GU50" s="358"/>
      <c r="GV50" s="385">
        <v>1634.8564263010346</v>
      </c>
      <c r="GW50" s="385">
        <f>36</f>
        <v>36</v>
      </c>
      <c r="GX50" s="358"/>
      <c r="GY50" s="385">
        <v>1634.8564263010346</v>
      </c>
      <c r="GZ50" s="385">
        <f>36</f>
        <v>36</v>
      </c>
      <c r="HA50" s="358"/>
      <c r="HB50" s="385">
        <v>1634.8564263010346</v>
      </c>
      <c r="HC50" s="385">
        <f>36</f>
        <v>36</v>
      </c>
      <c r="HD50" s="358"/>
      <c r="HE50" s="387">
        <v>1634.8564263010346</v>
      </c>
      <c r="HF50" s="386">
        <f>36*6</f>
        <v>216</v>
      </c>
      <c r="HG50" s="370">
        <v>0</v>
      </c>
      <c r="HH50" s="387">
        <v>1634.8564263010346</v>
      </c>
      <c r="HI50" s="369">
        <v>65.615106286748087</v>
      </c>
      <c r="HJ50" s="387">
        <v>1634.8564263010346</v>
      </c>
      <c r="HK50" s="369">
        <v>65.615106286748087</v>
      </c>
      <c r="HL50" s="387">
        <v>1634.8564263010346</v>
      </c>
      <c r="HM50" s="369">
        <v>65.615106286748087</v>
      </c>
      <c r="HN50" s="387">
        <v>1634.8564263010346</v>
      </c>
      <c r="HO50" s="369">
        <v>65.615106286748087</v>
      </c>
      <c r="HP50" s="387">
        <v>1634.8564263010346</v>
      </c>
      <c r="HQ50" s="369">
        <v>65.615106286748087</v>
      </c>
      <c r="HR50" s="387">
        <v>1634.8564263010346</v>
      </c>
      <c r="HS50" s="369">
        <v>65.615106286748087</v>
      </c>
      <c r="HT50" s="387">
        <v>1634.8564263010346</v>
      </c>
      <c r="HU50" s="369">
        <v>65.615106286748087</v>
      </c>
      <c r="HV50" s="388">
        <v>1634.8564263010346</v>
      </c>
      <c r="HW50" s="369">
        <v>65.615106286748087</v>
      </c>
      <c r="HX50" s="388">
        <f>VLOOKUP(C50,'[15]Prix accès'!A:D,4,FALSE)-JC50</f>
        <v>1634.8564263010346</v>
      </c>
      <c r="HY50" s="368">
        <v>65.615106286748087</v>
      </c>
      <c r="HZ50" s="368">
        <v>1700.4715325877828</v>
      </c>
      <c r="IA50" s="368">
        <v>65.615106286748087</v>
      </c>
      <c r="IB50" s="368">
        <v>1700.4715325877828</v>
      </c>
      <c r="IC50" s="368">
        <v>65.615106286748087</v>
      </c>
      <c r="ID50" s="357">
        <f>VLOOKUP($C50,'[15]Prix accès'!A:D,4,FALSE)</f>
        <v>1634.8564263010346</v>
      </c>
      <c r="IE50" s="407">
        <v>65.615106286748087</v>
      </c>
      <c r="IF50" s="357">
        <f>VLOOKUP($C50,'[15]Prix accès'!$A:$D,4,FALSE)</f>
        <v>1634.8564263010346</v>
      </c>
      <c r="IG50" s="407">
        <v>65.615106286748087</v>
      </c>
      <c r="IH50" s="357">
        <f>VLOOKUP($C50,'[15]Prix accès'!$A:$D,4,FALSE)</f>
        <v>1634.8564263010346</v>
      </c>
      <c r="II50" s="407">
        <v>65.615106286748087</v>
      </c>
      <c r="IJ50" s="357">
        <f>VLOOKUP($C50,'[15]Prix accès'!$A:$D,4,FALSE)</f>
        <v>1634.8564263010346</v>
      </c>
      <c r="IK50" s="407">
        <v>65.615106286748087</v>
      </c>
      <c r="IL50" s="357">
        <f>VLOOKUP($C50,'[15]Prix accès'!$A:$D,4,FALSE)</f>
        <v>1634.8564263010346</v>
      </c>
      <c r="IM50" s="407">
        <v>65.615106286748087</v>
      </c>
      <c r="IN50" s="357">
        <f>VLOOKUP($C50,'[15]Prix accès'!$A:$D,4,FALSE)</f>
        <v>1634.8564263010346</v>
      </c>
      <c r="IO50" s="407">
        <v>65.615106286748087</v>
      </c>
      <c r="IP50" s="428">
        <v>1059.3101350546845</v>
      </c>
      <c r="IQ50" s="409">
        <v>40.215710304781084</v>
      </c>
      <c r="IR50" s="400" t="s">
        <v>2955</v>
      </c>
      <c r="IS50" s="364" t="s">
        <v>77</v>
      </c>
      <c r="IT50" s="365">
        <v>43447</v>
      </c>
      <c r="IU50" s="371">
        <v>43466</v>
      </c>
      <c r="IV50" s="393"/>
      <c r="IW50" s="372">
        <f t="shared" si="11"/>
        <v>19</v>
      </c>
      <c r="IX50" s="373">
        <f t="shared" si="14"/>
        <v>53.601850042656871</v>
      </c>
      <c r="IY50" s="394">
        <f t="shared" si="13"/>
        <v>1018.4351508104805</v>
      </c>
      <c r="IZ50" s="394"/>
      <c r="JA50" s="460"/>
      <c r="JC50" s="461"/>
    </row>
    <row r="51" spans="1:263" s="367" customFormat="1" ht="16.5" customHeight="1" x14ac:dyDescent="0.3">
      <c r="A51" s="354" t="s">
        <v>2735</v>
      </c>
      <c r="B51" s="415" t="s">
        <v>2748</v>
      </c>
      <c r="C51" s="447" t="s">
        <v>557</v>
      </c>
      <c r="D51" s="448">
        <v>1149</v>
      </c>
      <c r="E51" s="449">
        <v>44</v>
      </c>
      <c r="F51" s="449">
        <v>32</v>
      </c>
      <c r="G51" s="449">
        <v>5</v>
      </c>
      <c r="H51" s="450">
        <v>0</v>
      </c>
      <c r="I51" s="830">
        <v>1225</v>
      </c>
      <c r="J51" s="831">
        <f>5</f>
        <v>5</v>
      </c>
      <c r="K51" s="827"/>
      <c r="L51" s="831">
        <v>1225</v>
      </c>
      <c r="M51" s="831">
        <f>5</f>
        <v>5</v>
      </c>
      <c r="N51" s="827"/>
      <c r="O51" s="831">
        <v>1225</v>
      </c>
      <c r="P51" s="831">
        <f>5</f>
        <v>5</v>
      </c>
      <c r="Q51" s="827"/>
      <c r="R51" s="831">
        <v>1225</v>
      </c>
      <c r="S51" s="831">
        <f>5</f>
        <v>5</v>
      </c>
      <c r="T51" s="827"/>
      <c r="U51" s="831">
        <v>1225</v>
      </c>
      <c r="V51" s="831">
        <f>5</f>
        <v>5</v>
      </c>
      <c r="W51" s="827"/>
      <c r="X51" s="831">
        <v>1225</v>
      </c>
      <c r="Y51" s="831">
        <f>5</f>
        <v>5</v>
      </c>
      <c r="Z51" s="827"/>
      <c r="AA51" s="831">
        <v>1225</v>
      </c>
      <c r="AB51" s="831">
        <f>5</f>
        <v>5</v>
      </c>
      <c r="AC51" s="827"/>
      <c r="AD51" s="831">
        <v>1225</v>
      </c>
      <c r="AE51" s="831">
        <f>5</f>
        <v>5</v>
      </c>
      <c r="AF51" s="827"/>
      <c r="AG51" s="831">
        <v>1225</v>
      </c>
      <c r="AH51" s="831">
        <f>5</f>
        <v>5</v>
      </c>
      <c r="AI51" s="827"/>
      <c r="AJ51" s="831">
        <v>1225</v>
      </c>
      <c r="AK51" s="831">
        <f>5</f>
        <v>5</v>
      </c>
      <c r="AL51" s="827"/>
      <c r="AM51" s="831">
        <v>1225</v>
      </c>
      <c r="AN51" s="831">
        <f>5</f>
        <v>5</v>
      </c>
      <c r="AO51" s="827"/>
      <c r="AP51" s="831">
        <v>1225</v>
      </c>
      <c r="AQ51" s="831">
        <f>5</f>
        <v>5</v>
      </c>
      <c r="AR51" s="827"/>
      <c r="AS51" s="831">
        <v>1225</v>
      </c>
      <c r="AT51" s="831">
        <f>5</f>
        <v>5</v>
      </c>
      <c r="AU51" s="827"/>
      <c r="AV51" s="831">
        <v>1225</v>
      </c>
      <c r="AW51" s="831">
        <f>5</f>
        <v>5</v>
      </c>
      <c r="AX51" s="827"/>
      <c r="AY51" s="831">
        <v>1225</v>
      </c>
      <c r="AZ51" s="831">
        <f>5</f>
        <v>5</v>
      </c>
      <c r="BA51" s="358"/>
      <c r="BB51" s="385">
        <v>1225</v>
      </c>
      <c r="BC51" s="385">
        <f>5</f>
        <v>5</v>
      </c>
      <c r="BD51" s="358"/>
      <c r="BE51" s="385">
        <v>1225</v>
      </c>
      <c r="BF51" s="385">
        <f>5</f>
        <v>5</v>
      </c>
      <c r="BG51" s="358"/>
      <c r="BH51" s="385">
        <v>1225</v>
      </c>
      <c r="BI51" s="385">
        <f>5</f>
        <v>5</v>
      </c>
      <c r="BJ51" s="369"/>
      <c r="BK51" s="385">
        <v>1225</v>
      </c>
      <c r="BL51" s="385">
        <f>5</f>
        <v>5</v>
      </c>
      <c r="BM51" s="369"/>
      <c r="BN51" s="385">
        <v>1225</v>
      </c>
      <c r="BO51" s="385">
        <f>5</f>
        <v>5</v>
      </c>
      <c r="BP51" s="369"/>
      <c r="BQ51" s="385">
        <v>1225</v>
      </c>
      <c r="BR51" s="385">
        <f>5</f>
        <v>5</v>
      </c>
      <c r="BS51" s="369"/>
      <c r="BT51" s="385">
        <v>1225</v>
      </c>
      <c r="BU51" s="385">
        <f>5</f>
        <v>5</v>
      </c>
      <c r="BV51" s="369"/>
      <c r="BW51" s="385">
        <v>1225</v>
      </c>
      <c r="BX51" s="385">
        <f>5</f>
        <v>5</v>
      </c>
      <c r="BY51" s="369"/>
      <c r="BZ51" s="385">
        <v>1225</v>
      </c>
      <c r="CA51" s="385">
        <f>5</f>
        <v>5</v>
      </c>
      <c r="CB51" s="369"/>
      <c r="CC51" s="385">
        <v>1225</v>
      </c>
      <c r="CD51" s="385">
        <f>5</f>
        <v>5</v>
      </c>
      <c r="CE51" s="369"/>
      <c r="CF51" s="385">
        <v>1225</v>
      </c>
      <c r="CG51" s="385">
        <f>5</f>
        <v>5</v>
      </c>
      <c r="CH51" s="369"/>
      <c r="CI51" s="385">
        <v>1225</v>
      </c>
      <c r="CJ51" s="385">
        <f>5</f>
        <v>5</v>
      </c>
      <c r="CK51" s="369"/>
      <c r="CL51" s="385">
        <v>1225</v>
      </c>
      <c r="CM51" s="385">
        <f>5</f>
        <v>5</v>
      </c>
      <c r="CN51" s="369"/>
      <c r="CO51" s="385">
        <v>1225</v>
      </c>
      <c r="CP51" s="385">
        <f>5</f>
        <v>5</v>
      </c>
      <c r="CQ51" s="369"/>
      <c r="CR51" s="385">
        <v>1225</v>
      </c>
      <c r="CS51" s="385">
        <f>5</f>
        <v>5</v>
      </c>
      <c r="CT51" s="369"/>
      <c r="CU51" s="385">
        <v>1225</v>
      </c>
      <c r="CV51" s="385">
        <f>5</f>
        <v>5</v>
      </c>
      <c r="CW51" s="369"/>
      <c r="CX51" s="385">
        <v>1225</v>
      </c>
      <c r="CY51" s="385">
        <f>5</f>
        <v>5</v>
      </c>
      <c r="CZ51" s="369"/>
      <c r="DA51" s="385">
        <v>1225</v>
      </c>
      <c r="DB51" s="385">
        <f>5</f>
        <v>5</v>
      </c>
      <c r="DC51" s="369"/>
      <c r="DD51" s="386">
        <f>((1225-1055)/30.5)*24+1225</f>
        <v>1358.7704918032787</v>
      </c>
      <c r="DE51" s="386">
        <f>5</f>
        <v>5</v>
      </c>
      <c r="DF51" s="370"/>
      <c r="DG51" s="385">
        <v>1055.0564263010344</v>
      </c>
      <c r="DH51" s="385">
        <f>5</f>
        <v>5</v>
      </c>
      <c r="DI51" s="358"/>
      <c r="DJ51" s="385">
        <v>1055.0564263010344</v>
      </c>
      <c r="DK51" s="385">
        <f>5</f>
        <v>5</v>
      </c>
      <c r="DL51" s="358"/>
      <c r="DM51" s="385">
        <v>1055.0564263010344</v>
      </c>
      <c r="DN51" s="385">
        <f>5</f>
        <v>5</v>
      </c>
      <c r="DO51" s="358"/>
      <c r="DP51" s="385">
        <v>1055.0564263010344</v>
      </c>
      <c r="DQ51" s="385">
        <f>5</f>
        <v>5</v>
      </c>
      <c r="DR51" s="358"/>
      <c r="DS51" s="385">
        <v>1055.0564263010344</v>
      </c>
      <c r="DT51" s="385">
        <f>5</f>
        <v>5</v>
      </c>
      <c r="DU51" s="358"/>
      <c r="DV51" s="385">
        <v>1055.0564263010344</v>
      </c>
      <c r="DW51" s="385">
        <f>5</f>
        <v>5</v>
      </c>
      <c r="DX51" s="358"/>
      <c r="DY51" s="385">
        <v>1055.0564263010344</v>
      </c>
      <c r="DZ51" s="385">
        <f>5</f>
        <v>5</v>
      </c>
      <c r="EA51" s="358"/>
      <c r="EB51" s="385">
        <v>1055.0564263010344</v>
      </c>
      <c r="EC51" s="385">
        <f>5</f>
        <v>5</v>
      </c>
      <c r="ED51" s="358"/>
      <c r="EE51" s="385">
        <v>1055.0564263010344</v>
      </c>
      <c r="EF51" s="385">
        <f>5</f>
        <v>5</v>
      </c>
      <c r="EG51" s="358"/>
      <c r="EH51" s="385">
        <v>1055.0564263010344</v>
      </c>
      <c r="EI51" s="385">
        <f>5</f>
        <v>5</v>
      </c>
      <c r="EJ51" s="358"/>
      <c r="EK51" s="385">
        <v>1055.0564263010344</v>
      </c>
      <c r="EL51" s="385">
        <f>5</f>
        <v>5</v>
      </c>
      <c r="EM51" s="358"/>
      <c r="EN51" s="385">
        <v>1055.0564263010344</v>
      </c>
      <c r="EO51" s="385">
        <f>5</f>
        <v>5</v>
      </c>
      <c r="EP51" s="358"/>
      <c r="EQ51" s="385">
        <v>1055.0564263010344</v>
      </c>
      <c r="ER51" s="385">
        <f>5</f>
        <v>5</v>
      </c>
      <c r="ES51" s="358"/>
      <c r="ET51" s="385">
        <v>1055.0564263010344</v>
      </c>
      <c r="EU51" s="385">
        <f>5</f>
        <v>5</v>
      </c>
      <c r="EV51" s="358"/>
      <c r="EW51" s="385">
        <v>1055.0564263010344</v>
      </c>
      <c r="EX51" s="385">
        <f>5</f>
        <v>5</v>
      </c>
      <c r="EY51" s="358"/>
      <c r="EZ51" s="385">
        <v>1055.0564263010344</v>
      </c>
      <c r="FA51" s="385">
        <f>5</f>
        <v>5</v>
      </c>
      <c r="FB51" s="358"/>
      <c r="FC51" s="385">
        <v>1055.0564263010344</v>
      </c>
      <c r="FD51" s="385">
        <f>5</f>
        <v>5</v>
      </c>
      <c r="FE51" s="358"/>
      <c r="FF51" s="385">
        <v>1055.0564263010344</v>
      </c>
      <c r="FG51" s="385">
        <f>5</f>
        <v>5</v>
      </c>
      <c r="FH51" s="358"/>
      <c r="FI51" s="385">
        <v>1055.0564263010344</v>
      </c>
      <c r="FJ51" s="385">
        <f>5</f>
        <v>5</v>
      </c>
      <c r="FK51" s="358"/>
      <c r="FL51" s="385">
        <v>1055.0564263010344</v>
      </c>
      <c r="FM51" s="385">
        <f>5</f>
        <v>5</v>
      </c>
      <c r="FN51" s="358"/>
      <c r="FO51" s="385">
        <v>1055.0564263010344</v>
      </c>
      <c r="FP51" s="385">
        <f>5</f>
        <v>5</v>
      </c>
      <c r="FQ51" s="358"/>
      <c r="FR51" s="385">
        <v>1055.0564263010344</v>
      </c>
      <c r="FS51" s="385">
        <f>5</f>
        <v>5</v>
      </c>
      <c r="FT51" s="358"/>
      <c r="FU51" s="385">
        <v>1055.0564263010344</v>
      </c>
      <c r="FV51" s="385">
        <f>5</f>
        <v>5</v>
      </c>
      <c r="FW51" s="358"/>
      <c r="FX51" s="385">
        <v>1055.0564263010344</v>
      </c>
      <c r="FY51" s="385">
        <f>5</f>
        <v>5</v>
      </c>
      <c r="FZ51" s="358"/>
      <c r="GA51" s="385">
        <v>1055.0564263010344</v>
      </c>
      <c r="GB51" s="385">
        <f>5</f>
        <v>5</v>
      </c>
      <c r="GC51" s="358"/>
      <c r="GD51" s="385">
        <v>1055.0564263010344</v>
      </c>
      <c r="GE51" s="385">
        <f>5</f>
        <v>5</v>
      </c>
      <c r="GF51" s="358"/>
      <c r="GG51" s="385">
        <v>1055.0564263010344</v>
      </c>
      <c r="GH51" s="385">
        <f>5</f>
        <v>5</v>
      </c>
      <c r="GI51" s="358"/>
      <c r="GJ51" s="385">
        <v>1055.0564263010344</v>
      </c>
      <c r="GK51" s="385">
        <f>5</f>
        <v>5</v>
      </c>
      <c r="GL51" s="358"/>
      <c r="GM51" s="385">
        <v>1055.0564263010344</v>
      </c>
      <c r="GN51" s="385">
        <f>5</f>
        <v>5</v>
      </c>
      <c r="GO51" s="358"/>
      <c r="GP51" s="385">
        <v>1055.0564263010344</v>
      </c>
      <c r="GQ51" s="385">
        <f>5</f>
        <v>5</v>
      </c>
      <c r="GR51" s="358"/>
      <c r="GS51" s="385">
        <v>1055.0564263010344</v>
      </c>
      <c r="GT51" s="385">
        <f>5</f>
        <v>5</v>
      </c>
      <c r="GU51" s="358"/>
      <c r="GV51" s="385">
        <v>1055.0564263010344</v>
      </c>
      <c r="GW51" s="385">
        <f>5</f>
        <v>5</v>
      </c>
      <c r="GX51" s="358"/>
      <c r="GY51" s="385">
        <v>1055.0564263010344</v>
      </c>
      <c r="GZ51" s="385">
        <f>5</f>
        <v>5</v>
      </c>
      <c r="HA51" s="358"/>
      <c r="HB51" s="385">
        <v>1055.0564263010344</v>
      </c>
      <c r="HC51" s="385">
        <f>5</f>
        <v>5</v>
      </c>
      <c r="HD51" s="358"/>
      <c r="HE51" s="387">
        <v>1055.0564263010344</v>
      </c>
      <c r="HF51" s="386">
        <f t="shared" ref="HF51:HF56" si="15">5*6</f>
        <v>30</v>
      </c>
      <c r="HG51" s="358"/>
      <c r="HH51" s="387">
        <v>1055.0564263010344</v>
      </c>
      <c r="HI51" s="358"/>
      <c r="HJ51" s="387">
        <v>1055.0564263010344</v>
      </c>
      <c r="HK51" s="358"/>
      <c r="HL51" s="387">
        <v>1055.0564263010344</v>
      </c>
      <c r="HM51" s="358"/>
      <c r="HN51" s="387">
        <v>1055.0564263010344</v>
      </c>
      <c r="HO51" s="358"/>
      <c r="HP51" s="387">
        <v>1055.0564263010344</v>
      </c>
      <c r="HQ51" s="358"/>
      <c r="HR51" s="387">
        <v>1055.0564263010344</v>
      </c>
      <c r="HS51" s="358"/>
      <c r="HT51" s="387">
        <v>1055.0564263010344</v>
      </c>
      <c r="HU51" s="358"/>
      <c r="HV51" s="388">
        <v>1055.0564263010344</v>
      </c>
      <c r="HW51" s="425"/>
      <c r="HX51" s="424">
        <v>1055.0564263010344</v>
      </c>
      <c r="HY51" s="425"/>
      <c r="HZ51" s="424">
        <v>1055.0564263010344</v>
      </c>
      <c r="IA51" s="425"/>
      <c r="IB51" s="424">
        <v>1055.0564263010344</v>
      </c>
      <c r="IC51" s="425"/>
      <c r="ID51" s="357">
        <f>VLOOKUP($C51,'[15]Prix accès'!A:D,4,FALSE)</f>
        <v>1055.0564263010344</v>
      </c>
      <c r="IE51" s="426"/>
      <c r="IF51" s="357">
        <f>VLOOKUP($C51,'[15]Prix accès'!$A:$D,4,FALSE)</f>
        <v>1055.0564263010344</v>
      </c>
      <c r="IG51" s="426"/>
      <c r="IH51" s="357">
        <f>VLOOKUP($C51,'[15]Prix accès'!$A:$D,4,FALSE)</f>
        <v>1055.0564263010344</v>
      </c>
      <c r="II51" s="361"/>
      <c r="IJ51" s="357">
        <f>VLOOKUP($C51,'[15]Prix accès'!$A:$D,4,FALSE)</f>
        <v>1055.0564263010344</v>
      </c>
      <c r="IK51" s="361"/>
      <c r="IL51" s="357">
        <f>VLOOKUP($C51,'[15]Prix accès'!$A:$D,4,FALSE)</f>
        <v>1055.0564263010344</v>
      </c>
      <c r="IM51" s="427"/>
      <c r="IN51" s="357">
        <f>VLOOKUP($C51,'[15]Prix accès'!$A:$D,4,FALSE)</f>
        <v>1055.0564263010344</v>
      </c>
      <c r="IO51" s="427"/>
      <c r="IP51" s="428">
        <v>484.28819567916338</v>
      </c>
      <c r="IQ51" s="427"/>
      <c r="IR51" s="429" t="s">
        <v>3335</v>
      </c>
      <c r="IS51" s="364" t="s">
        <v>77</v>
      </c>
      <c r="IT51" s="365">
        <v>43452</v>
      </c>
      <c r="IU51" s="371">
        <v>43466</v>
      </c>
      <c r="IW51" s="372">
        <f t="shared" si="11"/>
        <v>14</v>
      </c>
      <c r="IX51" s="373">
        <f t="shared" si="14"/>
        <v>34.592013977083099</v>
      </c>
      <c r="IY51" s="394">
        <f t="shared" si="13"/>
        <v>484.28819567916338</v>
      </c>
      <c r="IZ51" s="394"/>
      <c r="JA51" s="394"/>
    </row>
    <row r="52" spans="1:263" s="367" customFormat="1" ht="16.5" customHeight="1" x14ac:dyDescent="0.3">
      <c r="A52" s="354" t="s">
        <v>2735</v>
      </c>
      <c r="B52" s="395" t="s">
        <v>2745</v>
      </c>
      <c r="C52" s="356" t="s">
        <v>493</v>
      </c>
      <c r="D52" s="430">
        <v>1628</v>
      </c>
      <c r="E52" s="431">
        <v>94</v>
      </c>
      <c r="F52" s="431">
        <v>106</v>
      </c>
      <c r="G52" s="431">
        <v>108</v>
      </c>
      <c r="H52" s="432">
        <v>0</v>
      </c>
      <c r="I52" s="841">
        <v>1828</v>
      </c>
      <c r="J52" s="835">
        <v>108</v>
      </c>
      <c r="K52" s="835"/>
      <c r="L52" s="835">
        <v>1828</v>
      </c>
      <c r="M52" s="835">
        <v>108</v>
      </c>
      <c r="N52" s="835"/>
      <c r="O52" s="835">
        <v>1828</v>
      </c>
      <c r="P52" s="835">
        <v>108</v>
      </c>
      <c r="Q52" s="835"/>
      <c r="R52" s="835">
        <v>1828</v>
      </c>
      <c r="S52" s="835">
        <v>108</v>
      </c>
      <c r="T52" s="835"/>
      <c r="U52" s="835">
        <v>1828</v>
      </c>
      <c r="V52" s="835">
        <v>108</v>
      </c>
      <c r="W52" s="835"/>
      <c r="X52" s="835">
        <v>1828</v>
      </c>
      <c r="Y52" s="835">
        <v>108</v>
      </c>
      <c r="Z52" s="835"/>
      <c r="AA52" s="835">
        <v>1828</v>
      </c>
      <c r="AB52" s="835">
        <v>108</v>
      </c>
      <c r="AC52" s="835"/>
      <c r="AD52" s="835">
        <v>1828</v>
      </c>
      <c r="AE52" s="835">
        <v>108</v>
      </c>
      <c r="AF52" s="835"/>
      <c r="AG52" s="842">
        <f>((1828-1654)/30.5)*25+1828</f>
        <v>1970.622950819672</v>
      </c>
      <c r="AH52" s="842">
        <f>((108-36)/30.5)*25+108</f>
        <v>167.01639344262296</v>
      </c>
      <c r="AI52" s="827"/>
      <c r="AJ52" s="831">
        <v>1654</v>
      </c>
      <c r="AK52" s="831">
        <v>36</v>
      </c>
      <c r="AL52" s="827"/>
      <c r="AM52" s="831">
        <v>1654</v>
      </c>
      <c r="AN52" s="831">
        <v>36</v>
      </c>
      <c r="AO52" s="827"/>
      <c r="AP52" s="831">
        <v>1654</v>
      </c>
      <c r="AQ52" s="831">
        <v>36</v>
      </c>
      <c r="AR52" s="827"/>
      <c r="AS52" s="831">
        <v>1654</v>
      </c>
      <c r="AT52" s="831">
        <v>36</v>
      </c>
      <c r="AU52" s="827"/>
      <c r="AV52" s="831">
        <v>1654</v>
      </c>
      <c r="AW52" s="831">
        <v>36</v>
      </c>
      <c r="AX52" s="827"/>
      <c r="AY52" s="831">
        <v>1654</v>
      </c>
      <c r="AZ52" s="831">
        <v>36</v>
      </c>
      <c r="BA52" s="358"/>
      <c r="BB52" s="385">
        <v>1654</v>
      </c>
      <c r="BC52" s="385">
        <v>36</v>
      </c>
      <c r="BD52" s="358"/>
      <c r="BE52" s="385">
        <v>1654</v>
      </c>
      <c r="BF52" s="385">
        <v>36</v>
      </c>
      <c r="BG52" s="358"/>
      <c r="BH52" s="385">
        <v>1654</v>
      </c>
      <c r="BI52" s="385">
        <v>36</v>
      </c>
      <c r="BJ52" s="369"/>
      <c r="BK52" s="385">
        <v>1654</v>
      </c>
      <c r="BL52" s="385">
        <v>36</v>
      </c>
      <c r="BM52" s="369"/>
      <c r="BN52" s="385">
        <v>1654</v>
      </c>
      <c r="BO52" s="385">
        <v>36</v>
      </c>
      <c r="BP52" s="369"/>
      <c r="BQ52" s="385">
        <v>1654</v>
      </c>
      <c r="BR52" s="385">
        <v>36</v>
      </c>
      <c r="BS52" s="369"/>
      <c r="BT52" s="385">
        <v>1654</v>
      </c>
      <c r="BU52" s="385">
        <v>36</v>
      </c>
      <c r="BV52" s="369"/>
      <c r="BW52" s="386">
        <f>((1654-1225)/30.5)*10+1654</f>
        <v>1794.655737704918</v>
      </c>
      <c r="BX52" s="386">
        <f>((36-5)/30.5)*10+36</f>
        <v>46.16393442622951</v>
      </c>
      <c r="BY52" s="370"/>
      <c r="BZ52" s="385">
        <v>1225.2564263010347</v>
      </c>
      <c r="CA52" s="385">
        <f>5</f>
        <v>5</v>
      </c>
      <c r="CB52" s="358"/>
      <c r="CC52" s="385">
        <v>1225.2564263010347</v>
      </c>
      <c r="CD52" s="385">
        <f>5</f>
        <v>5</v>
      </c>
      <c r="CE52" s="358"/>
      <c r="CF52" s="385">
        <v>1225.2564263010347</v>
      </c>
      <c r="CG52" s="385">
        <f>5</f>
        <v>5</v>
      </c>
      <c r="CH52" s="358"/>
      <c r="CI52" s="385">
        <v>1225.2564263010347</v>
      </c>
      <c r="CJ52" s="385">
        <f>5</f>
        <v>5</v>
      </c>
      <c r="CK52" s="358"/>
      <c r="CL52" s="385">
        <v>1225.2564263010347</v>
      </c>
      <c r="CM52" s="385">
        <f>5</f>
        <v>5</v>
      </c>
      <c r="CN52" s="358"/>
      <c r="CO52" s="385">
        <v>1225.2564263010347</v>
      </c>
      <c r="CP52" s="385">
        <f>5</f>
        <v>5</v>
      </c>
      <c r="CQ52" s="358"/>
      <c r="CR52" s="385">
        <v>1225.2564263010347</v>
      </c>
      <c r="CS52" s="385">
        <f>5</f>
        <v>5</v>
      </c>
      <c r="CT52" s="358"/>
      <c r="CU52" s="385">
        <v>1225.2564263010347</v>
      </c>
      <c r="CV52" s="385">
        <f>5</f>
        <v>5</v>
      </c>
      <c r="CW52" s="358"/>
      <c r="CX52" s="385">
        <v>1225.2564263010347</v>
      </c>
      <c r="CY52" s="385">
        <f>5</f>
        <v>5</v>
      </c>
      <c r="CZ52" s="358"/>
      <c r="DA52" s="385">
        <v>1225.2564263010347</v>
      </c>
      <c r="DB52" s="385">
        <f>5</f>
        <v>5</v>
      </c>
      <c r="DC52" s="358"/>
      <c r="DD52" s="385">
        <v>1225.2564263010347</v>
      </c>
      <c r="DE52" s="385">
        <f>5</f>
        <v>5</v>
      </c>
      <c r="DF52" s="358"/>
      <c r="DG52" s="385">
        <v>1225.2564263010347</v>
      </c>
      <c r="DH52" s="385">
        <f>5</f>
        <v>5</v>
      </c>
      <c r="DI52" s="358"/>
      <c r="DJ52" s="385">
        <v>1225.2564263010347</v>
      </c>
      <c r="DK52" s="385">
        <f>5</f>
        <v>5</v>
      </c>
      <c r="DL52" s="358"/>
      <c r="DM52" s="385">
        <v>1225.2564263010347</v>
      </c>
      <c r="DN52" s="385">
        <f>5</f>
        <v>5</v>
      </c>
      <c r="DO52" s="358"/>
      <c r="DP52" s="385">
        <v>1225.2564263010347</v>
      </c>
      <c r="DQ52" s="385">
        <f>5</f>
        <v>5</v>
      </c>
      <c r="DR52" s="358"/>
      <c r="DS52" s="385">
        <v>1225.2564263010347</v>
      </c>
      <c r="DT52" s="385">
        <f>5</f>
        <v>5</v>
      </c>
      <c r="DU52" s="358"/>
      <c r="DV52" s="385">
        <v>1225.2564263010347</v>
      </c>
      <c r="DW52" s="385">
        <f>5</f>
        <v>5</v>
      </c>
      <c r="DX52" s="358"/>
      <c r="DY52" s="385">
        <v>1225.2564263010347</v>
      </c>
      <c r="DZ52" s="385">
        <f>5</f>
        <v>5</v>
      </c>
      <c r="EA52" s="358"/>
      <c r="EB52" s="385">
        <v>1225.2564263010347</v>
      </c>
      <c r="EC52" s="385">
        <f>5</f>
        <v>5</v>
      </c>
      <c r="ED52" s="358"/>
      <c r="EE52" s="385">
        <v>1225.2564263010347</v>
      </c>
      <c r="EF52" s="385">
        <f>5</f>
        <v>5</v>
      </c>
      <c r="EG52" s="358"/>
      <c r="EH52" s="385">
        <v>1225.2564263010347</v>
      </c>
      <c r="EI52" s="385">
        <f>5</f>
        <v>5</v>
      </c>
      <c r="EJ52" s="358"/>
      <c r="EK52" s="385">
        <v>1225.2564263010347</v>
      </c>
      <c r="EL52" s="385">
        <f>5</f>
        <v>5</v>
      </c>
      <c r="EM52" s="358"/>
      <c r="EN52" s="385">
        <v>1225.2564263010347</v>
      </c>
      <c r="EO52" s="385">
        <f>5</f>
        <v>5</v>
      </c>
      <c r="EP52" s="358"/>
      <c r="EQ52" s="385">
        <v>1225.2564263010347</v>
      </c>
      <c r="ER52" s="385">
        <f>5</f>
        <v>5</v>
      </c>
      <c r="ES52" s="358"/>
      <c r="ET52" s="385">
        <v>1225.2564263010347</v>
      </c>
      <c r="EU52" s="385">
        <f>5</f>
        <v>5</v>
      </c>
      <c r="EV52" s="358"/>
      <c r="EW52" s="385">
        <v>1225.2564263010347</v>
      </c>
      <c r="EX52" s="385">
        <f>5</f>
        <v>5</v>
      </c>
      <c r="EY52" s="358"/>
      <c r="EZ52" s="385">
        <v>1225.2564263010347</v>
      </c>
      <c r="FA52" s="385">
        <f>5</f>
        <v>5</v>
      </c>
      <c r="FB52" s="358"/>
      <c r="FC52" s="385">
        <v>1225.2564263010347</v>
      </c>
      <c r="FD52" s="385">
        <f>5</f>
        <v>5</v>
      </c>
      <c r="FE52" s="358"/>
      <c r="FF52" s="385">
        <v>1225.2564263010347</v>
      </c>
      <c r="FG52" s="385">
        <f>5</f>
        <v>5</v>
      </c>
      <c r="FH52" s="358"/>
      <c r="FI52" s="385">
        <v>1225.2564263010347</v>
      </c>
      <c r="FJ52" s="385">
        <f>5</f>
        <v>5</v>
      </c>
      <c r="FK52" s="358"/>
      <c r="FL52" s="385">
        <v>1225.2564263010347</v>
      </c>
      <c r="FM52" s="385">
        <f>5</f>
        <v>5</v>
      </c>
      <c r="FN52" s="358"/>
      <c r="FO52" s="385">
        <v>1225.2564263010347</v>
      </c>
      <c r="FP52" s="385">
        <f>5</f>
        <v>5</v>
      </c>
      <c r="FQ52" s="358"/>
      <c r="FR52" s="385">
        <v>1225.2564263010347</v>
      </c>
      <c r="FS52" s="385">
        <f>5</f>
        <v>5</v>
      </c>
      <c r="FT52" s="358"/>
      <c r="FU52" s="385">
        <v>1225.2564263010347</v>
      </c>
      <c r="FV52" s="385">
        <f>5</f>
        <v>5</v>
      </c>
      <c r="FW52" s="358"/>
      <c r="FX52" s="385">
        <v>1225.2564263010347</v>
      </c>
      <c r="FY52" s="385">
        <f>5</f>
        <v>5</v>
      </c>
      <c r="FZ52" s="358"/>
      <c r="GA52" s="385">
        <v>1225.2564263010347</v>
      </c>
      <c r="GB52" s="385">
        <f>5</f>
        <v>5</v>
      </c>
      <c r="GC52" s="358"/>
      <c r="GD52" s="385">
        <v>1225.2564263010347</v>
      </c>
      <c r="GE52" s="385">
        <f>5</f>
        <v>5</v>
      </c>
      <c r="GF52" s="358"/>
      <c r="GG52" s="385">
        <v>1225.2564263010347</v>
      </c>
      <c r="GH52" s="385">
        <f>5</f>
        <v>5</v>
      </c>
      <c r="GI52" s="358"/>
      <c r="GJ52" s="385">
        <v>1225.2564263010347</v>
      </c>
      <c r="GK52" s="385">
        <f>5</f>
        <v>5</v>
      </c>
      <c r="GL52" s="358"/>
      <c r="GM52" s="385">
        <v>1225.2564263010347</v>
      </c>
      <c r="GN52" s="385">
        <f>5</f>
        <v>5</v>
      </c>
      <c r="GO52" s="358"/>
      <c r="GP52" s="385">
        <v>1225.2564263010347</v>
      </c>
      <c r="GQ52" s="385">
        <f>5</f>
        <v>5</v>
      </c>
      <c r="GR52" s="358"/>
      <c r="GS52" s="385">
        <v>1225.2564263010347</v>
      </c>
      <c r="GT52" s="385">
        <f>5</f>
        <v>5</v>
      </c>
      <c r="GU52" s="358"/>
      <c r="GV52" s="385">
        <v>1225.2564263010347</v>
      </c>
      <c r="GW52" s="385">
        <f>5</f>
        <v>5</v>
      </c>
      <c r="GX52" s="358"/>
      <c r="GY52" s="385">
        <v>1225.2564263010347</v>
      </c>
      <c r="GZ52" s="385">
        <f>5</f>
        <v>5</v>
      </c>
      <c r="HA52" s="358"/>
      <c r="HB52" s="385">
        <v>1225.2564263010347</v>
      </c>
      <c r="HC52" s="385">
        <f>5</f>
        <v>5</v>
      </c>
      <c r="HD52" s="358"/>
      <c r="HE52" s="387">
        <v>1225.2564263010347</v>
      </c>
      <c r="HF52" s="386">
        <f t="shared" si="15"/>
        <v>30</v>
      </c>
      <c r="HG52" s="358"/>
      <c r="HH52" s="387">
        <v>1225.2564263010347</v>
      </c>
      <c r="HI52" s="358"/>
      <c r="HJ52" s="387">
        <v>1225.2564263010347</v>
      </c>
      <c r="HK52" s="358"/>
      <c r="HL52" s="387">
        <v>1225.2564263010347</v>
      </c>
      <c r="HM52" s="358"/>
      <c r="HN52" s="387">
        <v>1225.2564263010347</v>
      </c>
      <c r="HO52" s="358"/>
      <c r="HP52" s="387">
        <v>1225.2564263010347</v>
      </c>
      <c r="HQ52" s="358"/>
      <c r="HR52" s="387">
        <v>1225.2564263010347</v>
      </c>
      <c r="HS52" s="358"/>
      <c r="HT52" s="387">
        <v>1225.2564263010347</v>
      </c>
      <c r="HU52" s="358"/>
      <c r="HV52" s="388">
        <v>1225.2564263010347</v>
      </c>
      <c r="HW52" s="358" t="s">
        <v>3310</v>
      </c>
      <c r="HX52" s="368">
        <v>1225.2564263010347</v>
      </c>
      <c r="HY52" s="358" t="s">
        <v>3310</v>
      </c>
      <c r="HZ52" s="368">
        <v>1225.2564263010347</v>
      </c>
      <c r="IA52" s="358" t="s">
        <v>3310</v>
      </c>
      <c r="IB52" s="368">
        <v>1225.2564263010347</v>
      </c>
      <c r="IC52" s="358" t="s">
        <v>3310</v>
      </c>
      <c r="ID52" s="357">
        <f>VLOOKUP($C52,'[15]Prix accès'!A:D,4,FALSE)</f>
        <v>1225.2564263010347</v>
      </c>
      <c r="IE52" s="361" t="s">
        <v>3310</v>
      </c>
      <c r="IF52" s="357">
        <f>VLOOKUP($C52,'[15]Prix accès'!$A:$D,4,FALSE)</f>
        <v>1225.2564263010347</v>
      </c>
      <c r="IG52" s="361" t="s">
        <v>3310</v>
      </c>
      <c r="IH52" s="357">
        <f>VLOOKUP($C52,'[15]Prix accès'!$A:$D,4,FALSE)</f>
        <v>1225.2564263010347</v>
      </c>
      <c r="II52" s="361" t="s">
        <v>3310</v>
      </c>
      <c r="IJ52" s="357">
        <f>VLOOKUP($C52,'[15]Prix accès'!$A:$D,4,FALSE)</f>
        <v>1225.2564263010347</v>
      </c>
      <c r="IK52" s="361" t="s">
        <v>3310</v>
      </c>
      <c r="IL52" s="357">
        <f>VLOOKUP($C52,'[15]Prix accès'!$A:$D,4,FALSE)</f>
        <v>1225.2564263010347</v>
      </c>
      <c r="IM52" s="361" t="s">
        <v>3310</v>
      </c>
      <c r="IN52" s="357">
        <f>VLOOKUP($C52,'[15]Prix accès'!$A:$D,4,FALSE)</f>
        <v>1225.2564263010347</v>
      </c>
      <c r="IO52" s="361" t="s">
        <v>3310</v>
      </c>
      <c r="IP52" s="428">
        <v>522.24044399716229</v>
      </c>
      <c r="IQ52" s="361" t="s">
        <v>3310</v>
      </c>
      <c r="IR52" s="400" t="s">
        <v>2945</v>
      </c>
      <c r="IS52" s="364" t="s">
        <v>77</v>
      </c>
      <c r="IT52" s="365">
        <v>43453</v>
      </c>
      <c r="IU52" s="371">
        <v>43466</v>
      </c>
      <c r="IV52" s="393"/>
      <c r="IW52" s="372">
        <f t="shared" si="11"/>
        <v>13</v>
      </c>
      <c r="IX52" s="373">
        <f t="shared" si="14"/>
        <v>40.172341845935563</v>
      </c>
      <c r="IY52" s="394">
        <f t="shared" si="13"/>
        <v>522.24044399716229</v>
      </c>
      <c r="IZ52" s="394"/>
      <c r="JA52" s="394"/>
    </row>
    <row r="53" spans="1:263" s="367" customFormat="1" ht="16.5" customHeight="1" x14ac:dyDescent="0.3">
      <c r="A53" s="354" t="s">
        <v>2735</v>
      </c>
      <c r="B53" s="415" t="s">
        <v>2784</v>
      </c>
      <c r="C53" s="447" t="s">
        <v>367</v>
      </c>
      <c r="D53" s="448">
        <v>1454</v>
      </c>
      <c r="E53" s="449">
        <v>95</v>
      </c>
      <c r="F53" s="449">
        <v>32</v>
      </c>
      <c r="G53" s="449">
        <v>36</v>
      </c>
      <c r="H53" s="450">
        <v>0</v>
      </c>
      <c r="I53" s="875">
        <v>1580</v>
      </c>
      <c r="J53" s="876">
        <v>36</v>
      </c>
      <c r="K53" s="836"/>
      <c r="L53" s="876">
        <v>1580</v>
      </c>
      <c r="M53" s="876">
        <v>36</v>
      </c>
      <c r="N53" s="836"/>
      <c r="O53" s="876">
        <v>1580</v>
      </c>
      <c r="P53" s="876">
        <v>36</v>
      </c>
      <c r="Q53" s="836"/>
      <c r="R53" s="876">
        <v>1580</v>
      </c>
      <c r="S53" s="876">
        <v>36</v>
      </c>
      <c r="T53" s="836"/>
      <c r="U53" s="876">
        <v>1580</v>
      </c>
      <c r="V53" s="876">
        <v>36</v>
      </c>
      <c r="W53" s="836"/>
      <c r="X53" s="876">
        <v>1580</v>
      </c>
      <c r="Y53" s="876">
        <v>36</v>
      </c>
      <c r="Z53" s="836"/>
      <c r="AA53" s="876">
        <v>1580</v>
      </c>
      <c r="AB53" s="876">
        <v>36</v>
      </c>
      <c r="AC53" s="836"/>
      <c r="AD53" s="876">
        <v>1580</v>
      </c>
      <c r="AE53" s="876">
        <v>36</v>
      </c>
      <c r="AF53" s="836"/>
      <c r="AG53" s="876">
        <v>1580</v>
      </c>
      <c r="AH53" s="876">
        <v>36</v>
      </c>
      <c r="AI53" s="836"/>
      <c r="AJ53" s="876">
        <v>1580</v>
      </c>
      <c r="AK53" s="876">
        <v>36</v>
      </c>
      <c r="AL53" s="836"/>
      <c r="AM53" s="831">
        <v>1580</v>
      </c>
      <c r="AN53" s="831">
        <v>36</v>
      </c>
      <c r="AO53" s="827"/>
      <c r="AP53" s="831">
        <v>1580</v>
      </c>
      <c r="AQ53" s="831">
        <v>36</v>
      </c>
      <c r="AR53" s="827"/>
      <c r="AS53" s="831">
        <v>1580</v>
      </c>
      <c r="AT53" s="831">
        <v>36</v>
      </c>
      <c r="AU53" s="827"/>
      <c r="AV53" s="831">
        <v>1580</v>
      </c>
      <c r="AW53" s="831">
        <v>36</v>
      </c>
      <c r="AX53" s="827"/>
      <c r="AY53" s="831">
        <v>1580</v>
      </c>
      <c r="AZ53" s="831">
        <v>36</v>
      </c>
      <c r="BA53" s="358"/>
      <c r="BB53" s="385">
        <v>1580</v>
      </c>
      <c r="BC53" s="385">
        <v>36</v>
      </c>
      <c r="BD53" s="358"/>
      <c r="BE53" s="385">
        <v>1580</v>
      </c>
      <c r="BF53" s="385">
        <v>36</v>
      </c>
      <c r="BG53" s="358"/>
      <c r="BH53" s="385">
        <v>1580</v>
      </c>
      <c r="BI53" s="385">
        <v>36</v>
      </c>
      <c r="BJ53" s="369"/>
      <c r="BK53" s="385">
        <v>1580</v>
      </c>
      <c r="BL53" s="385">
        <v>36</v>
      </c>
      <c r="BM53" s="369"/>
      <c r="BN53" s="385">
        <v>1580</v>
      </c>
      <c r="BO53" s="385">
        <v>36</v>
      </c>
      <c r="BP53" s="369"/>
      <c r="BQ53" s="385">
        <v>1580</v>
      </c>
      <c r="BR53" s="385">
        <v>36</v>
      </c>
      <c r="BS53" s="369"/>
      <c r="BT53" s="385">
        <v>1580</v>
      </c>
      <c r="BU53" s="385">
        <v>36</v>
      </c>
      <c r="BV53" s="369"/>
      <c r="BW53" s="385">
        <v>1580</v>
      </c>
      <c r="BX53" s="385">
        <v>36</v>
      </c>
      <c r="BY53" s="369"/>
      <c r="BZ53" s="385">
        <v>1580</v>
      </c>
      <c r="CA53" s="385">
        <v>36</v>
      </c>
      <c r="CB53" s="369"/>
      <c r="CC53" s="385">
        <v>1580</v>
      </c>
      <c r="CD53" s="385">
        <v>36</v>
      </c>
      <c r="CE53" s="369"/>
      <c r="CF53" s="385">
        <v>1580</v>
      </c>
      <c r="CG53" s="385">
        <v>36</v>
      </c>
      <c r="CH53" s="369"/>
      <c r="CI53" s="385">
        <v>1580</v>
      </c>
      <c r="CJ53" s="385">
        <v>36</v>
      </c>
      <c r="CK53" s="369"/>
      <c r="CL53" s="385">
        <v>1580</v>
      </c>
      <c r="CM53" s="385">
        <v>36</v>
      </c>
      <c r="CN53" s="369"/>
      <c r="CO53" s="385">
        <v>1580</v>
      </c>
      <c r="CP53" s="385">
        <v>36</v>
      </c>
      <c r="CQ53" s="369"/>
      <c r="CR53" s="385">
        <v>1580</v>
      </c>
      <c r="CS53" s="385">
        <v>36</v>
      </c>
      <c r="CT53" s="369"/>
      <c r="CU53" s="385">
        <v>1580</v>
      </c>
      <c r="CV53" s="385">
        <v>36</v>
      </c>
      <c r="CW53" s="369"/>
      <c r="CX53" s="386">
        <f>((1580-1225)/30.5)*26+1580</f>
        <v>1882.622950819672</v>
      </c>
      <c r="CY53" s="386">
        <f>((36-5)/30.5)*26+36</f>
        <v>62.426229508196727</v>
      </c>
      <c r="CZ53" s="370"/>
      <c r="DA53" s="385">
        <v>1225.2564263010347</v>
      </c>
      <c r="DB53" s="385">
        <f>5</f>
        <v>5</v>
      </c>
      <c r="DC53" s="358"/>
      <c r="DD53" s="385">
        <v>1225.2564263010347</v>
      </c>
      <c r="DE53" s="385">
        <f>5</f>
        <v>5</v>
      </c>
      <c r="DF53" s="358"/>
      <c r="DG53" s="385">
        <v>1225.2564263010347</v>
      </c>
      <c r="DH53" s="385">
        <f>5</f>
        <v>5</v>
      </c>
      <c r="DI53" s="358"/>
      <c r="DJ53" s="385">
        <v>1225.2564263010347</v>
      </c>
      <c r="DK53" s="385">
        <f>5</f>
        <v>5</v>
      </c>
      <c r="DL53" s="358"/>
      <c r="DM53" s="385">
        <v>1225.2564263010347</v>
      </c>
      <c r="DN53" s="385">
        <f>5</f>
        <v>5</v>
      </c>
      <c r="DO53" s="358"/>
      <c r="DP53" s="385">
        <v>1225.2564263010347</v>
      </c>
      <c r="DQ53" s="385">
        <f>5</f>
        <v>5</v>
      </c>
      <c r="DR53" s="358"/>
      <c r="DS53" s="385">
        <v>1225.2564263010347</v>
      </c>
      <c r="DT53" s="385">
        <f>5</f>
        <v>5</v>
      </c>
      <c r="DU53" s="358"/>
      <c r="DV53" s="385">
        <v>1225.2564263010347</v>
      </c>
      <c r="DW53" s="385">
        <f>5</f>
        <v>5</v>
      </c>
      <c r="DX53" s="358"/>
      <c r="DY53" s="385">
        <v>1225.2564263010347</v>
      </c>
      <c r="DZ53" s="385">
        <f>5</f>
        <v>5</v>
      </c>
      <c r="EA53" s="358"/>
      <c r="EB53" s="385">
        <v>1225.2564263010347</v>
      </c>
      <c r="EC53" s="385">
        <f>5</f>
        <v>5</v>
      </c>
      <c r="ED53" s="358"/>
      <c r="EE53" s="385">
        <v>1225.2564263010347</v>
      </c>
      <c r="EF53" s="385">
        <f>5</f>
        <v>5</v>
      </c>
      <c r="EG53" s="358"/>
      <c r="EH53" s="385">
        <v>1225.2564263010347</v>
      </c>
      <c r="EI53" s="385">
        <f>5</f>
        <v>5</v>
      </c>
      <c r="EJ53" s="358"/>
      <c r="EK53" s="385">
        <v>1225.2564263010347</v>
      </c>
      <c r="EL53" s="385">
        <f>5</f>
        <v>5</v>
      </c>
      <c r="EM53" s="358"/>
      <c r="EN53" s="385">
        <v>1225.2564263010347</v>
      </c>
      <c r="EO53" s="385">
        <f>5</f>
        <v>5</v>
      </c>
      <c r="EP53" s="358"/>
      <c r="EQ53" s="385">
        <v>1225.2564263010347</v>
      </c>
      <c r="ER53" s="385">
        <f>5</f>
        <v>5</v>
      </c>
      <c r="ES53" s="358"/>
      <c r="ET53" s="385">
        <v>1225.2564263010347</v>
      </c>
      <c r="EU53" s="385">
        <f>5</f>
        <v>5</v>
      </c>
      <c r="EV53" s="358"/>
      <c r="EW53" s="385">
        <v>1225.2564263010347</v>
      </c>
      <c r="EX53" s="385">
        <f>5</f>
        <v>5</v>
      </c>
      <c r="EY53" s="358"/>
      <c r="EZ53" s="385">
        <v>1225.2564263010347</v>
      </c>
      <c r="FA53" s="385">
        <f>5</f>
        <v>5</v>
      </c>
      <c r="FB53" s="358"/>
      <c r="FC53" s="385">
        <v>1225.2564263010347</v>
      </c>
      <c r="FD53" s="385">
        <f>5</f>
        <v>5</v>
      </c>
      <c r="FE53" s="358"/>
      <c r="FF53" s="385">
        <v>1225.2564263010347</v>
      </c>
      <c r="FG53" s="385">
        <f>5</f>
        <v>5</v>
      </c>
      <c r="FH53" s="358"/>
      <c r="FI53" s="385">
        <v>1225.2564263010347</v>
      </c>
      <c r="FJ53" s="385">
        <f>5</f>
        <v>5</v>
      </c>
      <c r="FK53" s="358"/>
      <c r="FL53" s="385">
        <v>1225.2564263010347</v>
      </c>
      <c r="FM53" s="385">
        <f>5</f>
        <v>5</v>
      </c>
      <c r="FN53" s="358"/>
      <c r="FO53" s="385">
        <v>1225.2564263010347</v>
      </c>
      <c r="FP53" s="385">
        <f>5</f>
        <v>5</v>
      </c>
      <c r="FQ53" s="358"/>
      <c r="FR53" s="385">
        <v>1225.2564263010347</v>
      </c>
      <c r="FS53" s="385">
        <f>5</f>
        <v>5</v>
      </c>
      <c r="FT53" s="358"/>
      <c r="FU53" s="385">
        <v>1225.2564263010347</v>
      </c>
      <c r="FV53" s="385">
        <f>5</f>
        <v>5</v>
      </c>
      <c r="FW53" s="358"/>
      <c r="FX53" s="385">
        <v>1225.2564263010347</v>
      </c>
      <c r="FY53" s="385">
        <f>5</f>
        <v>5</v>
      </c>
      <c r="FZ53" s="358"/>
      <c r="GA53" s="385">
        <v>1225.2564263010347</v>
      </c>
      <c r="GB53" s="385">
        <f>5</f>
        <v>5</v>
      </c>
      <c r="GC53" s="358"/>
      <c r="GD53" s="385">
        <v>1225.2564263010347</v>
      </c>
      <c r="GE53" s="385">
        <f>5</f>
        <v>5</v>
      </c>
      <c r="GF53" s="358"/>
      <c r="GG53" s="385">
        <v>1225.2564263010347</v>
      </c>
      <c r="GH53" s="385">
        <f>5</f>
        <v>5</v>
      </c>
      <c r="GI53" s="358"/>
      <c r="GJ53" s="385">
        <v>1225.2564263010347</v>
      </c>
      <c r="GK53" s="385">
        <f>5</f>
        <v>5</v>
      </c>
      <c r="GL53" s="358"/>
      <c r="GM53" s="385">
        <v>1225.2564263010347</v>
      </c>
      <c r="GN53" s="385">
        <f>5</f>
        <v>5</v>
      </c>
      <c r="GO53" s="358"/>
      <c r="GP53" s="385">
        <v>1225.2564263010347</v>
      </c>
      <c r="GQ53" s="385">
        <f>5</f>
        <v>5</v>
      </c>
      <c r="GR53" s="358"/>
      <c r="GS53" s="385">
        <v>1225.2564263010347</v>
      </c>
      <c r="GT53" s="385">
        <f>5</f>
        <v>5</v>
      </c>
      <c r="GU53" s="358"/>
      <c r="GV53" s="385">
        <v>1225.2564263010347</v>
      </c>
      <c r="GW53" s="385">
        <f>5</f>
        <v>5</v>
      </c>
      <c r="GX53" s="358"/>
      <c r="GY53" s="385">
        <v>1225.2564263010347</v>
      </c>
      <c r="GZ53" s="385">
        <f>5</f>
        <v>5</v>
      </c>
      <c r="HA53" s="358"/>
      <c r="HB53" s="385">
        <v>1225.2564263010347</v>
      </c>
      <c r="HC53" s="385">
        <f>5</f>
        <v>5</v>
      </c>
      <c r="HD53" s="358"/>
      <c r="HE53" s="387">
        <v>1225.2564263010347</v>
      </c>
      <c r="HF53" s="386">
        <f t="shared" si="15"/>
        <v>30</v>
      </c>
      <c r="HG53" s="358"/>
      <c r="HH53" s="387">
        <v>1225.2564263010347</v>
      </c>
      <c r="HI53" s="358"/>
      <c r="HJ53" s="387">
        <v>1225.2564263010347</v>
      </c>
      <c r="HK53" s="358"/>
      <c r="HL53" s="387">
        <v>1225.2564263010347</v>
      </c>
      <c r="HM53" s="358"/>
      <c r="HN53" s="387">
        <v>1225.2564263010347</v>
      </c>
      <c r="HO53" s="358"/>
      <c r="HP53" s="387">
        <v>1225.2564263010347</v>
      </c>
      <c r="HQ53" s="358"/>
      <c r="HR53" s="387">
        <v>1225.2564263010347</v>
      </c>
      <c r="HS53" s="358"/>
      <c r="HT53" s="387">
        <v>1225.2564263010347</v>
      </c>
      <c r="HU53" s="358"/>
      <c r="HV53" s="388">
        <v>1225.2564263010347</v>
      </c>
      <c r="HW53" s="425"/>
      <c r="HX53" s="424">
        <v>1225.2564263010347</v>
      </c>
      <c r="HY53" s="425"/>
      <c r="HZ53" s="424">
        <v>1225.2564263010347</v>
      </c>
      <c r="IA53" s="425"/>
      <c r="IB53" s="424">
        <v>1225.2564263010347</v>
      </c>
      <c r="IC53" s="425"/>
      <c r="ID53" s="357">
        <f>VLOOKUP($C53,'[15]Prix accès'!A:D,4,FALSE)</f>
        <v>1225.2564263010347</v>
      </c>
      <c r="IE53" s="426"/>
      <c r="IF53" s="357">
        <f>VLOOKUP($C53,'[15]Prix accès'!$A:$D,4,FALSE)</f>
        <v>1225.2564263010347</v>
      </c>
      <c r="IG53" s="426"/>
      <c r="IH53" s="357">
        <f>VLOOKUP($C53,'[15]Prix accès'!$A:$D,4,FALSE)</f>
        <v>1225.2564263010347</v>
      </c>
      <c r="II53" s="361"/>
      <c r="IJ53" s="357">
        <f>VLOOKUP($C53,'[15]Prix accès'!$A:$D,4,FALSE)</f>
        <v>1225.2564263010347</v>
      </c>
      <c r="IK53" s="361"/>
      <c r="IL53" s="357">
        <f>VLOOKUP($C53,'[15]Prix accès'!$A:$D,4,FALSE)</f>
        <v>1225.2564263010347</v>
      </c>
      <c r="IM53" s="427"/>
      <c r="IN53" s="357">
        <f>VLOOKUP($C53,'[15]Prix accès'!$A:$D,4,FALSE)</f>
        <v>1225.2564263010347</v>
      </c>
      <c r="IO53" s="427"/>
      <c r="IP53" s="428">
        <v>482.06810215122675</v>
      </c>
      <c r="IQ53" s="427"/>
      <c r="IR53" s="429" t="s">
        <v>3048</v>
      </c>
      <c r="IS53" s="364" t="s">
        <v>77</v>
      </c>
      <c r="IT53" s="365">
        <v>43454</v>
      </c>
      <c r="IU53" s="371">
        <v>43466</v>
      </c>
      <c r="IW53" s="372">
        <f t="shared" si="11"/>
        <v>12</v>
      </c>
      <c r="IX53" s="373">
        <f t="shared" si="14"/>
        <v>40.172341845935563</v>
      </c>
      <c r="IY53" s="394">
        <f t="shared" si="13"/>
        <v>482.06810215122675</v>
      </c>
      <c r="IZ53" s="394"/>
      <c r="JA53" s="394"/>
    </row>
    <row r="54" spans="1:263" s="367" customFormat="1" ht="16.5" customHeight="1" x14ac:dyDescent="0.3">
      <c r="A54" s="354" t="s">
        <v>2735</v>
      </c>
      <c r="B54" s="400" t="s">
        <v>2748</v>
      </c>
      <c r="C54" s="356" t="s">
        <v>312</v>
      </c>
      <c r="D54" s="430">
        <v>1149</v>
      </c>
      <c r="E54" s="431">
        <v>71</v>
      </c>
      <c r="F54" s="431">
        <v>48</v>
      </c>
      <c r="G54" s="431">
        <v>5</v>
      </c>
      <c r="H54" s="432">
        <v>0</v>
      </c>
      <c r="I54" s="847">
        <v>1267</v>
      </c>
      <c r="J54" s="837">
        <f>5</f>
        <v>5</v>
      </c>
      <c r="K54" s="837"/>
      <c r="L54" s="837">
        <v>1267</v>
      </c>
      <c r="M54" s="837">
        <f>5</f>
        <v>5</v>
      </c>
      <c r="N54" s="837"/>
      <c r="O54" s="837">
        <v>1267</v>
      </c>
      <c r="P54" s="837">
        <f>5</f>
        <v>5</v>
      </c>
      <c r="Q54" s="837"/>
      <c r="R54" s="837">
        <v>1267</v>
      </c>
      <c r="S54" s="837">
        <f>5</f>
        <v>5</v>
      </c>
      <c r="T54" s="837"/>
      <c r="U54" s="837">
        <v>1267</v>
      </c>
      <c r="V54" s="837">
        <f>5</f>
        <v>5</v>
      </c>
      <c r="W54" s="837"/>
      <c r="X54" s="837">
        <v>1267</v>
      </c>
      <c r="Y54" s="837">
        <f>5</f>
        <v>5</v>
      </c>
      <c r="Z54" s="837"/>
      <c r="AA54" s="837">
        <v>1267</v>
      </c>
      <c r="AB54" s="837">
        <f>5</f>
        <v>5</v>
      </c>
      <c r="AC54" s="837"/>
      <c r="AD54" s="837">
        <v>1267</v>
      </c>
      <c r="AE54" s="837">
        <f>5</f>
        <v>5</v>
      </c>
      <c r="AF54" s="837"/>
      <c r="AG54" s="837">
        <v>1267</v>
      </c>
      <c r="AH54" s="837">
        <f>5</f>
        <v>5</v>
      </c>
      <c r="AI54" s="837"/>
      <c r="AJ54" s="838">
        <f>((1267-1081)/30.5)*8+1267</f>
        <v>1315.7868852459017</v>
      </c>
      <c r="AK54" s="838">
        <f>5</f>
        <v>5</v>
      </c>
      <c r="AL54" s="838"/>
      <c r="AM54" s="830">
        <v>1081.2564263010345</v>
      </c>
      <c r="AN54" s="831">
        <f>5</f>
        <v>5</v>
      </c>
      <c r="AO54" s="827"/>
      <c r="AP54" s="831">
        <v>1081.2564263010345</v>
      </c>
      <c r="AQ54" s="831">
        <f>5</f>
        <v>5</v>
      </c>
      <c r="AR54" s="827"/>
      <c r="AS54" s="831">
        <v>1081.2564263010345</v>
      </c>
      <c r="AT54" s="831">
        <f>5</f>
        <v>5</v>
      </c>
      <c r="AU54" s="827"/>
      <c r="AV54" s="831">
        <v>1081.2564263010345</v>
      </c>
      <c r="AW54" s="831">
        <f>5</f>
        <v>5</v>
      </c>
      <c r="AX54" s="827"/>
      <c r="AY54" s="831">
        <v>1081.2564263010345</v>
      </c>
      <c r="AZ54" s="831">
        <f>5</f>
        <v>5</v>
      </c>
      <c r="BA54" s="358"/>
      <c r="BB54" s="385">
        <v>1081.2564263010345</v>
      </c>
      <c r="BC54" s="385">
        <f>5</f>
        <v>5</v>
      </c>
      <c r="BD54" s="358"/>
      <c r="BE54" s="385">
        <v>1081.2564263010345</v>
      </c>
      <c r="BF54" s="385">
        <f>5</f>
        <v>5</v>
      </c>
      <c r="BG54" s="358"/>
      <c r="BH54" s="385">
        <v>1081.2564263010345</v>
      </c>
      <c r="BI54" s="385">
        <f>5</f>
        <v>5</v>
      </c>
      <c r="BJ54" s="358"/>
      <c r="BK54" s="385">
        <v>1081.2564263010345</v>
      </c>
      <c r="BL54" s="385">
        <f>5</f>
        <v>5</v>
      </c>
      <c r="BM54" s="358"/>
      <c r="BN54" s="385">
        <v>1081.2564263010345</v>
      </c>
      <c r="BO54" s="385">
        <f>5</f>
        <v>5</v>
      </c>
      <c r="BP54" s="358"/>
      <c r="BQ54" s="385">
        <v>1081.2564263010345</v>
      </c>
      <c r="BR54" s="385">
        <f>5</f>
        <v>5</v>
      </c>
      <c r="BS54" s="358"/>
      <c r="BT54" s="385">
        <v>1081.2564263010345</v>
      </c>
      <c r="BU54" s="385">
        <f>5</f>
        <v>5</v>
      </c>
      <c r="BV54" s="358"/>
      <c r="BW54" s="385">
        <v>1081.2564263010345</v>
      </c>
      <c r="BX54" s="385">
        <f>5</f>
        <v>5</v>
      </c>
      <c r="BY54" s="358"/>
      <c r="BZ54" s="385">
        <v>1081.2564263010345</v>
      </c>
      <c r="CA54" s="385">
        <f>5</f>
        <v>5</v>
      </c>
      <c r="CB54" s="358"/>
      <c r="CC54" s="385">
        <v>1081.2564263010345</v>
      </c>
      <c r="CD54" s="385">
        <f>5</f>
        <v>5</v>
      </c>
      <c r="CE54" s="358"/>
      <c r="CF54" s="385">
        <v>1081.2564263010345</v>
      </c>
      <c r="CG54" s="385">
        <f>5</f>
        <v>5</v>
      </c>
      <c r="CH54" s="358"/>
      <c r="CI54" s="385">
        <v>1081.2564263010345</v>
      </c>
      <c r="CJ54" s="385">
        <f>5</f>
        <v>5</v>
      </c>
      <c r="CK54" s="358"/>
      <c r="CL54" s="385">
        <v>1081.2564263010345</v>
      </c>
      <c r="CM54" s="385">
        <f>5</f>
        <v>5</v>
      </c>
      <c r="CN54" s="358"/>
      <c r="CO54" s="385">
        <v>1081.2564263010345</v>
      </c>
      <c r="CP54" s="385">
        <f>5</f>
        <v>5</v>
      </c>
      <c r="CQ54" s="358"/>
      <c r="CR54" s="385">
        <v>1081.2564263010345</v>
      </c>
      <c r="CS54" s="385">
        <f>5</f>
        <v>5</v>
      </c>
      <c r="CT54" s="358"/>
      <c r="CU54" s="385">
        <v>1081.2564263010345</v>
      </c>
      <c r="CV54" s="385">
        <f>5</f>
        <v>5</v>
      </c>
      <c r="CW54" s="358"/>
      <c r="CX54" s="385">
        <v>1081.2564263010345</v>
      </c>
      <c r="CY54" s="385">
        <f>5</f>
        <v>5</v>
      </c>
      <c r="CZ54" s="358"/>
      <c r="DA54" s="385">
        <v>1081.2564263010345</v>
      </c>
      <c r="DB54" s="385">
        <f>5</f>
        <v>5</v>
      </c>
      <c r="DC54" s="358"/>
      <c r="DD54" s="385">
        <v>1081.2564263010345</v>
      </c>
      <c r="DE54" s="385">
        <f>5</f>
        <v>5</v>
      </c>
      <c r="DF54" s="358"/>
      <c r="DG54" s="385">
        <v>1081.2564263010345</v>
      </c>
      <c r="DH54" s="385">
        <f>5</f>
        <v>5</v>
      </c>
      <c r="DI54" s="358"/>
      <c r="DJ54" s="385">
        <v>1081.2564263010345</v>
      </c>
      <c r="DK54" s="385">
        <f>5</f>
        <v>5</v>
      </c>
      <c r="DL54" s="358"/>
      <c r="DM54" s="385">
        <v>1081.2564263010345</v>
      </c>
      <c r="DN54" s="385">
        <f>5</f>
        <v>5</v>
      </c>
      <c r="DO54" s="358"/>
      <c r="DP54" s="385">
        <v>1081.2564263010345</v>
      </c>
      <c r="DQ54" s="385">
        <f>5</f>
        <v>5</v>
      </c>
      <c r="DR54" s="358"/>
      <c r="DS54" s="385">
        <v>1081.2564263010345</v>
      </c>
      <c r="DT54" s="385">
        <f>5</f>
        <v>5</v>
      </c>
      <c r="DU54" s="358"/>
      <c r="DV54" s="385">
        <v>1081.2564263010345</v>
      </c>
      <c r="DW54" s="385">
        <f>5</f>
        <v>5</v>
      </c>
      <c r="DX54" s="358"/>
      <c r="DY54" s="385">
        <v>1081.2564263010345</v>
      </c>
      <c r="DZ54" s="385">
        <f>5</f>
        <v>5</v>
      </c>
      <c r="EA54" s="358"/>
      <c r="EB54" s="385">
        <v>1081.2564263010345</v>
      </c>
      <c r="EC54" s="385">
        <f>5</f>
        <v>5</v>
      </c>
      <c r="ED54" s="358"/>
      <c r="EE54" s="385">
        <v>1081.2564263010345</v>
      </c>
      <c r="EF54" s="385">
        <f>5</f>
        <v>5</v>
      </c>
      <c r="EG54" s="358"/>
      <c r="EH54" s="385">
        <v>1081.2564263010345</v>
      </c>
      <c r="EI54" s="385">
        <f>5</f>
        <v>5</v>
      </c>
      <c r="EJ54" s="358"/>
      <c r="EK54" s="385">
        <v>1081.2564263010345</v>
      </c>
      <c r="EL54" s="385">
        <f>5</f>
        <v>5</v>
      </c>
      <c r="EM54" s="358"/>
      <c r="EN54" s="385">
        <v>1081.2564263010345</v>
      </c>
      <c r="EO54" s="385">
        <f>5</f>
        <v>5</v>
      </c>
      <c r="EP54" s="358"/>
      <c r="EQ54" s="385">
        <v>1081.2564263010345</v>
      </c>
      <c r="ER54" s="385">
        <f>5</f>
        <v>5</v>
      </c>
      <c r="ES54" s="358"/>
      <c r="ET54" s="385">
        <v>1081.2564263010345</v>
      </c>
      <c r="EU54" s="385">
        <f>5</f>
        <v>5</v>
      </c>
      <c r="EV54" s="358"/>
      <c r="EW54" s="385">
        <v>1081.2564263010345</v>
      </c>
      <c r="EX54" s="385">
        <f>5</f>
        <v>5</v>
      </c>
      <c r="EY54" s="358"/>
      <c r="EZ54" s="385">
        <v>1081.2564263010345</v>
      </c>
      <c r="FA54" s="385">
        <f>5</f>
        <v>5</v>
      </c>
      <c r="FB54" s="358"/>
      <c r="FC54" s="385">
        <v>1081.2564263010345</v>
      </c>
      <c r="FD54" s="385">
        <f>5</f>
        <v>5</v>
      </c>
      <c r="FE54" s="358"/>
      <c r="FF54" s="385">
        <v>1081.2564263010345</v>
      </c>
      <c r="FG54" s="385">
        <f>5</f>
        <v>5</v>
      </c>
      <c r="FH54" s="358"/>
      <c r="FI54" s="385">
        <v>1081.2564263010345</v>
      </c>
      <c r="FJ54" s="385">
        <f>5</f>
        <v>5</v>
      </c>
      <c r="FK54" s="358"/>
      <c r="FL54" s="385">
        <v>1081.2564263010345</v>
      </c>
      <c r="FM54" s="385">
        <f>5</f>
        <v>5</v>
      </c>
      <c r="FN54" s="358"/>
      <c r="FO54" s="385">
        <v>1081.2564263010345</v>
      </c>
      <c r="FP54" s="385">
        <f>5</f>
        <v>5</v>
      </c>
      <c r="FQ54" s="358"/>
      <c r="FR54" s="385">
        <v>1081.2564263010345</v>
      </c>
      <c r="FS54" s="385">
        <f>5</f>
        <v>5</v>
      </c>
      <c r="FT54" s="358"/>
      <c r="FU54" s="385">
        <v>1081.2564263010345</v>
      </c>
      <c r="FV54" s="385">
        <f>5</f>
        <v>5</v>
      </c>
      <c r="FW54" s="358"/>
      <c r="FX54" s="385">
        <v>1081.2564263010345</v>
      </c>
      <c r="FY54" s="385">
        <f>5</f>
        <v>5</v>
      </c>
      <c r="FZ54" s="358"/>
      <c r="GA54" s="385">
        <v>1081.2564263010345</v>
      </c>
      <c r="GB54" s="385">
        <f>5</f>
        <v>5</v>
      </c>
      <c r="GC54" s="358"/>
      <c r="GD54" s="385">
        <v>1081.2564263010345</v>
      </c>
      <c r="GE54" s="385">
        <f>5</f>
        <v>5</v>
      </c>
      <c r="GF54" s="358"/>
      <c r="GG54" s="385">
        <v>1081.2564263010345</v>
      </c>
      <c r="GH54" s="385">
        <f>5</f>
        <v>5</v>
      </c>
      <c r="GI54" s="358"/>
      <c r="GJ54" s="385">
        <v>1081.2564263010345</v>
      </c>
      <c r="GK54" s="385">
        <f>5</f>
        <v>5</v>
      </c>
      <c r="GL54" s="358"/>
      <c r="GM54" s="385">
        <v>1081.2564263010345</v>
      </c>
      <c r="GN54" s="385">
        <f>5</f>
        <v>5</v>
      </c>
      <c r="GO54" s="358"/>
      <c r="GP54" s="385">
        <v>1081.2564263010345</v>
      </c>
      <c r="GQ54" s="385">
        <f>5</f>
        <v>5</v>
      </c>
      <c r="GR54" s="358"/>
      <c r="GS54" s="385">
        <v>1081.2564263010345</v>
      </c>
      <c r="GT54" s="385">
        <f>5</f>
        <v>5</v>
      </c>
      <c r="GU54" s="358"/>
      <c r="GV54" s="385">
        <v>1081.2564263010345</v>
      </c>
      <c r="GW54" s="385">
        <f>5</f>
        <v>5</v>
      </c>
      <c r="GX54" s="358"/>
      <c r="GY54" s="385">
        <v>1081.2564263010345</v>
      </c>
      <c r="GZ54" s="385">
        <f>5</f>
        <v>5</v>
      </c>
      <c r="HA54" s="358"/>
      <c r="HB54" s="385">
        <v>1081.2564263010345</v>
      </c>
      <c r="HC54" s="385">
        <f>5</f>
        <v>5</v>
      </c>
      <c r="HD54" s="358"/>
      <c r="HE54" s="387">
        <v>1081.2564263010345</v>
      </c>
      <c r="HF54" s="386">
        <f t="shared" si="15"/>
        <v>30</v>
      </c>
      <c r="HG54" s="358"/>
      <c r="HH54" s="387">
        <v>1081.2564263010345</v>
      </c>
      <c r="HI54" s="358"/>
      <c r="HJ54" s="387">
        <v>1081.2564263010345</v>
      </c>
      <c r="HK54" s="358"/>
      <c r="HL54" s="387">
        <v>1081.2564263010345</v>
      </c>
      <c r="HM54" s="358"/>
      <c r="HN54" s="387">
        <v>1081.2564263010345</v>
      </c>
      <c r="HO54" s="358"/>
      <c r="HP54" s="387">
        <v>1081.2564263010345</v>
      </c>
      <c r="HQ54" s="358"/>
      <c r="HR54" s="387">
        <v>1081.2564263010345</v>
      </c>
      <c r="HS54" s="358"/>
      <c r="HT54" s="387">
        <v>1081.2564263010345</v>
      </c>
      <c r="HU54" s="358"/>
      <c r="HV54" s="388">
        <v>1081.2564263010345</v>
      </c>
      <c r="HW54" s="358" t="s">
        <v>3310</v>
      </c>
      <c r="HX54" s="368">
        <v>1081.2564263010345</v>
      </c>
      <c r="HY54" s="358" t="s">
        <v>3310</v>
      </c>
      <c r="HZ54" s="368">
        <v>1081.2564263010345</v>
      </c>
      <c r="IA54" s="358" t="s">
        <v>3310</v>
      </c>
      <c r="IB54" s="368">
        <v>1081.2564263010345</v>
      </c>
      <c r="IC54" s="358" t="s">
        <v>3310</v>
      </c>
      <c r="ID54" s="357">
        <f>VLOOKUP($C54,'[15]Prix accès'!A:D,4,FALSE)</f>
        <v>1081.2564263010345</v>
      </c>
      <c r="IE54" s="361" t="s">
        <v>3310</v>
      </c>
      <c r="IF54" s="357">
        <f>VLOOKUP($C54,'[15]Prix accès'!$A:$D,4,FALSE)</f>
        <v>1081.2564263010345</v>
      </c>
      <c r="IG54" s="361" t="s">
        <v>3310</v>
      </c>
      <c r="IH54" s="357">
        <f>VLOOKUP($C54,'[15]Prix accès'!$A:$D,4,FALSE)</f>
        <v>1081.2564263010345</v>
      </c>
      <c r="II54" s="361" t="s">
        <v>3310</v>
      </c>
      <c r="IJ54" s="357">
        <f>VLOOKUP($C54,'[15]Prix accès'!$A:$D,4,FALSE)</f>
        <v>1081.2564263010345</v>
      </c>
      <c r="IK54" s="361" t="s">
        <v>3310</v>
      </c>
      <c r="IL54" s="357">
        <f>VLOOKUP($C54,'[15]Prix accès'!$A:$D,4,FALSE)</f>
        <v>1081.2564263010345</v>
      </c>
      <c r="IM54" s="361" t="s">
        <v>3310</v>
      </c>
      <c r="IN54" s="357">
        <f>VLOOKUP($C54,'[15]Prix accès'!$A:$D,4,FALSE)</f>
        <v>1081.2564263010345</v>
      </c>
      <c r="IO54" s="361" t="s">
        <v>3310</v>
      </c>
      <c r="IP54" s="428">
        <v>389.96133407578293</v>
      </c>
      <c r="IQ54" s="361" t="s">
        <v>3310</v>
      </c>
      <c r="IR54" s="400" t="s">
        <v>3155</v>
      </c>
      <c r="IS54" s="364" t="s">
        <v>77</v>
      </c>
      <c r="IT54" s="365">
        <v>43455</v>
      </c>
      <c r="IU54" s="371">
        <v>43466</v>
      </c>
      <c r="IV54" s="393"/>
      <c r="IW54" s="372">
        <f t="shared" si="11"/>
        <v>11</v>
      </c>
      <c r="IX54" s="373">
        <f t="shared" si="14"/>
        <v>35.451030370525721</v>
      </c>
      <c r="IY54" s="394">
        <f t="shared" si="13"/>
        <v>389.96133407578293</v>
      </c>
      <c r="IZ54" s="394"/>
      <c r="JA54" s="394"/>
    </row>
    <row r="55" spans="1:263" s="367" customFormat="1" ht="16.5" customHeight="1" x14ac:dyDescent="0.3">
      <c r="A55" s="401" t="s">
        <v>3315</v>
      </c>
      <c r="B55" s="402" t="s">
        <v>3315</v>
      </c>
      <c r="C55" s="441" t="s">
        <v>3336</v>
      </c>
      <c r="D55" s="860"/>
      <c r="E55" s="861"/>
      <c r="F55" s="861"/>
      <c r="G55" s="861"/>
      <c r="H55" s="862"/>
      <c r="I55" s="853">
        <v>0</v>
      </c>
      <c r="J55" s="833">
        <v>0</v>
      </c>
      <c r="K55" s="833">
        <v>0</v>
      </c>
      <c r="L55" s="833">
        <v>0</v>
      </c>
      <c r="M55" s="833">
        <v>0</v>
      </c>
      <c r="N55" s="833">
        <v>0</v>
      </c>
      <c r="O55" s="833">
        <v>0</v>
      </c>
      <c r="P55" s="833">
        <v>0</v>
      </c>
      <c r="Q55" s="833">
        <v>0</v>
      </c>
      <c r="R55" s="833">
        <v>0</v>
      </c>
      <c r="S55" s="833">
        <v>0</v>
      </c>
      <c r="T55" s="833">
        <v>0</v>
      </c>
      <c r="U55" s="833">
        <v>0</v>
      </c>
      <c r="V55" s="833">
        <v>0</v>
      </c>
      <c r="W55" s="833">
        <v>0</v>
      </c>
      <c r="X55" s="833">
        <v>0</v>
      </c>
      <c r="Y55" s="833">
        <v>0</v>
      </c>
      <c r="Z55" s="833">
        <v>0</v>
      </c>
      <c r="AA55" s="833">
        <v>0</v>
      </c>
      <c r="AB55" s="833">
        <v>0</v>
      </c>
      <c r="AC55" s="833">
        <v>0</v>
      </c>
      <c r="AD55" s="833">
        <v>0</v>
      </c>
      <c r="AE55" s="833">
        <v>0</v>
      </c>
      <c r="AF55" s="833">
        <v>0</v>
      </c>
      <c r="AG55" s="833">
        <v>0</v>
      </c>
      <c r="AH55" s="833">
        <v>0</v>
      </c>
      <c r="AI55" s="833">
        <v>0</v>
      </c>
      <c r="AJ55" s="833">
        <v>0</v>
      </c>
      <c r="AK55" s="833">
        <v>0</v>
      </c>
      <c r="AL55" s="833">
        <v>0</v>
      </c>
      <c r="AM55" s="833">
        <v>0</v>
      </c>
      <c r="AN55" s="833">
        <v>0</v>
      </c>
      <c r="AO55" s="833">
        <v>0</v>
      </c>
      <c r="AP55" s="833">
        <v>0</v>
      </c>
      <c r="AQ55" s="833">
        <v>0</v>
      </c>
      <c r="AR55" s="833">
        <v>0</v>
      </c>
      <c r="AS55" s="833">
        <v>0</v>
      </c>
      <c r="AT55" s="833">
        <v>0</v>
      </c>
      <c r="AU55" s="833">
        <v>0</v>
      </c>
      <c r="AV55" s="833">
        <v>0</v>
      </c>
      <c r="AW55" s="833">
        <v>0</v>
      </c>
      <c r="AX55" s="833"/>
      <c r="AY55" s="833">
        <v>0</v>
      </c>
      <c r="AZ55" s="833">
        <v>0</v>
      </c>
      <c r="BA55" s="455"/>
      <c r="BB55" s="404">
        <v>0</v>
      </c>
      <c r="BC55" s="404">
        <v>0</v>
      </c>
      <c r="BD55" s="455"/>
      <c r="BE55" s="404">
        <v>0</v>
      </c>
      <c r="BF55" s="404">
        <v>0</v>
      </c>
      <c r="BG55" s="455"/>
      <c r="BH55" s="404">
        <v>0</v>
      </c>
      <c r="BI55" s="404">
        <v>0</v>
      </c>
      <c r="BJ55" s="455"/>
      <c r="BK55" s="404">
        <v>0</v>
      </c>
      <c r="BL55" s="404">
        <v>0</v>
      </c>
      <c r="BM55" s="455"/>
      <c r="BN55" s="404">
        <v>0</v>
      </c>
      <c r="BO55" s="404">
        <v>0</v>
      </c>
      <c r="BP55" s="455"/>
      <c r="BQ55" s="404">
        <v>0</v>
      </c>
      <c r="BR55" s="404">
        <v>0</v>
      </c>
      <c r="BS55" s="455"/>
      <c r="BT55" s="404">
        <v>0</v>
      </c>
      <c r="BU55" s="404">
        <v>0</v>
      </c>
      <c r="BV55" s="455"/>
      <c r="BW55" s="404">
        <v>0</v>
      </c>
      <c r="BX55" s="404">
        <v>0</v>
      </c>
      <c r="BY55" s="455"/>
      <c r="BZ55" s="404">
        <v>0</v>
      </c>
      <c r="CA55" s="404">
        <v>0</v>
      </c>
      <c r="CB55" s="455"/>
      <c r="CC55" s="404">
        <v>0</v>
      </c>
      <c r="CD55" s="404">
        <v>0</v>
      </c>
      <c r="CE55" s="455"/>
      <c r="CF55" s="404">
        <v>0</v>
      </c>
      <c r="CG55" s="404">
        <v>0</v>
      </c>
      <c r="CH55" s="455"/>
      <c r="CI55" s="385">
        <v>1251.4564263010345</v>
      </c>
      <c r="CJ55" s="385">
        <f>5</f>
        <v>5</v>
      </c>
      <c r="CK55" s="358"/>
      <c r="CL55" s="385">
        <v>1251.4564263010345</v>
      </c>
      <c r="CM55" s="385">
        <f>5</f>
        <v>5</v>
      </c>
      <c r="CN55" s="358"/>
      <c r="CO55" s="385">
        <v>1251.4564263010345</v>
      </c>
      <c r="CP55" s="385">
        <f>5</f>
        <v>5</v>
      </c>
      <c r="CQ55" s="358"/>
      <c r="CR55" s="385">
        <v>1251.4564263010345</v>
      </c>
      <c r="CS55" s="385">
        <f>5</f>
        <v>5</v>
      </c>
      <c r="CT55" s="358"/>
      <c r="CU55" s="385">
        <v>1251.4564263010345</v>
      </c>
      <c r="CV55" s="385">
        <f>5</f>
        <v>5</v>
      </c>
      <c r="CW55" s="358"/>
      <c r="CX55" s="385">
        <v>1251.4564263010345</v>
      </c>
      <c r="CY55" s="385">
        <f>5</f>
        <v>5</v>
      </c>
      <c r="CZ55" s="358"/>
      <c r="DA55" s="385">
        <v>1251.4564263010345</v>
      </c>
      <c r="DB55" s="385">
        <f>5</f>
        <v>5</v>
      </c>
      <c r="DC55" s="358"/>
      <c r="DD55" s="385">
        <v>1251.4564263010345</v>
      </c>
      <c r="DE55" s="385">
        <f>5</f>
        <v>5</v>
      </c>
      <c r="DF55" s="358"/>
      <c r="DG55" s="385">
        <v>1251.4564263010345</v>
      </c>
      <c r="DH55" s="385">
        <f>5</f>
        <v>5</v>
      </c>
      <c r="DI55" s="358"/>
      <c r="DJ55" s="385">
        <v>1251.4564263010345</v>
      </c>
      <c r="DK55" s="385">
        <f>5</f>
        <v>5</v>
      </c>
      <c r="DL55" s="358"/>
      <c r="DM55" s="385">
        <v>1251.4564263010345</v>
      </c>
      <c r="DN55" s="385">
        <f>5</f>
        <v>5</v>
      </c>
      <c r="DO55" s="358"/>
      <c r="DP55" s="385">
        <v>1251.4564263010345</v>
      </c>
      <c r="DQ55" s="385">
        <f>5</f>
        <v>5</v>
      </c>
      <c r="DR55" s="358"/>
      <c r="DS55" s="385">
        <v>1251.4564263010345</v>
      </c>
      <c r="DT55" s="385">
        <f>5</f>
        <v>5</v>
      </c>
      <c r="DU55" s="358"/>
      <c r="DV55" s="385">
        <v>1251.4564263010345</v>
      </c>
      <c r="DW55" s="385">
        <f>5</f>
        <v>5</v>
      </c>
      <c r="DX55" s="358"/>
      <c r="DY55" s="385">
        <v>1251.4564263010345</v>
      </c>
      <c r="DZ55" s="385">
        <f>5</f>
        <v>5</v>
      </c>
      <c r="EA55" s="358"/>
      <c r="EB55" s="385">
        <v>1251.4564263010345</v>
      </c>
      <c r="EC55" s="385">
        <f>5</f>
        <v>5</v>
      </c>
      <c r="ED55" s="358"/>
      <c r="EE55" s="385">
        <v>1251.4564263010345</v>
      </c>
      <c r="EF55" s="385">
        <f>5</f>
        <v>5</v>
      </c>
      <c r="EG55" s="358"/>
      <c r="EH55" s="385">
        <v>1251.4564263010345</v>
      </c>
      <c r="EI55" s="385">
        <f>5</f>
        <v>5</v>
      </c>
      <c r="EJ55" s="358"/>
      <c r="EK55" s="385">
        <v>1251.4564263010345</v>
      </c>
      <c r="EL55" s="385">
        <f>5</f>
        <v>5</v>
      </c>
      <c r="EM55" s="358"/>
      <c r="EN55" s="385">
        <v>1251.4564263010345</v>
      </c>
      <c r="EO55" s="385">
        <f>5</f>
        <v>5</v>
      </c>
      <c r="EP55" s="358"/>
      <c r="EQ55" s="385">
        <v>1251.4564263010345</v>
      </c>
      <c r="ER55" s="385">
        <f>5</f>
        <v>5</v>
      </c>
      <c r="ES55" s="358"/>
      <c r="ET55" s="385">
        <v>1251.4564263010345</v>
      </c>
      <c r="EU55" s="385">
        <f>5</f>
        <v>5</v>
      </c>
      <c r="EV55" s="358"/>
      <c r="EW55" s="385">
        <v>1251.4564263010345</v>
      </c>
      <c r="EX55" s="385">
        <f>5</f>
        <v>5</v>
      </c>
      <c r="EY55" s="358"/>
      <c r="EZ55" s="385">
        <v>1251.4564263010345</v>
      </c>
      <c r="FA55" s="385">
        <f>5</f>
        <v>5</v>
      </c>
      <c r="FB55" s="358"/>
      <c r="FC55" s="385">
        <v>1251.4564263010345</v>
      </c>
      <c r="FD55" s="385">
        <f>5</f>
        <v>5</v>
      </c>
      <c r="FE55" s="358"/>
      <c r="FF55" s="385">
        <v>1251.4564263010345</v>
      </c>
      <c r="FG55" s="385">
        <f>5</f>
        <v>5</v>
      </c>
      <c r="FH55" s="358"/>
      <c r="FI55" s="385">
        <v>1251.4564263010345</v>
      </c>
      <c r="FJ55" s="385">
        <f>5</f>
        <v>5</v>
      </c>
      <c r="FK55" s="358"/>
      <c r="FL55" s="385">
        <v>1251.4564263010345</v>
      </c>
      <c r="FM55" s="385">
        <f>5</f>
        <v>5</v>
      </c>
      <c r="FN55" s="358"/>
      <c r="FO55" s="385">
        <v>1251.4564263010345</v>
      </c>
      <c r="FP55" s="385">
        <f>5</f>
        <v>5</v>
      </c>
      <c r="FQ55" s="358"/>
      <c r="FR55" s="385">
        <v>1251.4564263010345</v>
      </c>
      <c r="FS55" s="385">
        <f>5</f>
        <v>5</v>
      </c>
      <c r="FT55" s="358"/>
      <c r="FU55" s="385">
        <v>1251.4564263010345</v>
      </c>
      <c r="FV55" s="385">
        <f>5</f>
        <v>5</v>
      </c>
      <c r="FW55" s="358"/>
      <c r="FX55" s="385">
        <v>1251.4564263010345</v>
      </c>
      <c r="FY55" s="385">
        <f>5</f>
        <v>5</v>
      </c>
      <c r="FZ55" s="358"/>
      <c r="GA55" s="385">
        <v>1251.4564263010345</v>
      </c>
      <c r="GB55" s="385">
        <f>5</f>
        <v>5</v>
      </c>
      <c r="GC55" s="358"/>
      <c r="GD55" s="385">
        <v>1251.4564263010345</v>
      </c>
      <c r="GE55" s="385">
        <f>5</f>
        <v>5</v>
      </c>
      <c r="GF55" s="358"/>
      <c r="GG55" s="385">
        <v>1251.4564263010345</v>
      </c>
      <c r="GH55" s="385">
        <f>5</f>
        <v>5</v>
      </c>
      <c r="GI55" s="358"/>
      <c r="GJ55" s="385">
        <v>1251.4564263010345</v>
      </c>
      <c r="GK55" s="385">
        <f>5</f>
        <v>5</v>
      </c>
      <c r="GL55" s="358"/>
      <c r="GM55" s="385">
        <v>1251.4564263010345</v>
      </c>
      <c r="GN55" s="385">
        <f>5</f>
        <v>5</v>
      </c>
      <c r="GO55" s="358"/>
      <c r="GP55" s="385">
        <v>1251.4564263010345</v>
      </c>
      <c r="GQ55" s="385">
        <f>5</f>
        <v>5</v>
      </c>
      <c r="GR55" s="358"/>
      <c r="GS55" s="385">
        <v>1251.4564263010345</v>
      </c>
      <c r="GT55" s="385">
        <f>5</f>
        <v>5</v>
      </c>
      <c r="GU55" s="358"/>
      <c r="GV55" s="385">
        <v>1251.4564263010345</v>
      </c>
      <c r="GW55" s="385">
        <f>5</f>
        <v>5</v>
      </c>
      <c r="GX55" s="358"/>
      <c r="GY55" s="385">
        <v>1251.4564263010345</v>
      </c>
      <c r="GZ55" s="385">
        <f>5</f>
        <v>5</v>
      </c>
      <c r="HA55" s="358"/>
      <c r="HB55" s="385">
        <v>1251.4564263010345</v>
      </c>
      <c r="HC55" s="385">
        <f>5</f>
        <v>5</v>
      </c>
      <c r="HD55" s="358"/>
      <c r="HE55" s="387">
        <v>1251.4564263010345</v>
      </c>
      <c r="HF55" s="386">
        <f t="shared" si="15"/>
        <v>30</v>
      </c>
      <c r="HG55" s="358"/>
      <c r="HH55" s="387">
        <v>1251.4564263010345</v>
      </c>
      <c r="HI55" s="358"/>
      <c r="HJ55" s="387">
        <v>1251.4564263010345</v>
      </c>
      <c r="HK55" s="358"/>
      <c r="HL55" s="387">
        <v>1251.4564263010345</v>
      </c>
      <c r="HM55" s="358"/>
      <c r="HN55" s="387">
        <v>1251.4564263010345</v>
      </c>
      <c r="HO55" s="358"/>
      <c r="HP55" s="387">
        <v>1251.4564263010345</v>
      </c>
      <c r="HQ55" s="358"/>
      <c r="HR55" s="387">
        <v>1251.4564263010345</v>
      </c>
      <c r="HS55" s="358"/>
      <c r="HT55" s="387">
        <v>1251.4564263010345</v>
      </c>
      <c r="HU55" s="358"/>
      <c r="HV55" s="388">
        <v>1251.4564263010345</v>
      </c>
      <c r="HW55" s="358" t="s">
        <v>3310</v>
      </c>
      <c r="HX55" s="368">
        <v>1251.4564263010345</v>
      </c>
      <c r="HY55" s="358" t="s">
        <v>3310</v>
      </c>
      <c r="HZ55" s="368">
        <v>1251.4564263010345</v>
      </c>
      <c r="IA55" s="358" t="s">
        <v>3310</v>
      </c>
      <c r="IB55" s="368">
        <v>1251.4564263010345</v>
      </c>
      <c r="IC55" s="358" t="s">
        <v>3310</v>
      </c>
      <c r="ID55" s="357">
        <f>VLOOKUP($C55,'[15]Prix accès'!A:D,4,FALSE)</f>
        <v>1251.4564263010345</v>
      </c>
      <c r="IE55" s="361" t="s">
        <v>3310</v>
      </c>
      <c r="IF55" s="357">
        <f>VLOOKUP($C55,'[15]Prix accès'!$A:$D,4,FALSE)</f>
        <v>1251.4564263010345</v>
      </c>
      <c r="IG55" s="361" t="s">
        <v>3310</v>
      </c>
      <c r="IH55" s="357">
        <f>VLOOKUP($C55,'[15]Prix accès'!$A:$D,4,FALSE)</f>
        <v>1251.4564263010345</v>
      </c>
      <c r="II55" s="361" t="s">
        <v>3310</v>
      </c>
      <c r="IJ55" s="357">
        <f>VLOOKUP($C55,'[15]Prix accès'!$A:$D,4,FALSE)</f>
        <v>1251.4564263010345</v>
      </c>
      <c r="IK55" s="361" t="s">
        <v>3310</v>
      </c>
      <c r="IL55" s="357">
        <f>VLOOKUP($C55,'[15]Prix accès'!$A:$D,4,FALSE)</f>
        <v>1251.4564263010345</v>
      </c>
      <c r="IM55" s="361" t="s">
        <v>3310</v>
      </c>
      <c r="IN55" s="357">
        <f>VLOOKUP($C55,'[15]Prix accès'!$A:$D,4,FALSE)</f>
        <v>1251.4564263010345</v>
      </c>
      <c r="IO55" s="361" t="s">
        <v>3310</v>
      </c>
      <c r="IP55" s="428">
        <v>246.18814943626907</v>
      </c>
      <c r="IQ55" s="361" t="s">
        <v>3310</v>
      </c>
      <c r="IR55" s="400" t="s">
        <v>3337</v>
      </c>
      <c r="IS55" s="364" t="s">
        <v>77</v>
      </c>
      <c r="IT55" s="365">
        <v>43460</v>
      </c>
      <c r="IU55" s="371">
        <v>43466</v>
      </c>
      <c r="IV55" s="393"/>
      <c r="IW55" s="372">
        <f t="shared" si="11"/>
        <v>6</v>
      </c>
      <c r="IX55" s="373">
        <f t="shared" si="14"/>
        <v>41.031358239378179</v>
      </c>
      <c r="IY55" s="394">
        <f t="shared" si="13"/>
        <v>246.18814943626907</v>
      </c>
      <c r="IZ55" s="394"/>
      <c r="JA55" s="394"/>
    </row>
    <row r="56" spans="1:263" s="367" customFormat="1" ht="16.5" customHeight="1" x14ac:dyDescent="0.3">
      <c r="A56" s="354" t="s">
        <v>2735</v>
      </c>
      <c r="B56" s="411" t="s">
        <v>2748</v>
      </c>
      <c r="C56" s="436" t="s">
        <v>339</v>
      </c>
      <c r="D56" s="437">
        <v>1149</v>
      </c>
      <c r="E56" s="412">
        <v>44</v>
      </c>
      <c r="F56" s="412">
        <v>48</v>
      </c>
      <c r="G56" s="412">
        <v>5</v>
      </c>
      <c r="H56" s="438">
        <v>0</v>
      </c>
      <c r="I56" s="830">
        <f>1241</f>
        <v>1241</v>
      </c>
      <c r="J56" s="831">
        <f>5</f>
        <v>5</v>
      </c>
      <c r="K56" s="827"/>
      <c r="L56" s="831">
        <f>1241</f>
        <v>1241</v>
      </c>
      <c r="M56" s="831">
        <f>5</f>
        <v>5</v>
      </c>
      <c r="N56" s="827"/>
      <c r="O56" s="831">
        <f>1241</f>
        <v>1241</v>
      </c>
      <c r="P56" s="831">
        <f>5</f>
        <v>5</v>
      </c>
      <c r="Q56" s="827"/>
      <c r="R56" s="831">
        <f>1241</f>
        <v>1241</v>
      </c>
      <c r="S56" s="831">
        <f>5</f>
        <v>5</v>
      </c>
      <c r="T56" s="827"/>
      <c r="U56" s="831">
        <f>1241</f>
        <v>1241</v>
      </c>
      <c r="V56" s="831">
        <f>5</f>
        <v>5</v>
      </c>
      <c r="W56" s="827"/>
      <c r="X56" s="831">
        <f>1241</f>
        <v>1241</v>
      </c>
      <c r="Y56" s="831">
        <f>5</f>
        <v>5</v>
      </c>
      <c r="Z56" s="827"/>
      <c r="AA56" s="831">
        <f>1241</f>
        <v>1241</v>
      </c>
      <c r="AB56" s="831">
        <f>5</f>
        <v>5</v>
      </c>
      <c r="AC56" s="827"/>
      <c r="AD56" s="831">
        <f>1241</f>
        <v>1241</v>
      </c>
      <c r="AE56" s="831">
        <f>5</f>
        <v>5</v>
      </c>
      <c r="AF56" s="827"/>
      <c r="AG56" s="831">
        <f>1241</f>
        <v>1241</v>
      </c>
      <c r="AH56" s="831">
        <f>5</f>
        <v>5</v>
      </c>
      <c r="AI56" s="827"/>
      <c r="AJ56" s="831">
        <f>1241</f>
        <v>1241</v>
      </c>
      <c r="AK56" s="831">
        <f>5</f>
        <v>5</v>
      </c>
      <c r="AL56" s="827"/>
      <c r="AM56" s="831">
        <f>1241</f>
        <v>1241</v>
      </c>
      <c r="AN56" s="831">
        <f>5</f>
        <v>5</v>
      </c>
      <c r="AO56" s="827"/>
      <c r="AP56" s="831">
        <f>1241</f>
        <v>1241</v>
      </c>
      <c r="AQ56" s="831">
        <f>5</f>
        <v>5</v>
      </c>
      <c r="AR56" s="827"/>
      <c r="AS56" s="831">
        <f>1241</f>
        <v>1241</v>
      </c>
      <c r="AT56" s="831">
        <f>5</f>
        <v>5</v>
      </c>
      <c r="AU56" s="827"/>
      <c r="AV56" s="831">
        <f>1241</f>
        <v>1241</v>
      </c>
      <c r="AW56" s="831">
        <f>5</f>
        <v>5</v>
      </c>
      <c r="AX56" s="827"/>
      <c r="AY56" s="831">
        <f>1241</f>
        <v>1241</v>
      </c>
      <c r="AZ56" s="831">
        <f>5</f>
        <v>5</v>
      </c>
      <c r="BA56" s="358"/>
      <c r="BB56" s="385">
        <f>1241</f>
        <v>1241</v>
      </c>
      <c r="BC56" s="385">
        <f>5</f>
        <v>5</v>
      </c>
      <c r="BD56" s="358"/>
      <c r="BE56" s="385">
        <f>1241</f>
        <v>1241</v>
      </c>
      <c r="BF56" s="385">
        <f>5</f>
        <v>5</v>
      </c>
      <c r="BG56" s="358"/>
      <c r="BH56" s="385">
        <f>1241</f>
        <v>1241</v>
      </c>
      <c r="BI56" s="385">
        <f>5</f>
        <v>5</v>
      </c>
      <c r="BJ56" s="369"/>
      <c r="BK56" s="385">
        <f>1241</f>
        <v>1241</v>
      </c>
      <c r="BL56" s="385">
        <f>5</f>
        <v>5</v>
      </c>
      <c r="BM56" s="369"/>
      <c r="BN56" s="385">
        <f>1241</f>
        <v>1241</v>
      </c>
      <c r="BO56" s="385">
        <f>5</f>
        <v>5</v>
      </c>
      <c r="BP56" s="369"/>
      <c r="BQ56" s="385">
        <f>1241</f>
        <v>1241</v>
      </c>
      <c r="BR56" s="385">
        <f>5</f>
        <v>5</v>
      </c>
      <c r="BS56" s="369"/>
      <c r="BT56" s="385">
        <f>1241</f>
        <v>1241</v>
      </c>
      <c r="BU56" s="385">
        <f>5</f>
        <v>5</v>
      </c>
      <c r="BV56" s="369"/>
      <c r="BW56" s="386">
        <f>((1241-1055)/30.5)*28+1241</f>
        <v>1411.7540983606557</v>
      </c>
      <c r="BX56" s="386">
        <f>5</f>
        <v>5</v>
      </c>
      <c r="BY56" s="370"/>
      <c r="BZ56" s="385">
        <v>1055.0564263010344</v>
      </c>
      <c r="CA56" s="385">
        <f>5</f>
        <v>5</v>
      </c>
      <c r="CB56" s="358"/>
      <c r="CC56" s="385">
        <v>1055.0564263010344</v>
      </c>
      <c r="CD56" s="385">
        <f>5</f>
        <v>5</v>
      </c>
      <c r="CE56" s="358"/>
      <c r="CF56" s="385">
        <v>1055.0564263010344</v>
      </c>
      <c r="CG56" s="385">
        <f>5</f>
        <v>5</v>
      </c>
      <c r="CH56" s="358"/>
      <c r="CI56" s="385">
        <v>1055.0564263010344</v>
      </c>
      <c r="CJ56" s="385">
        <f>5</f>
        <v>5</v>
      </c>
      <c r="CK56" s="358"/>
      <c r="CL56" s="385">
        <v>1055.0564263010344</v>
      </c>
      <c r="CM56" s="385">
        <f>5</f>
        <v>5</v>
      </c>
      <c r="CN56" s="358"/>
      <c r="CO56" s="385">
        <v>1055.0564263010344</v>
      </c>
      <c r="CP56" s="385">
        <f>5</f>
        <v>5</v>
      </c>
      <c r="CQ56" s="358"/>
      <c r="CR56" s="385">
        <v>1055.0564263010344</v>
      </c>
      <c r="CS56" s="385">
        <f>5</f>
        <v>5</v>
      </c>
      <c r="CT56" s="358"/>
      <c r="CU56" s="385">
        <v>1055.0564263010344</v>
      </c>
      <c r="CV56" s="385">
        <f>5</f>
        <v>5</v>
      </c>
      <c r="CW56" s="358"/>
      <c r="CX56" s="385">
        <v>1055.0564263010344</v>
      </c>
      <c r="CY56" s="385">
        <f>5</f>
        <v>5</v>
      </c>
      <c r="CZ56" s="358"/>
      <c r="DA56" s="385">
        <v>1055.0564263010344</v>
      </c>
      <c r="DB56" s="385">
        <f>5</f>
        <v>5</v>
      </c>
      <c r="DC56" s="358"/>
      <c r="DD56" s="385">
        <v>1055.0564263010344</v>
      </c>
      <c r="DE56" s="385">
        <f>5</f>
        <v>5</v>
      </c>
      <c r="DF56" s="358"/>
      <c r="DG56" s="385">
        <v>1055.0564263010344</v>
      </c>
      <c r="DH56" s="385">
        <f>5</f>
        <v>5</v>
      </c>
      <c r="DI56" s="358"/>
      <c r="DJ56" s="385">
        <v>1055.0564263010344</v>
      </c>
      <c r="DK56" s="385">
        <f>5</f>
        <v>5</v>
      </c>
      <c r="DL56" s="358"/>
      <c r="DM56" s="385">
        <v>1055.0564263010344</v>
      </c>
      <c r="DN56" s="385">
        <f>5</f>
        <v>5</v>
      </c>
      <c r="DO56" s="358"/>
      <c r="DP56" s="385">
        <v>1055.0564263010344</v>
      </c>
      <c r="DQ56" s="385">
        <f>5</f>
        <v>5</v>
      </c>
      <c r="DR56" s="358"/>
      <c r="DS56" s="385">
        <v>1055.0564263010344</v>
      </c>
      <c r="DT56" s="385">
        <f>5</f>
        <v>5</v>
      </c>
      <c r="DU56" s="358"/>
      <c r="DV56" s="385">
        <v>1055.0564263010344</v>
      </c>
      <c r="DW56" s="385">
        <f>5</f>
        <v>5</v>
      </c>
      <c r="DX56" s="358"/>
      <c r="DY56" s="385">
        <v>1055.0564263010344</v>
      </c>
      <c r="DZ56" s="385">
        <f>5</f>
        <v>5</v>
      </c>
      <c r="EA56" s="358"/>
      <c r="EB56" s="385">
        <v>1055.0564263010344</v>
      </c>
      <c r="EC56" s="385">
        <f>5</f>
        <v>5</v>
      </c>
      <c r="ED56" s="358"/>
      <c r="EE56" s="385">
        <v>1055.0564263010344</v>
      </c>
      <c r="EF56" s="385">
        <f>5</f>
        <v>5</v>
      </c>
      <c r="EG56" s="358"/>
      <c r="EH56" s="385">
        <v>1055.0564263010344</v>
      </c>
      <c r="EI56" s="385">
        <f>5</f>
        <v>5</v>
      </c>
      <c r="EJ56" s="358"/>
      <c r="EK56" s="385">
        <v>1055.0564263010344</v>
      </c>
      <c r="EL56" s="385">
        <f>5</f>
        <v>5</v>
      </c>
      <c r="EM56" s="358"/>
      <c r="EN56" s="385">
        <v>1055.0564263010344</v>
      </c>
      <c r="EO56" s="385">
        <f>5</f>
        <v>5</v>
      </c>
      <c r="EP56" s="358"/>
      <c r="EQ56" s="385">
        <v>1055.0564263010344</v>
      </c>
      <c r="ER56" s="385">
        <f>5</f>
        <v>5</v>
      </c>
      <c r="ES56" s="358"/>
      <c r="ET56" s="385">
        <v>1055.0564263010344</v>
      </c>
      <c r="EU56" s="385">
        <f>5</f>
        <v>5</v>
      </c>
      <c r="EV56" s="358"/>
      <c r="EW56" s="385">
        <v>1055.0564263010344</v>
      </c>
      <c r="EX56" s="385">
        <f>5</f>
        <v>5</v>
      </c>
      <c r="EY56" s="358"/>
      <c r="EZ56" s="385">
        <v>1055.0564263010344</v>
      </c>
      <c r="FA56" s="385">
        <f>5</f>
        <v>5</v>
      </c>
      <c r="FB56" s="358"/>
      <c r="FC56" s="385">
        <v>1055.0564263010344</v>
      </c>
      <c r="FD56" s="385">
        <f>5</f>
        <v>5</v>
      </c>
      <c r="FE56" s="358"/>
      <c r="FF56" s="385">
        <v>1055.0564263010344</v>
      </c>
      <c r="FG56" s="385">
        <f>5</f>
        <v>5</v>
      </c>
      <c r="FH56" s="358"/>
      <c r="FI56" s="385">
        <v>1055.0564263010344</v>
      </c>
      <c r="FJ56" s="385">
        <f>5</f>
        <v>5</v>
      </c>
      <c r="FK56" s="358"/>
      <c r="FL56" s="385">
        <v>1055.0564263010344</v>
      </c>
      <c r="FM56" s="385">
        <f>5</f>
        <v>5</v>
      </c>
      <c r="FN56" s="358"/>
      <c r="FO56" s="385">
        <v>1055.0564263010344</v>
      </c>
      <c r="FP56" s="385">
        <f>5</f>
        <v>5</v>
      </c>
      <c r="FQ56" s="358"/>
      <c r="FR56" s="385">
        <v>1055.0564263010344</v>
      </c>
      <c r="FS56" s="385">
        <f>5</f>
        <v>5</v>
      </c>
      <c r="FT56" s="358"/>
      <c r="FU56" s="385">
        <v>1055.0564263010344</v>
      </c>
      <c r="FV56" s="385">
        <f>5</f>
        <v>5</v>
      </c>
      <c r="FW56" s="358"/>
      <c r="FX56" s="385">
        <v>1055.0564263010344</v>
      </c>
      <c r="FY56" s="385">
        <f>5</f>
        <v>5</v>
      </c>
      <c r="FZ56" s="358"/>
      <c r="GA56" s="385">
        <v>1055.0564263010344</v>
      </c>
      <c r="GB56" s="385">
        <f>5</f>
        <v>5</v>
      </c>
      <c r="GC56" s="358"/>
      <c r="GD56" s="385">
        <v>1055.0564263010344</v>
      </c>
      <c r="GE56" s="385">
        <f>5</f>
        <v>5</v>
      </c>
      <c r="GF56" s="358"/>
      <c r="GG56" s="385">
        <v>1055.0564263010344</v>
      </c>
      <c r="GH56" s="385">
        <f>5</f>
        <v>5</v>
      </c>
      <c r="GI56" s="358"/>
      <c r="GJ56" s="385">
        <v>1055.0564263010344</v>
      </c>
      <c r="GK56" s="385">
        <f>5</f>
        <v>5</v>
      </c>
      <c r="GL56" s="358"/>
      <c r="GM56" s="385">
        <v>1055.0564263010344</v>
      </c>
      <c r="GN56" s="385">
        <f>5</f>
        <v>5</v>
      </c>
      <c r="GO56" s="358"/>
      <c r="GP56" s="385">
        <v>1055.0564263010344</v>
      </c>
      <c r="GQ56" s="385">
        <f>5</f>
        <v>5</v>
      </c>
      <c r="GR56" s="358"/>
      <c r="GS56" s="385">
        <v>1055.0564263010344</v>
      </c>
      <c r="GT56" s="385">
        <f>5</f>
        <v>5</v>
      </c>
      <c r="GU56" s="358"/>
      <c r="GV56" s="385">
        <v>1055.0564263010344</v>
      </c>
      <c r="GW56" s="385">
        <f>5</f>
        <v>5</v>
      </c>
      <c r="GX56" s="358"/>
      <c r="GY56" s="385">
        <v>1055.0564263010344</v>
      </c>
      <c r="GZ56" s="385">
        <f>5</f>
        <v>5</v>
      </c>
      <c r="HA56" s="358"/>
      <c r="HB56" s="385">
        <v>1055.0564263010344</v>
      </c>
      <c r="HC56" s="385">
        <f>5</f>
        <v>5</v>
      </c>
      <c r="HD56" s="358"/>
      <c r="HE56" s="387">
        <v>1055.0564263010344</v>
      </c>
      <c r="HF56" s="386">
        <f t="shared" si="15"/>
        <v>30</v>
      </c>
      <c r="HG56" s="358"/>
      <c r="HH56" s="387">
        <v>1055.0564263010344</v>
      </c>
      <c r="HI56" s="358"/>
      <c r="HJ56" s="387">
        <v>1055.0564263010344</v>
      </c>
      <c r="HK56" s="358"/>
      <c r="HL56" s="387">
        <v>1055.0564263010344</v>
      </c>
      <c r="HM56" s="358"/>
      <c r="HN56" s="387">
        <v>1055.0564263010344</v>
      </c>
      <c r="HO56" s="358"/>
      <c r="HP56" s="387">
        <v>1055.0564263010344</v>
      </c>
      <c r="HQ56" s="358"/>
      <c r="HR56" s="387">
        <v>1055.0564263010344</v>
      </c>
      <c r="HS56" s="358"/>
      <c r="HT56" s="387">
        <v>1055.0564263010344</v>
      </c>
      <c r="HU56" s="358"/>
      <c r="HV56" s="388">
        <v>1055.0564263010344</v>
      </c>
      <c r="HW56" s="358" t="s">
        <v>3310</v>
      </c>
      <c r="HX56" s="368">
        <v>1055.0564263010344</v>
      </c>
      <c r="HY56" s="358" t="s">
        <v>3310</v>
      </c>
      <c r="HZ56" s="368">
        <v>1055.0564263010344</v>
      </c>
      <c r="IA56" s="358" t="s">
        <v>3310</v>
      </c>
      <c r="IB56" s="368">
        <v>1055.0564263010344</v>
      </c>
      <c r="IC56" s="358" t="s">
        <v>3310</v>
      </c>
      <c r="ID56" s="357">
        <f>VLOOKUP($C56,'[15]Prix accès'!A:D,4,FALSE)</f>
        <v>1055.0564263010344</v>
      </c>
      <c r="IE56" s="361" t="s">
        <v>3310</v>
      </c>
      <c r="IF56" s="357">
        <f>VLOOKUP($C56,'[15]Prix accès'!$A:$D,4,FALSE)</f>
        <v>1055.0564263010344</v>
      </c>
      <c r="IG56" s="361" t="s">
        <v>3310</v>
      </c>
      <c r="IH56" s="357">
        <f>VLOOKUP($C56,'[15]Prix accès'!$A:$D,4,FALSE)</f>
        <v>1055.0564263010344</v>
      </c>
      <c r="II56" s="361" t="s">
        <v>3310</v>
      </c>
      <c r="IJ56" s="357">
        <f>VLOOKUP($C56,'[15]Prix accès'!$A:$D,4,FALSE)</f>
        <v>1055.0564263010344</v>
      </c>
      <c r="IK56" s="361" t="s">
        <v>3310</v>
      </c>
      <c r="IL56" s="357">
        <f>VLOOKUP($C56,'[15]Prix accès'!$A:$D,4,FALSE)</f>
        <v>1055.0564263010344</v>
      </c>
      <c r="IM56" s="361" t="s">
        <v>3310</v>
      </c>
      <c r="IN56" s="357">
        <f>VLOOKUP($C56,'[15]Prix accès'!$A:$D,4,FALSE)</f>
        <v>1055.0564263010344</v>
      </c>
      <c r="IO56" s="361" t="s">
        <v>3310</v>
      </c>
      <c r="IP56" s="428">
        <v>172.96006988541549</v>
      </c>
      <c r="IQ56" s="361" t="s">
        <v>3310</v>
      </c>
      <c r="IR56" s="400" t="s">
        <v>3060</v>
      </c>
      <c r="IS56" s="364" t="s">
        <v>77</v>
      </c>
      <c r="IT56" s="365">
        <v>43461</v>
      </c>
      <c r="IU56" s="371">
        <v>43466</v>
      </c>
      <c r="IV56" s="393"/>
      <c r="IW56" s="372">
        <f t="shared" si="11"/>
        <v>5</v>
      </c>
      <c r="IX56" s="373">
        <f t="shared" si="14"/>
        <v>34.592013977083099</v>
      </c>
      <c r="IY56" s="394">
        <f t="shared" si="13"/>
        <v>172.96006988541549</v>
      </c>
      <c r="IZ56" s="394"/>
      <c r="JA56" s="394"/>
    </row>
    <row r="57" spans="1:263" s="367" customFormat="1" ht="16.5" customHeight="1" x14ac:dyDescent="0.3">
      <c r="A57" s="401" t="s">
        <v>3315</v>
      </c>
      <c r="B57" s="402" t="s">
        <v>3315</v>
      </c>
      <c r="C57" s="487" t="s">
        <v>1281</v>
      </c>
      <c r="D57" s="877"/>
      <c r="E57" s="878"/>
      <c r="F57" s="878"/>
      <c r="G57" s="878"/>
      <c r="H57" s="879"/>
      <c r="I57" s="853">
        <v>0</v>
      </c>
      <c r="J57" s="833">
        <v>0</v>
      </c>
      <c r="K57" s="833">
        <v>0</v>
      </c>
      <c r="L57" s="833">
        <v>0</v>
      </c>
      <c r="M57" s="833">
        <v>0</v>
      </c>
      <c r="N57" s="833">
        <v>0</v>
      </c>
      <c r="O57" s="833">
        <v>0</v>
      </c>
      <c r="P57" s="833">
        <v>0</v>
      </c>
      <c r="Q57" s="833">
        <v>0</v>
      </c>
      <c r="R57" s="833">
        <v>0</v>
      </c>
      <c r="S57" s="833">
        <v>0</v>
      </c>
      <c r="T57" s="833">
        <v>0</v>
      </c>
      <c r="U57" s="833">
        <v>0</v>
      </c>
      <c r="V57" s="833">
        <v>0</v>
      </c>
      <c r="W57" s="833">
        <v>0</v>
      </c>
      <c r="X57" s="833">
        <v>0</v>
      </c>
      <c r="Y57" s="833">
        <v>0</v>
      </c>
      <c r="Z57" s="833">
        <v>0</v>
      </c>
      <c r="AA57" s="833">
        <v>0</v>
      </c>
      <c r="AB57" s="833">
        <v>0</v>
      </c>
      <c r="AC57" s="833">
        <v>0</v>
      </c>
      <c r="AD57" s="833">
        <v>0</v>
      </c>
      <c r="AE57" s="833">
        <v>0</v>
      </c>
      <c r="AF57" s="833">
        <v>0</v>
      </c>
      <c r="AG57" s="833">
        <v>0</v>
      </c>
      <c r="AH57" s="833">
        <v>0</v>
      </c>
      <c r="AI57" s="833">
        <v>0</v>
      </c>
      <c r="AJ57" s="833">
        <v>0</v>
      </c>
      <c r="AK57" s="833">
        <v>0</v>
      </c>
      <c r="AL57" s="833">
        <v>0</v>
      </c>
      <c r="AM57" s="833">
        <v>0</v>
      </c>
      <c r="AN57" s="833">
        <v>0</v>
      </c>
      <c r="AO57" s="833">
        <v>0</v>
      </c>
      <c r="AP57" s="833">
        <v>0</v>
      </c>
      <c r="AQ57" s="833">
        <v>0</v>
      </c>
      <c r="AR57" s="833">
        <v>0</v>
      </c>
      <c r="AS57" s="833">
        <v>0</v>
      </c>
      <c r="AT57" s="833">
        <v>0</v>
      </c>
      <c r="AU57" s="833">
        <v>0</v>
      </c>
      <c r="AV57" s="833">
        <v>1218</v>
      </c>
      <c r="AW57" s="833">
        <v>5</v>
      </c>
      <c r="AX57" s="833">
        <v>65.615106286748087</v>
      </c>
      <c r="AY57" s="835">
        <v>1218</v>
      </c>
      <c r="AZ57" s="835">
        <v>5</v>
      </c>
      <c r="BA57" s="472">
        <v>65.615106286748087</v>
      </c>
      <c r="BB57" s="384">
        <v>1218</v>
      </c>
      <c r="BC57" s="384">
        <v>5</v>
      </c>
      <c r="BD57" s="472">
        <v>65.615106286748087</v>
      </c>
      <c r="BE57" s="384">
        <v>1218</v>
      </c>
      <c r="BF57" s="384">
        <v>5</v>
      </c>
      <c r="BG57" s="472">
        <v>65.615106286748087</v>
      </c>
      <c r="BH57" s="384">
        <v>1218</v>
      </c>
      <c r="BI57" s="384">
        <v>5</v>
      </c>
      <c r="BJ57" s="472">
        <v>65.615106286748087</v>
      </c>
      <c r="BK57" s="384">
        <v>1218</v>
      </c>
      <c r="BL57" s="384">
        <v>5</v>
      </c>
      <c r="BM57" s="472">
        <v>65.615106286748087</v>
      </c>
      <c r="BN57" s="384">
        <v>1218</v>
      </c>
      <c r="BO57" s="384">
        <v>5</v>
      </c>
      <c r="BP57" s="472">
        <v>65.615106286748087</v>
      </c>
      <c r="BQ57" s="386">
        <f>((1218-1867)/30.5)*10+1218</f>
        <v>1005.2131147540983</v>
      </c>
      <c r="BR57" s="386">
        <f>((5-108)/30.5)*10+5</f>
        <v>-28.770491803278688</v>
      </c>
      <c r="BS57" s="370">
        <v>65.615106286748087</v>
      </c>
      <c r="BT57" s="385">
        <v>1867.0564263010347</v>
      </c>
      <c r="BU57" s="385">
        <f>108</f>
        <v>108</v>
      </c>
      <c r="BV57" s="369">
        <v>65.615106286748087</v>
      </c>
      <c r="BW57" s="385">
        <v>1867.0564263010347</v>
      </c>
      <c r="BX57" s="385">
        <f>108</f>
        <v>108</v>
      </c>
      <c r="BY57" s="369">
        <v>65.615106286748087</v>
      </c>
      <c r="BZ57" s="385">
        <v>1867.0564263010347</v>
      </c>
      <c r="CA57" s="385">
        <f>108</f>
        <v>108</v>
      </c>
      <c r="CB57" s="369">
        <v>65.615106286748087</v>
      </c>
      <c r="CC57" s="385">
        <v>1867.0564263010347</v>
      </c>
      <c r="CD57" s="385">
        <f>108</f>
        <v>108</v>
      </c>
      <c r="CE57" s="369">
        <v>65.615106286748087</v>
      </c>
      <c r="CF57" s="385">
        <v>1867.0564263010347</v>
      </c>
      <c r="CG57" s="385">
        <f>108</f>
        <v>108</v>
      </c>
      <c r="CH57" s="369">
        <v>65.615106286748087</v>
      </c>
      <c r="CI57" s="385">
        <v>1867.0564263010347</v>
      </c>
      <c r="CJ57" s="385">
        <f>108</f>
        <v>108</v>
      </c>
      <c r="CK57" s="369">
        <v>65.615106286748087</v>
      </c>
      <c r="CL57" s="385">
        <v>1867.0564263010347</v>
      </c>
      <c r="CM57" s="385">
        <f>108</f>
        <v>108</v>
      </c>
      <c r="CN57" s="369">
        <v>65.615106286748087</v>
      </c>
      <c r="CO57" s="385">
        <v>1867.0564263010347</v>
      </c>
      <c r="CP57" s="385">
        <f>108</f>
        <v>108</v>
      </c>
      <c r="CQ57" s="369">
        <v>65.615106286748087</v>
      </c>
      <c r="CR57" s="385">
        <v>1867.0564263010347</v>
      </c>
      <c r="CS57" s="385">
        <f>108</f>
        <v>108</v>
      </c>
      <c r="CT57" s="369">
        <v>65.615106286748087</v>
      </c>
      <c r="CU57" s="385">
        <v>1867.0564263010347</v>
      </c>
      <c r="CV57" s="385">
        <f>108</f>
        <v>108</v>
      </c>
      <c r="CW57" s="369">
        <v>65.615106286748087</v>
      </c>
      <c r="CX57" s="385">
        <v>1867.0564263010347</v>
      </c>
      <c r="CY57" s="385">
        <f>108</f>
        <v>108</v>
      </c>
      <c r="CZ57" s="369">
        <v>65.615106286748087</v>
      </c>
      <c r="DA57" s="385">
        <v>1867.0564263010347</v>
      </c>
      <c r="DB57" s="385">
        <f>108</f>
        <v>108</v>
      </c>
      <c r="DC57" s="369">
        <v>65.615106286748087</v>
      </c>
      <c r="DD57" s="385">
        <v>1867.0564263010347</v>
      </c>
      <c r="DE57" s="385">
        <f>108</f>
        <v>108</v>
      </c>
      <c r="DF57" s="369">
        <v>65.615106286748087</v>
      </c>
      <c r="DG57" s="385">
        <v>1867.0564263010347</v>
      </c>
      <c r="DH57" s="385">
        <f>108</f>
        <v>108</v>
      </c>
      <c r="DI57" s="369">
        <v>65.615106286748087</v>
      </c>
      <c r="DJ57" s="385">
        <v>1867.0564263010347</v>
      </c>
      <c r="DK57" s="385">
        <f>108</f>
        <v>108</v>
      </c>
      <c r="DL57" s="369">
        <v>65.615106286748087</v>
      </c>
      <c r="DM57" s="385">
        <v>1867.0564263010347</v>
      </c>
      <c r="DN57" s="385">
        <f>108</f>
        <v>108</v>
      </c>
      <c r="DO57" s="369">
        <v>65.615106286748087</v>
      </c>
      <c r="DP57" s="385">
        <v>1867.0564263010347</v>
      </c>
      <c r="DQ57" s="385">
        <f>108</f>
        <v>108</v>
      </c>
      <c r="DR57" s="369">
        <v>65.615106286748087</v>
      </c>
      <c r="DS57" s="385">
        <v>1867.0564263010347</v>
      </c>
      <c r="DT57" s="385">
        <f>108</f>
        <v>108</v>
      </c>
      <c r="DU57" s="369">
        <v>65.615106286748087</v>
      </c>
      <c r="DV57" s="385">
        <v>1867.0564263010347</v>
      </c>
      <c r="DW57" s="385">
        <f>108</f>
        <v>108</v>
      </c>
      <c r="DX57" s="369">
        <v>65.615106286748087</v>
      </c>
      <c r="DY57" s="385">
        <v>1867.0564263010347</v>
      </c>
      <c r="DZ57" s="385">
        <f>108</f>
        <v>108</v>
      </c>
      <c r="EA57" s="369">
        <v>65.615106286748087</v>
      </c>
      <c r="EB57" s="385">
        <v>1867.0564263010347</v>
      </c>
      <c r="EC57" s="385">
        <f>108</f>
        <v>108</v>
      </c>
      <c r="ED57" s="369">
        <v>65.615106286748087</v>
      </c>
      <c r="EE57" s="385">
        <v>1867.0564263010347</v>
      </c>
      <c r="EF57" s="385">
        <f>108</f>
        <v>108</v>
      </c>
      <c r="EG57" s="369">
        <v>65.615106286748087</v>
      </c>
      <c r="EH57" s="385">
        <v>1867.0564263010347</v>
      </c>
      <c r="EI57" s="385">
        <f>108</f>
        <v>108</v>
      </c>
      <c r="EJ57" s="369">
        <v>65.615106286748087</v>
      </c>
      <c r="EK57" s="385">
        <v>1867.0564263010347</v>
      </c>
      <c r="EL57" s="385">
        <f>108</f>
        <v>108</v>
      </c>
      <c r="EM57" s="369">
        <v>65.615106286748087</v>
      </c>
      <c r="EN57" s="385">
        <v>1867.0564263010347</v>
      </c>
      <c r="EO57" s="385">
        <f>108</f>
        <v>108</v>
      </c>
      <c r="EP57" s="369">
        <v>65.615106286748087</v>
      </c>
      <c r="EQ57" s="385">
        <v>1867.0564263010347</v>
      </c>
      <c r="ER57" s="385">
        <f>108</f>
        <v>108</v>
      </c>
      <c r="ES57" s="369">
        <v>65.615106286748087</v>
      </c>
      <c r="ET57" s="385">
        <v>1867.0564263010347</v>
      </c>
      <c r="EU57" s="385">
        <f>108</f>
        <v>108</v>
      </c>
      <c r="EV57" s="369">
        <v>65.615106286748087</v>
      </c>
      <c r="EW57" s="385">
        <v>1867.0564263010347</v>
      </c>
      <c r="EX57" s="385">
        <f>108</f>
        <v>108</v>
      </c>
      <c r="EY57" s="369">
        <v>65.615106286748087</v>
      </c>
      <c r="EZ57" s="385">
        <v>1867.0564263010347</v>
      </c>
      <c r="FA57" s="385">
        <f>108</f>
        <v>108</v>
      </c>
      <c r="FB57" s="369">
        <v>65.615106286748087</v>
      </c>
      <c r="FC57" s="385">
        <v>1867.0564263010347</v>
      </c>
      <c r="FD57" s="385">
        <f>108</f>
        <v>108</v>
      </c>
      <c r="FE57" s="369">
        <v>65.615106286748087</v>
      </c>
      <c r="FF57" s="385">
        <v>1867.0564263010347</v>
      </c>
      <c r="FG57" s="385">
        <f>108</f>
        <v>108</v>
      </c>
      <c r="FH57" s="369">
        <v>65.615106286748087</v>
      </c>
      <c r="FI57" s="385">
        <v>1867.0564263010347</v>
      </c>
      <c r="FJ57" s="385">
        <f>108</f>
        <v>108</v>
      </c>
      <c r="FK57" s="369">
        <v>65.615106286748087</v>
      </c>
      <c r="FL57" s="385">
        <v>1867.0564263010347</v>
      </c>
      <c r="FM57" s="385">
        <f>108</f>
        <v>108</v>
      </c>
      <c r="FN57" s="369">
        <v>65.615106286748087</v>
      </c>
      <c r="FO57" s="385">
        <v>1867.0564263010347</v>
      </c>
      <c r="FP57" s="385">
        <f>108</f>
        <v>108</v>
      </c>
      <c r="FQ57" s="369">
        <v>65.615106286748087</v>
      </c>
      <c r="FR57" s="385">
        <v>1867.0564263010347</v>
      </c>
      <c r="FS57" s="385">
        <f>108</f>
        <v>108</v>
      </c>
      <c r="FT57" s="369">
        <v>65.615106286748087</v>
      </c>
      <c r="FU57" s="385">
        <v>1867.0564263010347</v>
      </c>
      <c r="FV57" s="385">
        <f>108</f>
        <v>108</v>
      </c>
      <c r="FW57" s="369">
        <v>65.615106286748087</v>
      </c>
      <c r="FX57" s="385">
        <v>1867.0564263010347</v>
      </c>
      <c r="FY57" s="385">
        <f>108</f>
        <v>108</v>
      </c>
      <c r="FZ57" s="369">
        <v>65.615106286748087</v>
      </c>
      <c r="GA57" s="385">
        <v>1867.0564263010347</v>
      </c>
      <c r="GB57" s="385">
        <f>108</f>
        <v>108</v>
      </c>
      <c r="GC57" s="369">
        <v>65.615106286748087</v>
      </c>
      <c r="GD57" s="385">
        <v>1867.0564263010347</v>
      </c>
      <c r="GE57" s="385">
        <f>108</f>
        <v>108</v>
      </c>
      <c r="GF57" s="369">
        <v>65.615106286748087</v>
      </c>
      <c r="GG57" s="385">
        <v>1867.0564263010347</v>
      </c>
      <c r="GH57" s="385">
        <f>108</f>
        <v>108</v>
      </c>
      <c r="GI57" s="369">
        <v>65.615106286748087</v>
      </c>
      <c r="GJ57" s="385">
        <v>1867.0564263010347</v>
      </c>
      <c r="GK57" s="385">
        <f>108</f>
        <v>108</v>
      </c>
      <c r="GL57" s="369">
        <v>65.615106286748087</v>
      </c>
      <c r="GM57" s="385">
        <v>1867.0564263010347</v>
      </c>
      <c r="GN57" s="385">
        <f>108</f>
        <v>108</v>
      </c>
      <c r="GO57" s="369">
        <v>65.615106286748087</v>
      </c>
      <c r="GP57" s="385">
        <v>1867.0564263010347</v>
      </c>
      <c r="GQ57" s="385">
        <f>108</f>
        <v>108</v>
      </c>
      <c r="GR57" s="369">
        <v>65.615106286748087</v>
      </c>
      <c r="GS57" s="385">
        <v>1867.0564263010347</v>
      </c>
      <c r="GT57" s="385">
        <f>108</f>
        <v>108</v>
      </c>
      <c r="GU57" s="369">
        <v>65.615106286748087</v>
      </c>
      <c r="GV57" s="385">
        <v>1867.0564263010347</v>
      </c>
      <c r="GW57" s="385">
        <f>108</f>
        <v>108</v>
      </c>
      <c r="GX57" s="369">
        <v>65.615106286748087</v>
      </c>
      <c r="GY57" s="385">
        <v>1867.0564263010347</v>
      </c>
      <c r="GZ57" s="385">
        <f>108</f>
        <v>108</v>
      </c>
      <c r="HA57" s="369">
        <v>65.615106286748087</v>
      </c>
      <c r="HB57" s="385">
        <v>1867.0564263010347</v>
      </c>
      <c r="HC57" s="385">
        <f>108</f>
        <v>108</v>
      </c>
      <c r="HD57" s="369">
        <v>65.615106286748087</v>
      </c>
      <c r="HE57" s="387">
        <v>1867.0564263010347</v>
      </c>
      <c r="HF57" s="386">
        <f>108*6</f>
        <v>648</v>
      </c>
      <c r="HG57" s="369">
        <v>65.615106286748087</v>
      </c>
      <c r="HH57" s="387">
        <v>1867.0564263010347</v>
      </c>
      <c r="HI57" s="369">
        <v>65.615106286748087</v>
      </c>
      <c r="HJ57" s="387">
        <v>1867.0564263010347</v>
      </c>
      <c r="HK57" s="369">
        <v>65.615106286748087</v>
      </c>
      <c r="HL57" s="387">
        <v>1867.0564263010347</v>
      </c>
      <c r="HM57" s="369">
        <v>65.615106286748087</v>
      </c>
      <c r="HN57" s="387">
        <v>1867.0564263010347</v>
      </c>
      <c r="HO57" s="369">
        <v>65.615106286748087</v>
      </c>
      <c r="HP57" s="387">
        <v>1867.0564263010347</v>
      </c>
      <c r="HQ57" s="369">
        <v>65.615106286748087</v>
      </c>
      <c r="HR57" s="387">
        <v>1867.0564263010347</v>
      </c>
      <c r="HS57" s="369">
        <v>65.615106286748087</v>
      </c>
      <c r="HT57" s="387">
        <v>1867.0564263010347</v>
      </c>
      <c r="HU57" s="369">
        <v>65.615106286748087</v>
      </c>
      <c r="HV57" s="388">
        <v>1867.0564263010347</v>
      </c>
      <c r="HW57" s="368">
        <v>66</v>
      </c>
      <c r="HX57" s="368">
        <v>1867.0564263010347</v>
      </c>
      <c r="HY57" s="368">
        <v>66</v>
      </c>
      <c r="HZ57" s="368">
        <v>1867.0564263010347</v>
      </c>
      <c r="IA57" s="368">
        <v>66</v>
      </c>
      <c r="IB57" s="368">
        <v>1867.0564263010347</v>
      </c>
      <c r="IC57" s="368">
        <v>66</v>
      </c>
      <c r="ID57" s="357">
        <f>VLOOKUP($C57,'[15]Prix accès'!A:D,4,FALSE)</f>
        <v>1867.0564263010347</v>
      </c>
      <c r="IE57" s="390">
        <v>66</v>
      </c>
      <c r="IF57" s="357">
        <f>VLOOKUP($C57,'[15]Prix accès'!$A:$D,4,FALSE)</f>
        <v>1867.0564263010347</v>
      </c>
      <c r="IG57" s="390">
        <v>66</v>
      </c>
      <c r="IH57" s="357">
        <f>VLOOKUP($C57,'[15]Prix accès'!$A:$D,4,FALSE)</f>
        <v>1867.0564263010347</v>
      </c>
      <c r="II57" s="390">
        <v>66</v>
      </c>
      <c r="IJ57" s="357">
        <f>VLOOKUP($C57,'[15]Prix accès'!$A:$D,4,FALSE)</f>
        <v>1867.0564263010347</v>
      </c>
      <c r="IK57" s="390">
        <v>66</v>
      </c>
      <c r="IL57" s="357">
        <f>VLOOKUP($C57,'[15]Prix accès'!$A:$D,4,FALSE)</f>
        <v>1867.0564263010347</v>
      </c>
      <c r="IM57" s="390">
        <v>66</v>
      </c>
      <c r="IN57" s="357">
        <f>VLOOKUP($C57,'[15]Prix accès'!$A:$D,4,FALSE)</f>
        <v>1867.0564263010347</v>
      </c>
      <c r="IO57" s="390">
        <v>66</v>
      </c>
      <c r="IP57" s="428">
        <v>306.0754098360656</v>
      </c>
      <c r="IQ57" s="409">
        <v>10.64516129032258</v>
      </c>
      <c r="IR57" s="410" t="s">
        <v>2774</v>
      </c>
      <c r="IS57" s="364" t="s">
        <v>77</v>
      </c>
      <c r="IT57" s="365">
        <v>43461</v>
      </c>
      <c r="IU57" s="371">
        <v>43466</v>
      </c>
      <c r="IV57" s="488">
        <v>45657</v>
      </c>
      <c r="IW57" s="372">
        <f t="shared" si="11"/>
        <v>5</v>
      </c>
      <c r="IX57" s="373">
        <f t="shared" si="14"/>
        <v>61.214964796755233</v>
      </c>
      <c r="IY57" s="394">
        <f t="shared" si="13"/>
        <v>306.07482398377618</v>
      </c>
      <c r="IZ57" s="394"/>
      <c r="JA57" s="394"/>
    </row>
    <row r="58" spans="1:263" s="367" customFormat="1" ht="16.5" customHeight="1" x14ac:dyDescent="0.3">
      <c r="A58" s="354" t="s">
        <v>2735</v>
      </c>
      <c r="B58" s="489" t="s">
        <v>2757</v>
      </c>
      <c r="C58" s="378" t="s">
        <v>751</v>
      </c>
      <c r="D58" s="880">
        <v>356</v>
      </c>
      <c r="E58" s="880">
        <v>27</v>
      </c>
      <c r="F58" s="880">
        <v>0</v>
      </c>
      <c r="G58" s="880">
        <v>3</v>
      </c>
      <c r="H58" s="445">
        <v>0</v>
      </c>
      <c r="I58" s="841">
        <v>383.21198185659011</v>
      </c>
      <c r="J58" s="831">
        <f>3</f>
        <v>3</v>
      </c>
      <c r="K58" s="827"/>
      <c r="L58" s="835">
        <v>383.21198185659011</v>
      </c>
      <c r="M58" s="831">
        <f>3</f>
        <v>3</v>
      </c>
      <c r="N58" s="827"/>
      <c r="O58" s="835">
        <v>383.21198185659011</v>
      </c>
      <c r="P58" s="831">
        <f>3</f>
        <v>3</v>
      </c>
      <c r="Q58" s="827"/>
      <c r="R58" s="835">
        <v>383.21198185659011</v>
      </c>
      <c r="S58" s="831">
        <f>3</f>
        <v>3</v>
      </c>
      <c r="T58" s="827"/>
      <c r="U58" s="835">
        <v>383.21198185659011</v>
      </c>
      <c r="V58" s="831">
        <f>3</f>
        <v>3</v>
      </c>
      <c r="W58" s="827"/>
      <c r="X58" s="835">
        <v>383.21198185659011</v>
      </c>
      <c r="Y58" s="831">
        <f>3</f>
        <v>3</v>
      </c>
      <c r="Z58" s="827"/>
      <c r="AA58" s="835">
        <v>383.21198185659011</v>
      </c>
      <c r="AB58" s="831">
        <f>3</f>
        <v>3</v>
      </c>
      <c r="AC58" s="827"/>
      <c r="AD58" s="835">
        <v>383.21198185659011</v>
      </c>
      <c r="AE58" s="831">
        <f>3</f>
        <v>3</v>
      </c>
      <c r="AF58" s="827"/>
      <c r="AG58" s="835">
        <v>383.21198185659011</v>
      </c>
      <c r="AH58" s="831">
        <f>3</f>
        <v>3</v>
      </c>
      <c r="AI58" s="827"/>
      <c r="AJ58" s="835">
        <v>383.21198185659011</v>
      </c>
      <c r="AK58" s="831">
        <f>3</f>
        <v>3</v>
      </c>
      <c r="AL58" s="827"/>
      <c r="AM58" s="835">
        <v>383.21198185659011</v>
      </c>
      <c r="AN58" s="831">
        <f>3</f>
        <v>3</v>
      </c>
      <c r="AO58" s="827"/>
      <c r="AP58" s="835">
        <v>383.21198185659011</v>
      </c>
      <c r="AQ58" s="831">
        <f>3</f>
        <v>3</v>
      </c>
      <c r="AR58" s="827"/>
      <c r="AS58" s="881">
        <v>383.21198185659011</v>
      </c>
      <c r="AT58" s="831">
        <f>3</f>
        <v>3</v>
      </c>
      <c r="AU58" s="827"/>
      <c r="AV58" s="831">
        <v>383.21198185659011</v>
      </c>
      <c r="AW58" s="831">
        <f>3</f>
        <v>3</v>
      </c>
      <c r="AX58" s="827"/>
      <c r="AY58" s="831">
        <v>383.21198185659011</v>
      </c>
      <c r="AZ58" s="831">
        <f>3</f>
        <v>3</v>
      </c>
      <c r="BA58" s="358"/>
      <c r="BB58" s="385">
        <v>383.21198185659011</v>
      </c>
      <c r="BC58" s="385">
        <f>3</f>
        <v>3</v>
      </c>
      <c r="BD58" s="358"/>
      <c r="BE58" s="385">
        <v>383.21198185659011</v>
      </c>
      <c r="BF58" s="385">
        <f>3</f>
        <v>3</v>
      </c>
      <c r="BG58" s="358"/>
      <c r="BH58" s="385">
        <v>383.21198185659011</v>
      </c>
      <c r="BI58" s="385">
        <f>3</f>
        <v>3</v>
      </c>
      <c r="BJ58" s="358"/>
      <c r="BK58" s="385">
        <v>383.21198185659011</v>
      </c>
      <c r="BL58" s="385">
        <f>3</f>
        <v>3</v>
      </c>
      <c r="BM58" s="358"/>
      <c r="BN58" s="385">
        <v>383.21198185659011</v>
      </c>
      <c r="BO58" s="385">
        <f>3</f>
        <v>3</v>
      </c>
      <c r="BP58" s="358"/>
      <c r="BQ58" s="385">
        <v>383.21198185659011</v>
      </c>
      <c r="BR58" s="385">
        <f>3</f>
        <v>3</v>
      </c>
      <c r="BS58" s="358"/>
      <c r="BT58" s="385">
        <v>383.21198185659011</v>
      </c>
      <c r="BU58" s="385">
        <f>3</f>
        <v>3</v>
      </c>
      <c r="BV58" s="358"/>
      <c r="BW58" s="385">
        <v>383.21198185659011</v>
      </c>
      <c r="BX58" s="385">
        <f>3</f>
        <v>3</v>
      </c>
      <c r="BY58" s="358"/>
      <c r="BZ58" s="385">
        <v>383.21198185659011</v>
      </c>
      <c r="CA58" s="385">
        <f>3</f>
        <v>3</v>
      </c>
      <c r="CB58" s="358"/>
      <c r="CC58" s="385">
        <v>383.21198185659011</v>
      </c>
      <c r="CD58" s="385">
        <f>3</f>
        <v>3</v>
      </c>
      <c r="CE58" s="358"/>
      <c r="CF58" s="385">
        <v>383.21198185659011</v>
      </c>
      <c r="CG58" s="385">
        <f>3</f>
        <v>3</v>
      </c>
      <c r="CH58" s="358"/>
      <c r="CI58" s="385">
        <v>383.21198185659011</v>
      </c>
      <c r="CJ58" s="385">
        <f>3</f>
        <v>3</v>
      </c>
      <c r="CK58" s="358"/>
      <c r="CL58" s="385">
        <v>383.21198185659011</v>
      </c>
      <c r="CM58" s="385">
        <f>3</f>
        <v>3</v>
      </c>
      <c r="CN58" s="358"/>
      <c r="CO58" s="385">
        <v>383.21198185659011</v>
      </c>
      <c r="CP58" s="385">
        <f>3</f>
        <v>3</v>
      </c>
      <c r="CQ58" s="358"/>
      <c r="CR58" s="385">
        <v>383.21198185659011</v>
      </c>
      <c r="CS58" s="385">
        <f>3</f>
        <v>3</v>
      </c>
      <c r="CT58" s="358"/>
      <c r="CU58" s="385">
        <v>383.21198185659011</v>
      </c>
      <c r="CV58" s="385">
        <f>3</f>
        <v>3</v>
      </c>
      <c r="CW58" s="358"/>
      <c r="CX58" s="385">
        <v>383.21198185659011</v>
      </c>
      <c r="CY58" s="385">
        <f>3</f>
        <v>3</v>
      </c>
      <c r="CZ58" s="358"/>
      <c r="DA58" s="385">
        <v>383.21198185659011</v>
      </c>
      <c r="DB58" s="385">
        <f>3</f>
        <v>3</v>
      </c>
      <c r="DC58" s="358"/>
      <c r="DD58" s="385">
        <v>383.21198185659011</v>
      </c>
      <c r="DE58" s="385">
        <f>3</f>
        <v>3</v>
      </c>
      <c r="DF58" s="358"/>
      <c r="DG58" s="385">
        <v>383.21198185659011</v>
      </c>
      <c r="DH58" s="385">
        <f>3</f>
        <v>3</v>
      </c>
      <c r="DI58" s="358"/>
      <c r="DJ58" s="385">
        <v>383.21198185659011</v>
      </c>
      <c r="DK58" s="385">
        <f>3</f>
        <v>3</v>
      </c>
      <c r="DL58" s="358"/>
      <c r="DM58" s="385">
        <v>383.21198185659011</v>
      </c>
      <c r="DN58" s="385">
        <f>3</f>
        <v>3</v>
      </c>
      <c r="DO58" s="358"/>
      <c r="DP58" s="385">
        <v>383.21198185659011</v>
      </c>
      <c r="DQ58" s="385">
        <f>3</f>
        <v>3</v>
      </c>
      <c r="DR58" s="358"/>
      <c r="DS58" s="385">
        <v>383.21198185659011</v>
      </c>
      <c r="DT58" s="385">
        <f>3</f>
        <v>3</v>
      </c>
      <c r="DU58" s="358"/>
      <c r="DV58" s="385">
        <v>383.21198185659011</v>
      </c>
      <c r="DW58" s="385">
        <f>3</f>
        <v>3</v>
      </c>
      <c r="DX58" s="358"/>
      <c r="DY58" s="385">
        <v>383.21198185659011</v>
      </c>
      <c r="DZ58" s="385">
        <f>3</f>
        <v>3</v>
      </c>
      <c r="EA58" s="358"/>
      <c r="EB58" s="385">
        <v>383.21198185659011</v>
      </c>
      <c r="EC58" s="385">
        <f>3</f>
        <v>3</v>
      </c>
      <c r="ED58" s="358"/>
      <c r="EE58" s="385">
        <v>383.21198185659011</v>
      </c>
      <c r="EF58" s="385">
        <f>3</f>
        <v>3</v>
      </c>
      <c r="EG58" s="358"/>
      <c r="EH58" s="385">
        <v>383.21198185659011</v>
      </c>
      <c r="EI58" s="385">
        <f>3</f>
        <v>3</v>
      </c>
      <c r="EJ58" s="358"/>
      <c r="EK58" s="385">
        <v>383.21198185659011</v>
      </c>
      <c r="EL58" s="385">
        <f>3</f>
        <v>3</v>
      </c>
      <c r="EM58" s="358"/>
      <c r="EN58" s="385">
        <v>383.21198185659011</v>
      </c>
      <c r="EO58" s="385">
        <f>3</f>
        <v>3</v>
      </c>
      <c r="EP58" s="358"/>
      <c r="EQ58" s="385">
        <v>383.21198185659011</v>
      </c>
      <c r="ER58" s="385">
        <f>3</f>
        <v>3</v>
      </c>
      <c r="ES58" s="358"/>
      <c r="ET58" s="385">
        <v>383.21198185659011</v>
      </c>
      <c r="EU58" s="385">
        <f>3</f>
        <v>3</v>
      </c>
      <c r="EV58" s="358"/>
      <c r="EW58" s="385">
        <v>383.21198185659011</v>
      </c>
      <c r="EX58" s="385">
        <f>3</f>
        <v>3</v>
      </c>
      <c r="EY58" s="358"/>
      <c r="EZ58" s="385">
        <v>383.21198185659011</v>
      </c>
      <c r="FA58" s="385">
        <f>3</f>
        <v>3</v>
      </c>
      <c r="FB58" s="358"/>
      <c r="FC58" s="385">
        <v>383.21198185659011</v>
      </c>
      <c r="FD58" s="385">
        <f>3</f>
        <v>3</v>
      </c>
      <c r="FE58" s="358"/>
      <c r="FF58" s="385">
        <v>383.21198185659011</v>
      </c>
      <c r="FG58" s="385">
        <f>3</f>
        <v>3</v>
      </c>
      <c r="FH58" s="358"/>
      <c r="FI58" s="385">
        <v>383.21198185659011</v>
      </c>
      <c r="FJ58" s="385">
        <f>3</f>
        <v>3</v>
      </c>
      <c r="FK58" s="358"/>
      <c r="FL58" s="385">
        <v>383.21198185659011</v>
      </c>
      <c r="FM58" s="385">
        <f>3</f>
        <v>3</v>
      </c>
      <c r="FN58" s="358"/>
      <c r="FO58" s="385">
        <v>383.21198185659011</v>
      </c>
      <c r="FP58" s="385">
        <f>3</f>
        <v>3</v>
      </c>
      <c r="FQ58" s="358"/>
      <c r="FR58" s="385">
        <v>383.21198185659011</v>
      </c>
      <c r="FS58" s="385">
        <f>3</f>
        <v>3</v>
      </c>
      <c r="FT58" s="358"/>
      <c r="FU58" s="385">
        <v>383.21198185659011</v>
      </c>
      <c r="FV58" s="385">
        <f>3</f>
        <v>3</v>
      </c>
      <c r="FW58" s="358"/>
      <c r="FX58" s="385">
        <v>383.21198185659011</v>
      </c>
      <c r="FY58" s="385">
        <f>3</f>
        <v>3</v>
      </c>
      <c r="FZ58" s="358"/>
      <c r="GA58" s="385">
        <v>383.21198185659011</v>
      </c>
      <c r="GB58" s="385">
        <f>3</f>
        <v>3</v>
      </c>
      <c r="GC58" s="358"/>
      <c r="GD58" s="385">
        <v>383.21198185659011</v>
      </c>
      <c r="GE58" s="385">
        <f>3</f>
        <v>3</v>
      </c>
      <c r="GF58" s="358"/>
      <c r="GG58" s="385">
        <v>383.21198185659011</v>
      </c>
      <c r="GH58" s="385">
        <f>3</f>
        <v>3</v>
      </c>
      <c r="GI58" s="358"/>
      <c r="GJ58" s="385">
        <v>383.21198185659011</v>
      </c>
      <c r="GK58" s="385">
        <f>3</f>
        <v>3</v>
      </c>
      <c r="GL58" s="358"/>
      <c r="GM58" s="385">
        <v>383.21198185659011</v>
      </c>
      <c r="GN58" s="385">
        <f>3</f>
        <v>3</v>
      </c>
      <c r="GO58" s="358"/>
      <c r="GP58" s="385">
        <v>383.21198185659011</v>
      </c>
      <c r="GQ58" s="385">
        <f>3</f>
        <v>3</v>
      </c>
      <c r="GR58" s="358"/>
      <c r="GS58" s="385">
        <v>383.21198185659011</v>
      </c>
      <c r="GT58" s="385">
        <f>3</f>
        <v>3</v>
      </c>
      <c r="GU58" s="358"/>
      <c r="GV58" s="385">
        <v>383.21198185659011</v>
      </c>
      <c r="GW58" s="385">
        <f>3</f>
        <v>3</v>
      </c>
      <c r="GX58" s="358"/>
      <c r="GY58" s="385">
        <v>383.21198185659011</v>
      </c>
      <c r="GZ58" s="385">
        <f>3</f>
        <v>3</v>
      </c>
      <c r="HA58" s="358"/>
      <c r="HB58" s="385">
        <v>383.21198185659011</v>
      </c>
      <c r="HC58" s="385">
        <f>3</f>
        <v>3</v>
      </c>
      <c r="HD58" s="358"/>
      <c r="HE58" s="387">
        <v>383.21198185659011</v>
      </c>
      <c r="HF58" s="386">
        <f>3*6</f>
        <v>18</v>
      </c>
      <c r="HG58" s="358"/>
      <c r="HH58" s="387">
        <v>383.21198185659011</v>
      </c>
      <c r="HI58" s="358"/>
      <c r="HJ58" s="387">
        <v>383.21198185659011</v>
      </c>
      <c r="HK58" s="358"/>
      <c r="HL58" s="387">
        <v>383.21198185659011</v>
      </c>
      <c r="HM58" s="358"/>
      <c r="HN58" s="387">
        <v>383.21198185659011</v>
      </c>
      <c r="HO58" s="358"/>
      <c r="HP58" s="387">
        <v>383.21198185659011</v>
      </c>
      <c r="HQ58" s="358"/>
      <c r="HR58" s="387">
        <v>383.21198185659011</v>
      </c>
      <c r="HS58" s="358"/>
      <c r="HT58" s="387">
        <v>383.21198185659011</v>
      </c>
      <c r="HU58" s="358"/>
      <c r="HV58" s="388">
        <v>383.21198185659011</v>
      </c>
      <c r="HW58" s="358" t="s">
        <v>3310</v>
      </c>
      <c r="HX58" s="368">
        <v>383.21198185659011</v>
      </c>
      <c r="HY58" s="358" t="s">
        <v>3310</v>
      </c>
      <c r="HZ58" s="368">
        <v>383.21198185659011</v>
      </c>
      <c r="IA58" s="358" t="s">
        <v>3310</v>
      </c>
      <c r="IB58" s="368">
        <v>383.21198185659011</v>
      </c>
      <c r="IC58" s="358" t="s">
        <v>3310</v>
      </c>
      <c r="ID58" s="357">
        <f>VLOOKUP($C58,'[15]Prix accès'!A:D,4,FALSE)</f>
        <v>383.21198185659011</v>
      </c>
      <c r="IE58" s="361" t="s">
        <v>3310</v>
      </c>
      <c r="IF58" s="357">
        <f>VLOOKUP($C58,'[15]Prix accès'!$A:$D,4,FALSE)</f>
        <v>383.21198185659011</v>
      </c>
      <c r="IG58" s="361" t="s">
        <v>3310</v>
      </c>
      <c r="IH58" s="357">
        <f>VLOOKUP($C58,'[15]Prix accès'!$A:$D,4,FALSE)</f>
        <v>383.21198185659011</v>
      </c>
      <c r="II58" s="361" t="s">
        <v>3310</v>
      </c>
      <c r="IJ58" s="357">
        <f>VLOOKUP($C58,'[15]Prix accès'!$A:$D,4,FALSE)</f>
        <v>383.21198185659011</v>
      </c>
      <c r="IK58" s="361" t="s">
        <v>3310</v>
      </c>
      <c r="IL58" s="357">
        <f>VLOOKUP($C58,'[15]Prix accès'!$A:$D,4,FALSE)</f>
        <v>383.21198185659011</v>
      </c>
      <c r="IM58" s="361" t="s">
        <v>3310</v>
      </c>
      <c r="IN58" s="357">
        <f>VLOOKUP($C58,'[15]Prix accès'!$A:$D,4,FALSE)</f>
        <v>383.21198185659011</v>
      </c>
      <c r="IO58" s="361" t="s">
        <v>3310</v>
      </c>
      <c r="IP58" s="428">
        <v>50.257309095946248</v>
      </c>
      <c r="IQ58" s="361" t="s">
        <v>3310</v>
      </c>
      <c r="IR58" s="400" t="s">
        <v>2865</v>
      </c>
      <c r="IS58" s="364" t="s">
        <v>77</v>
      </c>
      <c r="IT58" s="365">
        <v>43462</v>
      </c>
      <c r="IU58" s="371">
        <v>43466</v>
      </c>
      <c r="IV58" s="488">
        <v>45657</v>
      </c>
      <c r="IW58" s="372">
        <f t="shared" si="11"/>
        <v>4</v>
      </c>
      <c r="IX58" s="373">
        <f t="shared" si="14"/>
        <v>12.564327273986562</v>
      </c>
      <c r="IY58" s="394">
        <f t="shared" si="13"/>
        <v>50.257309095946248</v>
      </c>
      <c r="IZ58" s="394"/>
      <c r="JA58" s="394"/>
    </row>
    <row r="59" spans="1:263" s="367" customFormat="1" ht="16.5" customHeight="1" x14ac:dyDescent="0.3">
      <c r="A59" s="354" t="s">
        <v>2735</v>
      </c>
      <c r="B59" s="400" t="s">
        <v>2745</v>
      </c>
      <c r="C59" s="490" t="s">
        <v>770</v>
      </c>
      <c r="D59" s="491">
        <v>1628</v>
      </c>
      <c r="E59" s="492">
        <v>84</v>
      </c>
      <c r="F59" s="492">
        <v>0</v>
      </c>
      <c r="G59" s="492">
        <v>108</v>
      </c>
      <c r="H59" s="493">
        <v>0</v>
      </c>
      <c r="I59" s="841">
        <v>1712</v>
      </c>
      <c r="J59" s="835">
        <v>108</v>
      </c>
      <c r="K59" s="827"/>
      <c r="L59" s="835">
        <v>1712</v>
      </c>
      <c r="M59" s="835">
        <v>108</v>
      </c>
      <c r="N59" s="827"/>
      <c r="O59" s="835">
        <v>1712</v>
      </c>
      <c r="P59" s="835">
        <v>108</v>
      </c>
      <c r="Q59" s="827"/>
      <c r="R59" s="835">
        <v>1712</v>
      </c>
      <c r="S59" s="835">
        <v>108</v>
      </c>
      <c r="T59" s="827"/>
      <c r="U59" s="835">
        <v>1712</v>
      </c>
      <c r="V59" s="835">
        <v>108</v>
      </c>
      <c r="W59" s="827"/>
      <c r="X59" s="835">
        <v>1712</v>
      </c>
      <c r="Y59" s="835">
        <v>108</v>
      </c>
      <c r="Z59" s="827"/>
      <c r="AA59" s="835">
        <v>1712</v>
      </c>
      <c r="AB59" s="835">
        <v>108</v>
      </c>
      <c r="AC59" s="827"/>
      <c r="AD59" s="835">
        <v>1712</v>
      </c>
      <c r="AE59" s="835">
        <v>108</v>
      </c>
      <c r="AF59" s="827"/>
      <c r="AG59" s="835">
        <v>1712</v>
      </c>
      <c r="AH59" s="835">
        <v>108</v>
      </c>
      <c r="AI59" s="827"/>
      <c r="AJ59" s="835">
        <v>1712</v>
      </c>
      <c r="AK59" s="835">
        <v>108</v>
      </c>
      <c r="AL59" s="827"/>
      <c r="AM59" s="835">
        <v>1712</v>
      </c>
      <c r="AN59" s="835">
        <v>108</v>
      </c>
      <c r="AO59" s="827"/>
      <c r="AP59" s="835">
        <v>1712</v>
      </c>
      <c r="AQ59" s="835">
        <v>108</v>
      </c>
      <c r="AR59" s="827"/>
      <c r="AS59" s="835">
        <v>1712</v>
      </c>
      <c r="AT59" s="835">
        <v>108</v>
      </c>
      <c r="AU59" s="827"/>
      <c r="AV59" s="835">
        <v>1712</v>
      </c>
      <c r="AW59" s="835">
        <v>108</v>
      </c>
      <c r="AX59" s="827"/>
      <c r="AY59" s="835">
        <v>1712</v>
      </c>
      <c r="AZ59" s="835">
        <v>108</v>
      </c>
      <c r="BA59" s="358"/>
      <c r="BB59" s="384">
        <v>1712</v>
      </c>
      <c r="BC59" s="384">
        <v>108</v>
      </c>
      <c r="BD59" s="358"/>
      <c r="BE59" s="384">
        <v>1712</v>
      </c>
      <c r="BF59" s="384">
        <v>108</v>
      </c>
      <c r="BG59" s="358"/>
      <c r="BH59" s="384">
        <v>1712</v>
      </c>
      <c r="BI59" s="384">
        <v>108</v>
      </c>
      <c r="BJ59" s="472"/>
      <c r="BK59" s="386">
        <f>((1712-1235)/30.5)*28+1712</f>
        <v>2149.9016393442621</v>
      </c>
      <c r="BL59" s="386">
        <f>((108-5)/30.5)*28+108</f>
        <v>202.55737704918033</v>
      </c>
      <c r="BM59" s="370"/>
      <c r="BN59" s="386">
        <v>1712</v>
      </c>
      <c r="BO59" s="386">
        <v>108</v>
      </c>
      <c r="BP59" s="370"/>
      <c r="BQ59" s="384">
        <v>1235.4564263010345</v>
      </c>
      <c r="BR59" s="384">
        <f>5</f>
        <v>5</v>
      </c>
      <c r="BS59" s="472"/>
      <c r="BT59" s="384">
        <v>1235.4564263010345</v>
      </c>
      <c r="BU59" s="384">
        <f>5</f>
        <v>5</v>
      </c>
      <c r="BV59" s="472"/>
      <c r="BW59" s="384">
        <v>1235.4564263010345</v>
      </c>
      <c r="BX59" s="384">
        <f>5</f>
        <v>5</v>
      </c>
      <c r="BY59" s="472"/>
      <c r="BZ59" s="384">
        <v>1235.4564263010345</v>
      </c>
      <c r="CA59" s="384">
        <f>5</f>
        <v>5</v>
      </c>
      <c r="CB59" s="472"/>
      <c r="CC59" s="384">
        <v>1235.4564263010345</v>
      </c>
      <c r="CD59" s="384">
        <f>5</f>
        <v>5</v>
      </c>
      <c r="CE59" s="472"/>
      <c r="CF59" s="384">
        <v>1235.4564263010345</v>
      </c>
      <c r="CG59" s="384">
        <f>5</f>
        <v>5</v>
      </c>
      <c r="CH59" s="472"/>
      <c r="CI59" s="384">
        <v>1235.4564263010345</v>
      </c>
      <c r="CJ59" s="384">
        <f>5</f>
        <v>5</v>
      </c>
      <c r="CK59" s="472"/>
      <c r="CL59" s="384">
        <v>1235.4564263010345</v>
      </c>
      <c r="CM59" s="384">
        <f>5</f>
        <v>5</v>
      </c>
      <c r="CN59" s="472"/>
      <c r="CO59" s="384">
        <v>1235.4564263010345</v>
      </c>
      <c r="CP59" s="384">
        <f>5</f>
        <v>5</v>
      </c>
      <c r="CQ59" s="472"/>
      <c r="CR59" s="384">
        <v>1235.4564263010345</v>
      </c>
      <c r="CS59" s="384">
        <f>5</f>
        <v>5</v>
      </c>
      <c r="CT59" s="472"/>
      <c r="CU59" s="384">
        <v>1235.4564263010345</v>
      </c>
      <c r="CV59" s="384">
        <f>5</f>
        <v>5</v>
      </c>
      <c r="CW59" s="472"/>
      <c r="CX59" s="384">
        <v>1235.4564263010345</v>
      </c>
      <c r="CY59" s="384">
        <f>5</f>
        <v>5</v>
      </c>
      <c r="CZ59" s="472"/>
      <c r="DA59" s="384">
        <v>1235.4564263010345</v>
      </c>
      <c r="DB59" s="384">
        <f>5</f>
        <v>5</v>
      </c>
      <c r="DC59" s="472"/>
      <c r="DD59" s="384">
        <v>1235.4564263010345</v>
      </c>
      <c r="DE59" s="384">
        <f>5</f>
        <v>5</v>
      </c>
      <c r="DF59" s="472"/>
      <c r="DG59" s="384">
        <v>1235.4564263010345</v>
      </c>
      <c r="DH59" s="384">
        <f>5</f>
        <v>5</v>
      </c>
      <c r="DI59" s="472"/>
      <c r="DJ59" s="384">
        <v>1235.4564263010345</v>
      </c>
      <c r="DK59" s="384">
        <f>5</f>
        <v>5</v>
      </c>
      <c r="DL59" s="472"/>
      <c r="DM59" s="384">
        <v>1235.4564263010345</v>
      </c>
      <c r="DN59" s="384">
        <f>5</f>
        <v>5</v>
      </c>
      <c r="DO59" s="472"/>
      <c r="DP59" s="384">
        <v>1235.4564263010345</v>
      </c>
      <c r="DQ59" s="384">
        <f>5</f>
        <v>5</v>
      </c>
      <c r="DR59" s="472"/>
      <c r="DS59" s="384">
        <v>1235.4564263010345</v>
      </c>
      <c r="DT59" s="384">
        <f>5</f>
        <v>5</v>
      </c>
      <c r="DU59" s="472"/>
      <c r="DV59" s="384">
        <v>1235.4564263010345</v>
      </c>
      <c r="DW59" s="384">
        <f>5</f>
        <v>5</v>
      </c>
      <c r="DX59" s="472"/>
      <c r="DY59" s="384">
        <v>1235.4564263010345</v>
      </c>
      <c r="DZ59" s="384">
        <f>5</f>
        <v>5</v>
      </c>
      <c r="EA59" s="472"/>
      <c r="EB59" s="384">
        <v>1235.4564263010345</v>
      </c>
      <c r="EC59" s="384">
        <f>5</f>
        <v>5</v>
      </c>
      <c r="ED59" s="472"/>
      <c r="EE59" s="384">
        <v>1235.4564263010345</v>
      </c>
      <c r="EF59" s="384">
        <f>5</f>
        <v>5</v>
      </c>
      <c r="EG59" s="472"/>
      <c r="EH59" s="384">
        <v>1235.4564263010345</v>
      </c>
      <c r="EI59" s="384">
        <f>5</f>
        <v>5</v>
      </c>
      <c r="EJ59" s="472"/>
      <c r="EK59" s="384">
        <v>1235.4564263010345</v>
      </c>
      <c r="EL59" s="384">
        <f>5</f>
        <v>5</v>
      </c>
      <c r="EM59" s="472"/>
      <c r="EN59" s="384">
        <v>1235.4564263010345</v>
      </c>
      <c r="EO59" s="384">
        <f>5</f>
        <v>5</v>
      </c>
      <c r="EP59" s="472"/>
      <c r="EQ59" s="384">
        <v>1235.4564263010345</v>
      </c>
      <c r="ER59" s="384">
        <f>5</f>
        <v>5</v>
      </c>
      <c r="ES59" s="472"/>
      <c r="ET59" s="384">
        <v>1235.4564263010345</v>
      </c>
      <c r="EU59" s="384">
        <f>5</f>
        <v>5</v>
      </c>
      <c r="EV59" s="472"/>
      <c r="EW59" s="384">
        <v>1235.4564263010345</v>
      </c>
      <c r="EX59" s="384">
        <f>5</f>
        <v>5</v>
      </c>
      <c r="EY59" s="472"/>
      <c r="EZ59" s="384">
        <v>1235.4564263010345</v>
      </c>
      <c r="FA59" s="384">
        <f>5</f>
        <v>5</v>
      </c>
      <c r="FB59" s="472"/>
      <c r="FC59" s="384">
        <v>1235.4564263010345</v>
      </c>
      <c r="FD59" s="384">
        <f>5</f>
        <v>5</v>
      </c>
      <c r="FE59" s="472"/>
      <c r="FF59" s="384">
        <v>1235.4564263010345</v>
      </c>
      <c r="FG59" s="384">
        <f>5</f>
        <v>5</v>
      </c>
      <c r="FH59" s="472"/>
      <c r="FI59" s="384">
        <v>1235.4564263010345</v>
      </c>
      <c r="FJ59" s="384">
        <f>5</f>
        <v>5</v>
      </c>
      <c r="FK59" s="472"/>
      <c r="FL59" s="384">
        <v>1235.4564263010345</v>
      </c>
      <c r="FM59" s="384">
        <f>5</f>
        <v>5</v>
      </c>
      <c r="FN59" s="472"/>
      <c r="FO59" s="384">
        <v>1235.4564263010345</v>
      </c>
      <c r="FP59" s="384">
        <f>5</f>
        <v>5</v>
      </c>
      <c r="FQ59" s="472"/>
      <c r="FR59" s="384">
        <v>1235.4564263010345</v>
      </c>
      <c r="FS59" s="384">
        <f>5</f>
        <v>5</v>
      </c>
      <c r="FT59" s="472"/>
      <c r="FU59" s="385">
        <v>1235.4564263010345</v>
      </c>
      <c r="FV59" s="385">
        <f>5</f>
        <v>5</v>
      </c>
      <c r="FW59" s="358"/>
      <c r="FX59" s="385">
        <v>1235.4564263010345</v>
      </c>
      <c r="FY59" s="385">
        <f>5</f>
        <v>5</v>
      </c>
      <c r="FZ59" s="358"/>
      <c r="GA59" s="385">
        <v>1235.4564263010345</v>
      </c>
      <c r="GB59" s="385">
        <f>5</f>
        <v>5</v>
      </c>
      <c r="GC59" s="358"/>
      <c r="GD59" s="385">
        <v>1235.4564263010345</v>
      </c>
      <c r="GE59" s="385">
        <f>5</f>
        <v>5</v>
      </c>
      <c r="GF59" s="358"/>
      <c r="GG59" s="385">
        <v>1235.4564263010345</v>
      </c>
      <c r="GH59" s="385">
        <f>5</f>
        <v>5</v>
      </c>
      <c r="GI59" s="358"/>
      <c r="GJ59" s="385">
        <v>1235.4564263010345</v>
      </c>
      <c r="GK59" s="385">
        <f>5</f>
        <v>5</v>
      </c>
      <c r="GL59" s="358"/>
      <c r="GM59" s="385">
        <v>1235.4564263010345</v>
      </c>
      <c r="GN59" s="385">
        <f>5</f>
        <v>5</v>
      </c>
      <c r="GO59" s="358"/>
      <c r="GP59" s="385">
        <v>1235.4564263010345</v>
      </c>
      <c r="GQ59" s="385">
        <f>5</f>
        <v>5</v>
      </c>
      <c r="GR59" s="358"/>
      <c r="GS59" s="385">
        <v>1235.4564263010345</v>
      </c>
      <c r="GT59" s="385">
        <f>5</f>
        <v>5</v>
      </c>
      <c r="GU59" s="358"/>
      <c r="GV59" s="385">
        <v>1235.4564263010345</v>
      </c>
      <c r="GW59" s="385">
        <f>5</f>
        <v>5</v>
      </c>
      <c r="GX59" s="358"/>
      <c r="GY59" s="385">
        <v>1235.4564263010345</v>
      </c>
      <c r="GZ59" s="385">
        <f>5</f>
        <v>5</v>
      </c>
      <c r="HA59" s="358"/>
      <c r="HB59" s="385">
        <v>1235.4564263010345</v>
      </c>
      <c r="HC59" s="385">
        <f>5</f>
        <v>5</v>
      </c>
      <c r="HD59" s="358"/>
      <c r="HE59" s="387">
        <v>1235.4564263010345</v>
      </c>
      <c r="HF59" s="386">
        <f>5*6</f>
        <v>30</v>
      </c>
      <c r="HG59" s="358"/>
      <c r="HH59" s="387">
        <v>1235.4564263010345</v>
      </c>
      <c r="HI59" s="358"/>
      <c r="HJ59" s="387">
        <v>1235.4564263010345</v>
      </c>
      <c r="HK59" s="358"/>
      <c r="HL59" s="387">
        <v>1235.4564263010345</v>
      </c>
      <c r="HM59" s="358"/>
      <c r="HN59" s="387">
        <v>1235.4564263010345</v>
      </c>
      <c r="HO59" s="358"/>
      <c r="HP59" s="387">
        <v>1235.4564263010345</v>
      </c>
      <c r="HQ59" s="358"/>
      <c r="HR59" s="387">
        <v>1235.4564263010345</v>
      </c>
      <c r="HS59" s="358"/>
      <c r="HT59" s="387">
        <v>1235.4564263010345</v>
      </c>
      <c r="HU59" s="358"/>
      <c r="HV59" s="388">
        <v>1235.4564263010345</v>
      </c>
      <c r="HW59" s="358" t="s">
        <v>3310</v>
      </c>
      <c r="HX59" s="368">
        <v>1235.4564263010345</v>
      </c>
      <c r="HY59" s="358" t="s">
        <v>3310</v>
      </c>
      <c r="HZ59" s="368">
        <v>1235.4564263010345</v>
      </c>
      <c r="IA59" s="358" t="s">
        <v>3310</v>
      </c>
      <c r="IB59" s="368">
        <v>1235.4564263010345</v>
      </c>
      <c r="IC59" s="358" t="s">
        <v>3310</v>
      </c>
      <c r="ID59" s="357">
        <f>VLOOKUP($C59,'[15]Prix accès'!A:D,4,FALSE)</f>
        <v>1235.4564263010345</v>
      </c>
      <c r="IE59" s="361" t="s">
        <v>3310</v>
      </c>
      <c r="IF59" s="357">
        <f>VLOOKUP($C59,'[15]Prix accès'!$A:$D,4,FALSE)</f>
        <v>1235.4564263010345</v>
      </c>
      <c r="IG59" s="361" t="s">
        <v>3310</v>
      </c>
      <c r="IH59" s="357">
        <f>VLOOKUP($C59,'[15]Prix accès'!$A:$D,4,FALSE)</f>
        <v>1235.4564263010345</v>
      </c>
      <c r="II59" s="361" t="s">
        <v>3310</v>
      </c>
      <c r="IJ59" s="357">
        <f>VLOOKUP($C59,'[15]Prix accès'!$A:$D,4,FALSE)</f>
        <v>1235.4564263010345</v>
      </c>
      <c r="IK59" s="361" t="s">
        <v>3310</v>
      </c>
      <c r="IL59" s="357">
        <f>VLOOKUP($C59,'[15]Prix accès'!$A:$D,4,FALSE)</f>
        <v>1235.4564263010345</v>
      </c>
      <c r="IM59" s="361" t="s">
        <v>3310</v>
      </c>
      <c r="IN59" s="428">
        <v>688.61505728254383</v>
      </c>
      <c r="IO59" s="361"/>
      <c r="IP59" s="391"/>
      <c r="IQ59" s="361"/>
      <c r="IR59" s="494" t="s">
        <v>3338</v>
      </c>
      <c r="IS59" s="364" t="s">
        <v>77</v>
      </c>
      <c r="IT59" s="365">
        <v>43480</v>
      </c>
      <c r="IU59" s="371">
        <v>43497</v>
      </c>
      <c r="IV59" s="393"/>
      <c r="IW59" s="372">
        <f t="shared" si="11"/>
        <v>17</v>
      </c>
      <c r="IX59" s="373">
        <f t="shared" si="14"/>
        <v>40.506768075443752</v>
      </c>
      <c r="IY59" s="394">
        <f t="shared" si="13"/>
        <v>688.61505728254383</v>
      </c>
      <c r="IZ59" s="394"/>
      <c r="JA59" s="394"/>
    </row>
    <row r="60" spans="1:263" s="367" customFormat="1" ht="16.5" customHeight="1" x14ac:dyDescent="0.3">
      <c r="A60" s="401" t="s">
        <v>3315</v>
      </c>
      <c r="B60" s="402" t="s">
        <v>3315</v>
      </c>
      <c r="C60" s="441" t="s">
        <v>1257</v>
      </c>
      <c r="D60" s="860"/>
      <c r="E60" s="861"/>
      <c r="F60" s="861"/>
      <c r="G60" s="861"/>
      <c r="H60" s="862"/>
      <c r="I60" s="853">
        <v>0</v>
      </c>
      <c r="J60" s="833">
        <v>0</v>
      </c>
      <c r="K60" s="833">
        <v>0</v>
      </c>
      <c r="L60" s="833">
        <v>0</v>
      </c>
      <c r="M60" s="833">
        <v>0</v>
      </c>
      <c r="N60" s="833">
        <v>0</v>
      </c>
      <c r="O60" s="833">
        <v>0</v>
      </c>
      <c r="P60" s="833">
        <v>0</v>
      </c>
      <c r="Q60" s="833">
        <v>0</v>
      </c>
      <c r="R60" s="833">
        <v>0</v>
      </c>
      <c r="S60" s="833">
        <v>0</v>
      </c>
      <c r="T60" s="833">
        <v>0</v>
      </c>
      <c r="U60" s="833">
        <v>0</v>
      </c>
      <c r="V60" s="833">
        <v>0</v>
      </c>
      <c r="W60" s="833">
        <v>0</v>
      </c>
      <c r="X60" s="833">
        <v>0</v>
      </c>
      <c r="Y60" s="833">
        <v>0</v>
      </c>
      <c r="Z60" s="833">
        <v>0</v>
      </c>
      <c r="AA60" s="833">
        <v>0</v>
      </c>
      <c r="AB60" s="833">
        <v>0</v>
      </c>
      <c r="AC60" s="833">
        <v>0</v>
      </c>
      <c r="AD60" s="833">
        <v>0</v>
      </c>
      <c r="AE60" s="833">
        <v>0</v>
      </c>
      <c r="AF60" s="833">
        <v>0</v>
      </c>
      <c r="AG60" s="833">
        <v>0</v>
      </c>
      <c r="AH60" s="833">
        <v>0</v>
      </c>
      <c r="AI60" s="833">
        <v>0</v>
      </c>
      <c r="AJ60" s="833">
        <v>0</v>
      </c>
      <c r="AK60" s="833">
        <v>0</v>
      </c>
      <c r="AL60" s="833">
        <v>0</v>
      </c>
      <c r="AM60" s="833">
        <v>0</v>
      </c>
      <c r="AN60" s="833">
        <v>0</v>
      </c>
      <c r="AO60" s="833">
        <v>0</v>
      </c>
      <c r="AP60" s="833">
        <v>0</v>
      </c>
      <c r="AQ60" s="833">
        <v>0</v>
      </c>
      <c r="AR60" s="833">
        <v>0</v>
      </c>
      <c r="AS60" s="833">
        <v>0</v>
      </c>
      <c r="AT60" s="833">
        <v>0</v>
      </c>
      <c r="AU60" s="833">
        <v>0</v>
      </c>
      <c r="AV60" s="833">
        <v>1520</v>
      </c>
      <c r="AW60" s="833">
        <v>14</v>
      </c>
      <c r="AX60" s="833">
        <v>66</v>
      </c>
      <c r="AY60" s="835">
        <v>1520</v>
      </c>
      <c r="AZ60" s="835">
        <v>14</v>
      </c>
      <c r="BA60" s="472">
        <v>66</v>
      </c>
      <c r="BB60" s="384">
        <v>1520</v>
      </c>
      <c r="BC60" s="384">
        <v>14</v>
      </c>
      <c r="BD60" s="472">
        <v>66</v>
      </c>
      <c r="BE60" s="384">
        <v>1520</v>
      </c>
      <c r="BF60" s="384">
        <v>14</v>
      </c>
      <c r="BG60" s="472">
        <v>66</v>
      </c>
      <c r="BH60" s="384">
        <v>1520</v>
      </c>
      <c r="BI60" s="384">
        <v>14</v>
      </c>
      <c r="BJ60" s="472">
        <v>66</v>
      </c>
      <c r="BK60" s="384">
        <v>1520</v>
      </c>
      <c r="BL60" s="384">
        <v>14</v>
      </c>
      <c r="BM60" s="472">
        <v>66</v>
      </c>
      <c r="BN60" s="384">
        <v>1520</v>
      </c>
      <c r="BO60" s="384">
        <v>14</v>
      </c>
      <c r="BP60" s="472">
        <v>66</v>
      </c>
      <c r="BQ60" s="386">
        <f>((1520-1867)/30.5)*2+1520</f>
        <v>1497.2459016393443</v>
      </c>
      <c r="BR60" s="386">
        <f>((14-108)/30.5)*2+14</f>
        <v>7.8360655737704921</v>
      </c>
      <c r="BS60" s="370">
        <v>66</v>
      </c>
      <c r="BT60" s="385">
        <v>1867.0564263010347</v>
      </c>
      <c r="BU60" s="385">
        <f>108</f>
        <v>108</v>
      </c>
      <c r="BV60" s="369">
        <v>66</v>
      </c>
      <c r="BW60" s="385">
        <v>1867.0564263010347</v>
      </c>
      <c r="BX60" s="385">
        <f>108</f>
        <v>108</v>
      </c>
      <c r="BY60" s="369">
        <v>66</v>
      </c>
      <c r="BZ60" s="385">
        <v>1867.0564263010347</v>
      </c>
      <c r="CA60" s="385">
        <f>108</f>
        <v>108</v>
      </c>
      <c r="CB60" s="369">
        <v>66</v>
      </c>
      <c r="CC60" s="385">
        <v>1867.0564263010347</v>
      </c>
      <c r="CD60" s="385">
        <f>108</f>
        <v>108</v>
      </c>
      <c r="CE60" s="369">
        <v>66</v>
      </c>
      <c r="CF60" s="385">
        <v>1867.0564263010347</v>
      </c>
      <c r="CG60" s="385">
        <f>108</f>
        <v>108</v>
      </c>
      <c r="CH60" s="369">
        <v>66</v>
      </c>
      <c r="CI60" s="385">
        <v>1867.0564263010347</v>
      </c>
      <c r="CJ60" s="385">
        <f>108</f>
        <v>108</v>
      </c>
      <c r="CK60" s="369">
        <v>66</v>
      </c>
      <c r="CL60" s="385">
        <v>1867.0564263010347</v>
      </c>
      <c r="CM60" s="385">
        <f>108</f>
        <v>108</v>
      </c>
      <c r="CN60" s="369">
        <v>66</v>
      </c>
      <c r="CO60" s="385">
        <v>1867.0564263010347</v>
      </c>
      <c r="CP60" s="385">
        <f>108</f>
        <v>108</v>
      </c>
      <c r="CQ60" s="369">
        <v>66</v>
      </c>
      <c r="CR60" s="385">
        <v>1867.0564263010347</v>
      </c>
      <c r="CS60" s="385">
        <f>108</f>
        <v>108</v>
      </c>
      <c r="CT60" s="369">
        <v>66</v>
      </c>
      <c r="CU60" s="385">
        <v>1867.0564263010347</v>
      </c>
      <c r="CV60" s="385">
        <f>108</f>
        <v>108</v>
      </c>
      <c r="CW60" s="369">
        <v>66</v>
      </c>
      <c r="CX60" s="385">
        <v>1867.0564263010347</v>
      </c>
      <c r="CY60" s="385">
        <f>108</f>
        <v>108</v>
      </c>
      <c r="CZ60" s="369">
        <v>66</v>
      </c>
      <c r="DA60" s="385">
        <v>1867.0564263010347</v>
      </c>
      <c r="DB60" s="385">
        <f>108</f>
        <v>108</v>
      </c>
      <c r="DC60" s="369">
        <v>66</v>
      </c>
      <c r="DD60" s="385">
        <v>1867.0564263010347</v>
      </c>
      <c r="DE60" s="385">
        <f>108</f>
        <v>108</v>
      </c>
      <c r="DF60" s="369">
        <v>66</v>
      </c>
      <c r="DG60" s="385">
        <v>1867.0564263010347</v>
      </c>
      <c r="DH60" s="385">
        <f>108</f>
        <v>108</v>
      </c>
      <c r="DI60" s="369">
        <v>66</v>
      </c>
      <c r="DJ60" s="385">
        <v>1867.0564263010347</v>
      </c>
      <c r="DK60" s="385">
        <f>108</f>
        <v>108</v>
      </c>
      <c r="DL60" s="369">
        <v>66</v>
      </c>
      <c r="DM60" s="385">
        <v>1867.0564263010347</v>
      </c>
      <c r="DN60" s="385">
        <f>108</f>
        <v>108</v>
      </c>
      <c r="DO60" s="369">
        <v>66</v>
      </c>
      <c r="DP60" s="385">
        <v>1867.0564263010347</v>
      </c>
      <c r="DQ60" s="385">
        <f>108</f>
        <v>108</v>
      </c>
      <c r="DR60" s="369">
        <v>66</v>
      </c>
      <c r="DS60" s="385">
        <v>1867.0564263010347</v>
      </c>
      <c r="DT60" s="385">
        <f>108</f>
        <v>108</v>
      </c>
      <c r="DU60" s="369">
        <v>66</v>
      </c>
      <c r="DV60" s="385">
        <v>1867.0564263010347</v>
      </c>
      <c r="DW60" s="385">
        <f>108</f>
        <v>108</v>
      </c>
      <c r="DX60" s="369">
        <v>66</v>
      </c>
      <c r="DY60" s="385">
        <v>1867.0564263010347</v>
      </c>
      <c r="DZ60" s="385">
        <f>108</f>
        <v>108</v>
      </c>
      <c r="EA60" s="369">
        <v>66</v>
      </c>
      <c r="EB60" s="385">
        <v>1867.0564263010347</v>
      </c>
      <c r="EC60" s="385">
        <f>108</f>
        <v>108</v>
      </c>
      <c r="ED60" s="369">
        <v>66</v>
      </c>
      <c r="EE60" s="385">
        <v>1867.0564263010347</v>
      </c>
      <c r="EF60" s="385">
        <f>108</f>
        <v>108</v>
      </c>
      <c r="EG60" s="369">
        <v>66</v>
      </c>
      <c r="EH60" s="385">
        <v>1867.0564263010347</v>
      </c>
      <c r="EI60" s="385">
        <f>108</f>
        <v>108</v>
      </c>
      <c r="EJ60" s="369">
        <v>66</v>
      </c>
      <c r="EK60" s="385">
        <v>1867.0564263010347</v>
      </c>
      <c r="EL60" s="385">
        <f>108</f>
        <v>108</v>
      </c>
      <c r="EM60" s="369">
        <v>66</v>
      </c>
      <c r="EN60" s="385">
        <v>1867.0564263010347</v>
      </c>
      <c r="EO60" s="385">
        <f>108</f>
        <v>108</v>
      </c>
      <c r="EP60" s="369">
        <v>66</v>
      </c>
      <c r="EQ60" s="385">
        <v>1867.0564263010347</v>
      </c>
      <c r="ER60" s="385">
        <f>108</f>
        <v>108</v>
      </c>
      <c r="ES60" s="369">
        <v>66</v>
      </c>
      <c r="ET60" s="385">
        <v>1867.0564263010347</v>
      </c>
      <c r="EU60" s="385">
        <f>108</f>
        <v>108</v>
      </c>
      <c r="EV60" s="369">
        <v>66</v>
      </c>
      <c r="EW60" s="385">
        <v>1867.0564263010347</v>
      </c>
      <c r="EX60" s="385">
        <f>108</f>
        <v>108</v>
      </c>
      <c r="EY60" s="369">
        <v>66</v>
      </c>
      <c r="EZ60" s="385">
        <v>1867.0564263010347</v>
      </c>
      <c r="FA60" s="385">
        <f>108</f>
        <v>108</v>
      </c>
      <c r="FB60" s="369">
        <v>66</v>
      </c>
      <c r="FC60" s="385">
        <v>1867.0564263010347</v>
      </c>
      <c r="FD60" s="385">
        <f>108</f>
        <v>108</v>
      </c>
      <c r="FE60" s="369">
        <v>66</v>
      </c>
      <c r="FF60" s="385">
        <v>1867.0564263010347</v>
      </c>
      <c r="FG60" s="385">
        <f>108</f>
        <v>108</v>
      </c>
      <c r="FH60" s="369">
        <v>66</v>
      </c>
      <c r="FI60" s="385">
        <v>1867.0564263010347</v>
      </c>
      <c r="FJ60" s="385">
        <f>108</f>
        <v>108</v>
      </c>
      <c r="FK60" s="369">
        <v>66</v>
      </c>
      <c r="FL60" s="385">
        <v>1867.0564263010347</v>
      </c>
      <c r="FM60" s="385">
        <f>108</f>
        <v>108</v>
      </c>
      <c r="FN60" s="369">
        <v>66</v>
      </c>
      <c r="FO60" s="385">
        <v>1867.0564263010347</v>
      </c>
      <c r="FP60" s="385">
        <f>108</f>
        <v>108</v>
      </c>
      <c r="FQ60" s="369">
        <v>66</v>
      </c>
      <c r="FR60" s="385">
        <v>1867.0564263010347</v>
      </c>
      <c r="FS60" s="385">
        <f>108</f>
        <v>108</v>
      </c>
      <c r="FT60" s="369">
        <v>66</v>
      </c>
      <c r="FU60" s="385">
        <v>1867.0564263010347</v>
      </c>
      <c r="FV60" s="385">
        <f>108</f>
        <v>108</v>
      </c>
      <c r="FW60" s="369">
        <v>66</v>
      </c>
      <c r="FX60" s="385">
        <v>1867.0564263010347</v>
      </c>
      <c r="FY60" s="385">
        <f>108</f>
        <v>108</v>
      </c>
      <c r="FZ60" s="369">
        <v>66</v>
      </c>
      <c r="GA60" s="385">
        <v>1867.0564263010347</v>
      </c>
      <c r="GB60" s="385">
        <f>108</f>
        <v>108</v>
      </c>
      <c r="GC60" s="369">
        <v>66</v>
      </c>
      <c r="GD60" s="385">
        <v>1867.0564263010347</v>
      </c>
      <c r="GE60" s="385">
        <f>108</f>
        <v>108</v>
      </c>
      <c r="GF60" s="369">
        <v>66</v>
      </c>
      <c r="GG60" s="385">
        <v>1867.0564263010347</v>
      </c>
      <c r="GH60" s="385">
        <f>108</f>
        <v>108</v>
      </c>
      <c r="GI60" s="369">
        <v>66</v>
      </c>
      <c r="GJ60" s="385">
        <v>1867.0564263010347</v>
      </c>
      <c r="GK60" s="385">
        <f>108</f>
        <v>108</v>
      </c>
      <c r="GL60" s="369">
        <v>66</v>
      </c>
      <c r="GM60" s="385">
        <v>1867.0564263010347</v>
      </c>
      <c r="GN60" s="385">
        <f>108</f>
        <v>108</v>
      </c>
      <c r="GO60" s="369">
        <v>66</v>
      </c>
      <c r="GP60" s="385">
        <v>1867.0564263010347</v>
      </c>
      <c r="GQ60" s="385">
        <f>108</f>
        <v>108</v>
      </c>
      <c r="GR60" s="369">
        <v>66</v>
      </c>
      <c r="GS60" s="385">
        <v>1867.0564263010347</v>
      </c>
      <c r="GT60" s="385">
        <f>108</f>
        <v>108</v>
      </c>
      <c r="GU60" s="369">
        <v>66</v>
      </c>
      <c r="GV60" s="385">
        <v>1867.0564263010347</v>
      </c>
      <c r="GW60" s="385">
        <f>108</f>
        <v>108</v>
      </c>
      <c r="GX60" s="369">
        <v>66</v>
      </c>
      <c r="GY60" s="385">
        <v>1867.0564263010347</v>
      </c>
      <c r="GZ60" s="385">
        <f>108</f>
        <v>108</v>
      </c>
      <c r="HA60" s="369">
        <v>66</v>
      </c>
      <c r="HB60" s="385">
        <v>1867.0564263010347</v>
      </c>
      <c r="HC60" s="385">
        <f>108</f>
        <v>108</v>
      </c>
      <c r="HD60" s="369">
        <v>66</v>
      </c>
      <c r="HE60" s="387">
        <v>1867.0564263010347</v>
      </c>
      <c r="HF60" s="386">
        <f>108*6</f>
        <v>648</v>
      </c>
      <c r="HG60" s="369">
        <v>66</v>
      </c>
      <c r="HH60" s="387">
        <v>1867.0564263010347</v>
      </c>
      <c r="HI60" s="369">
        <v>66</v>
      </c>
      <c r="HJ60" s="387">
        <v>1867.0564263010347</v>
      </c>
      <c r="HK60" s="369">
        <v>66</v>
      </c>
      <c r="HL60" s="387">
        <v>1867.0564263010347</v>
      </c>
      <c r="HM60" s="369">
        <v>66</v>
      </c>
      <c r="HN60" s="387">
        <v>1867.0564263010347</v>
      </c>
      <c r="HO60" s="369">
        <v>66</v>
      </c>
      <c r="HP60" s="387">
        <v>1867.0564263010347</v>
      </c>
      <c r="HQ60" s="369">
        <v>66</v>
      </c>
      <c r="HR60" s="387">
        <v>1867.0564263010347</v>
      </c>
      <c r="HS60" s="369">
        <v>66</v>
      </c>
      <c r="HT60" s="387">
        <v>1867.0564263010347</v>
      </c>
      <c r="HU60" s="369">
        <v>66</v>
      </c>
      <c r="HV60" s="388">
        <v>1867.0564263010347</v>
      </c>
      <c r="HW60" s="368">
        <v>65.615106286748087</v>
      </c>
      <c r="HX60" s="368">
        <v>1867.0564263010347</v>
      </c>
      <c r="HY60" s="368">
        <v>65.615106286748087</v>
      </c>
      <c r="HZ60" s="368">
        <v>1867.0564263010347</v>
      </c>
      <c r="IA60" s="368">
        <v>65.615106286748087</v>
      </c>
      <c r="IB60" s="368">
        <v>1867.0564263010347</v>
      </c>
      <c r="IC60" s="368">
        <v>65.615106286748087</v>
      </c>
      <c r="ID60" s="357">
        <f>VLOOKUP($C60,'[15]Prix accès'!A:D,4,FALSE)</f>
        <v>1867.0564263010347</v>
      </c>
      <c r="IE60" s="435">
        <v>65.615106286748087</v>
      </c>
      <c r="IF60" s="357">
        <f>VLOOKUP($C60,'[15]Prix accès'!$A:$D,4,FALSE)</f>
        <v>1867.0564263010347</v>
      </c>
      <c r="IG60" s="435">
        <v>65.615106286748087</v>
      </c>
      <c r="IH60" s="357">
        <f>VLOOKUP($C60,'[15]Prix accès'!$A:$D,4,FALSE)</f>
        <v>1867.0564263010347</v>
      </c>
      <c r="II60" s="435">
        <v>65.615106286748087</v>
      </c>
      <c r="IJ60" s="357">
        <f>VLOOKUP($C60,'[15]Prix accès'!$A:$D,4,FALSE)</f>
        <v>1867.0564263010347</v>
      </c>
      <c r="IK60" s="407">
        <v>66</v>
      </c>
      <c r="IL60" s="357">
        <f>VLOOKUP($C60,'[15]Prix accès'!$A:$D,4,FALSE)</f>
        <v>1867.0564263010347</v>
      </c>
      <c r="IM60" s="407">
        <v>66</v>
      </c>
      <c r="IN60" s="428">
        <v>697.16789145283212</v>
      </c>
      <c r="IO60" s="409">
        <v>23.419354838709676</v>
      </c>
      <c r="IP60" s="391"/>
      <c r="IQ60" s="361"/>
      <c r="IR60" s="494" t="s">
        <v>3339</v>
      </c>
      <c r="IS60" s="364" t="s">
        <v>77</v>
      </c>
      <c r="IT60" s="365">
        <v>43486</v>
      </c>
      <c r="IU60" s="371">
        <v>43497</v>
      </c>
      <c r="IV60" s="488">
        <v>45657</v>
      </c>
      <c r="IW60" s="372">
        <f t="shared" si="11"/>
        <v>11</v>
      </c>
      <c r="IX60" s="373">
        <f t="shared" si="14"/>
        <v>61.214964796755233</v>
      </c>
      <c r="IY60" s="394">
        <f t="shared" si="13"/>
        <v>673.36461276430759</v>
      </c>
      <c r="IZ60" s="394"/>
      <c r="JA60" s="394"/>
    </row>
    <row r="61" spans="1:263" s="367" customFormat="1" ht="16.5" customHeight="1" x14ac:dyDescent="0.3">
      <c r="A61" s="401" t="s">
        <v>3315</v>
      </c>
      <c r="B61" s="402" t="s">
        <v>3315</v>
      </c>
      <c r="C61" s="441" t="s">
        <v>3340</v>
      </c>
      <c r="D61" s="860"/>
      <c r="E61" s="861"/>
      <c r="F61" s="861"/>
      <c r="G61" s="861"/>
      <c r="H61" s="862"/>
      <c r="I61" s="853">
        <v>0</v>
      </c>
      <c r="J61" s="833">
        <v>0</v>
      </c>
      <c r="K61" s="833">
        <v>0</v>
      </c>
      <c r="L61" s="833">
        <v>0</v>
      </c>
      <c r="M61" s="833">
        <v>0</v>
      </c>
      <c r="N61" s="833">
        <v>0</v>
      </c>
      <c r="O61" s="833">
        <v>0</v>
      </c>
      <c r="P61" s="833">
        <v>0</v>
      </c>
      <c r="Q61" s="833">
        <v>0</v>
      </c>
      <c r="R61" s="833">
        <v>0</v>
      </c>
      <c r="S61" s="833">
        <v>0</v>
      </c>
      <c r="T61" s="833">
        <v>0</v>
      </c>
      <c r="U61" s="833">
        <v>0</v>
      </c>
      <c r="V61" s="833">
        <v>0</v>
      </c>
      <c r="W61" s="833">
        <v>0</v>
      </c>
      <c r="X61" s="833">
        <v>0</v>
      </c>
      <c r="Y61" s="833">
        <v>0</v>
      </c>
      <c r="Z61" s="833">
        <v>0</v>
      </c>
      <c r="AA61" s="833">
        <v>0</v>
      </c>
      <c r="AB61" s="833">
        <v>0</v>
      </c>
      <c r="AC61" s="833">
        <v>0</v>
      </c>
      <c r="AD61" s="833">
        <v>0</v>
      </c>
      <c r="AE61" s="833">
        <v>0</v>
      </c>
      <c r="AF61" s="833">
        <v>0</v>
      </c>
      <c r="AG61" s="833">
        <v>0</v>
      </c>
      <c r="AH61" s="833">
        <v>0</v>
      </c>
      <c r="AI61" s="833">
        <v>0</v>
      </c>
      <c r="AJ61" s="833">
        <v>0</v>
      </c>
      <c r="AK61" s="833">
        <v>0</v>
      </c>
      <c r="AL61" s="833">
        <v>0</v>
      </c>
      <c r="AM61" s="833">
        <v>0</v>
      </c>
      <c r="AN61" s="833">
        <v>0</v>
      </c>
      <c r="AO61" s="833">
        <v>0</v>
      </c>
      <c r="AP61" s="833">
        <v>0</v>
      </c>
      <c r="AQ61" s="833">
        <v>0</v>
      </c>
      <c r="AR61" s="833">
        <v>0</v>
      </c>
      <c r="AS61" s="833">
        <v>0</v>
      </c>
      <c r="AT61" s="833">
        <v>0</v>
      </c>
      <c r="AU61" s="833">
        <v>0</v>
      </c>
      <c r="AV61" s="833"/>
      <c r="AW61" s="833"/>
      <c r="AX61" s="833"/>
      <c r="AY61" s="833"/>
      <c r="AZ61" s="833"/>
      <c r="BA61" s="455"/>
      <c r="BB61" s="404"/>
      <c r="BC61" s="404"/>
      <c r="BD61" s="455"/>
      <c r="BE61" s="404"/>
      <c r="BF61" s="404"/>
      <c r="BG61" s="455"/>
      <c r="BH61" s="404"/>
      <c r="BI61" s="404"/>
      <c r="BJ61" s="455"/>
      <c r="BK61" s="404"/>
      <c r="BL61" s="404"/>
      <c r="BM61" s="455"/>
      <c r="BN61" s="404"/>
      <c r="BO61" s="404"/>
      <c r="BP61" s="455"/>
      <c r="BQ61" s="404"/>
      <c r="BR61" s="404"/>
      <c r="BS61" s="455"/>
      <c r="BT61" s="404"/>
      <c r="BU61" s="404"/>
      <c r="BV61" s="455"/>
      <c r="BW61" s="404"/>
      <c r="BX61" s="404"/>
      <c r="BY61" s="455"/>
      <c r="BZ61" s="404"/>
      <c r="CA61" s="404"/>
      <c r="CB61" s="455"/>
      <c r="CC61" s="404"/>
      <c r="CD61" s="404"/>
      <c r="CE61" s="455"/>
      <c r="CF61" s="404"/>
      <c r="CG61" s="404"/>
      <c r="CH61" s="455"/>
      <c r="CI61" s="404"/>
      <c r="CJ61" s="404"/>
      <c r="CK61" s="455"/>
      <c r="CL61" s="404"/>
      <c r="CM61" s="404"/>
      <c r="CN61" s="455"/>
      <c r="CO61" s="404"/>
      <c r="CP61" s="404"/>
      <c r="CQ61" s="455"/>
      <c r="CR61" s="404"/>
      <c r="CS61" s="404"/>
      <c r="CT61" s="455"/>
      <c r="CU61" s="404"/>
      <c r="CV61" s="404"/>
      <c r="CW61" s="455"/>
      <c r="CX61" s="404"/>
      <c r="CY61" s="404"/>
      <c r="CZ61" s="455"/>
      <c r="DA61" s="404"/>
      <c r="DB61" s="404"/>
      <c r="DC61" s="455"/>
      <c r="DD61" s="404"/>
      <c r="DE61" s="404"/>
      <c r="DF61" s="455"/>
      <c r="DG61" s="404"/>
      <c r="DH61" s="404"/>
      <c r="DI61" s="455"/>
      <c r="DJ61" s="404"/>
      <c r="DK61" s="404"/>
      <c r="DL61" s="455"/>
      <c r="DM61" s="404"/>
      <c r="DN61" s="404"/>
      <c r="DO61" s="455"/>
      <c r="DP61" s="404"/>
      <c r="DQ61" s="404"/>
      <c r="DR61" s="455"/>
      <c r="DS61" s="404"/>
      <c r="DT61" s="404"/>
      <c r="DU61" s="455"/>
      <c r="DV61" s="404"/>
      <c r="DW61" s="404"/>
      <c r="DX61" s="455"/>
      <c r="DY61" s="404"/>
      <c r="DZ61" s="404"/>
      <c r="EA61" s="455"/>
      <c r="EB61" s="404"/>
      <c r="EC61" s="404"/>
      <c r="ED61" s="455"/>
      <c r="EE61" s="404"/>
      <c r="EF61" s="404"/>
      <c r="EG61" s="455"/>
      <c r="EH61" s="404"/>
      <c r="EI61" s="404"/>
      <c r="EJ61" s="455"/>
      <c r="EK61" s="404"/>
      <c r="EL61" s="404"/>
      <c r="EM61" s="455"/>
      <c r="EN61" s="404"/>
      <c r="EO61" s="404"/>
      <c r="EP61" s="455"/>
      <c r="EQ61" s="404"/>
      <c r="ER61" s="404"/>
      <c r="ES61" s="455"/>
      <c r="ET61" s="404"/>
      <c r="EU61" s="404"/>
      <c r="EV61" s="455"/>
      <c r="EW61" s="404"/>
      <c r="EX61" s="404"/>
      <c r="EY61" s="455"/>
      <c r="EZ61" s="404"/>
      <c r="FA61" s="404"/>
      <c r="FB61" s="455"/>
      <c r="FC61" s="404"/>
      <c r="FD61" s="404"/>
      <c r="FE61" s="455"/>
      <c r="FF61" s="404"/>
      <c r="FG61" s="404"/>
      <c r="FH61" s="455"/>
      <c r="FI61" s="404"/>
      <c r="FJ61" s="404"/>
      <c r="FK61" s="455"/>
      <c r="FL61" s="404"/>
      <c r="FM61" s="404"/>
      <c r="FN61" s="455"/>
      <c r="FO61" s="404"/>
      <c r="FP61" s="404"/>
      <c r="FQ61" s="455"/>
      <c r="FR61" s="404"/>
      <c r="FS61" s="404"/>
      <c r="FT61" s="455"/>
      <c r="FU61" s="404"/>
      <c r="FV61" s="404"/>
      <c r="FW61" s="455"/>
      <c r="FX61" s="404"/>
      <c r="FY61" s="404"/>
      <c r="FZ61" s="455"/>
      <c r="GA61" s="404"/>
      <c r="GB61" s="404"/>
      <c r="GC61" s="455"/>
      <c r="GD61" s="404"/>
      <c r="GE61" s="404"/>
      <c r="GF61" s="455"/>
      <c r="GG61" s="404"/>
      <c r="GH61" s="404"/>
      <c r="GI61" s="455"/>
      <c r="GJ61" s="385">
        <v>1749.0564263010347</v>
      </c>
      <c r="GK61" s="385">
        <f>34</f>
        <v>34</v>
      </c>
      <c r="GL61" s="369">
        <v>65.615106286748087</v>
      </c>
      <c r="GM61" s="385">
        <v>1749.0564263010347</v>
      </c>
      <c r="GN61" s="385">
        <f>34</f>
        <v>34</v>
      </c>
      <c r="GO61" s="369">
        <v>65.615106286748087</v>
      </c>
      <c r="GP61" s="385">
        <v>1749.0564263010347</v>
      </c>
      <c r="GQ61" s="385">
        <f>34</f>
        <v>34</v>
      </c>
      <c r="GR61" s="369">
        <v>65.615106286748087</v>
      </c>
      <c r="GS61" s="385">
        <v>1749.0564263010347</v>
      </c>
      <c r="GT61" s="385">
        <f>34</f>
        <v>34</v>
      </c>
      <c r="GU61" s="369">
        <v>65.615106286748087</v>
      </c>
      <c r="GV61" s="385">
        <v>1749.0564263010347</v>
      </c>
      <c r="GW61" s="385">
        <f>34</f>
        <v>34</v>
      </c>
      <c r="GX61" s="369">
        <v>65.615106286748087</v>
      </c>
      <c r="GY61" s="385">
        <v>1749.0564263010347</v>
      </c>
      <c r="GZ61" s="385">
        <f>34</f>
        <v>34</v>
      </c>
      <c r="HA61" s="369">
        <v>65.615106286748087</v>
      </c>
      <c r="HB61" s="385">
        <v>1749.0564263010347</v>
      </c>
      <c r="HC61" s="385">
        <f>34</f>
        <v>34</v>
      </c>
      <c r="HD61" s="369">
        <v>65.615106286748087</v>
      </c>
      <c r="HE61" s="387">
        <v>1749.0564263010347</v>
      </c>
      <c r="HF61" s="386">
        <f>34*6</f>
        <v>204</v>
      </c>
      <c r="HG61" s="369">
        <v>65.615106286748087</v>
      </c>
      <c r="HH61" s="387">
        <v>1749.0564263010347</v>
      </c>
      <c r="HI61" s="369">
        <v>65.615106286748087</v>
      </c>
      <c r="HJ61" s="387">
        <v>1749.0564263010347</v>
      </c>
      <c r="HK61" s="369">
        <v>65.615106286748087</v>
      </c>
      <c r="HL61" s="387">
        <v>1749.0564263010347</v>
      </c>
      <c r="HM61" s="369">
        <v>65.615106286748087</v>
      </c>
      <c r="HN61" s="387">
        <v>1749.0564263010347</v>
      </c>
      <c r="HO61" s="369">
        <v>65.615106286748087</v>
      </c>
      <c r="HP61" s="387">
        <v>1749.0564263010347</v>
      </c>
      <c r="HQ61" s="369">
        <v>65.615106286748087</v>
      </c>
      <c r="HR61" s="387">
        <v>1749.0564263010347</v>
      </c>
      <c r="HS61" s="369">
        <v>65.615106286748087</v>
      </c>
      <c r="HT61" s="387">
        <v>1749.0564263010347</v>
      </c>
      <c r="HU61" s="369">
        <v>65.615106286748087</v>
      </c>
      <c r="HV61" s="388">
        <v>1749.0564263010347</v>
      </c>
      <c r="HW61" s="369">
        <v>65.615106286748087</v>
      </c>
      <c r="HX61" s="388">
        <f>VLOOKUP(C61,'[15]Prix accès'!A:D,4,FALSE)-JC61</f>
        <v>1749.0564263010347</v>
      </c>
      <c r="HY61" s="368">
        <v>65.615106286748087</v>
      </c>
      <c r="HZ61" s="368">
        <v>1814.6715325877828</v>
      </c>
      <c r="IA61" s="368">
        <v>65.615106286748087</v>
      </c>
      <c r="IB61" s="368">
        <v>1814.6715325877828</v>
      </c>
      <c r="IC61" s="368">
        <v>65.615106286748087</v>
      </c>
      <c r="ID61" s="357">
        <f>VLOOKUP($C61,'[15]Prix accès'!A:D,4,FALSE)</f>
        <v>1749.0564263010347</v>
      </c>
      <c r="IE61" s="407">
        <v>65.615106286748087</v>
      </c>
      <c r="IF61" s="357">
        <f>VLOOKUP($C61,'[15]Prix accès'!$A:$D,4,FALSE)</f>
        <v>1749.0564263010347</v>
      </c>
      <c r="IG61" s="407">
        <v>65.615106286748087</v>
      </c>
      <c r="IH61" s="357">
        <f>VLOOKUP($C61,'[15]Prix accès'!$A:$D,4,FALSE)</f>
        <v>1749.0564263010347</v>
      </c>
      <c r="II61" s="407">
        <v>65.615106286748087</v>
      </c>
      <c r="IJ61" s="357">
        <f>VLOOKUP($C61,'[15]Prix accès'!$A:$D,4,FALSE)</f>
        <v>1749.0564263010347</v>
      </c>
      <c r="IK61" s="407">
        <v>65.615106286748087</v>
      </c>
      <c r="IL61" s="357">
        <f>VLOOKUP($C61,'[15]Prix accès'!$A:$D,4,FALSE)</f>
        <v>1749.0564263010347</v>
      </c>
      <c r="IM61" s="407">
        <v>65.615106286748087</v>
      </c>
      <c r="IN61" s="428">
        <v>535.47684568164084</v>
      </c>
      <c r="IO61" s="409">
        <v>19.361834641991241</v>
      </c>
      <c r="IP61" s="391"/>
      <c r="IQ61" s="361"/>
      <c r="IR61" s="400" t="s">
        <v>3341</v>
      </c>
      <c r="IS61" s="364" t="s">
        <v>77</v>
      </c>
      <c r="IT61" s="365">
        <v>43488</v>
      </c>
      <c r="IU61" s="371">
        <v>43497</v>
      </c>
      <c r="IV61" s="488">
        <v>45657</v>
      </c>
      <c r="IW61" s="372">
        <f t="shared" si="11"/>
        <v>9</v>
      </c>
      <c r="IX61" s="373">
        <f t="shared" si="14"/>
        <v>57.346112337738845</v>
      </c>
      <c r="IY61" s="394">
        <f t="shared" si="13"/>
        <v>516.11501103964963</v>
      </c>
      <c r="IZ61" s="394"/>
      <c r="JA61" s="460"/>
      <c r="JC61" s="461"/>
    </row>
    <row r="62" spans="1:263" s="367" customFormat="1" ht="16.5" customHeight="1" x14ac:dyDescent="0.3">
      <c r="A62" s="354" t="s">
        <v>2735</v>
      </c>
      <c r="B62" s="411" t="s">
        <v>2748</v>
      </c>
      <c r="C62" s="436" t="s">
        <v>521</v>
      </c>
      <c r="D62" s="437">
        <v>1149</v>
      </c>
      <c r="E62" s="412">
        <v>71</v>
      </c>
      <c r="F62" s="412">
        <v>16</v>
      </c>
      <c r="G62" s="412">
        <v>5</v>
      </c>
      <c r="H62" s="438">
        <v>0</v>
      </c>
      <c r="I62" s="830">
        <v>1235.4564263010345</v>
      </c>
      <c r="J62" s="831">
        <f>5</f>
        <v>5</v>
      </c>
      <c r="K62" s="827"/>
      <c r="L62" s="831">
        <v>1235.4564263010345</v>
      </c>
      <c r="M62" s="831">
        <f>5</f>
        <v>5</v>
      </c>
      <c r="N62" s="827"/>
      <c r="O62" s="831">
        <v>1235.4564263010345</v>
      </c>
      <c r="P62" s="831">
        <f>5</f>
        <v>5</v>
      </c>
      <c r="Q62" s="827"/>
      <c r="R62" s="831">
        <v>1235.4564263010345</v>
      </c>
      <c r="S62" s="831">
        <f>5</f>
        <v>5</v>
      </c>
      <c r="T62" s="827"/>
      <c r="U62" s="831">
        <v>1235.4564263010345</v>
      </c>
      <c r="V62" s="831">
        <f>5</f>
        <v>5</v>
      </c>
      <c r="W62" s="827"/>
      <c r="X62" s="831">
        <v>1235.4564263010345</v>
      </c>
      <c r="Y62" s="831">
        <f>5</f>
        <v>5</v>
      </c>
      <c r="Z62" s="827"/>
      <c r="AA62" s="831">
        <v>1235.4564263010345</v>
      </c>
      <c r="AB62" s="831">
        <f>5</f>
        <v>5</v>
      </c>
      <c r="AC62" s="827"/>
      <c r="AD62" s="831">
        <v>1235.4564263010345</v>
      </c>
      <c r="AE62" s="831">
        <f>5</f>
        <v>5</v>
      </c>
      <c r="AF62" s="827"/>
      <c r="AG62" s="831">
        <v>1235.4564263010345</v>
      </c>
      <c r="AH62" s="831">
        <f>5</f>
        <v>5</v>
      </c>
      <c r="AI62" s="827"/>
      <c r="AJ62" s="831">
        <v>1235.4564263010345</v>
      </c>
      <c r="AK62" s="831">
        <f>5</f>
        <v>5</v>
      </c>
      <c r="AL62" s="827"/>
      <c r="AM62" s="831">
        <v>1235.4564263010345</v>
      </c>
      <c r="AN62" s="831">
        <f>5</f>
        <v>5</v>
      </c>
      <c r="AO62" s="827"/>
      <c r="AP62" s="831">
        <v>1235.4564263010345</v>
      </c>
      <c r="AQ62" s="831">
        <f>5</f>
        <v>5</v>
      </c>
      <c r="AR62" s="827"/>
      <c r="AS62" s="831">
        <v>1235.4564263010345</v>
      </c>
      <c r="AT62" s="831">
        <f>5</f>
        <v>5</v>
      </c>
      <c r="AU62" s="827"/>
      <c r="AV62" s="831">
        <v>1235.4564263010345</v>
      </c>
      <c r="AW62" s="831">
        <f>5</f>
        <v>5</v>
      </c>
      <c r="AX62" s="827"/>
      <c r="AY62" s="831">
        <v>1235.4564263010345</v>
      </c>
      <c r="AZ62" s="831">
        <f>5</f>
        <v>5</v>
      </c>
      <c r="BA62" s="358"/>
      <c r="BB62" s="385">
        <v>1235.4564263010345</v>
      </c>
      <c r="BC62" s="385">
        <f>5</f>
        <v>5</v>
      </c>
      <c r="BD62" s="358"/>
      <c r="BE62" s="385">
        <v>1235.4564263010345</v>
      </c>
      <c r="BF62" s="385">
        <f>5</f>
        <v>5</v>
      </c>
      <c r="BG62" s="358"/>
      <c r="BH62" s="385">
        <v>1235.4564263010345</v>
      </c>
      <c r="BI62" s="385">
        <f>5</f>
        <v>5</v>
      </c>
      <c r="BJ62" s="358"/>
      <c r="BK62" s="385">
        <v>1235.4564263010345</v>
      </c>
      <c r="BL62" s="385">
        <f>5</f>
        <v>5</v>
      </c>
      <c r="BM62" s="358"/>
      <c r="BN62" s="385">
        <v>1235.4564263010345</v>
      </c>
      <c r="BO62" s="385">
        <f>5</f>
        <v>5</v>
      </c>
      <c r="BP62" s="358"/>
      <c r="BQ62" s="385">
        <v>1235.4564263010345</v>
      </c>
      <c r="BR62" s="385">
        <f>5</f>
        <v>5</v>
      </c>
      <c r="BS62" s="358"/>
      <c r="BT62" s="385">
        <v>1235.4564263010345</v>
      </c>
      <c r="BU62" s="385">
        <f>5</f>
        <v>5</v>
      </c>
      <c r="BV62" s="358"/>
      <c r="BW62" s="385">
        <v>1235.4564263010345</v>
      </c>
      <c r="BX62" s="385">
        <f>5</f>
        <v>5</v>
      </c>
      <c r="BY62" s="358"/>
      <c r="BZ62" s="385">
        <v>1235.4564263010345</v>
      </c>
      <c r="CA62" s="385">
        <f>5</f>
        <v>5</v>
      </c>
      <c r="CB62" s="358"/>
      <c r="CC62" s="385">
        <v>1235.4564263010345</v>
      </c>
      <c r="CD62" s="385">
        <f>5</f>
        <v>5</v>
      </c>
      <c r="CE62" s="358"/>
      <c r="CF62" s="385">
        <v>1235.4564263010345</v>
      </c>
      <c r="CG62" s="385">
        <f>5</f>
        <v>5</v>
      </c>
      <c r="CH62" s="358"/>
      <c r="CI62" s="385">
        <v>1235.4564263010345</v>
      </c>
      <c r="CJ62" s="385">
        <f>5</f>
        <v>5</v>
      </c>
      <c r="CK62" s="358"/>
      <c r="CL62" s="385">
        <v>1235.4564263010345</v>
      </c>
      <c r="CM62" s="385">
        <f>5</f>
        <v>5</v>
      </c>
      <c r="CN62" s="358"/>
      <c r="CO62" s="385">
        <v>1235.4564263010345</v>
      </c>
      <c r="CP62" s="385">
        <f>5</f>
        <v>5</v>
      </c>
      <c r="CQ62" s="358"/>
      <c r="CR62" s="385">
        <v>1235.4564263010345</v>
      </c>
      <c r="CS62" s="385">
        <f>5</f>
        <v>5</v>
      </c>
      <c r="CT62" s="358"/>
      <c r="CU62" s="385">
        <v>1235.4564263010345</v>
      </c>
      <c r="CV62" s="385">
        <f>5</f>
        <v>5</v>
      </c>
      <c r="CW62" s="358"/>
      <c r="CX62" s="385">
        <v>1235.4564263010345</v>
      </c>
      <c r="CY62" s="385">
        <f>5</f>
        <v>5</v>
      </c>
      <c r="CZ62" s="358"/>
      <c r="DA62" s="385">
        <v>1235.4564263010345</v>
      </c>
      <c r="DB62" s="385">
        <f>5</f>
        <v>5</v>
      </c>
      <c r="DC62" s="358"/>
      <c r="DD62" s="385">
        <v>1235.4564263010345</v>
      </c>
      <c r="DE62" s="385">
        <f>5</f>
        <v>5</v>
      </c>
      <c r="DF62" s="358"/>
      <c r="DG62" s="385">
        <v>1235.4564263010345</v>
      </c>
      <c r="DH62" s="385">
        <f>5</f>
        <v>5</v>
      </c>
      <c r="DI62" s="358"/>
      <c r="DJ62" s="385">
        <v>1235.4564263010345</v>
      </c>
      <c r="DK62" s="385">
        <f>5</f>
        <v>5</v>
      </c>
      <c r="DL62" s="358"/>
      <c r="DM62" s="385">
        <v>1235.4564263010345</v>
      </c>
      <c r="DN62" s="385">
        <f>5</f>
        <v>5</v>
      </c>
      <c r="DO62" s="358"/>
      <c r="DP62" s="385">
        <v>1235.4564263010345</v>
      </c>
      <c r="DQ62" s="385">
        <f>5</f>
        <v>5</v>
      </c>
      <c r="DR62" s="358"/>
      <c r="DS62" s="385">
        <v>1235.4564263010345</v>
      </c>
      <c r="DT62" s="385">
        <f>5</f>
        <v>5</v>
      </c>
      <c r="DU62" s="358"/>
      <c r="DV62" s="385">
        <v>1235.4564263010345</v>
      </c>
      <c r="DW62" s="385">
        <f>5</f>
        <v>5</v>
      </c>
      <c r="DX62" s="358"/>
      <c r="DY62" s="385">
        <v>1235.4564263010345</v>
      </c>
      <c r="DZ62" s="385">
        <f>5</f>
        <v>5</v>
      </c>
      <c r="EA62" s="358"/>
      <c r="EB62" s="385">
        <v>1235.4564263010345</v>
      </c>
      <c r="EC62" s="385">
        <f>5</f>
        <v>5</v>
      </c>
      <c r="ED62" s="358"/>
      <c r="EE62" s="385">
        <v>1235.4564263010345</v>
      </c>
      <c r="EF62" s="385">
        <f>5</f>
        <v>5</v>
      </c>
      <c r="EG62" s="358"/>
      <c r="EH62" s="385">
        <v>1235.4564263010345</v>
      </c>
      <c r="EI62" s="385">
        <f>5</f>
        <v>5</v>
      </c>
      <c r="EJ62" s="358"/>
      <c r="EK62" s="385">
        <v>1235.4564263010345</v>
      </c>
      <c r="EL62" s="385">
        <f>5</f>
        <v>5</v>
      </c>
      <c r="EM62" s="358"/>
      <c r="EN62" s="385">
        <v>1235.4564263010345</v>
      </c>
      <c r="EO62" s="385">
        <f>5</f>
        <v>5</v>
      </c>
      <c r="EP62" s="358"/>
      <c r="EQ62" s="385">
        <v>1235.4564263010345</v>
      </c>
      <c r="ER62" s="385">
        <f>5</f>
        <v>5</v>
      </c>
      <c r="ES62" s="358"/>
      <c r="ET62" s="385">
        <v>1235.4564263010345</v>
      </c>
      <c r="EU62" s="385">
        <f>5</f>
        <v>5</v>
      </c>
      <c r="EV62" s="358"/>
      <c r="EW62" s="385">
        <v>1235.4564263010345</v>
      </c>
      <c r="EX62" s="385">
        <f>5</f>
        <v>5</v>
      </c>
      <c r="EY62" s="358"/>
      <c r="EZ62" s="385">
        <v>1235.4564263010345</v>
      </c>
      <c r="FA62" s="385">
        <f>5</f>
        <v>5</v>
      </c>
      <c r="FB62" s="358"/>
      <c r="FC62" s="385">
        <v>1235.4564263010345</v>
      </c>
      <c r="FD62" s="385">
        <f>5</f>
        <v>5</v>
      </c>
      <c r="FE62" s="358"/>
      <c r="FF62" s="385">
        <v>1235.4564263010345</v>
      </c>
      <c r="FG62" s="385">
        <f>5</f>
        <v>5</v>
      </c>
      <c r="FH62" s="358"/>
      <c r="FI62" s="385">
        <v>1235.4564263010345</v>
      </c>
      <c r="FJ62" s="385">
        <f>5</f>
        <v>5</v>
      </c>
      <c r="FK62" s="358"/>
      <c r="FL62" s="385">
        <v>1235.4564263010345</v>
      </c>
      <c r="FM62" s="385">
        <f>5</f>
        <v>5</v>
      </c>
      <c r="FN62" s="358"/>
      <c r="FO62" s="385">
        <v>1235.4564263010345</v>
      </c>
      <c r="FP62" s="385">
        <f>5</f>
        <v>5</v>
      </c>
      <c r="FQ62" s="358"/>
      <c r="FR62" s="385">
        <v>1235.4564263010345</v>
      </c>
      <c r="FS62" s="385">
        <f>5</f>
        <v>5</v>
      </c>
      <c r="FT62" s="358"/>
      <c r="FU62" s="385">
        <v>1235.4564263010345</v>
      </c>
      <c r="FV62" s="385">
        <f>5</f>
        <v>5</v>
      </c>
      <c r="FW62" s="358"/>
      <c r="FX62" s="385">
        <v>1235.4564263010345</v>
      </c>
      <c r="FY62" s="385">
        <f>5</f>
        <v>5</v>
      </c>
      <c r="FZ62" s="358"/>
      <c r="GA62" s="385">
        <v>1235.4564263010345</v>
      </c>
      <c r="GB62" s="385">
        <f>5</f>
        <v>5</v>
      </c>
      <c r="GC62" s="358"/>
      <c r="GD62" s="385">
        <v>1235.4564263010345</v>
      </c>
      <c r="GE62" s="385">
        <f>5</f>
        <v>5</v>
      </c>
      <c r="GF62" s="358"/>
      <c r="GG62" s="385">
        <v>1235.4564263010345</v>
      </c>
      <c r="GH62" s="385">
        <f>5</f>
        <v>5</v>
      </c>
      <c r="GI62" s="358"/>
      <c r="GJ62" s="385">
        <v>1235.4564263010345</v>
      </c>
      <c r="GK62" s="385">
        <f>5</f>
        <v>5</v>
      </c>
      <c r="GL62" s="358"/>
      <c r="GM62" s="385">
        <v>1235.4564263010345</v>
      </c>
      <c r="GN62" s="385">
        <f>5</f>
        <v>5</v>
      </c>
      <c r="GO62" s="358"/>
      <c r="GP62" s="385">
        <v>1235.4564263010345</v>
      </c>
      <c r="GQ62" s="385">
        <f>5</f>
        <v>5</v>
      </c>
      <c r="GR62" s="358"/>
      <c r="GS62" s="385">
        <v>1235.4564263010345</v>
      </c>
      <c r="GT62" s="385">
        <f>5</f>
        <v>5</v>
      </c>
      <c r="GU62" s="358"/>
      <c r="GV62" s="385">
        <v>1235.4564263010345</v>
      </c>
      <c r="GW62" s="385">
        <f>5</f>
        <v>5</v>
      </c>
      <c r="GX62" s="358"/>
      <c r="GY62" s="385">
        <v>1235.4564263010345</v>
      </c>
      <c r="GZ62" s="385">
        <f>5</f>
        <v>5</v>
      </c>
      <c r="HA62" s="358"/>
      <c r="HB62" s="385">
        <v>1235.4564263010345</v>
      </c>
      <c r="HC62" s="385">
        <f>5</f>
        <v>5</v>
      </c>
      <c r="HD62" s="358"/>
      <c r="HE62" s="387">
        <v>1235.4564263010345</v>
      </c>
      <c r="HF62" s="386">
        <f>5*6</f>
        <v>30</v>
      </c>
      <c r="HG62" s="358"/>
      <c r="HH62" s="387">
        <v>1235.4564263010345</v>
      </c>
      <c r="HI62" s="358"/>
      <c r="HJ62" s="387">
        <v>1235.4564263010345</v>
      </c>
      <c r="HK62" s="358"/>
      <c r="HL62" s="387">
        <v>1235.4564263010345</v>
      </c>
      <c r="HM62" s="358"/>
      <c r="HN62" s="387">
        <v>1235.4564263010345</v>
      </c>
      <c r="HO62" s="358"/>
      <c r="HP62" s="387">
        <v>1235.4564263010345</v>
      </c>
      <c r="HQ62" s="358"/>
      <c r="HR62" s="387">
        <v>1235.4564263010345</v>
      </c>
      <c r="HS62" s="358"/>
      <c r="HT62" s="387">
        <v>1235.4564263010345</v>
      </c>
      <c r="HU62" s="358"/>
      <c r="HV62" s="388">
        <v>1235.4564263010345</v>
      </c>
      <c r="HW62" s="358" t="s">
        <v>3310</v>
      </c>
      <c r="HX62" s="368">
        <v>1235.4564263010345</v>
      </c>
      <c r="HY62" s="358" t="s">
        <v>3310</v>
      </c>
      <c r="HZ62" s="368">
        <v>1235.4564263010345</v>
      </c>
      <c r="IA62" s="358" t="s">
        <v>3310</v>
      </c>
      <c r="IB62" s="368">
        <v>1235.4564263010345</v>
      </c>
      <c r="IC62" s="358" t="s">
        <v>3310</v>
      </c>
      <c r="ID62" s="357">
        <f>VLOOKUP($C62,'[15]Prix accès'!A:D,4,FALSE)</f>
        <v>1235.4564263010345</v>
      </c>
      <c r="IE62" s="361" t="s">
        <v>3310</v>
      </c>
      <c r="IF62" s="357">
        <f>VLOOKUP($C62,'[15]Prix accès'!$A:$D,4,FALSE)</f>
        <v>1235.4564263010345</v>
      </c>
      <c r="IG62" s="361" t="s">
        <v>3310</v>
      </c>
      <c r="IH62" s="357">
        <f>VLOOKUP($C62,'[15]Prix accès'!$A:$D,4,FALSE)</f>
        <v>1235.4564263010345</v>
      </c>
      <c r="II62" s="361" t="s">
        <v>3310</v>
      </c>
      <c r="IJ62" s="357">
        <f>VLOOKUP($C62,'[15]Prix accès'!$A:$D,4,FALSE)</f>
        <v>1235.4564263010345</v>
      </c>
      <c r="IK62" s="361" t="s">
        <v>3310</v>
      </c>
      <c r="IL62" s="357">
        <f>VLOOKUP($C62,'[15]Prix accès'!$A:$D,4,FALSE)</f>
        <v>1235.4564263010345</v>
      </c>
      <c r="IM62" s="361" t="s">
        <v>3310</v>
      </c>
      <c r="IN62" s="428">
        <v>324.05414460355001</v>
      </c>
      <c r="IO62" s="361"/>
      <c r="IP62" s="391"/>
      <c r="IQ62" s="361"/>
      <c r="IR62" s="494" t="s">
        <v>3182</v>
      </c>
      <c r="IS62" s="364" t="s">
        <v>77</v>
      </c>
      <c r="IT62" s="365">
        <v>43489</v>
      </c>
      <c r="IU62" s="371">
        <v>43497</v>
      </c>
      <c r="IV62" s="393"/>
      <c r="IW62" s="372">
        <f t="shared" si="11"/>
        <v>8</v>
      </c>
      <c r="IX62" s="373">
        <f t="shared" si="14"/>
        <v>40.506768075443752</v>
      </c>
      <c r="IY62" s="394">
        <f t="shared" si="13"/>
        <v>324.05414460355001</v>
      </c>
      <c r="IZ62" s="394"/>
      <c r="JA62" s="394"/>
    </row>
    <row r="63" spans="1:263" s="367" customFormat="1" ht="16.5" customHeight="1" x14ac:dyDescent="0.3">
      <c r="A63" s="354" t="s">
        <v>2735</v>
      </c>
      <c r="B63" s="470" t="s">
        <v>2784</v>
      </c>
      <c r="C63" s="356" t="s">
        <v>448</v>
      </c>
      <c r="D63" s="430">
        <v>1454</v>
      </c>
      <c r="E63" s="431">
        <v>71</v>
      </c>
      <c r="F63" s="431">
        <v>32</v>
      </c>
      <c r="G63" s="431">
        <v>36</v>
      </c>
      <c r="H63" s="432">
        <v>0</v>
      </c>
      <c r="I63" s="841">
        <v>1556</v>
      </c>
      <c r="J63" s="835">
        <v>36</v>
      </c>
      <c r="K63" s="827"/>
      <c r="L63" s="835">
        <v>1556</v>
      </c>
      <c r="M63" s="835">
        <v>36</v>
      </c>
      <c r="N63" s="827"/>
      <c r="O63" s="835">
        <v>1556</v>
      </c>
      <c r="P63" s="835">
        <v>36</v>
      </c>
      <c r="Q63" s="827"/>
      <c r="R63" s="835">
        <v>1556</v>
      </c>
      <c r="S63" s="835">
        <v>36</v>
      </c>
      <c r="T63" s="827"/>
      <c r="U63" s="835">
        <v>1556</v>
      </c>
      <c r="V63" s="835">
        <v>36</v>
      </c>
      <c r="W63" s="827"/>
      <c r="X63" s="842">
        <f>((1556-1335)/30.5*45)+1556</f>
        <v>1882.0655737704917</v>
      </c>
      <c r="Y63" s="842">
        <f>((36-14)/30.5)*45+36</f>
        <v>68.459016393442624</v>
      </c>
      <c r="Z63" s="827"/>
      <c r="AA63" s="831">
        <v>1335</v>
      </c>
      <c r="AB63" s="831">
        <v>14</v>
      </c>
      <c r="AC63" s="827"/>
      <c r="AD63" s="831">
        <v>1335</v>
      </c>
      <c r="AE63" s="831">
        <v>14</v>
      </c>
      <c r="AF63" s="827"/>
      <c r="AG63" s="831">
        <v>1335</v>
      </c>
      <c r="AH63" s="831">
        <v>14</v>
      </c>
      <c r="AI63" s="827"/>
      <c r="AJ63" s="831">
        <v>1335</v>
      </c>
      <c r="AK63" s="831">
        <v>14</v>
      </c>
      <c r="AL63" s="827"/>
      <c r="AM63" s="831">
        <v>1335</v>
      </c>
      <c r="AN63" s="831">
        <v>14</v>
      </c>
      <c r="AO63" s="827"/>
      <c r="AP63" s="831">
        <v>1335</v>
      </c>
      <c r="AQ63" s="831">
        <v>14</v>
      </c>
      <c r="AR63" s="827"/>
      <c r="AS63" s="831">
        <v>1335</v>
      </c>
      <c r="AT63" s="831">
        <v>14</v>
      </c>
      <c r="AU63" s="827"/>
      <c r="AV63" s="831">
        <v>1335</v>
      </c>
      <c r="AW63" s="831">
        <v>14</v>
      </c>
      <c r="AX63" s="827"/>
      <c r="AY63" s="831">
        <v>1335</v>
      </c>
      <c r="AZ63" s="831">
        <v>14</v>
      </c>
      <c r="BA63" s="358"/>
      <c r="BB63" s="385">
        <v>1335</v>
      </c>
      <c r="BC63" s="385">
        <v>14</v>
      </c>
      <c r="BD63" s="358"/>
      <c r="BE63" s="385">
        <v>1335</v>
      </c>
      <c r="BF63" s="385">
        <v>14</v>
      </c>
      <c r="BG63" s="358"/>
      <c r="BH63" s="385">
        <v>1335</v>
      </c>
      <c r="BI63" s="385">
        <v>14</v>
      </c>
      <c r="BJ63" s="369"/>
      <c r="BK63" s="385">
        <v>1335</v>
      </c>
      <c r="BL63" s="385">
        <v>14</v>
      </c>
      <c r="BM63" s="369"/>
      <c r="BN63" s="385">
        <v>1335</v>
      </c>
      <c r="BO63" s="385">
        <v>14</v>
      </c>
      <c r="BP63" s="369"/>
      <c r="BQ63" s="385">
        <v>1335</v>
      </c>
      <c r="BR63" s="385">
        <v>14</v>
      </c>
      <c r="BS63" s="369"/>
      <c r="BT63" s="385">
        <v>1335</v>
      </c>
      <c r="BU63" s="385">
        <v>14</v>
      </c>
      <c r="BV63" s="369"/>
      <c r="BW63" s="385">
        <v>1335</v>
      </c>
      <c r="BX63" s="385">
        <v>14</v>
      </c>
      <c r="BY63" s="369"/>
      <c r="BZ63" s="385">
        <v>1335</v>
      </c>
      <c r="CA63" s="385">
        <v>14</v>
      </c>
      <c r="CB63" s="369"/>
      <c r="CC63" s="385">
        <v>1335</v>
      </c>
      <c r="CD63" s="385">
        <v>14</v>
      </c>
      <c r="CE63" s="369"/>
      <c r="CF63" s="385">
        <v>1335</v>
      </c>
      <c r="CG63" s="385">
        <v>14</v>
      </c>
      <c r="CH63" s="369"/>
      <c r="CI63" s="385">
        <v>1335</v>
      </c>
      <c r="CJ63" s="385">
        <v>14</v>
      </c>
      <c r="CK63" s="369"/>
      <c r="CL63" s="385">
        <v>1335</v>
      </c>
      <c r="CM63" s="385">
        <v>14</v>
      </c>
      <c r="CN63" s="369"/>
      <c r="CO63" s="385">
        <v>1335</v>
      </c>
      <c r="CP63" s="385">
        <v>14</v>
      </c>
      <c r="CQ63" s="369"/>
      <c r="CR63" s="385">
        <v>1335</v>
      </c>
      <c r="CS63" s="385">
        <v>14</v>
      </c>
      <c r="CT63" s="369"/>
      <c r="CU63" s="385">
        <v>1335</v>
      </c>
      <c r="CV63" s="385">
        <v>14</v>
      </c>
      <c r="CW63" s="369"/>
      <c r="CX63" s="386">
        <f>((1335-1235)/30.5)*15+1335</f>
        <v>1384.1803278688524</v>
      </c>
      <c r="CY63" s="386">
        <f>((14-5)/30.5)*15+14</f>
        <v>18.42622950819672</v>
      </c>
      <c r="CZ63" s="370"/>
      <c r="DA63" s="385">
        <v>1235.4564263010345</v>
      </c>
      <c r="DB63" s="385">
        <f>5</f>
        <v>5</v>
      </c>
      <c r="DC63" s="358"/>
      <c r="DD63" s="385">
        <v>1235.4564263010345</v>
      </c>
      <c r="DE63" s="385">
        <f>5</f>
        <v>5</v>
      </c>
      <c r="DF63" s="358"/>
      <c r="DG63" s="385">
        <v>1235.4564263010345</v>
      </c>
      <c r="DH63" s="385">
        <f>5</f>
        <v>5</v>
      </c>
      <c r="DI63" s="358"/>
      <c r="DJ63" s="385">
        <v>1235.4564263010345</v>
      </c>
      <c r="DK63" s="385">
        <f>5</f>
        <v>5</v>
      </c>
      <c r="DL63" s="358"/>
      <c r="DM63" s="385">
        <v>1235.4564263010345</v>
      </c>
      <c r="DN63" s="385">
        <f>5</f>
        <v>5</v>
      </c>
      <c r="DO63" s="358"/>
      <c r="DP63" s="385">
        <v>1235.4564263010345</v>
      </c>
      <c r="DQ63" s="385">
        <f>5</f>
        <v>5</v>
      </c>
      <c r="DR63" s="358"/>
      <c r="DS63" s="385">
        <v>1235.4564263010345</v>
      </c>
      <c r="DT63" s="385">
        <f>5</f>
        <v>5</v>
      </c>
      <c r="DU63" s="358"/>
      <c r="DV63" s="385">
        <v>1235.4564263010345</v>
      </c>
      <c r="DW63" s="385">
        <f>5</f>
        <v>5</v>
      </c>
      <c r="DX63" s="358"/>
      <c r="DY63" s="385">
        <v>1235.4564263010345</v>
      </c>
      <c r="DZ63" s="385">
        <f>5</f>
        <v>5</v>
      </c>
      <c r="EA63" s="358"/>
      <c r="EB63" s="385">
        <v>1235.4564263010345</v>
      </c>
      <c r="EC63" s="385">
        <f>5</f>
        <v>5</v>
      </c>
      <c r="ED63" s="358"/>
      <c r="EE63" s="385">
        <v>1235.4564263010345</v>
      </c>
      <c r="EF63" s="385">
        <f>5</f>
        <v>5</v>
      </c>
      <c r="EG63" s="358"/>
      <c r="EH63" s="385">
        <v>1235.4564263010345</v>
      </c>
      <c r="EI63" s="385">
        <f>5</f>
        <v>5</v>
      </c>
      <c r="EJ63" s="358"/>
      <c r="EK63" s="385">
        <v>1235.4564263010345</v>
      </c>
      <c r="EL63" s="385">
        <f>5</f>
        <v>5</v>
      </c>
      <c r="EM63" s="358"/>
      <c r="EN63" s="385">
        <v>1235.4564263010345</v>
      </c>
      <c r="EO63" s="385">
        <f>5</f>
        <v>5</v>
      </c>
      <c r="EP63" s="358"/>
      <c r="EQ63" s="385">
        <v>1235.4564263010345</v>
      </c>
      <c r="ER63" s="385">
        <f>5</f>
        <v>5</v>
      </c>
      <c r="ES63" s="358"/>
      <c r="ET63" s="385">
        <v>1235.4564263010345</v>
      </c>
      <c r="EU63" s="385">
        <f>5</f>
        <v>5</v>
      </c>
      <c r="EV63" s="358"/>
      <c r="EW63" s="385">
        <v>1235.4564263010345</v>
      </c>
      <c r="EX63" s="385">
        <f>5</f>
        <v>5</v>
      </c>
      <c r="EY63" s="358"/>
      <c r="EZ63" s="385">
        <v>1235.4564263010345</v>
      </c>
      <c r="FA63" s="385">
        <f>5</f>
        <v>5</v>
      </c>
      <c r="FB63" s="358"/>
      <c r="FC63" s="385">
        <v>1235.4564263010345</v>
      </c>
      <c r="FD63" s="385">
        <f>5</f>
        <v>5</v>
      </c>
      <c r="FE63" s="358"/>
      <c r="FF63" s="385">
        <v>1235.4564263010345</v>
      </c>
      <c r="FG63" s="385">
        <f>5</f>
        <v>5</v>
      </c>
      <c r="FH63" s="358"/>
      <c r="FI63" s="385">
        <v>1235.4564263010345</v>
      </c>
      <c r="FJ63" s="385">
        <f>5</f>
        <v>5</v>
      </c>
      <c r="FK63" s="358"/>
      <c r="FL63" s="385">
        <v>1235.4564263010345</v>
      </c>
      <c r="FM63" s="385">
        <f>5</f>
        <v>5</v>
      </c>
      <c r="FN63" s="358"/>
      <c r="FO63" s="385">
        <v>1235.4564263010345</v>
      </c>
      <c r="FP63" s="385">
        <f>5</f>
        <v>5</v>
      </c>
      <c r="FQ63" s="358"/>
      <c r="FR63" s="385">
        <v>1235.4564263010345</v>
      </c>
      <c r="FS63" s="385">
        <f>5</f>
        <v>5</v>
      </c>
      <c r="FT63" s="358"/>
      <c r="FU63" s="385">
        <v>1235.4564263010345</v>
      </c>
      <c r="FV63" s="385">
        <f>5</f>
        <v>5</v>
      </c>
      <c r="FW63" s="358"/>
      <c r="FX63" s="385">
        <v>1235.4564263010345</v>
      </c>
      <c r="FY63" s="385">
        <f>5</f>
        <v>5</v>
      </c>
      <c r="FZ63" s="358"/>
      <c r="GA63" s="385">
        <v>1235.4564263010345</v>
      </c>
      <c r="GB63" s="385">
        <f>5</f>
        <v>5</v>
      </c>
      <c r="GC63" s="358"/>
      <c r="GD63" s="385">
        <v>1235.4564263010345</v>
      </c>
      <c r="GE63" s="385">
        <f>5</f>
        <v>5</v>
      </c>
      <c r="GF63" s="358"/>
      <c r="GG63" s="385">
        <v>1235.4564263010345</v>
      </c>
      <c r="GH63" s="385">
        <f>5</f>
        <v>5</v>
      </c>
      <c r="GI63" s="358"/>
      <c r="GJ63" s="385">
        <v>1235.4564263010345</v>
      </c>
      <c r="GK63" s="385">
        <f>5</f>
        <v>5</v>
      </c>
      <c r="GL63" s="358"/>
      <c r="GM63" s="385">
        <v>1235.4564263010345</v>
      </c>
      <c r="GN63" s="385">
        <f>5</f>
        <v>5</v>
      </c>
      <c r="GO63" s="358"/>
      <c r="GP63" s="385">
        <v>1235.4564263010345</v>
      </c>
      <c r="GQ63" s="385">
        <f>5</f>
        <v>5</v>
      </c>
      <c r="GR63" s="358"/>
      <c r="GS63" s="385">
        <v>1235.4564263010345</v>
      </c>
      <c r="GT63" s="385">
        <f>5</f>
        <v>5</v>
      </c>
      <c r="GU63" s="358"/>
      <c r="GV63" s="385">
        <v>1235.4564263010345</v>
      </c>
      <c r="GW63" s="385">
        <f>5</f>
        <v>5</v>
      </c>
      <c r="GX63" s="358"/>
      <c r="GY63" s="385">
        <v>1235.4564263010345</v>
      </c>
      <c r="GZ63" s="385">
        <f>5</f>
        <v>5</v>
      </c>
      <c r="HA63" s="358"/>
      <c r="HB63" s="385">
        <v>1235.4564263010345</v>
      </c>
      <c r="HC63" s="385">
        <f>5</f>
        <v>5</v>
      </c>
      <c r="HD63" s="358"/>
      <c r="HE63" s="387">
        <v>1235.4564263010345</v>
      </c>
      <c r="HF63" s="386">
        <f>5*6</f>
        <v>30</v>
      </c>
      <c r="HG63" s="358"/>
      <c r="HH63" s="387">
        <v>1235.4564263010345</v>
      </c>
      <c r="HI63" s="358"/>
      <c r="HJ63" s="387">
        <v>1235.4564263010345</v>
      </c>
      <c r="HK63" s="358"/>
      <c r="HL63" s="387">
        <v>1235.4564263010345</v>
      </c>
      <c r="HM63" s="358"/>
      <c r="HN63" s="387">
        <v>1235.4564263010345</v>
      </c>
      <c r="HO63" s="358"/>
      <c r="HP63" s="387">
        <v>1235.4564263010345</v>
      </c>
      <c r="HQ63" s="358"/>
      <c r="HR63" s="387">
        <v>1235.4564263010345</v>
      </c>
      <c r="HS63" s="358"/>
      <c r="HT63" s="387">
        <v>1235.4564263010345</v>
      </c>
      <c r="HU63" s="358"/>
      <c r="HV63" s="388">
        <v>1235.4564263010345</v>
      </c>
      <c r="HW63" s="358" t="s">
        <v>3310</v>
      </c>
      <c r="HX63" s="368">
        <v>1235.4564263010345</v>
      </c>
      <c r="HY63" s="358" t="s">
        <v>3310</v>
      </c>
      <c r="HZ63" s="368">
        <v>1235.4564263010345</v>
      </c>
      <c r="IA63" s="358" t="s">
        <v>3310</v>
      </c>
      <c r="IB63" s="368">
        <v>1235.4564263010345</v>
      </c>
      <c r="IC63" s="358" t="s">
        <v>3310</v>
      </c>
      <c r="ID63" s="357">
        <f>VLOOKUP($C63,'[15]Prix accès'!A:D,4,FALSE)</f>
        <v>1235.4564263010345</v>
      </c>
      <c r="IE63" s="361" t="s">
        <v>3310</v>
      </c>
      <c r="IF63" s="357">
        <f>VLOOKUP($C63,'[15]Prix accès'!$A:$D,4,FALSE)</f>
        <v>1235.4564263010345</v>
      </c>
      <c r="IG63" s="361" t="s">
        <v>3310</v>
      </c>
      <c r="IH63" s="357">
        <f>VLOOKUP($C63,'[15]Prix accès'!$A:$D,4,FALSE)</f>
        <v>1235.4564263010345</v>
      </c>
      <c r="II63" s="361" t="s">
        <v>3310</v>
      </c>
      <c r="IJ63" s="357">
        <f>VLOOKUP($C63,'[15]Prix accès'!$A:$D,4,FALSE)</f>
        <v>1235.4564263010345</v>
      </c>
      <c r="IK63" s="361" t="s">
        <v>3310</v>
      </c>
      <c r="IL63" s="357">
        <f>VLOOKUP($C63,'[15]Prix accès'!$A:$D,4,FALSE)</f>
        <v>1235.4564263010345</v>
      </c>
      <c r="IM63" s="361" t="s">
        <v>3310</v>
      </c>
      <c r="IN63" s="428">
        <v>121.52030422633126</v>
      </c>
      <c r="IO63" s="361"/>
      <c r="IP63" s="391"/>
      <c r="IQ63" s="361"/>
      <c r="IR63" s="494" t="s">
        <v>2995</v>
      </c>
      <c r="IS63" s="364" t="s">
        <v>77</v>
      </c>
      <c r="IT63" s="365">
        <v>43494</v>
      </c>
      <c r="IU63" s="371">
        <v>43497</v>
      </c>
      <c r="IV63" s="393"/>
      <c r="IW63" s="372">
        <f t="shared" si="11"/>
        <v>3</v>
      </c>
      <c r="IX63" s="373">
        <f t="shared" si="14"/>
        <v>40.506768075443752</v>
      </c>
      <c r="IY63" s="394">
        <f t="shared" si="13"/>
        <v>121.52030422633126</v>
      </c>
      <c r="IZ63" s="394"/>
      <c r="JA63" s="394"/>
    </row>
    <row r="64" spans="1:263" s="367" customFormat="1" ht="16.5" customHeight="1" x14ac:dyDescent="0.3">
      <c r="A64" s="354" t="s">
        <v>2735</v>
      </c>
      <c r="B64" s="495" t="s">
        <v>2784</v>
      </c>
      <c r="C64" s="356" t="s">
        <v>466</v>
      </c>
      <c r="D64" s="430">
        <v>1454</v>
      </c>
      <c r="E64" s="431">
        <v>84</v>
      </c>
      <c r="F64" s="431">
        <v>0</v>
      </c>
      <c r="G64" s="431">
        <v>36</v>
      </c>
      <c r="H64" s="432">
        <v>0</v>
      </c>
      <c r="I64" s="841">
        <v>1538</v>
      </c>
      <c r="J64" s="835">
        <v>36</v>
      </c>
      <c r="K64" s="835"/>
      <c r="L64" s="835">
        <v>1538</v>
      </c>
      <c r="M64" s="835">
        <v>36</v>
      </c>
      <c r="N64" s="835"/>
      <c r="O64" s="835">
        <v>1538</v>
      </c>
      <c r="P64" s="835">
        <v>36</v>
      </c>
      <c r="Q64" s="835"/>
      <c r="R64" s="835">
        <v>1538</v>
      </c>
      <c r="S64" s="835">
        <v>36</v>
      </c>
      <c r="T64" s="835"/>
      <c r="U64" s="842">
        <f>((1538-1225)/30.5)*5+1538</f>
        <v>1589.311475409836</v>
      </c>
      <c r="V64" s="842">
        <f>((36-5)/30.5)*5+36</f>
        <v>41.081967213114751</v>
      </c>
      <c r="W64" s="827"/>
      <c r="X64" s="831">
        <v>1225.2564263010347</v>
      </c>
      <c r="Y64" s="831">
        <f>5</f>
        <v>5</v>
      </c>
      <c r="Z64" s="827"/>
      <c r="AA64" s="831">
        <v>1225.2564263010347</v>
      </c>
      <c r="AB64" s="831">
        <f>5</f>
        <v>5</v>
      </c>
      <c r="AC64" s="827"/>
      <c r="AD64" s="831">
        <v>1225.2564263010347</v>
      </c>
      <c r="AE64" s="831">
        <f>5</f>
        <v>5</v>
      </c>
      <c r="AF64" s="827"/>
      <c r="AG64" s="831">
        <v>1225.2564263010347</v>
      </c>
      <c r="AH64" s="831">
        <f>5</f>
        <v>5</v>
      </c>
      <c r="AI64" s="827"/>
      <c r="AJ64" s="831">
        <v>1225.2564263010347</v>
      </c>
      <c r="AK64" s="831">
        <f>5</f>
        <v>5</v>
      </c>
      <c r="AL64" s="827"/>
      <c r="AM64" s="831">
        <v>1225.2564263010347</v>
      </c>
      <c r="AN64" s="831">
        <f>5</f>
        <v>5</v>
      </c>
      <c r="AO64" s="827"/>
      <c r="AP64" s="831">
        <v>1225.2564263010347</v>
      </c>
      <c r="AQ64" s="831">
        <f>5</f>
        <v>5</v>
      </c>
      <c r="AR64" s="827"/>
      <c r="AS64" s="831">
        <v>1225.2564263010347</v>
      </c>
      <c r="AT64" s="831">
        <f>5</f>
        <v>5</v>
      </c>
      <c r="AU64" s="827"/>
      <c r="AV64" s="831">
        <v>1225.2564263010347</v>
      </c>
      <c r="AW64" s="831">
        <f>5</f>
        <v>5</v>
      </c>
      <c r="AX64" s="827"/>
      <c r="AY64" s="831">
        <v>1225.2564263010347</v>
      </c>
      <c r="AZ64" s="831">
        <f>5</f>
        <v>5</v>
      </c>
      <c r="BA64" s="358"/>
      <c r="BB64" s="385">
        <v>1225.2564263010347</v>
      </c>
      <c r="BC64" s="385">
        <f>5</f>
        <v>5</v>
      </c>
      <c r="BD64" s="358"/>
      <c r="BE64" s="385">
        <v>1225.2564263010347</v>
      </c>
      <c r="BF64" s="385">
        <f>5</f>
        <v>5</v>
      </c>
      <c r="BG64" s="358"/>
      <c r="BH64" s="385">
        <v>1225.2564263010347</v>
      </c>
      <c r="BI64" s="385">
        <f>5</f>
        <v>5</v>
      </c>
      <c r="BJ64" s="358"/>
      <c r="BK64" s="385">
        <v>1225.2564263010347</v>
      </c>
      <c r="BL64" s="385">
        <f>5</f>
        <v>5</v>
      </c>
      <c r="BM64" s="358"/>
      <c r="BN64" s="385">
        <v>1225.2564263010347</v>
      </c>
      <c r="BO64" s="385">
        <f>5</f>
        <v>5</v>
      </c>
      <c r="BP64" s="358"/>
      <c r="BQ64" s="385">
        <v>1225.2564263010347</v>
      </c>
      <c r="BR64" s="385">
        <f>5</f>
        <v>5</v>
      </c>
      <c r="BS64" s="358"/>
      <c r="BT64" s="385">
        <v>1225.2564263010347</v>
      </c>
      <c r="BU64" s="385">
        <f>5</f>
        <v>5</v>
      </c>
      <c r="BV64" s="358"/>
      <c r="BW64" s="385">
        <v>1225.2564263010347</v>
      </c>
      <c r="BX64" s="385">
        <f>5</f>
        <v>5</v>
      </c>
      <c r="BY64" s="358"/>
      <c r="BZ64" s="385">
        <v>1225.2564263010347</v>
      </c>
      <c r="CA64" s="385">
        <f>5</f>
        <v>5</v>
      </c>
      <c r="CB64" s="358"/>
      <c r="CC64" s="385">
        <v>1225.2564263010347</v>
      </c>
      <c r="CD64" s="385">
        <f>5</f>
        <v>5</v>
      </c>
      <c r="CE64" s="358"/>
      <c r="CF64" s="385">
        <v>1225.2564263010347</v>
      </c>
      <c r="CG64" s="385">
        <f>5</f>
        <v>5</v>
      </c>
      <c r="CH64" s="358"/>
      <c r="CI64" s="385">
        <v>1225.2564263010347</v>
      </c>
      <c r="CJ64" s="385">
        <f>5</f>
        <v>5</v>
      </c>
      <c r="CK64" s="358"/>
      <c r="CL64" s="385">
        <v>1225.2564263010347</v>
      </c>
      <c r="CM64" s="385">
        <f>5</f>
        <v>5</v>
      </c>
      <c r="CN64" s="358"/>
      <c r="CO64" s="385">
        <v>1225.2564263010347</v>
      </c>
      <c r="CP64" s="385">
        <f>5</f>
        <v>5</v>
      </c>
      <c r="CQ64" s="358"/>
      <c r="CR64" s="385">
        <v>1225.2564263010347</v>
      </c>
      <c r="CS64" s="385">
        <f>5</f>
        <v>5</v>
      </c>
      <c r="CT64" s="358"/>
      <c r="CU64" s="385">
        <v>1225.2564263010347</v>
      </c>
      <c r="CV64" s="385">
        <f>5</f>
        <v>5</v>
      </c>
      <c r="CW64" s="358"/>
      <c r="CX64" s="385">
        <v>1225.2564263010347</v>
      </c>
      <c r="CY64" s="385">
        <f>5</f>
        <v>5</v>
      </c>
      <c r="CZ64" s="358"/>
      <c r="DA64" s="385">
        <v>1225.2564263010347</v>
      </c>
      <c r="DB64" s="385">
        <f>5</f>
        <v>5</v>
      </c>
      <c r="DC64" s="358"/>
      <c r="DD64" s="385">
        <v>1225.2564263010347</v>
      </c>
      <c r="DE64" s="385">
        <f>5</f>
        <v>5</v>
      </c>
      <c r="DF64" s="358"/>
      <c r="DG64" s="385">
        <v>1225.2564263010347</v>
      </c>
      <c r="DH64" s="385">
        <f>5</f>
        <v>5</v>
      </c>
      <c r="DI64" s="358"/>
      <c r="DJ64" s="385">
        <v>1225.2564263010347</v>
      </c>
      <c r="DK64" s="385">
        <f>5</f>
        <v>5</v>
      </c>
      <c r="DL64" s="358"/>
      <c r="DM64" s="385">
        <v>1225.2564263010347</v>
      </c>
      <c r="DN64" s="385">
        <f>5</f>
        <v>5</v>
      </c>
      <c r="DO64" s="358"/>
      <c r="DP64" s="385">
        <v>1225.2564263010347</v>
      </c>
      <c r="DQ64" s="385">
        <f>5</f>
        <v>5</v>
      </c>
      <c r="DR64" s="358"/>
      <c r="DS64" s="385">
        <v>1225.2564263010347</v>
      </c>
      <c r="DT64" s="385">
        <f>5</f>
        <v>5</v>
      </c>
      <c r="DU64" s="358"/>
      <c r="DV64" s="385">
        <v>1225.2564263010347</v>
      </c>
      <c r="DW64" s="385">
        <f>5</f>
        <v>5</v>
      </c>
      <c r="DX64" s="358"/>
      <c r="DY64" s="385">
        <v>1225.2564263010347</v>
      </c>
      <c r="DZ64" s="385">
        <f>5</f>
        <v>5</v>
      </c>
      <c r="EA64" s="358"/>
      <c r="EB64" s="385">
        <v>1225.2564263010347</v>
      </c>
      <c r="EC64" s="385">
        <f>5</f>
        <v>5</v>
      </c>
      <c r="ED64" s="358"/>
      <c r="EE64" s="385">
        <v>1225.2564263010347</v>
      </c>
      <c r="EF64" s="385">
        <f>5</f>
        <v>5</v>
      </c>
      <c r="EG64" s="358"/>
      <c r="EH64" s="385">
        <v>1225.2564263010347</v>
      </c>
      <c r="EI64" s="385">
        <f>5</f>
        <v>5</v>
      </c>
      <c r="EJ64" s="358"/>
      <c r="EK64" s="385">
        <v>1225.2564263010347</v>
      </c>
      <c r="EL64" s="385">
        <f>5</f>
        <v>5</v>
      </c>
      <c r="EM64" s="358"/>
      <c r="EN64" s="385">
        <v>1225.2564263010347</v>
      </c>
      <c r="EO64" s="385">
        <f>5</f>
        <v>5</v>
      </c>
      <c r="EP64" s="358"/>
      <c r="EQ64" s="385">
        <v>1225.2564263010347</v>
      </c>
      <c r="ER64" s="385">
        <f>5</f>
        <v>5</v>
      </c>
      <c r="ES64" s="358"/>
      <c r="ET64" s="385">
        <v>1225.2564263010347</v>
      </c>
      <c r="EU64" s="385">
        <f>5</f>
        <v>5</v>
      </c>
      <c r="EV64" s="358"/>
      <c r="EW64" s="385">
        <v>1225.2564263010347</v>
      </c>
      <c r="EX64" s="385">
        <f>5</f>
        <v>5</v>
      </c>
      <c r="EY64" s="358"/>
      <c r="EZ64" s="385">
        <v>1225.2564263010347</v>
      </c>
      <c r="FA64" s="385">
        <f>5</f>
        <v>5</v>
      </c>
      <c r="FB64" s="358"/>
      <c r="FC64" s="385">
        <v>1225.2564263010347</v>
      </c>
      <c r="FD64" s="385">
        <f>5</f>
        <v>5</v>
      </c>
      <c r="FE64" s="358"/>
      <c r="FF64" s="385">
        <v>1225.2564263010347</v>
      </c>
      <c r="FG64" s="385">
        <f>5</f>
        <v>5</v>
      </c>
      <c r="FH64" s="358"/>
      <c r="FI64" s="385">
        <v>1225.2564263010347</v>
      </c>
      <c r="FJ64" s="385">
        <f>5</f>
        <v>5</v>
      </c>
      <c r="FK64" s="358"/>
      <c r="FL64" s="385">
        <v>1225.2564263010347</v>
      </c>
      <c r="FM64" s="385">
        <f>5</f>
        <v>5</v>
      </c>
      <c r="FN64" s="358"/>
      <c r="FO64" s="385">
        <v>1225.2564263010347</v>
      </c>
      <c r="FP64" s="385">
        <f>5</f>
        <v>5</v>
      </c>
      <c r="FQ64" s="358"/>
      <c r="FR64" s="385">
        <v>1225.2564263010347</v>
      </c>
      <c r="FS64" s="385">
        <f>5</f>
        <v>5</v>
      </c>
      <c r="FT64" s="358"/>
      <c r="FU64" s="385">
        <v>1225.2564263010347</v>
      </c>
      <c r="FV64" s="385">
        <f>5</f>
        <v>5</v>
      </c>
      <c r="FW64" s="358"/>
      <c r="FX64" s="385">
        <v>1225.2564263010347</v>
      </c>
      <c r="FY64" s="385">
        <f>5</f>
        <v>5</v>
      </c>
      <c r="FZ64" s="358"/>
      <c r="GA64" s="385">
        <v>1225.2564263010347</v>
      </c>
      <c r="GB64" s="385">
        <f>5</f>
        <v>5</v>
      </c>
      <c r="GC64" s="358"/>
      <c r="GD64" s="385">
        <v>1225.2564263010347</v>
      </c>
      <c r="GE64" s="385">
        <f>5</f>
        <v>5</v>
      </c>
      <c r="GF64" s="358"/>
      <c r="GG64" s="385">
        <v>1225.2564263010347</v>
      </c>
      <c r="GH64" s="385">
        <f>5</f>
        <v>5</v>
      </c>
      <c r="GI64" s="358"/>
      <c r="GJ64" s="385">
        <v>1225.2564263010347</v>
      </c>
      <c r="GK64" s="385">
        <f>5</f>
        <v>5</v>
      </c>
      <c r="GL64" s="358"/>
      <c r="GM64" s="385">
        <v>1225.2564263010347</v>
      </c>
      <c r="GN64" s="385">
        <f>5</f>
        <v>5</v>
      </c>
      <c r="GO64" s="358"/>
      <c r="GP64" s="385">
        <v>1225.2564263010347</v>
      </c>
      <c r="GQ64" s="385">
        <f>5</f>
        <v>5</v>
      </c>
      <c r="GR64" s="358"/>
      <c r="GS64" s="385">
        <v>1225.2564263010347</v>
      </c>
      <c r="GT64" s="385">
        <f>5</f>
        <v>5</v>
      </c>
      <c r="GU64" s="358"/>
      <c r="GV64" s="385">
        <v>1225.2564263010347</v>
      </c>
      <c r="GW64" s="385">
        <f>5</f>
        <v>5</v>
      </c>
      <c r="GX64" s="358"/>
      <c r="GY64" s="385">
        <v>1225.2564263010347</v>
      </c>
      <c r="GZ64" s="385">
        <f>5</f>
        <v>5</v>
      </c>
      <c r="HA64" s="358"/>
      <c r="HB64" s="385">
        <v>1225.2564263010347</v>
      </c>
      <c r="HC64" s="385">
        <f>5</f>
        <v>5</v>
      </c>
      <c r="HD64" s="358"/>
      <c r="HE64" s="387">
        <v>1225.2564263010347</v>
      </c>
      <c r="HF64" s="386">
        <f>5*6</f>
        <v>30</v>
      </c>
      <c r="HG64" s="358"/>
      <c r="HH64" s="387">
        <v>1225.2564263010347</v>
      </c>
      <c r="HI64" s="358"/>
      <c r="HJ64" s="387">
        <v>1225.2564263010347</v>
      </c>
      <c r="HK64" s="358"/>
      <c r="HL64" s="387">
        <v>1225.2564263010347</v>
      </c>
      <c r="HM64" s="358"/>
      <c r="HN64" s="387">
        <v>1225.2564263010347</v>
      </c>
      <c r="HO64" s="358"/>
      <c r="HP64" s="387">
        <v>1225.2564263010347</v>
      </c>
      <c r="HQ64" s="358"/>
      <c r="HR64" s="387">
        <v>1225.2564263010347</v>
      </c>
      <c r="HS64" s="358"/>
      <c r="HT64" s="387">
        <v>1225.2564263010347</v>
      </c>
      <c r="HU64" s="358"/>
      <c r="HV64" s="388">
        <v>1225.2564263010347</v>
      </c>
      <c r="HW64" s="358" t="s">
        <v>3310</v>
      </c>
      <c r="HX64" s="368">
        <v>1225.2564263010347</v>
      </c>
      <c r="HY64" s="358" t="s">
        <v>3310</v>
      </c>
      <c r="HZ64" s="368">
        <v>1225.2564263010347</v>
      </c>
      <c r="IA64" s="358" t="s">
        <v>3310</v>
      </c>
      <c r="IB64" s="368">
        <v>1225.2564263010347</v>
      </c>
      <c r="IC64" s="358" t="s">
        <v>3310</v>
      </c>
      <c r="ID64" s="357">
        <f>VLOOKUP($C64,'[15]Prix accès'!A:D,4,FALSE)</f>
        <v>1225.2564263010347</v>
      </c>
      <c r="IE64" s="361" t="s">
        <v>3310</v>
      </c>
      <c r="IF64" s="357">
        <f>VLOOKUP($C64,'[15]Prix accès'!$A:$D,4,FALSE)</f>
        <v>1225.2564263010347</v>
      </c>
      <c r="IG64" s="361" t="s">
        <v>3310</v>
      </c>
      <c r="IH64" s="357">
        <f>VLOOKUP($C64,'[15]Prix accès'!$A:$D,4,FALSE)</f>
        <v>1225.2564263010347</v>
      </c>
      <c r="II64" s="361" t="s">
        <v>3310</v>
      </c>
      <c r="IJ64" s="357">
        <f>VLOOKUP($C64,'[15]Prix accès'!$A:$D,4,FALSE)</f>
        <v>1225.2564263010347</v>
      </c>
      <c r="IK64" s="361" t="s">
        <v>3310</v>
      </c>
      <c r="IL64" s="357">
        <f>VLOOKUP($C64,'[15]Prix accès'!$A:$D,4,FALSE)</f>
        <v>1225.2564263010347</v>
      </c>
      <c r="IM64" s="361" t="s">
        <v>3310</v>
      </c>
      <c r="IN64" s="428">
        <v>120.51702553780669</v>
      </c>
      <c r="IO64" s="361"/>
      <c r="IP64" s="391"/>
      <c r="IQ64" s="361"/>
      <c r="IR64" s="494" t="s">
        <v>3342</v>
      </c>
      <c r="IS64" s="364" t="s">
        <v>77</v>
      </c>
      <c r="IT64" s="365">
        <v>43494</v>
      </c>
      <c r="IU64" s="371">
        <v>43497</v>
      </c>
      <c r="IV64" s="393"/>
      <c r="IW64" s="372">
        <f t="shared" si="11"/>
        <v>3</v>
      </c>
      <c r="IX64" s="373">
        <f t="shared" si="14"/>
        <v>40.172341845935563</v>
      </c>
      <c r="IY64" s="394">
        <f t="shared" si="13"/>
        <v>120.51702553780669</v>
      </c>
      <c r="IZ64" s="394"/>
      <c r="JA64" s="394"/>
    </row>
    <row r="65" spans="1:263" s="367" customFormat="1" ht="16.5" customHeight="1" x14ac:dyDescent="0.3">
      <c r="A65" s="354" t="s">
        <v>2739</v>
      </c>
      <c r="B65" s="465" t="s">
        <v>2748</v>
      </c>
      <c r="C65" s="993" t="s">
        <v>920</v>
      </c>
      <c r="D65" s="467">
        <v>1149</v>
      </c>
      <c r="E65" s="468">
        <v>44</v>
      </c>
      <c r="F65" s="468">
        <v>32</v>
      </c>
      <c r="G65" s="468">
        <v>0</v>
      </c>
      <c r="H65" s="469">
        <v>0</v>
      </c>
      <c r="I65" s="830">
        <v>1225</v>
      </c>
      <c r="J65" s="831"/>
      <c r="K65" s="827"/>
      <c r="L65" s="831">
        <v>1225</v>
      </c>
      <c r="M65" s="831"/>
      <c r="N65" s="827"/>
      <c r="O65" s="831">
        <v>1225</v>
      </c>
      <c r="P65" s="831"/>
      <c r="Q65" s="827"/>
      <c r="R65" s="831">
        <v>1225</v>
      </c>
      <c r="S65" s="831"/>
      <c r="T65" s="827"/>
      <c r="U65" s="831">
        <v>1225</v>
      </c>
      <c r="V65" s="831"/>
      <c r="W65" s="827"/>
      <c r="X65" s="831">
        <v>1225</v>
      </c>
      <c r="Y65" s="831"/>
      <c r="Z65" s="827"/>
      <c r="AA65" s="831">
        <v>1225</v>
      </c>
      <c r="AB65" s="831"/>
      <c r="AC65" s="827"/>
      <c r="AD65" s="831">
        <v>1225</v>
      </c>
      <c r="AE65" s="831"/>
      <c r="AF65" s="827"/>
      <c r="AG65" s="831">
        <v>1225</v>
      </c>
      <c r="AH65" s="831"/>
      <c r="AI65" s="827"/>
      <c r="AJ65" s="831">
        <v>1225</v>
      </c>
      <c r="AK65" s="831"/>
      <c r="AL65" s="827"/>
      <c r="AM65" s="831">
        <v>1225</v>
      </c>
      <c r="AN65" s="831"/>
      <c r="AO65" s="827"/>
      <c r="AP65" s="831">
        <v>1225</v>
      </c>
      <c r="AQ65" s="831"/>
      <c r="AR65" s="827"/>
      <c r="AS65" s="831">
        <v>1225</v>
      </c>
      <c r="AT65" s="831"/>
      <c r="AU65" s="827"/>
      <c r="AV65" s="831">
        <v>1225</v>
      </c>
      <c r="AW65" s="831"/>
      <c r="AX65" s="827"/>
      <c r="AY65" s="831">
        <v>1225</v>
      </c>
      <c r="AZ65" s="831"/>
      <c r="BA65" s="358"/>
      <c r="BB65" s="385">
        <v>1225</v>
      </c>
      <c r="BC65" s="385"/>
      <c r="BD65" s="358"/>
      <c r="BE65" s="385">
        <v>1225</v>
      </c>
      <c r="BF65" s="385"/>
      <c r="BG65" s="358"/>
      <c r="BH65" s="385">
        <v>1225</v>
      </c>
      <c r="BI65" s="385"/>
      <c r="BJ65" s="358"/>
      <c r="BK65" s="385">
        <v>1225</v>
      </c>
      <c r="BL65" s="385"/>
      <c r="BM65" s="358"/>
      <c r="BN65" s="385">
        <v>1225</v>
      </c>
      <c r="BO65" s="385"/>
      <c r="BP65" s="358"/>
      <c r="BQ65" s="385">
        <v>1225</v>
      </c>
      <c r="BR65" s="385"/>
      <c r="BS65" s="358"/>
      <c r="BT65" s="385">
        <v>1225</v>
      </c>
      <c r="BU65" s="385"/>
      <c r="BV65" s="358"/>
      <c r="BW65" s="385">
        <v>1225</v>
      </c>
      <c r="BX65" s="385"/>
      <c r="BY65" s="358"/>
      <c r="BZ65" s="385">
        <v>1225</v>
      </c>
      <c r="CA65" s="385"/>
      <c r="CB65" s="358"/>
      <c r="CC65" s="385">
        <v>1225</v>
      </c>
      <c r="CD65" s="385"/>
      <c r="CE65" s="358"/>
      <c r="CF65" s="385">
        <v>1225</v>
      </c>
      <c r="CG65" s="385"/>
      <c r="CH65" s="358"/>
      <c r="CI65" s="385">
        <v>1225</v>
      </c>
      <c r="CJ65" s="385"/>
      <c r="CK65" s="358"/>
      <c r="CL65" s="385">
        <v>1225</v>
      </c>
      <c r="CM65" s="385"/>
      <c r="CN65" s="358"/>
      <c r="CO65" s="385">
        <v>1225</v>
      </c>
      <c r="CP65" s="385"/>
      <c r="CQ65" s="358"/>
      <c r="CR65" s="385">
        <v>1225</v>
      </c>
      <c r="CS65" s="385"/>
      <c r="CT65" s="358"/>
      <c r="CU65" s="385">
        <v>1225</v>
      </c>
      <c r="CV65" s="385"/>
      <c r="CW65" s="358"/>
      <c r="CX65" s="385">
        <v>1225</v>
      </c>
      <c r="CY65" s="385"/>
      <c r="CZ65" s="358"/>
      <c r="DA65" s="385">
        <v>1225</v>
      </c>
      <c r="DB65" s="385"/>
      <c r="DC65" s="358"/>
      <c r="DD65" s="385">
        <v>1225</v>
      </c>
      <c r="DE65" s="385"/>
      <c r="DF65" s="358"/>
      <c r="DG65" s="385">
        <v>1225</v>
      </c>
      <c r="DH65" s="385"/>
      <c r="DI65" s="358"/>
      <c r="DJ65" s="385">
        <v>1225</v>
      </c>
      <c r="DK65" s="385"/>
      <c r="DL65" s="358"/>
      <c r="DM65" s="385">
        <v>1225</v>
      </c>
      <c r="DN65" s="385"/>
      <c r="DO65" s="358"/>
      <c r="DP65" s="385">
        <v>1225</v>
      </c>
      <c r="DQ65" s="385"/>
      <c r="DR65" s="358"/>
      <c r="DS65" s="385">
        <v>1225</v>
      </c>
      <c r="DT65" s="385"/>
      <c r="DU65" s="358"/>
      <c r="DV65" s="385">
        <v>1225</v>
      </c>
      <c r="DW65" s="385"/>
      <c r="DX65" s="358"/>
      <c r="DY65" s="385">
        <v>1225</v>
      </c>
      <c r="DZ65" s="385"/>
      <c r="EA65" s="358"/>
      <c r="EB65" s="385">
        <v>1225</v>
      </c>
      <c r="EC65" s="385"/>
      <c r="ED65" s="358"/>
      <c r="EE65" s="385">
        <v>1225</v>
      </c>
      <c r="EF65" s="385"/>
      <c r="EG65" s="358"/>
      <c r="EH65" s="385">
        <v>1225</v>
      </c>
      <c r="EI65" s="385"/>
      <c r="EJ65" s="358"/>
      <c r="EK65" s="385">
        <v>1225</v>
      </c>
      <c r="EL65" s="385"/>
      <c r="EM65" s="358"/>
      <c r="EN65" s="385">
        <v>1225</v>
      </c>
      <c r="EO65" s="385"/>
      <c r="EP65" s="358"/>
      <c r="EQ65" s="385">
        <v>1225</v>
      </c>
      <c r="ER65" s="385"/>
      <c r="ES65" s="358"/>
      <c r="ET65" s="385">
        <v>1225</v>
      </c>
      <c r="EU65" s="385"/>
      <c r="EV65" s="358"/>
      <c r="EW65" s="385">
        <v>1225</v>
      </c>
      <c r="EX65" s="385"/>
      <c r="EY65" s="358"/>
      <c r="EZ65" s="385">
        <v>1225</v>
      </c>
      <c r="FA65" s="385"/>
      <c r="FB65" s="358"/>
      <c r="FC65" s="385">
        <v>1225</v>
      </c>
      <c r="FD65" s="385"/>
      <c r="FE65" s="358"/>
      <c r="FF65" s="385">
        <v>1225</v>
      </c>
      <c r="FG65" s="385"/>
      <c r="FH65" s="358"/>
      <c r="FI65" s="385">
        <v>1225</v>
      </c>
      <c r="FJ65" s="385"/>
      <c r="FK65" s="358"/>
      <c r="FL65" s="385">
        <v>1225</v>
      </c>
      <c r="FM65" s="385"/>
      <c r="FN65" s="358"/>
      <c r="FO65" s="385">
        <v>1225</v>
      </c>
      <c r="FP65" s="385"/>
      <c r="FQ65" s="358"/>
      <c r="FR65" s="385">
        <v>1225</v>
      </c>
      <c r="FS65" s="385"/>
      <c r="FT65" s="358"/>
      <c r="FU65" s="385">
        <v>1225</v>
      </c>
      <c r="FV65" s="385"/>
      <c r="FW65" s="358"/>
      <c r="FX65" s="385">
        <v>1225</v>
      </c>
      <c r="FY65" s="385"/>
      <c r="FZ65" s="358"/>
      <c r="GA65" s="385">
        <v>1225</v>
      </c>
      <c r="GB65" s="385"/>
      <c r="GC65" s="358"/>
      <c r="GD65" s="385">
        <v>1225</v>
      </c>
      <c r="GE65" s="385"/>
      <c r="GF65" s="358"/>
      <c r="GG65" s="385">
        <v>1225</v>
      </c>
      <c r="GH65" s="385"/>
      <c r="GI65" s="358"/>
      <c r="GJ65" s="385">
        <v>1225</v>
      </c>
      <c r="GK65" s="385"/>
      <c r="GL65" s="358"/>
      <c r="GM65" s="385">
        <v>1225</v>
      </c>
      <c r="GN65" s="385"/>
      <c r="GO65" s="358"/>
      <c r="GP65" s="385">
        <v>1225</v>
      </c>
      <c r="GQ65" s="385"/>
      <c r="GR65" s="358"/>
      <c r="GS65" s="385">
        <v>1225</v>
      </c>
      <c r="GT65" s="385"/>
      <c r="GU65" s="358"/>
      <c r="GV65" s="385">
        <v>1225</v>
      </c>
      <c r="GW65" s="385"/>
      <c r="GX65" s="358"/>
      <c r="GY65" s="385">
        <v>1225</v>
      </c>
      <c r="GZ65" s="385"/>
      <c r="HA65" s="358"/>
      <c r="HB65" s="385">
        <v>1225</v>
      </c>
      <c r="HC65" s="385"/>
      <c r="HD65" s="358"/>
      <c r="HE65" s="385">
        <v>1225</v>
      </c>
      <c r="HF65" s="385"/>
      <c r="HG65" s="358"/>
      <c r="HH65" s="385">
        <v>1225</v>
      </c>
      <c r="HI65" s="358"/>
      <c r="HJ65" s="385">
        <v>1225</v>
      </c>
      <c r="HK65" s="358"/>
      <c r="HL65" s="385">
        <v>1225</v>
      </c>
      <c r="HM65" s="358"/>
      <c r="HN65" s="385">
        <v>1225</v>
      </c>
      <c r="HO65" s="358"/>
      <c r="HP65" s="385">
        <v>1225</v>
      </c>
      <c r="HQ65" s="358"/>
      <c r="HR65" s="385">
        <v>1225</v>
      </c>
      <c r="HS65" s="358"/>
      <c r="HT65" s="386">
        <f>1033+289.57</f>
        <v>1322.57</v>
      </c>
      <c r="HU65" s="358"/>
      <c r="HV65" s="388">
        <v>1033</v>
      </c>
      <c r="HW65" s="425" t="s">
        <v>3310</v>
      </c>
      <c r="HX65" s="424">
        <v>1033</v>
      </c>
      <c r="HY65" s="425" t="s">
        <v>3310</v>
      </c>
      <c r="HZ65" s="424">
        <v>1033</v>
      </c>
      <c r="IA65" s="425" t="s">
        <v>3310</v>
      </c>
      <c r="IB65" s="424">
        <v>1033</v>
      </c>
      <c r="IC65" s="425" t="s">
        <v>3310</v>
      </c>
      <c r="ID65" s="357">
        <f>VLOOKUP($C65,'[15]Prix accès'!A:D,4,FALSE)</f>
        <v>1225</v>
      </c>
      <c r="IE65" s="426" t="s">
        <v>3310</v>
      </c>
      <c r="IF65" s="357">
        <f>VLOOKUP($C65,'[15]Prix accès'!$A:$D,4,FALSE)</f>
        <v>1225</v>
      </c>
      <c r="IG65" s="426" t="s">
        <v>3310</v>
      </c>
      <c r="IH65" s="357">
        <f>VLOOKUP($C65,'[15]Prix accès'!$A:$D,4,FALSE)</f>
        <v>1225</v>
      </c>
      <c r="II65" s="361"/>
      <c r="IJ65" s="357">
        <f>VLOOKUP($C65,'[15]Prix accès'!$A:$D,4,FALSE)</f>
        <v>1225</v>
      </c>
      <c r="IK65" s="361"/>
      <c r="IL65" s="457">
        <v>745.11475409836066</v>
      </c>
      <c r="IM65" s="361"/>
      <c r="IN65" s="496"/>
      <c r="IO65" s="427"/>
      <c r="IP65" s="496"/>
      <c r="IQ65" s="427"/>
      <c r="IR65" s="429" t="s">
        <v>2983</v>
      </c>
      <c r="IS65" s="364" t="s">
        <v>77</v>
      </c>
      <c r="IT65" s="365">
        <v>43503</v>
      </c>
      <c r="IU65" s="371">
        <v>43525</v>
      </c>
      <c r="IW65" s="372">
        <f t="shared" si="11"/>
        <v>22</v>
      </c>
      <c r="IX65" s="373">
        <f t="shared" si="14"/>
        <v>40.16393442622951</v>
      </c>
      <c r="IY65" s="394">
        <f t="shared" si="13"/>
        <v>883.60655737704917</v>
      </c>
      <c r="IZ65" s="394"/>
      <c r="JA65" s="394"/>
    </row>
    <row r="66" spans="1:263" s="367" customFormat="1" ht="16.5" customHeight="1" x14ac:dyDescent="0.3">
      <c r="A66" s="354" t="s">
        <v>2735</v>
      </c>
      <c r="B66" s="415" t="s">
        <v>2784</v>
      </c>
      <c r="C66" s="447" t="s">
        <v>713</v>
      </c>
      <c r="D66" s="448">
        <v>1454</v>
      </c>
      <c r="E66" s="449">
        <v>95</v>
      </c>
      <c r="F66" s="449">
        <v>48</v>
      </c>
      <c r="G66" s="449">
        <v>36</v>
      </c>
      <c r="H66" s="450">
        <v>0</v>
      </c>
      <c r="I66" s="841">
        <v>1596</v>
      </c>
      <c r="J66" s="835">
        <v>36</v>
      </c>
      <c r="K66" s="827"/>
      <c r="L66" s="835">
        <v>1596</v>
      </c>
      <c r="M66" s="835">
        <v>36</v>
      </c>
      <c r="N66" s="827"/>
      <c r="O66" s="835">
        <v>1596</v>
      </c>
      <c r="P66" s="835">
        <v>36</v>
      </c>
      <c r="Q66" s="827"/>
      <c r="R66" s="835">
        <v>1596</v>
      </c>
      <c r="S66" s="835">
        <v>36</v>
      </c>
      <c r="T66" s="827"/>
      <c r="U66" s="835">
        <v>1596</v>
      </c>
      <c r="V66" s="835">
        <v>36</v>
      </c>
      <c r="W66" s="827"/>
      <c r="X66" s="835">
        <v>1596</v>
      </c>
      <c r="Y66" s="835">
        <v>36</v>
      </c>
      <c r="Z66" s="827"/>
      <c r="AA66" s="835">
        <v>1596</v>
      </c>
      <c r="AB66" s="835">
        <v>36</v>
      </c>
      <c r="AC66" s="827"/>
      <c r="AD66" s="835">
        <v>1596</v>
      </c>
      <c r="AE66" s="835">
        <v>36</v>
      </c>
      <c r="AF66" s="827"/>
      <c r="AG66" s="835">
        <v>1596</v>
      </c>
      <c r="AH66" s="835">
        <v>36</v>
      </c>
      <c r="AI66" s="827"/>
      <c r="AJ66" s="835">
        <v>1596</v>
      </c>
      <c r="AK66" s="835">
        <v>36</v>
      </c>
      <c r="AL66" s="827"/>
      <c r="AM66" s="835">
        <v>1596</v>
      </c>
      <c r="AN66" s="835">
        <v>36</v>
      </c>
      <c r="AO66" s="827"/>
      <c r="AP66" s="835">
        <v>1596</v>
      </c>
      <c r="AQ66" s="835">
        <v>36</v>
      </c>
      <c r="AR66" s="827"/>
      <c r="AS66" s="835">
        <v>1596</v>
      </c>
      <c r="AT66" s="835">
        <v>36</v>
      </c>
      <c r="AU66" s="827"/>
      <c r="AV66" s="835">
        <v>1596</v>
      </c>
      <c r="AW66" s="835">
        <v>36</v>
      </c>
      <c r="AX66" s="827"/>
      <c r="AY66" s="835">
        <v>1596</v>
      </c>
      <c r="AZ66" s="835">
        <v>36</v>
      </c>
      <c r="BA66" s="358"/>
      <c r="BB66" s="384">
        <v>1596</v>
      </c>
      <c r="BC66" s="384">
        <v>36</v>
      </c>
      <c r="BD66" s="358"/>
      <c r="BE66" s="386">
        <f>((1596-1351)/30.5)*10+1596</f>
        <v>1676.327868852459</v>
      </c>
      <c r="BF66" s="386">
        <f>((36-14)/30.5)*10+36</f>
        <v>43.213114754098363</v>
      </c>
      <c r="BG66" s="358"/>
      <c r="BH66" s="385">
        <v>1351.4564263010345</v>
      </c>
      <c r="BI66" s="385">
        <f>14</f>
        <v>14</v>
      </c>
      <c r="BJ66" s="358"/>
      <c r="BK66" s="385">
        <v>1351.4564263010345</v>
      </c>
      <c r="BL66" s="385">
        <f>14</f>
        <v>14</v>
      </c>
      <c r="BM66" s="358"/>
      <c r="BN66" s="385">
        <v>1351.4564263010345</v>
      </c>
      <c r="BO66" s="385">
        <f>14</f>
        <v>14</v>
      </c>
      <c r="BP66" s="358"/>
      <c r="BQ66" s="385">
        <v>1351.4564263010345</v>
      </c>
      <c r="BR66" s="385">
        <f>14</f>
        <v>14</v>
      </c>
      <c r="BS66" s="358"/>
      <c r="BT66" s="385">
        <v>1351.4564263010345</v>
      </c>
      <c r="BU66" s="385">
        <f>14</f>
        <v>14</v>
      </c>
      <c r="BV66" s="358"/>
      <c r="BW66" s="385">
        <v>1351.4564263010345</v>
      </c>
      <c r="BX66" s="385">
        <f>14</f>
        <v>14</v>
      </c>
      <c r="BY66" s="358"/>
      <c r="BZ66" s="385">
        <v>1351.4564263010345</v>
      </c>
      <c r="CA66" s="385">
        <f>14</f>
        <v>14</v>
      </c>
      <c r="CB66" s="358"/>
      <c r="CC66" s="385">
        <v>1351.4564263010345</v>
      </c>
      <c r="CD66" s="385">
        <f>14</f>
        <v>14</v>
      </c>
      <c r="CE66" s="358"/>
      <c r="CF66" s="385">
        <v>1351.4564263010345</v>
      </c>
      <c r="CG66" s="385">
        <f>14</f>
        <v>14</v>
      </c>
      <c r="CH66" s="358"/>
      <c r="CI66" s="385">
        <v>1351.4564263010345</v>
      </c>
      <c r="CJ66" s="385">
        <f>14</f>
        <v>14</v>
      </c>
      <c r="CK66" s="358"/>
      <c r="CL66" s="385">
        <v>1351.4564263010345</v>
      </c>
      <c r="CM66" s="385">
        <f>14</f>
        <v>14</v>
      </c>
      <c r="CN66" s="358"/>
      <c r="CO66" s="385">
        <v>1351.4564263010345</v>
      </c>
      <c r="CP66" s="385">
        <f>14</f>
        <v>14</v>
      </c>
      <c r="CQ66" s="358"/>
      <c r="CR66" s="385">
        <v>1351.4564263010345</v>
      </c>
      <c r="CS66" s="385">
        <f>14</f>
        <v>14</v>
      </c>
      <c r="CT66" s="358"/>
      <c r="CU66" s="385">
        <v>1351.4564263010345</v>
      </c>
      <c r="CV66" s="385">
        <f>14</f>
        <v>14</v>
      </c>
      <c r="CW66" s="358"/>
      <c r="CX66" s="385">
        <v>1351.4564263010345</v>
      </c>
      <c r="CY66" s="385">
        <f>14</f>
        <v>14</v>
      </c>
      <c r="CZ66" s="358"/>
      <c r="DA66" s="385">
        <v>1351.4564263010345</v>
      </c>
      <c r="DB66" s="385">
        <f>14</f>
        <v>14</v>
      </c>
      <c r="DC66" s="358"/>
      <c r="DD66" s="385">
        <v>1351.4564263010345</v>
      </c>
      <c r="DE66" s="385">
        <f>14</f>
        <v>14</v>
      </c>
      <c r="DF66" s="358"/>
      <c r="DG66" s="385">
        <v>1351.4564263010345</v>
      </c>
      <c r="DH66" s="385">
        <f>14</f>
        <v>14</v>
      </c>
      <c r="DI66" s="358"/>
      <c r="DJ66" s="385">
        <v>1351.4564263010345</v>
      </c>
      <c r="DK66" s="385">
        <f>14</f>
        <v>14</v>
      </c>
      <c r="DL66" s="358"/>
      <c r="DM66" s="385">
        <v>1351.4564263010345</v>
      </c>
      <c r="DN66" s="385">
        <f>14</f>
        <v>14</v>
      </c>
      <c r="DO66" s="358"/>
      <c r="DP66" s="385">
        <v>1351.4564263010345</v>
      </c>
      <c r="DQ66" s="385">
        <f>14</f>
        <v>14</v>
      </c>
      <c r="DR66" s="358"/>
      <c r="DS66" s="385">
        <v>1351.4564263010345</v>
      </c>
      <c r="DT66" s="385">
        <f>14</f>
        <v>14</v>
      </c>
      <c r="DU66" s="358"/>
      <c r="DV66" s="385">
        <v>1351.4564263010345</v>
      </c>
      <c r="DW66" s="385">
        <f>14</f>
        <v>14</v>
      </c>
      <c r="DX66" s="358"/>
      <c r="DY66" s="385">
        <v>1351.4564263010345</v>
      </c>
      <c r="DZ66" s="385">
        <f>14</f>
        <v>14</v>
      </c>
      <c r="EA66" s="358"/>
      <c r="EB66" s="385">
        <v>1351.4564263010345</v>
      </c>
      <c r="EC66" s="385">
        <f>14</f>
        <v>14</v>
      </c>
      <c r="ED66" s="358"/>
      <c r="EE66" s="385">
        <v>1351.4564263010345</v>
      </c>
      <c r="EF66" s="385">
        <f>14</f>
        <v>14</v>
      </c>
      <c r="EG66" s="358"/>
      <c r="EH66" s="385">
        <v>1351.4564263010345</v>
      </c>
      <c r="EI66" s="385">
        <f>14</f>
        <v>14</v>
      </c>
      <c r="EJ66" s="358"/>
      <c r="EK66" s="385">
        <v>1351.4564263010345</v>
      </c>
      <c r="EL66" s="385">
        <f>14</f>
        <v>14</v>
      </c>
      <c r="EM66" s="358"/>
      <c r="EN66" s="385">
        <v>1351.4564263010345</v>
      </c>
      <c r="EO66" s="385">
        <f>14</f>
        <v>14</v>
      </c>
      <c r="EP66" s="358"/>
      <c r="EQ66" s="385">
        <v>1351.4564263010345</v>
      </c>
      <c r="ER66" s="385">
        <f>14</f>
        <v>14</v>
      </c>
      <c r="ES66" s="358"/>
      <c r="ET66" s="385">
        <v>1351.4564263010345</v>
      </c>
      <c r="EU66" s="385">
        <f>14</f>
        <v>14</v>
      </c>
      <c r="EV66" s="358"/>
      <c r="EW66" s="385">
        <v>1351.4564263010345</v>
      </c>
      <c r="EX66" s="385">
        <f>14</f>
        <v>14</v>
      </c>
      <c r="EY66" s="358"/>
      <c r="EZ66" s="385">
        <v>1351.4564263010345</v>
      </c>
      <c r="FA66" s="385">
        <f>14</f>
        <v>14</v>
      </c>
      <c r="FB66" s="358"/>
      <c r="FC66" s="385">
        <v>1351.4564263010345</v>
      </c>
      <c r="FD66" s="385">
        <f>14</f>
        <v>14</v>
      </c>
      <c r="FE66" s="358"/>
      <c r="FF66" s="385">
        <v>1351.4564263010345</v>
      </c>
      <c r="FG66" s="385">
        <f>14</f>
        <v>14</v>
      </c>
      <c r="FH66" s="358"/>
      <c r="FI66" s="385">
        <v>1351.4564263010345</v>
      </c>
      <c r="FJ66" s="385">
        <f>14</f>
        <v>14</v>
      </c>
      <c r="FK66" s="358"/>
      <c r="FL66" s="385">
        <v>1351.4564263010345</v>
      </c>
      <c r="FM66" s="385">
        <f>14</f>
        <v>14</v>
      </c>
      <c r="FN66" s="358"/>
      <c r="FO66" s="385">
        <v>1351.4564263010345</v>
      </c>
      <c r="FP66" s="385">
        <f>14</f>
        <v>14</v>
      </c>
      <c r="FQ66" s="358"/>
      <c r="FR66" s="385">
        <v>1351.4564263010345</v>
      </c>
      <c r="FS66" s="385">
        <f>14</f>
        <v>14</v>
      </c>
      <c r="FT66" s="358"/>
      <c r="FU66" s="385">
        <v>1351.4564263010345</v>
      </c>
      <c r="FV66" s="385">
        <f>14</f>
        <v>14</v>
      </c>
      <c r="FW66" s="358"/>
      <c r="FX66" s="385">
        <v>1351.4564263010345</v>
      </c>
      <c r="FY66" s="385">
        <f>14</f>
        <v>14</v>
      </c>
      <c r="FZ66" s="358"/>
      <c r="GA66" s="385">
        <v>1351.4564263010345</v>
      </c>
      <c r="GB66" s="385">
        <f>14</f>
        <v>14</v>
      </c>
      <c r="GC66" s="358"/>
      <c r="GD66" s="385">
        <v>1351.4564263010345</v>
      </c>
      <c r="GE66" s="385">
        <f>14</f>
        <v>14</v>
      </c>
      <c r="GF66" s="358"/>
      <c r="GG66" s="385">
        <v>1351.4564263010345</v>
      </c>
      <c r="GH66" s="385">
        <f>14</f>
        <v>14</v>
      </c>
      <c r="GI66" s="358"/>
      <c r="GJ66" s="385">
        <v>1351.4564263010345</v>
      </c>
      <c r="GK66" s="385">
        <f>14</f>
        <v>14</v>
      </c>
      <c r="GL66" s="358"/>
      <c r="GM66" s="385">
        <v>1351.4564263010345</v>
      </c>
      <c r="GN66" s="385">
        <f>14</f>
        <v>14</v>
      </c>
      <c r="GO66" s="358"/>
      <c r="GP66" s="385">
        <v>1351.4564263010345</v>
      </c>
      <c r="GQ66" s="385">
        <f>14</f>
        <v>14</v>
      </c>
      <c r="GR66" s="358"/>
      <c r="GS66" s="385">
        <v>1351.4564263010345</v>
      </c>
      <c r="GT66" s="385">
        <f>14</f>
        <v>14</v>
      </c>
      <c r="GU66" s="358"/>
      <c r="GV66" s="385">
        <v>1351.4564263010345</v>
      </c>
      <c r="GW66" s="385">
        <f>14</f>
        <v>14</v>
      </c>
      <c r="GX66" s="358"/>
      <c r="GY66" s="385">
        <v>1351.4564263010345</v>
      </c>
      <c r="GZ66" s="385">
        <f>14</f>
        <v>14</v>
      </c>
      <c r="HA66" s="358"/>
      <c r="HB66" s="385">
        <v>1351.4564263010345</v>
      </c>
      <c r="HC66" s="385">
        <f>14</f>
        <v>14</v>
      </c>
      <c r="HD66" s="358"/>
      <c r="HE66" s="387">
        <v>1351.4564263010345</v>
      </c>
      <c r="HF66" s="386">
        <f>14*6</f>
        <v>84</v>
      </c>
      <c r="HG66" s="358"/>
      <c r="HH66" s="387">
        <v>1351.4564263010345</v>
      </c>
      <c r="HI66" s="358"/>
      <c r="HJ66" s="387">
        <v>1351.4564263010345</v>
      </c>
      <c r="HK66" s="358"/>
      <c r="HL66" s="387">
        <v>1351.4564263010345</v>
      </c>
      <c r="HM66" s="358"/>
      <c r="HN66" s="387">
        <v>1351.4564263010345</v>
      </c>
      <c r="HO66" s="358"/>
      <c r="HP66" s="387">
        <v>1351.4564263010345</v>
      </c>
      <c r="HQ66" s="358"/>
      <c r="HR66" s="387">
        <v>1351.4564263010345</v>
      </c>
      <c r="HS66" s="358"/>
      <c r="HT66" s="387">
        <v>1351.4564263010345</v>
      </c>
      <c r="HU66" s="358"/>
      <c r="HV66" s="388">
        <v>1351.4564263010345</v>
      </c>
      <c r="HW66" s="497"/>
      <c r="HX66" s="498">
        <v>1351.4564263010345</v>
      </c>
      <c r="HY66" s="497"/>
      <c r="HZ66" s="498">
        <v>1351.4564263010345</v>
      </c>
      <c r="IA66" s="497"/>
      <c r="IB66" s="498">
        <v>1351.4564263010345</v>
      </c>
      <c r="IC66" s="497"/>
      <c r="ID66" s="357">
        <f>VLOOKUP($C66,'[15]Prix accès'!A:D,4,FALSE)</f>
        <v>1351.4564263010345</v>
      </c>
      <c r="IE66" s="426"/>
      <c r="IF66" s="357">
        <f>VLOOKUP($C66,'[15]Prix accès'!$A:$D,4,FALSE)</f>
        <v>1351.4564263010345</v>
      </c>
      <c r="IG66" s="426"/>
      <c r="IH66" s="357">
        <f>VLOOKUP($C66,'[15]Prix accès'!$A:$D,4,FALSE)</f>
        <v>1351.4564263010345</v>
      </c>
      <c r="II66" s="426"/>
      <c r="IJ66" s="357">
        <f>VLOOKUP($C66,'[15]Prix accès'!$A:$D,4,FALSE)</f>
        <v>1351.4564263010345</v>
      </c>
      <c r="IK66" s="426"/>
      <c r="IL66" s="457">
        <v>753.27079498746184</v>
      </c>
      <c r="IM66" s="426"/>
      <c r="IN66" s="496"/>
      <c r="IO66" s="427"/>
      <c r="IP66" s="496"/>
      <c r="IQ66" s="427"/>
      <c r="IR66" s="429" t="s">
        <v>3139</v>
      </c>
      <c r="IS66" s="364" t="s">
        <v>77</v>
      </c>
      <c r="IT66" s="365">
        <v>43508</v>
      </c>
      <c r="IU66" s="371">
        <v>43525</v>
      </c>
      <c r="IW66" s="372">
        <f t="shared" si="11"/>
        <v>17</v>
      </c>
      <c r="IX66" s="373">
        <f t="shared" si="14"/>
        <v>44.310046763968344</v>
      </c>
      <c r="IY66" s="394">
        <f t="shared" si="13"/>
        <v>753.27079498746184</v>
      </c>
      <c r="IZ66" s="394"/>
      <c r="JA66" s="394"/>
    </row>
    <row r="67" spans="1:263" s="367" customFormat="1" ht="16.5" customHeight="1" x14ac:dyDescent="0.3">
      <c r="A67" s="354" t="s">
        <v>2735</v>
      </c>
      <c r="B67" s="415" t="s">
        <v>2748</v>
      </c>
      <c r="C67" s="447" t="s">
        <v>574</v>
      </c>
      <c r="D67" s="448">
        <v>1149</v>
      </c>
      <c r="E67" s="449">
        <v>44</v>
      </c>
      <c r="F67" s="449">
        <v>16</v>
      </c>
      <c r="G67" s="449">
        <v>5</v>
      </c>
      <c r="H67" s="450">
        <v>0</v>
      </c>
      <c r="I67" s="830">
        <v>1209.2564263010347</v>
      </c>
      <c r="J67" s="831">
        <f>5</f>
        <v>5</v>
      </c>
      <c r="K67" s="827"/>
      <c r="L67" s="831">
        <v>1209.2564263010347</v>
      </c>
      <c r="M67" s="831">
        <f>5</f>
        <v>5</v>
      </c>
      <c r="N67" s="827"/>
      <c r="O67" s="831">
        <v>1209.2564263010347</v>
      </c>
      <c r="P67" s="831">
        <f>5</f>
        <v>5</v>
      </c>
      <c r="Q67" s="827"/>
      <c r="R67" s="831">
        <v>1209.2564263010347</v>
      </c>
      <c r="S67" s="831">
        <f>5</f>
        <v>5</v>
      </c>
      <c r="T67" s="827"/>
      <c r="U67" s="831">
        <v>1209.2564263010347</v>
      </c>
      <c r="V67" s="831">
        <f>5</f>
        <v>5</v>
      </c>
      <c r="W67" s="827"/>
      <c r="X67" s="831">
        <v>1209.2564263010347</v>
      </c>
      <c r="Y67" s="831">
        <f>5</f>
        <v>5</v>
      </c>
      <c r="Z67" s="827"/>
      <c r="AA67" s="831">
        <v>1209.2564263010347</v>
      </c>
      <c r="AB67" s="831">
        <f>5</f>
        <v>5</v>
      </c>
      <c r="AC67" s="827"/>
      <c r="AD67" s="831">
        <v>1209.2564263010347</v>
      </c>
      <c r="AE67" s="831">
        <f>5</f>
        <v>5</v>
      </c>
      <c r="AF67" s="827"/>
      <c r="AG67" s="831">
        <v>1209.2564263010347</v>
      </c>
      <c r="AH67" s="831">
        <f>5</f>
        <v>5</v>
      </c>
      <c r="AI67" s="827"/>
      <c r="AJ67" s="831">
        <v>1209.2564263010347</v>
      </c>
      <c r="AK67" s="831">
        <f>5</f>
        <v>5</v>
      </c>
      <c r="AL67" s="827"/>
      <c r="AM67" s="831">
        <v>1209.2564263010347</v>
      </c>
      <c r="AN67" s="831">
        <f>5</f>
        <v>5</v>
      </c>
      <c r="AO67" s="827"/>
      <c r="AP67" s="831">
        <v>1209.2564263010347</v>
      </c>
      <c r="AQ67" s="831">
        <f>5</f>
        <v>5</v>
      </c>
      <c r="AR67" s="827"/>
      <c r="AS67" s="831">
        <v>1209.2564263010347</v>
      </c>
      <c r="AT67" s="831">
        <f>5</f>
        <v>5</v>
      </c>
      <c r="AU67" s="827"/>
      <c r="AV67" s="831">
        <v>1209.2564263010347</v>
      </c>
      <c r="AW67" s="831">
        <f>5</f>
        <v>5</v>
      </c>
      <c r="AX67" s="827"/>
      <c r="AY67" s="831">
        <v>1209.2564263010347</v>
      </c>
      <c r="AZ67" s="831">
        <f>5</f>
        <v>5</v>
      </c>
      <c r="BA67" s="358"/>
      <c r="BB67" s="385">
        <v>1209.2564263010347</v>
      </c>
      <c r="BC67" s="385">
        <f>5</f>
        <v>5</v>
      </c>
      <c r="BD67" s="358"/>
      <c r="BE67" s="385">
        <v>1209.2564263010347</v>
      </c>
      <c r="BF67" s="385">
        <f>5</f>
        <v>5</v>
      </c>
      <c r="BG67" s="358"/>
      <c r="BH67" s="385">
        <v>1209.2564263010347</v>
      </c>
      <c r="BI67" s="385">
        <f>5</f>
        <v>5</v>
      </c>
      <c r="BJ67" s="358"/>
      <c r="BK67" s="385">
        <v>1209.2564263010347</v>
      </c>
      <c r="BL67" s="385">
        <f>5</f>
        <v>5</v>
      </c>
      <c r="BM67" s="358"/>
      <c r="BN67" s="385">
        <v>1209.2564263010347</v>
      </c>
      <c r="BO67" s="385">
        <f>5</f>
        <v>5</v>
      </c>
      <c r="BP67" s="358"/>
      <c r="BQ67" s="385">
        <v>1209.2564263010347</v>
      </c>
      <c r="BR67" s="385">
        <f>5</f>
        <v>5</v>
      </c>
      <c r="BS67" s="358"/>
      <c r="BT67" s="385">
        <v>1209.2564263010347</v>
      </c>
      <c r="BU67" s="385">
        <f>5</f>
        <v>5</v>
      </c>
      <c r="BV67" s="358"/>
      <c r="BW67" s="385">
        <v>1209.2564263010347</v>
      </c>
      <c r="BX67" s="385">
        <f>5</f>
        <v>5</v>
      </c>
      <c r="BY67" s="358"/>
      <c r="BZ67" s="385">
        <v>1209.2564263010347</v>
      </c>
      <c r="CA67" s="385">
        <f>5</f>
        <v>5</v>
      </c>
      <c r="CB67" s="358"/>
      <c r="CC67" s="385">
        <v>1209.2564263010347</v>
      </c>
      <c r="CD67" s="385">
        <f>5</f>
        <v>5</v>
      </c>
      <c r="CE67" s="358"/>
      <c r="CF67" s="385">
        <v>1209.2564263010347</v>
      </c>
      <c r="CG67" s="385">
        <f>5</f>
        <v>5</v>
      </c>
      <c r="CH67" s="358"/>
      <c r="CI67" s="385">
        <v>1209.2564263010347</v>
      </c>
      <c r="CJ67" s="385">
        <f>5</f>
        <v>5</v>
      </c>
      <c r="CK67" s="358"/>
      <c r="CL67" s="385">
        <v>1209.2564263010347</v>
      </c>
      <c r="CM67" s="385">
        <f>5</f>
        <v>5</v>
      </c>
      <c r="CN67" s="358"/>
      <c r="CO67" s="385">
        <v>1209.2564263010347</v>
      </c>
      <c r="CP67" s="385">
        <f>5</f>
        <v>5</v>
      </c>
      <c r="CQ67" s="358"/>
      <c r="CR67" s="385">
        <v>1209.2564263010347</v>
      </c>
      <c r="CS67" s="385">
        <f>5</f>
        <v>5</v>
      </c>
      <c r="CT67" s="358"/>
      <c r="CU67" s="385">
        <v>1209.2564263010347</v>
      </c>
      <c r="CV67" s="385">
        <f>5</f>
        <v>5</v>
      </c>
      <c r="CW67" s="358"/>
      <c r="CX67" s="385">
        <v>1209.2564263010347</v>
      </c>
      <c r="CY67" s="385">
        <f>5</f>
        <v>5</v>
      </c>
      <c r="CZ67" s="358"/>
      <c r="DA67" s="385">
        <v>1209.2564263010347</v>
      </c>
      <c r="DB67" s="385">
        <f>5</f>
        <v>5</v>
      </c>
      <c r="DC67" s="358"/>
      <c r="DD67" s="385">
        <v>1209.2564263010347</v>
      </c>
      <c r="DE67" s="385">
        <f>5</f>
        <v>5</v>
      </c>
      <c r="DF67" s="358"/>
      <c r="DG67" s="385">
        <v>1209.2564263010347</v>
      </c>
      <c r="DH67" s="385">
        <f>5</f>
        <v>5</v>
      </c>
      <c r="DI67" s="358"/>
      <c r="DJ67" s="385">
        <v>1209.2564263010347</v>
      </c>
      <c r="DK67" s="385">
        <f>5</f>
        <v>5</v>
      </c>
      <c r="DL67" s="358"/>
      <c r="DM67" s="385">
        <v>1209.2564263010347</v>
      </c>
      <c r="DN67" s="385">
        <f>5</f>
        <v>5</v>
      </c>
      <c r="DO67" s="358"/>
      <c r="DP67" s="385">
        <v>1209.2564263010347</v>
      </c>
      <c r="DQ67" s="385">
        <f>5</f>
        <v>5</v>
      </c>
      <c r="DR67" s="358"/>
      <c r="DS67" s="385">
        <v>1209.2564263010347</v>
      </c>
      <c r="DT67" s="385">
        <f>5</f>
        <v>5</v>
      </c>
      <c r="DU67" s="358"/>
      <c r="DV67" s="385">
        <v>1209.2564263010347</v>
      </c>
      <c r="DW67" s="385">
        <f>5</f>
        <v>5</v>
      </c>
      <c r="DX67" s="358"/>
      <c r="DY67" s="385">
        <v>1209.2564263010347</v>
      </c>
      <c r="DZ67" s="385">
        <f>5</f>
        <v>5</v>
      </c>
      <c r="EA67" s="358"/>
      <c r="EB67" s="385">
        <v>1209.2564263010347</v>
      </c>
      <c r="EC67" s="385">
        <f>5</f>
        <v>5</v>
      </c>
      <c r="ED67" s="358"/>
      <c r="EE67" s="385">
        <v>1209.2564263010347</v>
      </c>
      <c r="EF67" s="385">
        <f>5</f>
        <v>5</v>
      </c>
      <c r="EG67" s="358"/>
      <c r="EH67" s="385">
        <v>1209.2564263010347</v>
      </c>
      <c r="EI67" s="385">
        <f>5</f>
        <v>5</v>
      </c>
      <c r="EJ67" s="358"/>
      <c r="EK67" s="385">
        <v>1209.2564263010347</v>
      </c>
      <c r="EL67" s="385">
        <f>5</f>
        <v>5</v>
      </c>
      <c r="EM67" s="358"/>
      <c r="EN67" s="385">
        <v>1209.2564263010347</v>
      </c>
      <c r="EO67" s="385">
        <f>5</f>
        <v>5</v>
      </c>
      <c r="EP67" s="358"/>
      <c r="EQ67" s="385">
        <v>1209.2564263010347</v>
      </c>
      <c r="ER67" s="385">
        <f>5</f>
        <v>5</v>
      </c>
      <c r="ES67" s="358"/>
      <c r="ET67" s="385">
        <v>1209.2564263010347</v>
      </c>
      <c r="EU67" s="385">
        <f>5</f>
        <v>5</v>
      </c>
      <c r="EV67" s="358"/>
      <c r="EW67" s="385">
        <v>1209.2564263010347</v>
      </c>
      <c r="EX67" s="385">
        <f>5</f>
        <v>5</v>
      </c>
      <c r="EY67" s="358"/>
      <c r="EZ67" s="385">
        <v>1209.2564263010347</v>
      </c>
      <c r="FA67" s="385">
        <f>5</f>
        <v>5</v>
      </c>
      <c r="FB67" s="358"/>
      <c r="FC67" s="385">
        <v>1209.2564263010347</v>
      </c>
      <c r="FD67" s="385">
        <f>5</f>
        <v>5</v>
      </c>
      <c r="FE67" s="358"/>
      <c r="FF67" s="385">
        <v>1209.2564263010347</v>
      </c>
      <c r="FG67" s="385">
        <f>5</f>
        <v>5</v>
      </c>
      <c r="FH67" s="358"/>
      <c r="FI67" s="385">
        <v>1209.2564263010347</v>
      </c>
      <c r="FJ67" s="385">
        <f>5</f>
        <v>5</v>
      </c>
      <c r="FK67" s="358"/>
      <c r="FL67" s="385">
        <v>1209.2564263010347</v>
      </c>
      <c r="FM67" s="385">
        <f>5</f>
        <v>5</v>
      </c>
      <c r="FN67" s="358"/>
      <c r="FO67" s="385">
        <v>1209.2564263010347</v>
      </c>
      <c r="FP67" s="385">
        <f>5</f>
        <v>5</v>
      </c>
      <c r="FQ67" s="358"/>
      <c r="FR67" s="385">
        <v>1209.2564263010347</v>
      </c>
      <c r="FS67" s="385">
        <f>5</f>
        <v>5</v>
      </c>
      <c r="FT67" s="358"/>
      <c r="FU67" s="385">
        <v>1209.2564263010347</v>
      </c>
      <c r="FV67" s="385">
        <f>5</f>
        <v>5</v>
      </c>
      <c r="FW67" s="358"/>
      <c r="FX67" s="385">
        <v>1209.2564263010347</v>
      </c>
      <c r="FY67" s="385">
        <f>5</f>
        <v>5</v>
      </c>
      <c r="FZ67" s="358"/>
      <c r="GA67" s="385">
        <v>1209.2564263010347</v>
      </c>
      <c r="GB67" s="385">
        <f>5</f>
        <v>5</v>
      </c>
      <c r="GC67" s="358"/>
      <c r="GD67" s="385">
        <v>1209.2564263010347</v>
      </c>
      <c r="GE67" s="385">
        <f>5</f>
        <v>5</v>
      </c>
      <c r="GF67" s="358"/>
      <c r="GG67" s="385">
        <v>1209.2564263010347</v>
      </c>
      <c r="GH67" s="385">
        <f>5</f>
        <v>5</v>
      </c>
      <c r="GI67" s="358"/>
      <c r="GJ67" s="385">
        <v>1209.2564263010347</v>
      </c>
      <c r="GK67" s="385">
        <f>5</f>
        <v>5</v>
      </c>
      <c r="GL67" s="358"/>
      <c r="GM67" s="385">
        <v>1209.2564263010347</v>
      </c>
      <c r="GN67" s="385">
        <f>5</f>
        <v>5</v>
      </c>
      <c r="GO67" s="358"/>
      <c r="GP67" s="385">
        <v>1209.2564263010347</v>
      </c>
      <c r="GQ67" s="385">
        <f>5</f>
        <v>5</v>
      </c>
      <c r="GR67" s="358"/>
      <c r="GS67" s="385">
        <v>1209.2564263010347</v>
      </c>
      <c r="GT67" s="385">
        <f>5</f>
        <v>5</v>
      </c>
      <c r="GU67" s="358"/>
      <c r="GV67" s="385">
        <v>1209.2564263010347</v>
      </c>
      <c r="GW67" s="385">
        <f>5</f>
        <v>5</v>
      </c>
      <c r="GX67" s="358"/>
      <c r="GY67" s="385">
        <v>1209.2564263010347</v>
      </c>
      <c r="GZ67" s="385">
        <f>5</f>
        <v>5</v>
      </c>
      <c r="HA67" s="358"/>
      <c r="HB67" s="385">
        <v>1209.2564263010347</v>
      </c>
      <c r="HC67" s="385">
        <f>5</f>
        <v>5</v>
      </c>
      <c r="HD67" s="358"/>
      <c r="HE67" s="387">
        <v>1209.2564263010347</v>
      </c>
      <c r="HF67" s="386">
        <f>5*6</f>
        <v>30</v>
      </c>
      <c r="HG67" s="358"/>
      <c r="HH67" s="387">
        <v>1209.2564263010347</v>
      </c>
      <c r="HI67" s="358"/>
      <c r="HJ67" s="387">
        <v>1209.2564263010347</v>
      </c>
      <c r="HK67" s="358"/>
      <c r="HL67" s="387">
        <v>1209.2564263010347</v>
      </c>
      <c r="HM67" s="358"/>
      <c r="HN67" s="387">
        <v>1209.2564263010347</v>
      </c>
      <c r="HO67" s="358"/>
      <c r="HP67" s="387">
        <v>1209.2564263010347</v>
      </c>
      <c r="HQ67" s="358"/>
      <c r="HR67" s="387">
        <v>1209.2564263010347</v>
      </c>
      <c r="HS67" s="358"/>
      <c r="HT67" s="387">
        <v>1209.2564263010347</v>
      </c>
      <c r="HU67" s="358"/>
      <c r="HV67" s="388">
        <v>1209.2564263010347</v>
      </c>
      <c r="HW67" s="425" t="s">
        <v>3310</v>
      </c>
      <c r="HX67" s="424">
        <v>1209.2564263010347</v>
      </c>
      <c r="HY67" s="425" t="s">
        <v>3310</v>
      </c>
      <c r="HZ67" s="424">
        <v>1209.2564263010347</v>
      </c>
      <c r="IA67" s="425" t="s">
        <v>3310</v>
      </c>
      <c r="IB67" s="424">
        <v>1209.2564263010347</v>
      </c>
      <c r="IC67" s="425" t="s">
        <v>3310</v>
      </c>
      <c r="ID67" s="357">
        <f>VLOOKUP($C67,'[15]Prix accès'!A:D,4,FALSE)</f>
        <v>1209.2564263010347</v>
      </c>
      <c r="IE67" s="426" t="s">
        <v>3310</v>
      </c>
      <c r="IF67" s="357">
        <f>VLOOKUP($C67,'[15]Prix accès'!$A:$D,4,FALSE)</f>
        <v>1209.2564263010347</v>
      </c>
      <c r="IG67" s="426" t="s">
        <v>3310</v>
      </c>
      <c r="IH67" s="357">
        <f>VLOOKUP($C67,'[15]Prix accès'!$A:$D,4,FALSE)</f>
        <v>1209.2564263010347</v>
      </c>
      <c r="II67" s="426" t="s">
        <v>3310</v>
      </c>
      <c r="IJ67" s="357">
        <f>VLOOKUP($C67,'[15]Prix accès'!$A:$D,4,FALSE)</f>
        <v>1209.2564263010347</v>
      </c>
      <c r="IK67" s="426" t="s">
        <v>3310</v>
      </c>
      <c r="IL67" s="457">
        <v>674.01177859401935</v>
      </c>
      <c r="IM67" s="426"/>
      <c r="IN67" s="496"/>
      <c r="IO67" s="427"/>
      <c r="IP67" s="496"/>
      <c r="IQ67" s="427"/>
      <c r="IR67" s="429" t="s">
        <v>3106</v>
      </c>
      <c r="IS67" s="364" t="s">
        <v>77</v>
      </c>
      <c r="IT67" s="365">
        <v>43508</v>
      </c>
      <c r="IU67" s="371">
        <v>43525</v>
      </c>
      <c r="IW67" s="372">
        <f t="shared" si="11"/>
        <v>17</v>
      </c>
      <c r="IX67" s="373">
        <f t="shared" si="14"/>
        <v>39.647751682001136</v>
      </c>
      <c r="IY67" s="394">
        <f t="shared" si="13"/>
        <v>674.01177859401935</v>
      </c>
      <c r="IZ67" s="394"/>
      <c r="JA67" s="394"/>
    </row>
    <row r="68" spans="1:263" s="367" customFormat="1" ht="16.5" customHeight="1" x14ac:dyDescent="0.3">
      <c r="A68" s="354" t="s">
        <v>2735</v>
      </c>
      <c r="B68" s="465" t="s">
        <v>2784</v>
      </c>
      <c r="C68" s="466" t="s">
        <v>582</v>
      </c>
      <c r="D68" s="467">
        <v>1454</v>
      </c>
      <c r="E68" s="468">
        <v>84</v>
      </c>
      <c r="F68" s="468">
        <v>0</v>
      </c>
      <c r="G68" s="468">
        <v>36</v>
      </c>
      <c r="H68" s="469">
        <v>0</v>
      </c>
      <c r="I68" s="841">
        <v>1538</v>
      </c>
      <c r="J68" s="835">
        <v>36</v>
      </c>
      <c r="K68" s="827"/>
      <c r="L68" s="835">
        <v>1538</v>
      </c>
      <c r="M68" s="835">
        <v>36</v>
      </c>
      <c r="N68" s="827"/>
      <c r="O68" s="835">
        <v>1538</v>
      </c>
      <c r="P68" s="835">
        <v>36</v>
      </c>
      <c r="Q68" s="827"/>
      <c r="R68" s="835">
        <v>1538</v>
      </c>
      <c r="S68" s="835">
        <v>36</v>
      </c>
      <c r="T68" s="827"/>
      <c r="U68" s="835">
        <v>1538</v>
      </c>
      <c r="V68" s="835">
        <v>36</v>
      </c>
      <c r="W68" s="827"/>
      <c r="X68" s="835">
        <v>1538</v>
      </c>
      <c r="Y68" s="835">
        <v>36</v>
      </c>
      <c r="Z68" s="827"/>
      <c r="AA68" s="835">
        <v>1538</v>
      </c>
      <c r="AB68" s="835">
        <v>36</v>
      </c>
      <c r="AC68" s="827"/>
      <c r="AD68" s="835">
        <v>1538</v>
      </c>
      <c r="AE68" s="835">
        <v>36</v>
      </c>
      <c r="AF68" s="827"/>
      <c r="AG68" s="835">
        <v>1538</v>
      </c>
      <c r="AH68" s="835">
        <v>36</v>
      </c>
      <c r="AI68" s="827"/>
      <c r="AJ68" s="835">
        <v>1538</v>
      </c>
      <c r="AK68" s="835">
        <v>36</v>
      </c>
      <c r="AL68" s="827"/>
      <c r="AM68" s="835">
        <v>1538</v>
      </c>
      <c r="AN68" s="835">
        <v>36</v>
      </c>
      <c r="AO68" s="827"/>
      <c r="AP68" s="835">
        <v>1538</v>
      </c>
      <c r="AQ68" s="835">
        <v>36</v>
      </c>
      <c r="AR68" s="827"/>
      <c r="AS68" s="835">
        <v>1538</v>
      </c>
      <c r="AT68" s="835">
        <v>36</v>
      </c>
      <c r="AU68" s="827"/>
      <c r="AV68" s="835">
        <v>1538</v>
      </c>
      <c r="AW68" s="835">
        <v>36</v>
      </c>
      <c r="AX68" s="827"/>
      <c r="AY68" s="835">
        <v>1538</v>
      </c>
      <c r="AZ68" s="835">
        <v>36</v>
      </c>
      <c r="BA68" s="358"/>
      <c r="BB68" s="384">
        <v>1538</v>
      </c>
      <c r="BC68" s="384">
        <v>36</v>
      </c>
      <c r="BD68" s="358"/>
      <c r="BE68" s="384">
        <v>1538</v>
      </c>
      <c r="BF68" s="384">
        <v>36</v>
      </c>
      <c r="BG68" s="358"/>
      <c r="BH68" s="384">
        <v>1538</v>
      </c>
      <c r="BI68" s="384">
        <v>36</v>
      </c>
      <c r="BJ68" s="472"/>
      <c r="BK68" s="385">
        <v>1538</v>
      </c>
      <c r="BL68" s="385">
        <v>36</v>
      </c>
      <c r="BM68" s="369"/>
      <c r="BN68" s="385">
        <v>1538</v>
      </c>
      <c r="BO68" s="385">
        <v>36</v>
      </c>
      <c r="BP68" s="369"/>
      <c r="BQ68" s="385">
        <v>1538</v>
      </c>
      <c r="BR68" s="385">
        <v>36</v>
      </c>
      <c r="BS68" s="369"/>
      <c r="BT68" s="385">
        <v>1538</v>
      </c>
      <c r="BU68" s="385">
        <v>36</v>
      </c>
      <c r="BV68" s="369"/>
      <c r="BW68" s="386">
        <f>((1538-1225)/30.5)*17+1538</f>
        <v>1712.4590163934427</v>
      </c>
      <c r="BX68" s="386">
        <f>((36-5)/30.5)*17+36</f>
        <v>53.278688524590166</v>
      </c>
      <c r="BY68" s="370"/>
      <c r="BZ68" s="385">
        <v>1225</v>
      </c>
      <c r="CA68" s="385">
        <f>5</f>
        <v>5</v>
      </c>
      <c r="CB68" s="358"/>
      <c r="CC68" s="385">
        <v>1225</v>
      </c>
      <c r="CD68" s="385">
        <f>5</f>
        <v>5</v>
      </c>
      <c r="CE68" s="358"/>
      <c r="CF68" s="385">
        <v>1225</v>
      </c>
      <c r="CG68" s="385">
        <f>5</f>
        <v>5</v>
      </c>
      <c r="CH68" s="358"/>
      <c r="CI68" s="385">
        <v>1225</v>
      </c>
      <c r="CJ68" s="385">
        <f>5</f>
        <v>5</v>
      </c>
      <c r="CK68" s="358"/>
      <c r="CL68" s="385">
        <v>1225</v>
      </c>
      <c r="CM68" s="385">
        <f>5</f>
        <v>5</v>
      </c>
      <c r="CN68" s="358"/>
      <c r="CO68" s="385">
        <v>1225</v>
      </c>
      <c r="CP68" s="385">
        <f>5</f>
        <v>5</v>
      </c>
      <c r="CQ68" s="358"/>
      <c r="CR68" s="385">
        <v>1225</v>
      </c>
      <c r="CS68" s="385">
        <f>5</f>
        <v>5</v>
      </c>
      <c r="CT68" s="358"/>
      <c r="CU68" s="385">
        <v>1225</v>
      </c>
      <c r="CV68" s="385">
        <f>5</f>
        <v>5</v>
      </c>
      <c r="CW68" s="358"/>
      <c r="CX68" s="385">
        <v>1225</v>
      </c>
      <c r="CY68" s="385">
        <f>5</f>
        <v>5</v>
      </c>
      <c r="CZ68" s="358"/>
      <c r="DA68" s="385">
        <v>1225</v>
      </c>
      <c r="DB68" s="385">
        <f>5</f>
        <v>5</v>
      </c>
      <c r="DC68" s="358"/>
      <c r="DD68" s="385">
        <v>1225</v>
      </c>
      <c r="DE68" s="385">
        <f>5</f>
        <v>5</v>
      </c>
      <c r="DF68" s="358"/>
      <c r="DG68" s="386">
        <f>((1225-1055)/30.5)*19+1225</f>
        <v>1330.9016393442623</v>
      </c>
      <c r="DH68" s="386">
        <f>5</f>
        <v>5</v>
      </c>
      <c r="DI68" s="358"/>
      <c r="DJ68" s="385">
        <v>1055.0564263010344</v>
      </c>
      <c r="DK68" s="385">
        <f>5</f>
        <v>5</v>
      </c>
      <c r="DL68" s="358"/>
      <c r="DM68" s="385">
        <v>1055.0564263010344</v>
      </c>
      <c r="DN68" s="385">
        <f>5</f>
        <v>5</v>
      </c>
      <c r="DO68" s="358"/>
      <c r="DP68" s="385">
        <v>1055.0564263010344</v>
      </c>
      <c r="DQ68" s="385">
        <f>5</f>
        <v>5</v>
      </c>
      <c r="DR68" s="358"/>
      <c r="DS68" s="385">
        <v>1055.0564263010344</v>
      </c>
      <c r="DT68" s="385">
        <f>5</f>
        <v>5</v>
      </c>
      <c r="DU68" s="358"/>
      <c r="DV68" s="385">
        <v>1055.0564263010344</v>
      </c>
      <c r="DW68" s="385">
        <f>5</f>
        <v>5</v>
      </c>
      <c r="DX68" s="358"/>
      <c r="DY68" s="385">
        <v>1055.0564263010344</v>
      </c>
      <c r="DZ68" s="385">
        <f>5</f>
        <v>5</v>
      </c>
      <c r="EA68" s="358"/>
      <c r="EB68" s="385">
        <v>1055.0564263010344</v>
      </c>
      <c r="EC68" s="385">
        <f>5</f>
        <v>5</v>
      </c>
      <c r="ED68" s="358"/>
      <c r="EE68" s="385">
        <v>1055.0564263010344</v>
      </c>
      <c r="EF68" s="385">
        <f>5</f>
        <v>5</v>
      </c>
      <c r="EG68" s="358"/>
      <c r="EH68" s="385">
        <v>1055.0564263010344</v>
      </c>
      <c r="EI68" s="385">
        <f>5</f>
        <v>5</v>
      </c>
      <c r="EJ68" s="358"/>
      <c r="EK68" s="385">
        <v>1055.0564263010344</v>
      </c>
      <c r="EL68" s="385">
        <f>5</f>
        <v>5</v>
      </c>
      <c r="EM68" s="358"/>
      <c r="EN68" s="385">
        <v>1055.0564263010344</v>
      </c>
      <c r="EO68" s="385">
        <f>5</f>
        <v>5</v>
      </c>
      <c r="EP68" s="358"/>
      <c r="EQ68" s="385">
        <v>1055.0564263010344</v>
      </c>
      <c r="ER68" s="385">
        <f>5</f>
        <v>5</v>
      </c>
      <c r="ES68" s="358"/>
      <c r="ET68" s="385">
        <v>1055.0564263010344</v>
      </c>
      <c r="EU68" s="385">
        <f>5</f>
        <v>5</v>
      </c>
      <c r="EV68" s="358"/>
      <c r="EW68" s="385">
        <v>1055.0564263010344</v>
      </c>
      <c r="EX68" s="385">
        <f>5</f>
        <v>5</v>
      </c>
      <c r="EY68" s="358"/>
      <c r="EZ68" s="385">
        <v>1055.0564263010344</v>
      </c>
      <c r="FA68" s="385">
        <f>5</f>
        <v>5</v>
      </c>
      <c r="FB68" s="358"/>
      <c r="FC68" s="385">
        <v>1055.0564263010344</v>
      </c>
      <c r="FD68" s="385">
        <f>5</f>
        <v>5</v>
      </c>
      <c r="FE68" s="358"/>
      <c r="FF68" s="385">
        <v>1055.0564263010344</v>
      </c>
      <c r="FG68" s="385">
        <f>5</f>
        <v>5</v>
      </c>
      <c r="FH68" s="358"/>
      <c r="FI68" s="385">
        <v>1055.0564263010344</v>
      </c>
      <c r="FJ68" s="385">
        <f>5</f>
        <v>5</v>
      </c>
      <c r="FK68" s="358"/>
      <c r="FL68" s="385">
        <v>1055.0564263010344</v>
      </c>
      <c r="FM68" s="385">
        <f>5</f>
        <v>5</v>
      </c>
      <c r="FN68" s="358"/>
      <c r="FO68" s="385">
        <v>1055.0564263010344</v>
      </c>
      <c r="FP68" s="385">
        <f>5</f>
        <v>5</v>
      </c>
      <c r="FQ68" s="358"/>
      <c r="FR68" s="385">
        <v>1055.0564263010344</v>
      </c>
      <c r="FS68" s="385">
        <f>5</f>
        <v>5</v>
      </c>
      <c r="FT68" s="358"/>
      <c r="FU68" s="385">
        <v>1055.0564263010344</v>
      </c>
      <c r="FV68" s="385">
        <f>5</f>
        <v>5</v>
      </c>
      <c r="FW68" s="358"/>
      <c r="FX68" s="385">
        <v>1055.0564263010344</v>
      </c>
      <c r="FY68" s="385">
        <f>5</f>
        <v>5</v>
      </c>
      <c r="FZ68" s="358"/>
      <c r="GA68" s="385">
        <v>1055.0564263010344</v>
      </c>
      <c r="GB68" s="385">
        <f>5</f>
        <v>5</v>
      </c>
      <c r="GC68" s="358"/>
      <c r="GD68" s="385">
        <v>1055.0564263010344</v>
      </c>
      <c r="GE68" s="385">
        <f>5</f>
        <v>5</v>
      </c>
      <c r="GF68" s="358"/>
      <c r="GG68" s="385">
        <v>1055.0564263010344</v>
      </c>
      <c r="GH68" s="385">
        <f>5</f>
        <v>5</v>
      </c>
      <c r="GI68" s="358"/>
      <c r="GJ68" s="385">
        <v>1055.0564263010344</v>
      </c>
      <c r="GK68" s="385">
        <f>5</f>
        <v>5</v>
      </c>
      <c r="GL68" s="358"/>
      <c r="GM68" s="385">
        <v>1055.0564263010344</v>
      </c>
      <c r="GN68" s="385">
        <f>5</f>
        <v>5</v>
      </c>
      <c r="GO68" s="358"/>
      <c r="GP68" s="385">
        <v>1055.0564263010344</v>
      </c>
      <c r="GQ68" s="385">
        <f>5</f>
        <v>5</v>
      </c>
      <c r="GR68" s="358"/>
      <c r="GS68" s="385">
        <v>1055.0564263010344</v>
      </c>
      <c r="GT68" s="385">
        <f>5</f>
        <v>5</v>
      </c>
      <c r="GU68" s="358"/>
      <c r="GV68" s="385">
        <v>1055.0564263010344</v>
      </c>
      <c r="GW68" s="385">
        <f>5</f>
        <v>5</v>
      </c>
      <c r="GX68" s="358"/>
      <c r="GY68" s="385">
        <v>1055.0564263010344</v>
      </c>
      <c r="GZ68" s="385">
        <f>5</f>
        <v>5</v>
      </c>
      <c r="HA68" s="358"/>
      <c r="HB68" s="385">
        <v>1055.0564263010344</v>
      </c>
      <c r="HC68" s="385">
        <f>5</f>
        <v>5</v>
      </c>
      <c r="HD68" s="358"/>
      <c r="HE68" s="387">
        <v>1055.0564263010344</v>
      </c>
      <c r="HF68" s="386">
        <f>5*6</f>
        <v>30</v>
      </c>
      <c r="HG68" s="358"/>
      <c r="HH68" s="387">
        <v>1055.0564263010344</v>
      </c>
      <c r="HI68" s="358"/>
      <c r="HJ68" s="387">
        <v>1055.0564263010344</v>
      </c>
      <c r="HK68" s="358"/>
      <c r="HL68" s="387">
        <v>1055.0564263010344</v>
      </c>
      <c r="HM68" s="358"/>
      <c r="HN68" s="387">
        <v>1055.0564263010344</v>
      </c>
      <c r="HO68" s="358"/>
      <c r="HP68" s="387">
        <v>1055.0564263010344</v>
      </c>
      <c r="HQ68" s="358"/>
      <c r="HR68" s="387">
        <v>1055.0564263010344</v>
      </c>
      <c r="HS68" s="358"/>
      <c r="HT68" s="387">
        <v>1055.0564263010344</v>
      </c>
      <c r="HU68" s="358"/>
      <c r="HV68" s="388">
        <v>1055.0564263010344</v>
      </c>
      <c r="HW68" s="425" t="s">
        <v>3310</v>
      </c>
      <c r="HX68" s="424">
        <v>1055.0564263010344</v>
      </c>
      <c r="HY68" s="425" t="s">
        <v>3310</v>
      </c>
      <c r="HZ68" s="424">
        <v>1055.0564263010344</v>
      </c>
      <c r="IA68" s="425" t="s">
        <v>3310</v>
      </c>
      <c r="IB68" s="424">
        <v>1055.0564263010344</v>
      </c>
      <c r="IC68" s="425" t="s">
        <v>3310</v>
      </c>
      <c r="ID68" s="357">
        <f>VLOOKUP($C68,'[15]Prix accès'!A:D,4,FALSE)</f>
        <v>1055.0564263010344</v>
      </c>
      <c r="IE68" s="426" t="s">
        <v>3310</v>
      </c>
      <c r="IF68" s="357">
        <f>VLOOKUP($C68,'[15]Prix accès'!$A:$D,4,FALSE)</f>
        <v>1055.0564263010344</v>
      </c>
      <c r="IG68" s="426" t="s">
        <v>3310</v>
      </c>
      <c r="IH68" s="357">
        <f>VLOOKUP($C68,'[15]Prix accès'!$A:$D,4,FALSE)</f>
        <v>1055.0564263010344</v>
      </c>
      <c r="II68" s="426" t="s">
        <v>3310</v>
      </c>
      <c r="IJ68" s="357">
        <f>VLOOKUP($C68,'[15]Prix accès'!$A:$D,4,FALSE)</f>
        <v>1055.0564263010344</v>
      </c>
      <c r="IK68" s="426" t="s">
        <v>3310</v>
      </c>
      <c r="IL68" s="457">
        <v>588.06423761041265</v>
      </c>
      <c r="IM68" s="426"/>
      <c r="IN68" s="496"/>
      <c r="IO68" s="427"/>
      <c r="IP68" s="496"/>
      <c r="IQ68" s="427"/>
      <c r="IR68" s="429" t="s">
        <v>3105</v>
      </c>
      <c r="IS68" s="364" t="s">
        <v>77</v>
      </c>
      <c r="IT68" s="365">
        <v>43508</v>
      </c>
      <c r="IU68" s="371">
        <v>43525</v>
      </c>
      <c r="IW68" s="372">
        <f t="shared" si="11"/>
        <v>17</v>
      </c>
      <c r="IX68" s="373">
        <f t="shared" si="14"/>
        <v>34.592013977083099</v>
      </c>
      <c r="IY68" s="394">
        <f t="shared" si="13"/>
        <v>588.06423761041265</v>
      </c>
      <c r="IZ68" s="394"/>
      <c r="JA68" s="394"/>
    </row>
    <row r="69" spans="1:263" s="367" customFormat="1" ht="16.5" customHeight="1" x14ac:dyDescent="0.3">
      <c r="A69" s="401" t="s">
        <v>3315</v>
      </c>
      <c r="B69" s="402" t="s">
        <v>3315</v>
      </c>
      <c r="C69" s="434" t="s">
        <v>3343</v>
      </c>
      <c r="D69" s="856"/>
      <c r="E69" s="751"/>
      <c r="F69" s="751"/>
      <c r="G69" s="751"/>
      <c r="H69" s="857"/>
      <c r="I69" s="853">
        <v>0</v>
      </c>
      <c r="J69" s="833">
        <v>0</v>
      </c>
      <c r="K69" s="833">
        <v>0</v>
      </c>
      <c r="L69" s="833">
        <v>0</v>
      </c>
      <c r="M69" s="833">
        <v>0</v>
      </c>
      <c r="N69" s="833">
        <v>0</v>
      </c>
      <c r="O69" s="833">
        <v>0</v>
      </c>
      <c r="P69" s="833">
        <v>0</v>
      </c>
      <c r="Q69" s="833">
        <v>0</v>
      </c>
      <c r="R69" s="833">
        <v>0</v>
      </c>
      <c r="S69" s="833">
        <v>0</v>
      </c>
      <c r="T69" s="833">
        <v>0</v>
      </c>
      <c r="U69" s="833">
        <v>0</v>
      </c>
      <c r="V69" s="833">
        <v>0</v>
      </c>
      <c r="W69" s="833">
        <v>0</v>
      </c>
      <c r="X69" s="833">
        <v>0</v>
      </c>
      <c r="Y69" s="833">
        <v>0</v>
      </c>
      <c r="Z69" s="833">
        <v>0</v>
      </c>
      <c r="AA69" s="833">
        <v>0</v>
      </c>
      <c r="AB69" s="833">
        <v>0</v>
      </c>
      <c r="AC69" s="833">
        <v>0</v>
      </c>
      <c r="AD69" s="833">
        <v>0</v>
      </c>
      <c r="AE69" s="833">
        <v>0</v>
      </c>
      <c r="AF69" s="833">
        <v>0</v>
      </c>
      <c r="AG69" s="833">
        <v>0</v>
      </c>
      <c r="AH69" s="833">
        <v>0</v>
      </c>
      <c r="AI69" s="833">
        <v>0</v>
      </c>
      <c r="AJ69" s="833">
        <v>0</v>
      </c>
      <c r="AK69" s="833">
        <v>0</v>
      </c>
      <c r="AL69" s="833">
        <v>0</v>
      </c>
      <c r="AM69" s="833">
        <v>0</v>
      </c>
      <c r="AN69" s="833">
        <v>0</v>
      </c>
      <c r="AO69" s="833">
        <v>0</v>
      </c>
      <c r="AP69" s="833">
        <v>0</v>
      </c>
      <c r="AQ69" s="833">
        <v>0</v>
      </c>
      <c r="AR69" s="833">
        <v>0</v>
      </c>
      <c r="AS69" s="833">
        <v>0</v>
      </c>
      <c r="AT69" s="833">
        <v>0</v>
      </c>
      <c r="AU69" s="833">
        <v>0</v>
      </c>
      <c r="AV69" s="833">
        <v>0</v>
      </c>
      <c r="AW69" s="833">
        <v>0</v>
      </c>
      <c r="AX69" s="833"/>
      <c r="AY69" s="833">
        <v>0</v>
      </c>
      <c r="AZ69" s="833">
        <v>0</v>
      </c>
      <c r="BA69" s="455"/>
      <c r="BB69" s="404">
        <v>0</v>
      </c>
      <c r="BC69" s="404">
        <v>0</v>
      </c>
      <c r="BD69" s="455"/>
      <c r="BE69" s="404">
        <v>0</v>
      </c>
      <c r="BF69" s="404">
        <v>0</v>
      </c>
      <c r="BG69" s="455"/>
      <c r="BH69" s="404">
        <v>0</v>
      </c>
      <c r="BI69" s="404">
        <v>0</v>
      </c>
      <c r="BJ69" s="455"/>
      <c r="BK69" s="404">
        <v>0</v>
      </c>
      <c r="BL69" s="404">
        <v>0</v>
      </c>
      <c r="BM69" s="455"/>
      <c r="BN69" s="404">
        <v>0</v>
      </c>
      <c r="BO69" s="404">
        <v>0</v>
      </c>
      <c r="BP69" s="455"/>
      <c r="BQ69" s="404">
        <v>0</v>
      </c>
      <c r="BR69" s="404">
        <v>0</v>
      </c>
      <c r="BS69" s="455"/>
      <c r="BT69" s="404">
        <v>0</v>
      </c>
      <c r="BU69" s="404">
        <v>0</v>
      </c>
      <c r="BV69" s="455"/>
      <c r="BW69" s="404">
        <v>0</v>
      </c>
      <c r="BX69" s="404">
        <v>0</v>
      </c>
      <c r="BY69" s="455"/>
      <c r="BZ69" s="404">
        <v>0</v>
      </c>
      <c r="CA69" s="404">
        <v>0</v>
      </c>
      <c r="CB69" s="455"/>
      <c r="CC69" s="404">
        <v>0</v>
      </c>
      <c r="CD69" s="404">
        <v>0</v>
      </c>
      <c r="CE69" s="455"/>
      <c r="CF69" s="404">
        <v>0</v>
      </c>
      <c r="CG69" s="404">
        <v>0</v>
      </c>
      <c r="CH69" s="455"/>
      <c r="CI69" s="404">
        <v>0</v>
      </c>
      <c r="CJ69" s="404">
        <v>0</v>
      </c>
      <c r="CK69" s="455"/>
      <c r="CL69" s="404">
        <v>0</v>
      </c>
      <c r="CM69" s="404">
        <v>0</v>
      </c>
      <c r="CN69" s="455"/>
      <c r="CO69" s="404">
        <v>0</v>
      </c>
      <c r="CP69" s="404">
        <v>0</v>
      </c>
      <c r="CQ69" s="455"/>
      <c r="CR69" s="404">
        <v>0</v>
      </c>
      <c r="CS69" s="404">
        <v>0</v>
      </c>
      <c r="CT69" s="455"/>
      <c r="CU69" s="404">
        <v>0</v>
      </c>
      <c r="CV69" s="404">
        <v>0</v>
      </c>
      <c r="CW69" s="455"/>
      <c r="CX69" s="404">
        <v>0</v>
      </c>
      <c r="CY69" s="404">
        <v>0</v>
      </c>
      <c r="CZ69" s="455"/>
      <c r="DA69" s="404">
        <v>0</v>
      </c>
      <c r="DB69" s="404">
        <v>0</v>
      </c>
      <c r="DC69" s="455"/>
      <c r="DD69" s="404">
        <v>0</v>
      </c>
      <c r="DE69" s="404">
        <v>0</v>
      </c>
      <c r="DF69" s="455"/>
      <c r="DG69" s="404">
        <v>0</v>
      </c>
      <c r="DH69" s="404">
        <v>0</v>
      </c>
      <c r="DI69" s="455"/>
      <c r="DJ69" s="404">
        <v>0</v>
      </c>
      <c r="DK69" s="404">
        <v>0</v>
      </c>
      <c r="DL69" s="455"/>
      <c r="DM69" s="404">
        <v>0</v>
      </c>
      <c r="DN69" s="404">
        <v>0</v>
      </c>
      <c r="DO69" s="455"/>
      <c r="DP69" s="404">
        <v>0</v>
      </c>
      <c r="DQ69" s="404">
        <v>0</v>
      </c>
      <c r="DR69" s="455"/>
      <c r="DS69" s="404">
        <v>0</v>
      </c>
      <c r="DT69" s="404">
        <v>0</v>
      </c>
      <c r="DU69" s="455"/>
      <c r="DV69" s="404">
        <v>0</v>
      </c>
      <c r="DW69" s="404">
        <v>0</v>
      </c>
      <c r="DX69" s="455"/>
      <c r="DY69" s="404">
        <v>0</v>
      </c>
      <c r="DZ69" s="404">
        <v>0</v>
      </c>
      <c r="EA69" s="455"/>
      <c r="EB69" s="404">
        <v>0</v>
      </c>
      <c r="EC69" s="404">
        <v>0</v>
      </c>
      <c r="ED69" s="455"/>
      <c r="EE69" s="404">
        <v>0</v>
      </c>
      <c r="EF69" s="404">
        <v>0</v>
      </c>
      <c r="EG69" s="455"/>
      <c r="EH69" s="404">
        <v>0</v>
      </c>
      <c r="EI69" s="404">
        <v>0</v>
      </c>
      <c r="EJ69" s="455"/>
      <c r="EK69" s="404">
        <v>0</v>
      </c>
      <c r="EL69" s="404">
        <v>0</v>
      </c>
      <c r="EM69" s="455"/>
      <c r="EN69" s="404">
        <v>0</v>
      </c>
      <c r="EO69" s="404">
        <v>0</v>
      </c>
      <c r="EP69" s="455"/>
      <c r="EQ69" s="404">
        <v>0</v>
      </c>
      <c r="ER69" s="404">
        <v>0</v>
      </c>
      <c r="ES69" s="455"/>
      <c r="ET69" s="404">
        <v>0</v>
      </c>
      <c r="EU69" s="404">
        <v>0</v>
      </c>
      <c r="EV69" s="455"/>
      <c r="EW69" s="404">
        <v>0</v>
      </c>
      <c r="EX69" s="404">
        <v>0</v>
      </c>
      <c r="EY69" s="455"/>
      <c r="EZ69" s="404">
        <v>0</v>
      </c>
      <c r="FA69" s="404">
        <v>0</v>
      </c>
      <c r="FB69" s="455"/>
      <c r="FC69" s="404">
        <v>0</v>
      </c>
      <c r="FD69" s="404">
        <v>0</v>
      </c>
      <c r="FE69" s="455"/>
      <c r="FF69" s="404">
        <v>0</v>
      </c>
      <c r="FG69" s="404">
        <v>0</v>
      </c>
      <c r="FH69" s="455"/>
      <c r="FI69" s="404">
        <v>0</v>
      </c>
      <c r="FJ69" s="404">
        <v>0</v>
      </c>
      <c r="FK69" s="455"/>
      <c r="FL69" s="404">
        <v>0</v>
      </c>
      <c r="FM69" s="404">
        <v>0</v>
      </c>
      <c r="FN69" s="455"/>
      <c r="FO69" s="404">
        <v>0</v>
      </c>
      <c r="FP69" s="404">
        <v>0</v>
      </c>
      <c r="FQ69" s="455"/>
      <c r="FR69" s="404">
        <v>0</v>
      </c>
      <c r="FS69" s="404">
        <v>0</v>
      </c>
      <c r="FT69" s="455"/>
      <c r="FU69" s="404">
        <v>0</v>
      </c>
      <c r="FV69" s="404">
        <v>0</v>
      </c>
      <c r="FW69" s="455"/>
      <c r="FX69" s="404">
        <v>0</v>
      </c>
      <c r="FY69" s="404">
        <v>0</v>
      </c>
      <c r="FZ69" s="455"/>
      <c r="GA69" s="404">
        <v>0</v>
      </c>
      <c r="GB69" s="404">
        <v>0</v>
      </c>
      <c r="GC69" s="455"/>
      <c r="GD69" s="385">
        <v>1235.4564263010345</v>
      </c>
      <c r="GE69" s="385">
        <f>5</f>
        <v>5</v>
      </c>
      <c r="GF69" s="358"/>
      <c r="GG69" s="385">
        <v>1235.4564263010345</v>
      </c>
      <c r="GH69" s="385">
        <f>5</f>
        <v>5</v>
      </c>
      <c r="GI69" s="358"/>
      <c r="GJ69" s="385">
        <v>1235.4564263010345</v>
      </c>
      <c r="GK69" s="385">
        <f>5</f>
        <v>5</v>
      </c>
      <c r="GL69" s="358"/>
      <c r="GM69" s="385">
        <v>1235.4564263010345</v>
      </c>
      <c r="GN69" s="385">
        <f>5</f>
        <v>5</v>
      </c>
      <c r="GO69" s="358"/>
      <c r="GP69" s="385">
        <v>1235.4564263010345</v>
      </c>
      <c r="GQ69" s="385">
        <f>5</f>
        <v>5</v>
      </c>
      <c r="GR69" s="358"/>
      <c r="GS69" s="385">
        <v>1235.4564263010345</v>
      </c>
      <c r="GT69" s="385">
        <f>5</f>
        <v>5</v>
      </c>
      <c r="GU69" s="358"/>
      <c r="GV69" s="385">
        <v>1235.4564263010345</v>
      </c>
      <c r="GW69" s="385">
        <f>5</f>
        <v>5</v>
      </c>
      <c r="GX69" s="358"/>
      <c r="GY69" s="385">
        <v>1235.4564263010345</v>
      </c>
      <c r="GZ69" s="385">
        <f>5</f>
        <v>5</v>
      </c>
      <c r="HA69" s="358"/>
      <c r="HB69" s="385">
        <v>1235.4564263010345</v>
      </c>
      <c r="HC69" s="385">
        <f>5</f>
        <v>5</v>
      </c>
      <c r="HD69" s="358"/>
      <c r="HE69" s="387">
        <v>1235.4564263010345</v>
      </c>
      <c r="HF69" s="386">
        <f>5*6</f>
        <v>30</v>
      </c>
      <c r="HG69" s="358"/>
      <c r="HH69" s="387">
        <v>1235.4564263010345</v>
      </c>
      <c r="HI69" s="358"/>
      <c r="HJ69" s="387">
        <v>1235.4564263010345</v>
      </c>
      <c r="HK69" s="358"/>
      <c r="HL69" s="387">
        <v>1235.4564263010345</v>
      </c>
      <c r="HM69" s="358"/>
      <c r="HN69" s="387">
        <v>1235.4564263010345</v>
      </c>
      <c r="HO69" s="358"/>
      <c r="HP69" s="387">
        <v>1235.4564263010345</v>
      </c>
      <c r="HQ69" s="358"/>
      <c r="HR69" s="387">
        <v>1235.4564263010345</v>
      </c>
      <c r="HS69" s="358"/>
      <c r="HT69" s="387">
        <v>1235.4564263010345</v>
      </c>
      <c r="HU69" s="358"/>
      <c r="HV69" s="388">
        <v>1235.4564263010345</v>
      </c>
      <c r="HW69" s="425" t="s">
        <v>3310</v>
      </c>
      <c r="HX69" s="424">
        <v>1235.4564263010345</v>
      </c>
      <c r="HY69" s="425" t="s">
        <v>3310</v>
      </c>
      <c r="HZ69" s="424">
        <v>1235.4564263010345</v>
      </c>
      <c r="IA69" s="425" t="s">
        <v>3310</v>
      </c>
      <c r="IB69" s="424">
        <v>1235.4564263010345</v>
      </c>
      <c r="IC69" s="425" t="s">
        <v>3310</v>
      </c>
      <c r="ID69" s="357">
        <f>VLOOKUP($C69,'[15]Prix accès'!A:D,4,FALSE)</f>
        <v>1235.4564263010345</v>
      </c>
      <c r="IE69" s="426" t="s">
        <v>3310</v>
      </c>
      <c r="IF69" s="357">
        <f>VLOOKUP($C69,'[15]Prix accès'!$A:$D,4,FALSE)</f>
        <v>1235.4564263010345</v>
      </c>
      <c r="IG69" s="426" t="s">
        <v>3310</v>
      </c>
      <c r="IH69" s="357">
        <f>VLOOKUP($C69,'[15]Prix accès'!$A:$D,4,FALSE)</f>
        <v>1235.4564263010345</v>
      </c>
      <c r="II69" s="426" t="s">
        <v>3310</v>
      </c>
      <c r="IJ69" s="357">
        <f>VLOOKUP($C69,'[15]Prix accès'!$A:$D,4,FALSE)</f>
        <v>1235.4564263010345</v>
      </c>
      <c r="IK69" s="426" t="s">
        <v>3310</v>
      </c>
      <c r="IL69" s="462">
        <v>688.61505728254383</v>
      </c>
      <c r="IM69" s="426"/>
      <c r="IN69" s="499"/>
      <c r="IO69" s="427"/>
      <c r="IP69" s="496"/>
      <c r="IQ69" s="427"/>
      <c r="IR69" s="429" t="s">
        <v>3344</v>
      </c>
      <c r="IS69" s="364" t="s">
        <v>77</v>
      </c>
      <c r="IT69" s="365">
        <v>43508</v>
      </c>
      <c r="IU69" s="371">
        <v>43525</v>
      </c>
      <c r="IW69" s="372">
        <f t="shared" si="11"/>
        <v>17</v>
      </c>
      <c r="IX69" s="373">
        <f t="shared" si="14"/>
        <v>40.506768075443752</v>
      </c>
      <c r="IY69" s="394">
        <f t="shared" si="13"/>
        <v>688.61505728254383</v>
      </c>
      <c r="IZ69" s="394"/>
      <c r="JA69" s="394"/>
    </row>
    <row r="70" spans="1:263" s="367" customFormat="1" ht="16.5" customHeight="1" x14ac:dyDescent="0.3">
      <c r="A70" s="354" t="s">
        <v>2735</v>
      </c>
      <c r="B70" s="465" t="s">
        <v>3036</v>
      </c>
      <c r="C70" s="466" t="s">
        <v>760</v>
      </c>
      <c r="D70" s="467">
        <v>2032</v>
      </c>
      <c r="E70" s="468">
        <v>239</v>
      </c>
      <c r="F70" s="468">
        <v>32</v>
      </c>
      <c r="G70" s="468">
        <v>171</v>
      </c>
      <c r="H70" s="469"/>
      <c r="I70" s="841">
        <v>2303.25</v>
      </c>
      <c r="J70" s="835">
        <f>171</f>
        <v>171</v>
      </c>
      <c r="K70" s="827"/>
      <c r="L70" s="835">
        <v>2303.25</v>
      </c>
      <c r="M70" s="835">
        <f>171</f>
        <v>171</v>
      </c>
      <c r="N70" s="827"/>
      <c r="O70" s="835">
        <v>2303.25</v>
      </c>
      <c r="P70" s="835">
        <f>171</f>
        <v>171</v>
      </c>
      <c r="Q70" s="827"/>
      <c r="R70" s="835">
        <v>2303.25</v>
      </c>
      <c r="S70" s="835">
        <f>171</f>
        <v>171</v>
      </c>
      <c r="T70" s="827"/>
      <c r="U70" s="835">
        <v>2303.25</v>
      </c>
      <c r="V70" s="835">
        <f>171</f>
        <v>171</v>
      </c>
      <c r="W70" s="827"/>
      <c r="X70" s="835">
        <v>2303.25</v>
      </c>
      <c r="Y70" s="835">
        <f>171</f>
        <v>171</v>
      </c>
      <c r="Z70" s="827"/>
      <c r="AA70" s="835">
        <v>2303.25</v>
      </c>
      <c r="AB70" s="835">
        <f>171</f>
        <v>171</v>
      </c>
      <c r="AC70" s="827"/>
      <c r="AD70" s="835">
        <v>2303.25</v>
      </c>
      <c r="AE70" s="835">
        <f>171</f>
        <v>171</v>
      </c>
      <c r="AF70" s="827"/>
      <c r="AG70" s="835">
        <v>2303.25</v>
      </c>
      <c r="AH70" s="835">
        <f>171</f>
        <v>171</v>
      </c>
      <c r="AI70" s="827"/>
      <c r="AJ70" s="835">
        <v>2303.25</v>
      </c>
      <c r="AK70" s="835">
        <f>171</f>
        <v>171</v>
      </c>
      <c r="AL70" s="827"/>
      <c r="AM70" s="835">
        <v>2303.25</v>
      </c>
      <c r="AN70" s="835">
        <f>171</f>
        <v>171</v>
      </c>
      <c r="AO70" s="827"/>
      <c r="AP70" s="835">
        <v>2303.25</v>
      </c>
      <c r="AQ70" s="835">
        <f>171</f>
        <v>171</v>
      </c>
      <c r="AR70" s="827"/>
      <c r="AS70" s="835">
        <v>2303.25</v>
      </c>
      <c r="AT70" s="835">
        <f>171</f>
        <v>171</v>
      </c>
      <c r="AU70" s="827"/>
      <c r="AV70" s="835">
        <v>2303.25</v>
      </c>
      <c r="AW70" s="835">
        <f>171</f>
        <v>171</v>
      </c>
      <c r="AX70" s="827"/>
      <c r="AY70" s="831">
        <v>2303.25</v>
      </c>
      <c r="AZ70" s="831">
        <f>171</f>
        <v>171</v>
      </c>
      <c r="BA70" s="358"/>
      <c r="BB70" s="385">
        <v>2303.25</v>
      </c>
      <c r="BC70" s="385">
        <f>171</f>
        <v>171</v>
      </c>
      <c r="BD70" s="358"/>
      <c r="BE70" s="385">
        <v>2303.25</v>
      </c>
      <c r="BF70" s="385">
        <f>171</f>
        <v>171</v>
      </c>
      <c r="BG70" s="358"/>
      <c r="BH70" s="385">
        <v>2303.25</v>
      </c>
      <c r="BI70" s="385">
        <f>171</f>
        <v>171</v>
      </c>
      <c r="BJ70" s="358"/>
      <c r="BK70" s="385">
        <v>2303.25</v>
      </c>
      <c r="BL70" s="385">
        <f>171</f>
        <v>171</v>
      </c>
      <c r="BM70" s="358"/>
      <c r="BN70" s="385">
        <v>2303.25</v>
      </c>
      <c r="BO70" s="385">
        <f>171</f>
        <v>171</v>
      </c>
      <c r="BP70" s="358"/>
      <c r="BQ70" s="385">
        <v>2303.25</v>
      </c>
      <c r="BR70" s="385">
        <f>171</f>
        <v>171</v>
      </c>
      <c r="BS70" s="358"/>
      <c r="BT70" s="385">
        <v>2303.25</v>
      </c>
      <c r="BU70" s="385">
        <f>171</f>
        <v>171</v>
      </c>
      <c r="BV70" s="358"/>
      <c r="BW70" s="385">
        <v>2303.25</v>
      </c>
      <c r="BX70" s="385">
        <f>171</f>
        <v>171</v>
      </c>
      <c r="BY70" s="358"/>
      <c r="BZ70" s="385">
        <v>2303.25</v>
      </c>
      <c r="CA70" s="385">
        <f>171</f>
        <v>171</v>
      </c>
      <c r="CB70" s="358"/>
      <c r="CC70" s="385">
        <v>2303.25</v>
      </c>
      <c r="CD70" s="385">
        <f>171</f>
        <v>171</v>
      </c>
      <c r="CE70" s="358"/>
      <c r="CF70" s="385">
        <v>2303.25</v>
      </c>
      <c r="CG70" s="385">
        <f>171</f>
        <v>171</v>
      </c>
      <c r="CH70" s="358"/>
      <c r="CI70" s="385">
        <v>2303.25</v>
      </c>
      <c r="CJ70" s="385">
        <f>171</f>
        <v>171</v>
      </c>
      <c r="CK70" s="358"/>
      <c r="CL70" s="385">
        <v>2303.25</v>
      </c>
      <c r="CM70" s="385">
        <f>171</f>
        <v>171</v>
      </c>
      <c r="CN70" s="358"/>
      <c r="CO70" s="385">
        <v>2303.25</v>
      </c>
      <c r="CP70" s="385">
        <f>171</f>
        <v>171</v>
      </c>
      <c r="CQ70" s="358"/>
      <c r="CR70" s="385">
        <v>2303.25</v>
      </c>
      <c r="CS70" s="385">
        <f>171</f>
        <v>171</v>
      </c>
      <c r="CT70" s="358"/>
      <c r="CU70" s="385">
        <v>2303.25</v>
      </c>
      <c r="CV70" s="385">
        <f>171</f>
        <v>171</v>
      </c>
      <c r="CW70" s="358"/>
      <c r="CX70" s="385">
        <v>2303.25</v>
      </c>
      <c r="CY70" s="385">
        <f>171</f>
        <v>171</v>
      </c>
      <c r="CZ70" s="358"/>
      <c r="DA70" s="385">
        <v>2303.25</v>
      </c>
      <c r="DB70" s="385">
        <f>171</f>
        <v>171</v>
      </c>
      <c r="DC70" s="358"/>
      <c r="DD70" s="385">
        <v>2303.25</v>
      </c>
      <c r="DE70" s="385">
        <f>171</f>
        <v>171</v>
      </c>
      <c r="DF70" s="358"/>
      <c r="DG70" s="385">
        <v>2303.25</v>
      </c>
      <c r="DH70" s="385">
        <f>171</f>
        <v>171</v>
      </c>
      <c r="DI70" s="358"/>
      <c r="DJ70" s="385">
        <v>2303.25</v>
      </c>
      <c r="DK70" s="385">
        <f>171</f>
        <v>171</v>
      </c>
      <c r="DL70" s="358"/>
      <c r="DM70" s="385">
        <v>2303.25</v>
      </c>
      <c r="DN70" s="385">
        <f>171</f>
        <v>171</v>
      </c>
      <c r="DO70" s="358"/>
      <c r="DP70" s="385">
        <v>2303.25</v>
      </c>
      <c r="DQ70" s="385">
        <f>171</f>
        <v>171</v>
      </c>
      <c r="DR70" s="358"/>
      <c r="DS70" s="385">
        <v>2303.25</v>
      </c>
      <c r="DT70" s="385">
        <f>171</f>
        <v>171</v>
      </c>
      <c r="DU70" s="358"/>
      <c r="DV70" s="385">
        <v>2303.25</v>
      </c>
      <c r="DW70" s="385">
        <f>171</f>
        <v>171</v>
      </c>
      <c r="DX70" s="358"/>
      <c r="DY70" s="385">
        <v>2303.25</v>
      </c>
      <c r="DZ70" s="385">
        <f>171</f>
        <v>171</v>
      </c>
      <c r="EA70" s="358"/>
      <c r="EB70" s="385">
        <v>2303.25</v>
      </c>
      <c r="EC70" s="385">
        <f>171</f>
        <v>171</v>
      </c>
      <c r="ED70" s="358"/>
      <c r="EE70" s="385">
        <v>2303.25</v>
      </c>
      <c r="EF70" s="385">
        <f>171</f>
        <v>171</v>
      </c>
      <c r="EG70" s="358"/>
      <c r="EH70" s="385">
        <v>2303.25</v>
      </c>
      <c r="EI70" s="385">
        <f>171</f>
        <v>171</v>
      </c>
      <c r="EJ70" s="358"/>
      <c r="EK70" s="385">
        <v>2303.25</v>
      </c>
      <c r="EL70" s="385">
        <f>171</f>
        <v>171</v>
      </c>
      <c r="EM70" s="358"/>
      <c r="EN70" s="385">
        <v>2303.25</v>
      </c>
      <c r="EO70" s="385">
        <f>171</f>
        <v>171</v>
      </c>
      <c r="EP70" s="358"/>
      <c r="EQ70" s="385">
        <v>2303.25</v>
      </c>
      <c r="ER70" s="385">
        <f>171</f>
        <v>171</v>
      </c>
      <c r="ES70" s="358"/>
      <c r="ET70" s="385">
        <v>2303.25</v>
      </c>
      <c r="EU70" s="385">
        <f>171</f>
        <v>171</v>
      </c>
      <c r="EV70" s="358"/>
      <c r="EW70" s="385">
        <v>2303.25</v>
      </c>
      <c r="EX70" s="385">
        <f>171</f>
        <v>171</v>
      </c>
      <c r="EY70" s="358"/>
      <c r="EZ70" s="385">
        <v>2303.25</v>
      </c>
      <c r="FA70" s="385">
        <f>171</f>
        <v>171</v>
      </c>
      <c r="FB70" s="358"/>
      <c r="FC70" s="385">
        <v>2303.25</v>
      </c>
      <c r="FD70" s="385">
        <f>171</f>
        <v>171</v>
      </c>
      <c r="FE70" s="358"/>
      <c r="FF70" s="385">
        <v>2303.25</v>
      </c>
      <c r="FG70" s="385">
        <f>171</f>
        <v>171</v>
      </c>
      <c r="FH70" s="358"/>
      <c r="FI70" s="385">
        <v>2303.25</v>
      </c>
      <c r="FJ70" s="385">
        <f>171</f>
        <v>171</v>
      </c>
      <c r="FK70" s="358"/>
      <c r="FL70" s="385">
        <v>2303.25</v>
      </c>
      <c r="FM70" s="385">
        <f>171</f>
        <v>171</v>
      </c>
      <c r="FN70" s="358"/>
      <c r="FO70" s="385">
        <v>2303.25</v>
      </c>
      <c r="FP70" s="385">
        <f>171</f>
        <v>171</v>
      </c>
      <c r="FQ70" s="358"/>
      <c r="FR70" s="385">
        <v>2303.25</v>
      </c>
      <c r="FS70" s="385">
        <f>171</f>
        <v>171</v>
      </c>
      <c r="FT70" s="358"/>
      <c r="FU70" s="385">
        <v>2303.25</v>
      </c>
      <c r="FV70" s="385">
        <f>171</f>
        <v>171</v>
      </c>
      <c r="FW70" s="358"/>
      <c r="FX70" s="385">
        <v>2303.25</v>
      </c>
      <c r="FY70" s="385">
        <f>171</f>
        <v>171</v>
      </c>
      <c r="FZ70" s="358"/>
      <c r="GA70" s="385">
        <v>2303.25</v>
      </c>
      <c r="GB70" s="385">
        <f>171</f>
        <v>171</v>
      </c>
      <c r="GC70" s="358"/>
      <c r="GD70" s="385">
        <v>2303.25</v>
      </c>
      <c r="GE70" s="385">
        <f>171</f>
        <v>171</v>
      </c>
      <c r="GF70" s="358"/>
      <c r="GG70" s="385">
        <v>2303.25</v>
      </c>
      <c r="GH70" s="385">
        <f>171</f>
        <v>171</v>
      </c>
      <c r="GI70" s="358"/>
      <c r="GJ70" s="385">
        <v>2303.25</v>
      </c>
      <c r="GK70" s="385">
        <f>171</f>
        <v>171</v>
      </c>
      <c r="GL70" s="358"/>
      <c r="GM70" s="385">
        <v>2303.25</v>
      </c>
      <c r="GN70" s="385">
        <f>171</f>
        <v>171</v>
      </c>
      <c r="GO70" s="358"/>
      <c r="GP70" s="385">
        <v>2303.25</v>
      </c>
      <c r="GQ70" s="385">
        <f>171</f>
        <v>171</v>
      </c>
      <c r="GR70" s="358"/>
      <c r="GS70" s="385">
        <v>2303.25</v>
      </c>
      <c r="GT70" s="385">
        <f>171</f>
        <v>171</v>
      </c>
      <c r="GU70" s="358"/>
      <c r="GV70" s="385">
        <v>2303.25</v>
      </c>
      <c r="GW70" s="385">
        <f>171</f>
        <v>171</v>
      </c>
      <c r="GX70" s="358"/>
      <c r="GY70" s="385">
        <v>2303.25</v>
      </c>
      <c r="GZ70" s="385">
        <f>171</f>
        <v>171</v>
      </c>
      <c r="HA70" s="358"/>
      <c r="HB70" s="385">
        <v>2303.25</v>
      </c>
      <c r="HC70" s="385">
        <f>171</f>
        <v>171</v>
      </c>
      <c r="HD70" s="358"/>
      <c r="HE70" s="387">
        <v>2303.25</v>
      </c>
      <c r="HF70" s="386">
        <f>171*6</f>
        <v>1026</v>
      </c>
      <c r="HG70" s="370">
        <v>0</v>
      </c>
      <c r="HH70" s="387">
        <v>2303.25</v>
      </c>
      <c r="HI70" s="369">
        <v>65.615106286748087</v>
      </c>
      <c r="HJ70" s="387">
        <v>2303.25</v>
      </c>
      <c r="HK70" s="369">
        <v>65.615106286748087</v>
      </c>
      <c r="HL70" s="387">
        <v>2303.25</v>
      </c>
      <c r="HM70" s="369">
        <v>65.615106286748087</v>
      </c>
      <c r="HN70" s="387">
        <v>2303.25</v>
      </c>
      <c r="HO70" s="369">
        <v>65.615106286748087</v>
      </c>
      <c r="HP70" s="387">
        <v>2303.25</v>
      </c>
      <c r="HQ70" s="369">
        <v>65.615106286748087</v>
      </c>
      <c r="HR70" s="387">
        <v>2303.25</v>
      </c>
      <c r="HS70" s="369">
        <v>65.615106286748087</v>
      </c>
      <c r="HT70" s="387">
        <v>2303.25</v>
      </c>
      <c r="HU70" s="369">
        <v>65.615106286748087</v>
      </c>
      <c r="HV70" s="388">
        <v>2303.25</v>
      </c>
      <c r="HW70" s="423">
        <v>65.615106286748087</v>
      </c>
      <c r="HX70" s="388">
        <f>VLOOKUP(C70,'[15]Prix accès'!A:D,4,FALSE)-JC70</f>
        <v>2303.25</v>
      </c>
      <c r="HY70" s="424">
        <v>65.615106286748087</v>
      </c>
      <c r="HZ70" s="424">
        <f>2315.87153258778</f>
        <v>2315.8715325877802</v>
      </c>
      <c r="IA70" s="424">
        <v>65.615106286748087</v>
      </c>
      <c r="IB70" s="424">
        <v>2315.8715325877824</v>
      </c>
      <c r="IC70" s="424">
        <v>65.615106286748087</v>
      </c>
      <c r="ID70" s="357">
        <f>VLOOKUP($C70,'[15]Prix accès'!A:D,4,FALSE)</f>
        <v>2303.25</v>
      </c>
      <c r="IE70" s="435">
        <v>65.615106286748087</v>
      </c>
      <c r="IF70" s="357">
        <f>VLOOKUP($C70,'[15]Prix accès'!$A:$D,4,FALSE)</f>
        <v>2303.25</v>
      </c>
      <c r="IG70" s="435">
        <v>65.615106286748087</v>
      </c>
      <c r="IH70" s="357">
        <f>VLOOKUP($C70,'[15]Prix accès'!$A:$D,4,FALSE)</f>
        <v>2303.25</v>
      </c>
      <c r="II70" s="435">
        <v>65.615106286748087</v>
      </c>
      <c r="IJ70" s="357">
        <f>VLOOKUP($C70,'[15]Prix accès'!$A:$D,4,FALSE)</f>
        <v>2303.25</v>
      </c>
      <c r="IK70" s="435">
        <v>65.615106286748087</v>
      </c>
      <c r="IL70" s="457">
        <v>1138.9532127480898</v>
      </c>
      <c r="IM70" s="500">
        <v>51.554726368159216</v>
      </c>
      <c r="IN70" s="496"/>
      <c r="IO70" s="427"/>
      <c r="IP70" s="496"/>
      <c r="IQ70" s="427"/>
      <c r="IR70" s="429" t="s">
        <v>3098</v>
      </c>
      <c r="IS70" s="364" t="s">
        <v>77</v>
      </c>
      <c r="IT70" s="365">
        <v>43510</v>
      </c>
      <c r="IU70" s="371">
        <v>43525</v>
      </c>
      <c r="IW70" s="372">
        <f t="shared" si="11"/>
        <v>15</v>
      </c>
      <c r="IX70" s="373">
        <f t="shared" si="14"/>
        <v>75.516393442622956</v>
      </c>
      <c r="IY70" s="394">
        <f t="shared" si="13"/>
        <v>1132.7459016393443</v>
      </c>
      <c r="IZ70" s="394"/>
      <c r="JA70" s="460"/>
      <c r="JC70" s="461"/>
    </row>
    <row r="71" spans="1:263" s="367" customFormat="1" ht="16.5" customHeight="1" x14ac:dyDescent="0.3">
      <c r="A71" s="354" t="s">
        <v>2735</v>
      </c>
      <c r="B71" s="465" t="s">
        <v>2765</v>
      </c>
      <c r="C71" s="501" t="s">
        <v>423</v>
      </c>
      <c r="D71" s="502">
        <v>1249</v>
      </c>
      <c r="E71" s="503">
        <v>60</v>
      </c>
      <c r="F71" s="503">
        <v>48</v>
      </c>
      <c r="G71" s="503">
        <v>14</v>
      </c>
      <c r="H71" s="504">
        <v>0</v>
      </c>
      <c r="I71" s="841">
        <v>1357</v>
      </c>
      <c r="J71" s="835">
        <v>14</v>
      </c>
      <c r="K71" s="827"/>
      <c r="L71" s="835">
        <v>1357</v>
      </c>
      <c r="M71" s="835">
        <v>14</v>
      </c>
      <c r="N71" s="827"/>
      <c r="O71" s="835">
        <v>1357</v>
      </c>
      <c r="P71" s="835">
        <v>14</v>
      </c>
      <c r="Q71" s="827"/>
      <c r="R71" s="835">
        <v>1357</v>
      </c>
      <c r="S71" s="835">
        <v>14</v>
      </c>
      <c r="T71" s="827"/>
      <c r="U71" s="835">
        <v>1357</v>
      </c>
      <c r="V71" s="835">
        <v>14</v>
      </c>
      <c r="W71" s="827"/>
      <c r="X71" s="835">
        <v>1357</v>
      </c>
      <c r="Y71" s="835">
        <v>14</v>
      </c>
      <c r="Z71" s="827"/>
      <c r="AA71" s="835">
        <v>1357</v>
      </c>
      <c r="AB71" s="835">
        <v>14</v>
      </c>
      <c r="AC71" s="827"/>
      <c r="AD71" s="835">
        <v>1357</v>
      </c>
      <c r="AE71" s="835">
        <v>14</v>
      </c>
      <c r="AF71" s="827"/>
      <c r="AG71" s="835">
        <v>1357</v>
      </c>
      <c r="AH71" s="835">
        <v>14</v>
      </c>
      <c r="AI71" s="827"/>
      <c r="AJ71" s="835">
        <v>1357</v>
      </c>
      <c r="AK71" s="835">
        <v>14</v>
      </c>
      <c r="AL71" s="827"/>
      <c r="AM71" s="835">
        <v>1357</v>
      </c>
      <c r="AN71" s="835">
        <v>14</v>
      </c>
      <c r="AO71" s="827"/>
      <c r="AP71" s="835">
        <v>1357</v>
      </c>
      <c r="AQ71" s="835">
        <v>14</v>
      </c>
      <c r="AR71" s="827"/>
      <c r="AS71" s="835">
        <v>1357</v>
      </c>
      <c r="AT71" s="835">
        <v>14</v>
      </c>
      <c r="AU71" s="827"/>
      <c r="AV71" s="835">
        <v>1357</v>
      </c>
      <c r="AW71" s="835">
        <v>14</v>
      </c>
      <c r="AX71" s="827"/>
      <c r="AY71" s="835">
        <v>1357</v>
      </c>
      <c r="AZ71" s="835">
        <v>14</v>
      </c>
      <c r="BA71" s="358"/>
      <c r="BB71" s="384">
        <v>1357</v>
      </c>
      <c r="BC71" s="384">
        <v>14</v>
      </c>
      <c r="BD71" s="358"/>
      <c r="BE71" s="384">
        <v>1357</v>
      </c>
      <c r="BF71" s="384">
        <v>14</v>
      </c>
      <c r="BG71" s="358"/>
      <c r="BH71" s="384">
        <v>1357</v>
      </c>
      <c r="BI71" s="384">
        <v>14</v>
      </c>
      <c r="BJ71" s="472"/>
      <c r="BK71" s="386">
        <f>((1357-1225)/30.5)*26+1357</f>
        <v>1469.5245901639344</v>
      </c>
      <c r="BL71" s="386">
        <f>((14-5)/30.5)*26+14</f>
        <v>21.672131147540984</v>
      </c>
      <c r="BM71" s="370"/>
      <c r="BN71" s="386">
        <v>1357</v>
      </c>
      <c r="BO71" s="386">
        <v>14</v>
      </c>
      <c r="BP71" s="370"/>
      <c r="BQ71" s="384">
        <v>1225.2564263010347</v>
      </c>
      <c r="BR71" s="384">
        <f>5</f>
        <v>5</v>
      </c>
      <c r="BS71" s="472"/>
      <c r="BT71" s="384">
        <v>1225.2564263010347</v>
      </c>
      <c r="BU71" s="384">
        <f>5</f>
        <v>5</v>
      </c>
      <c r="BV71" s="472"/>
      <c r="BW71" s="384">
        <v>1225.2564263010347</v>
      </c>
      <c r="BX71" s="384">
        <f>5</f>
        <v>5</v>
      </c>
      <c r="BY71" s="472"/>
      <c r="BZ71" s="384">
        <v>1225.2564263010347</v>
      </c>
      <c r="CA71" s="384">
        <f>5</f>
        <v>5</v>
      </c>
      <c r="CB71" s="472"/>
      <c r="CC71" s="384">
        <v>1225.2564263010347</v>
      </c>
      <c r="CD71" s="384">
        <f>5</f>
        <v>5</v>
      </c>
      <c r="CE71" s="472"/>
      <c r="CF71" s="384">
        <v>1225.2564263010347</v>
      </c>
      <c r="CG71" s="384">
        <f>5</f>
        <v>5</v>
      </c>
      <c r="CH71" s="472"/>
      <c r="CI71" s="384">
        <v>1225.2564263010347</v>
      </c>
      <c r="CJ71" s="384">
        <f>5</f>
        <v>5</v>
      </c>
      <c r="CK71" s="472"/>
      <c r="CL71" s="384">
        <v>1225.2564263010347</v>
      </c>
      <c r="CM71" s="384">
        <f>5</f>
        <v>5</v>
      </c>
      <c r="CN71" s="472"/>
      <c r="CO71" s="384">
        <v>1225.2564263010347</v>
      </c>
      <c r="CP71" s="384">
        <f>5</f>
        <v>5</v>
      </c>
      <c r="CQ71" s="472"/>
      <c r="CR71" s="384">
        <v>1225.2564263010347</v>
      </c>
      <c r="CS71" s="384">
        <f>5</f>
        <v>5</v>
      </c>
      <c r="CT71" s="472"/>
      <c r="CU71" s="384">
        <v>1225.2564263010347</v>
      </c>
      <c r="CV71" s="384">
        <f>5</f>
        <v>5</v>
      </c>
      <c r="CW71" s="472"/>
      <c r="CX71" s="384">
        <v>1225.2564263010347</v>
      </c>
      <c r="CY71" s="384">
        <f>5</f>
        <v>5</v>
      </c>
      <c r="CZ71" s="472"/>
      <c r="DA71" s="384">
        <v>1225.2564263010347</v>
      </c>
      <c r="DB71" s="384">
        <f>5</f>
        <v>5</v>
      </c>
      <c r="DC71" s="472"/>
      <c r="DD71" s="384">
        <v>1225.2564263010347</v>
      </c>
      <c r="DE71" s="384">
        <f>5</f>
        <v>5</v>
      </c>
      <c r="DF71" s="472"/>
      <c r="DG71" s="384">
        <v>1225.2564263010347</v>
      </c>
      <c r="DH71" s="384">
        <f>5</f>
        <v>5</v>
      </c>
      <c r="DI71" s="472"/>
      <c r="DJ71" s="384">
        <v>1225.2564263010347</v>
      </c>
      <c r="DK71" s="384">
        <f>5</f>
        <v>5</v>
      </c>
      <c r="DL71" s="472"/>
      <c r="DM71" s="384">
        <v>1225.2564263010347</v>
      </c>
      <c r="DN71" s="384">
        <f>5</f>
        <v>5</v>
      </c>
      <c r="DO71" s="472"/>
      <c r="DP71" s="384">
        <v>1225.2564263010347</v>
      </c>
      <c r="DQ71" s="384">
        <f>5</f>
        <v>5</v>
      </c>
      <c r="DR71" s="472"/>
      <c r="DS71" s="384">
        <v>1225.2564263010347</v>
      </c>
      <c r="DT71" s="384">
        <f>5</f>
        <v>5</v>
      </c>
      <c r="DU71" s="472"/>
      <c r="DV71" s="384">
        <v>1225.2564263010347</v>
      </c>
      <c r="DW71" s="384">
        <f>5</f>
        <v>5</v>
      </c>
      <c r="DX71" s="472"/>
      <c r="DY71" s="384">
        <v>1225.2564263010347</v>
      </c>
      <c r="DZ71" s="384">
        <f>5</f>
        <v>5</v>
      </c>
      <c r="EA71" s="472"/>
      <c r="EB71" s="384">
        <v>1225.2564263010347</v>
      </c>
      <c r="EC71" s="384">
        <f>5</f>
        <v>5</v>
      </c>
      <c r="ED71" s="472"/>
      <c r="EE71" s="384">
        <v>1225.2564263010347</v>
      </c>
      <c r="EF71" s="384">
        <f>5</f>
        <v>5</v>
      </c>
      <c r="EG71" s="472"/>
      <c r="EH71" s="384">
        <v>1225.2564263010347</v>
      </c>
      <c r="EI71" s="384">
        <f>5</f>
        <v>5</v>
      </c>
      <c r="EJ71" s="472"/>
      <c r="EK71" s="384">
        <v>1225.2564263010347</v>
      </c>
      <c r="EL71" s="384">
        <f>5</f>
        <v>5</v>
      </c>
      <c r="EM71" s="472"/>
      <c r="EN71" s="384">
        <v>1225.2564263010347</v>
      </c>
      <c r="EO71" s="384">
        <f>5</f>
        <v>5</v>
      </c>
      <c r="EP71" s="472"/>
      <c r="EQ71" s="384">
        <v>1225.2564263010347</v>
      </c>
      <c r="ER71" s="384">
        <f>5</f>
        <v>5</v>
      </c>
      <c r="ES71" s="472"/>
      <c r="ET71" s="384">
        <v>1225.2564263010347</v>
      </c>
      <c r="EU71" s="384">
        <f>5</f>
        <v>5</v>
      </c>
      <c r="EV71" s="472"/>
      <c r="EW71" s="384">
        <v>1225.2564263010347</v>
      </c>
      <c r="EX71" s="384">
        <f>5</f>
        <v>5</v>
      </c>
      <c r="EY71" s="472"/>
      <c r="EZ71" s="384">
        <v>1225.2564263010347</v>
      </c>
      <c r="FA71" s="384">
        <f>5</f>
        <v>5</v>
      </c>
      <c r="FB71" s="472"/>
      <c r="FC71" s="384">
        <v>1225.2564263010347</v>
      </c>
      <c r="FD71" s="384">
        <f>5</f>
        <v>5</v>
      </c>
      <c r="FE71" s="472"/>
      <c r="FF71" s="384">
        <v>1225.2564263010347</v>
      </c>
      <c r="FG71" s="384">
        <f>5</f>
        <v>5</v>
      </c>
      <c r="FH71" s="472"/>
      <c r="FI71" s="384">
        <v>1225.2564263010347</v>
      </c>
      <c r="FJ71" s="384">
        <f>5</f>
        <v>5</v>
      </c>
      <c r="FK71" s="472"/>
      <c r="FL71" s="384">
        <v>1225.2564263010347</v>
      </c>
      <c r="FM71" s="384">
        <f>5</f>
        <v>5</v>
      </c>
      <c r="FN71" s="472"/>
      <c r="FO71" s="384">
        <v>1225.2564263010347</v>
      </c>
      <c r="FP71" s="384">
        <f>5</f>
        <v>5</v>
      </c>
      <c r="FQ71" s="472"/>
      <c r="FR71" s="384">
        <v>1225.2564263010347</v>
      </c>
      <c r="FS71" s="384">
        <f>5</f>
        <v>5</v>
      </c>
      <c r="FT71" s="472"/>
      <c r="FU71" s="385">
        <v>1225.2564263010347</v>
      </c>
      <c r="FV71" s="385">
        <f>5</f>
        <v>5</v>
      </c>
      <c r="FW71" s="358"/>
      <c r="FX71" s="385">
        <v>1225.2564263010347</v>
      </c>
      <c r="FY71" s="385">
        <f>5</f>
        <v>5</v>
      </c>
      <c r="FZ71" s="358"/>
      <c r="GA71" s="385">
        <v>1225.2564263010347</v>
      </c>
      <c r="GB71" s="385">
        <f>5</f>
        <v>5</v>
      </c>
      <c r="GC71" s="358"/>
      <c r="GD71" s="385">
        <v>1225.2564263010347</v>
      </c>
      <c r="GE71" s="385">
        <f>5</f>
        <v>5</v>
      </c>
      <c r="GF71" s="358"/>
      <c r="GG71" s="385">
        <v>1225.2564263010347</v>
      </c>
      <c r="GH71" s="385">
        <f>5</f>
        <v>5</v>
      </c>
      <c r="GI71" s="358"/>
      <c r="GJ71" s="385">
        <v>1225.2564263010347</v>
      </c>
      <c r="GK71" s="385">
        <f>5</f>
        <v>5</v>
      </c>
      <c r="GL71" s="358"/>
      <c r="GM71" s="385">
        <v>1225.2564263010347</v>
      </c>
      <c r="GN71" s="385">
        <f>5</f>
        <v>5</v>
      </c>
      <c r="GO71" s="358"/>
      <c r="GP71" s="385">
        <v>1225.2564263010347</v>
      </c>
      <c r="GQ71" s="385">
        <f>5</f>
        <v>5</v>
      </c>
      <c r="GR71" s="358"/>
      <c r="GS71" s="385">
        <v>1225.2564263010347</v>
      </c>
      <c r="GT71" s="385">
        <f>5</f>
        <v>5</v>
      </c>
      <c r="GU71" s="358"/>
      <c r="GV71" s="385">
        <v>1225.2564263010347</v>
      </c>
      <c r="GW71" s="385">
        <f>5</f>
        <v>5</v>
      </c>
      <c r="GX71" s="358"/>
      <c r="GY71" s="385">
        <v>1225.2564263010347</v>
      </c>
      <c r="GZ71" s="385">
        <f>5</f>
        <v>5</v>
      </c>
      <c r="HA71" s="358"/>
      <c r="HB71" s="385">
        <v>1225.2564263010347</v>
      </c>
      <c r="HC71" s="385">
        <f>5</f>
        <v>5</v>
      </c>
      <c r="HD71" s="358"/>
      <c r="HE71" s="387">
        <v>1225.2564263010347</v>
      </c>
      <c r="HF71" s="386">
        <f>5*6</f>
        <v>30</v>
      </c>
      <c r="HG71" s="358"/>
      <c r="HH71" s="387">
        <v>1225.2564263010347</v>
      </c>
      <c r="HI71" s="358"/>
      <c r="HJ71" s="387">
        <v>1225.2564263010347</v>
      </c>
      <c r="HK71" s="358"/>
      <c r="HL71" s="387">
        <v>1225.2564263010347</v>
      </c>
      <c r="HM71" s="358"/>
      <c r="HN71" s="387">
        <v>1225.2564263010347</v>
      </c>
      <c r="HO71" s="358"/>
      <c r="HP71" s="387">
        <v>1225.2564263010347</v>
      </c>
      <c r="HQ71" s="358"/>
      <c r="HR71" s="387">
        <v>1225.2564263010347</v>
      </c>
      <c r="HS71" s="358"/>
      <c r="HT71" s="387">
        <v>1225.2564263010347</v>
      </c>
      <c r="HU71" s="358"/>
      <c r="HV71" s="388">
        <v>1225.2564263010347</v>
      </c>
      <c r="HW71" s="425" t="s">
        <v>3310</v>
      </c>
      <c r="HX71" s="424">
        <v>1225.2564263010347</v>
      </c>
      <c r="HY71" s="425" t="s">
        <v>3310</v>
      </c>
      <c r="HZ71" s="424">
        <v>1225.2564263010347</v>
      </c>
      <c r="IA71" s="425" t="s">
        <v>3310</v>
      </c>
      <c r="IB71" s="424">
        <v>1225.2564263010347</v>
      </c>
      <c r="IC71" s="425" t="s">
        <v>3310</v>
      </c>
      <c r="ID71" s="357">
        <f>VLOOKUP($C71,'[15]Prix accès'!A:D,4,FALSE)</f>
        <v>1225.2564263010347</v>
      </c>
      <c r="IE71" s="426" t="s">
        <v>3310</v>
      </c>
      <c r="IF71" s="357">
        <f>VLOOKUP($C71,'[15]Prix accès'!$A:$D,4,FALSE)</f>
        <v>1225.2564263010347</v>
      </c>
      <c r="IG71" s="426" t="s">
        <v>3310</v>
      </c>
      <c r="IH71" s="357">
        <f>VLOOKUP($C71,'[15]Prix accès'!$A:$D,4,FALSE)</f>
        <v>1225.2564263010347</v>
      </c>
      <c r="II71" s="426" t="s">
        <v>3310</v>
      </c>
      <c r="IJ71" s="357">
        <f>VLOOKUP($C71,'[15]Prix accès'!$A:$D,4,FALSE)</f>
        <v>1225.2564263010347</v>
      </c>
      <c r="IK71" s="426" t="s">
        <v>3310</v>
      </c>
      <c r="IL71" s="457">
        <v>361.55107661342004</v>
      </c>
      <c r="IM71" s="426"/>
      <c r="IN71" s="496"/>
      <c r="IO71" s="427"/>
      <c r="IP71" s="496"/>
      <c r="IQ71" s="427"/>
      <c r="IR71" s="429" t="s">
        <v>3013</v>
      </c>
      <c r="IS71" s="364" t="s">
        <v>77</v>
      </c>
      <c r="IT71" s="365">
        <v>43516</v>
      </c>
      <c r="IU71" s="371">
        <v>43525</v>
      </c>
      <c r="IW71" s="372">
        <f t="shared" si="11"/>
        <v>9</v>
      </c>
      <c r="IX71" s="373">
        <f t="shared" si="14"/>
        <v>40.172341845935563</v>
      </c>
      <c r="IY71" s="394">
        <f t="shared" si="13"/>
        <v>361.55107661342004</v>
      </c>
      <c r="IZ71" s="394"/>
      <c r="JA71" s="394"/>
    </row>
    <row r="72" spans="1:263" s="367" customFormat="1" ht="16.5" customHeight="1" x14ac:dyDescent="0.3">
      <c r="A72" s="354" t="s">
        <v>2735</v>
      </c>
      <c r="B72" s="355" t="s">
        <v>2757</v>
      </c>
      <c r="C72" s="378" t="s">
        <v>848</v>
      </c>
      <c r="D72" s="880">
        <v>356</v>
      </c>
      <c r="E72" s="832">
        <v>27</v>
      </c>
      <c r="F72" s="832">
        <v>0</v>
      </c>
      <c r="G72" s="882">
        <f>(24*12)+27</f>
        <v>315</v>
      </c>
      <c r="H72" s="468">
        <v>0</v>
      </c>
      <c r="I72" s="841">
        <v>383</v>
      </c>
      <c r="J72" s="831">
        <f>3</f>
        <v>3</v>
      </c>
      <c r="K72" s="827"/>
      <c r="L72" s="835">
        <v>383</v>
      </c>
      <c r="M72" s="831">
        <f>3</f>
        <v>3</v>
      </c>
      <c r="N72" s="827"/>
      <c r="O72" s="835">
        <v>383</v>
      </c>
      <c r="P72" s="831">
        <f>3</f>
        <v>3</v>
      </c>
      <c r="Q72" s="827"/>
      <c r="R72" s="835">
        <v>383</v>
      </c>
      <c r="S72" s="831">
        <f>3</f>
        <v>3</v>
      </c>
      <c r="T72" s="827"/>
      <c r="U72" s="835">
        <v>383</v>
      </c>
      <c r="V72" s="831">
        <f>3</f>
        <v>3</v>
      </c>
      <c r="W72" s="827"/>
      <c r="X72" s="835">
        <v>383</v>
      </c>
      <c r="Y72" s="831">
        <f>3</f>
        <v>3</v>
      </c>
      <c r="Z72" s="827"/>
      <c r="AA72" s="835">
        <v>383</v>
      </c>
      <c r="AB72" s="831">
        <f>3</f>
        <v>3</v>
      </c>
      <c r="AC72" s="827"/>
      <c r="AD72" s="835">
        <v>383</v>
      </c>
      <c r="AE72" s="831">
        <f>3</f>
        <v>3</v>
      </c>
      <c r="AF72" s="827"/>
      <c r="AG72" s="835">
        <v>383</v>
      </c>
      <c r="AH72" s="831">
        <f>3</f>
        <v>3</v>
      </c>
      <c r="AI72" s="827"/>
      <c r="AJ72" s="835">
        <v>383</v>
      </c>
      <c r="AK72" s="831">
        <f>3</f>
        <v>3</v>
      </c>
      <c r="AL72" s="827"/>
      <c r="AM72" s="835">
        <v>383</v>
      </c>
      <c r="AN72" s="831">
        <f>3</f>
        <v>3</v>
      </c>
      <c r="AO72" s="827"/>
      <c r="AP72" s="835">
        <v>383</v>
      </c>
      <c r="AQ72" s="831">
        <f>3</f>
        <v>3</v>
      </c>
      <c r="AR72" s="827"/>
      <c r="AS72" s="881">
        <f>((383-269)/30.5)*31+383</f>
        <v>498.86885245901641</v>
      </c>
      <c r="AT72" s="831">
        <f>3</f>
        <v>3</v>
      </c>
      <c r="AU72" s="827"/>
      <c r="AV72" s="831">
        <v>269.41198185659005</v>
      </c>
      <c r="AW72" s="831">
        <f>3</f>
        <v>3</v>
      </c>
      <c r="AX72" s="827"/>
      <c r="AY72" s="831">
        <v>269.41198185659005</v>
      </c>
      <c r="AZ72" s="831">
        <f>3</f>
        <v>3</v>
      </c>
      <c r="BA72" s="358"/>
      <c r="BB72" s="385">
        <v>269.41198185659005</v>
      </c>
      <c r="BC72" s="385">
        <f>3</f>
        <v>3</v>
      </c>
      <c r="BD72" s="358"/>
      <c r="BE72" s="385">
        <v>269.41198185659005</v>
      </c>
      <c r="BF72" s="385">
        <f>3</f>
        <v>3</v>
      </c>
      <c r="BG72" s="358"/>
      <c r="BH72" s="385">
        <v>269.41198185659005</v>
      </c>
      <c r="BI72" s="385">
        <f>3</f>
        <v>3</v>
      </c>
      <c r="BJ72" s="358"/>
      <c r="BK72" s="385">
        <v>269.41198185659005</v>
      </c>
      <c r="BL72" s="385">
        <f>3</f>
        <v>3</v>
      </c>
      <c r="BM72" s="358"/>
      <c r="BN72" s="385">
        <v>269.41198185659005</v>
      </c>
      <c r="BO72" s="385">
        <f>3</f>
        <v>3</v>
      </c>
      <c r="BP72" s="358"/>
      <c r="BQ72" s="385">
        <v>269.41198185659005</v>
      </c>
      <c r="BR72" s="385">
        <f>3</f>
        <v>3</v>
      </c>
      <c r="BS72" s="358"/>
      <c r="BT72" s="385">
        <v>269.41198185659005</v>
      </c>
      <c r="BU72" s="385">
        <f>3</f>
        <v>3</v>
      </c>
      <c r="BV72" s="358"/>
      <c r="BW72" s="385">
        <v>269.41198185659005</v>
      </c>
      <c r="BX72" s="385">
        <f>3</f>
        <v>3</v>
      </c>
      <c r="BY72" s="358"/>
      <c r="BZ72" s="385">
        <v>269.41198185659005</v>
      </c>
      <c r="CA72" s="385">
        <f>3</f>
        <v>3</v>
      </c>
      <c r="CB72" s="358"/>
      <c r="CC72" s="385">
        <v>269.41198185659005</v>
      </c>
      <c r="CD72" s="385">
        <f>3</f>
        <v>3</v>
      </c>
      <c r="CE72" s="358"/>
      <c r="CF72" s="385">
        <v>269.41198185659005</v>
      </c>
      <c r="CG72" s="385">
        <f>3</f>
        <v>3</v>
      </c>
      <c r="CH72" s="358"/>
      <c r="CI72" s="385">
        <v>269.41198185659005</v>
      </c>
      <c r="CJ72" s="385">
        <f>3</f>
        <v>3</v>
      </c>
      <c r="CK72" s="358"/>
      <c r="CL72" s="385">
        <v>269.41198185659005</v>
      </c>
      <c r="CM72" s="385">
        <f>3</f>
        <v>3</v>
      </c>
      <c r="CN72" s="358"/>
      <c r="CO72" s="385">
        <v>269.41198185659005</v>
      </c>
      <c r="CP72" s="385">
        <f>3</f>
        <v>3</v>
      </c>
      <c r="CQ72" s="358"/>
      <c r="CR72" s="385">
        <v>269.41198185659005</v>
      </c>
      <c r="CS72" s="385">
        <f>3</f>
        <v>3</v>
      </c>
      <c r="CT72" s="358"/>
      <c r="CU72" s="385">
        <v>269.41198185659005</v>
      </c>
      <c r="CV72" s="385">
        <f>3</f>
        <v>3</v>
      </c>
      <c r="CW72" s="358"/>
      <c r="CX72" s="385">
        <v>269.41198185659005</v>
      </c>
      <c r="CY72" s="385">
        <f>3</f>
        <v>3</v>
      </c>
      <c r="CZ72" s="358"/>
      <c r="DA72" s="385">
        <v>269.41198185659005</v>
      </c>
      <c r="DB72" s="385">
        <f>3</f>
        <v>3</v>
      </c>
      <c r="DC72" s="358"/>
      <c r="DD72" s="385">
        <v>269.41198185659005</v>
      </c>
      <c r="DE72" s="385">
        <f>3</f>
        <v>3</v>
      </c>
      <c r="DF72" s="358"/>
      <c r="DG72" s="385">
        <v>269.41198185659005</v>
      </c>
      <c r="DH72" s="385">
        <f>3</f>
        <v>3</v>
      </c>
      <c r="DI72" s="358"/>
      <c r="DJ72" s="385">
        <v>269.41198185659005</v>
      </c>
      <c r="DK72" s="385">
        <f>3</f>
        <v>3</v>
      </c>
      <c r="DL72" s="358"/>
      <c r="DM72" s="385">
        <v>269.41198185659005</v>
      </c>
      <c r="DN72" s="385">
        <f>3</f>
        <v>3</v>
      </c>
      <c r="DO72" s="358"/>
      <c r="DP72" s="385">
        <v>269.41198185659005</v>
      </c>
      <c r="DQ72" s="385">
        <f>3</f>
        <v>3</v>
      </c>
      <c r="DR72" s="358"/>
      <c r="DS72" s="385">
        <v>269.41198185659005</v>
      </c>
      <c r="DT72" s="385">
        <f>3</f>
        <v>3</v>
      </c>
      <c r="DU72" s="358"/>
      <c r="DV72" s="385">
        <v>269.41198185659005</v>
      </c>
      <c r="DW72" s="385">
        <f>3</f>
        <v>3</v>
      </c>
      <c r="DX72" s="358"/>
      <c r="DY72" s="385">
        <v>269.41198185659005</v>
      </c>
      <c r="DZ72" s="385">
        <f>3</f>
        <v>3</v>
      </c>
      <c r="EA72" s="358"/>
      <c r="EB72" s="385">
        <v>269.41198185659005</v>
      </c>
      <c r="EC72" s="385">
        <f>3</f>
        <v>3</v>
      </c>
      <c r="ED72" s="358"/>
      <c r="EE72" s="385">
        <v>269.41198185659005</v>
      </c>
      <c r="EF72" s="385">
        <f>3</f>
        <v>3</v>
      </c>
      <c r="EG72" s="358"/>
      <c r="EH72" s="385">
        <v>269.41198185659005</v>
      </c>
      <c r="EI72" s="385">
        <f>3</f>
        <v>3</v>
      </c>
      <c r="EJ72" s="358"/>
      <c r="EK72" s="385">
        <v>269.41198185659005</v>
      </c>
      <c r="EL72" s="385">
        <f>3</f>
        <v>3</v>
      </c>
      <c r="EM72" s="358"/>
      <c r="EN72" s="385">
        <v>269.41198185659005</v>
      </c>
      <c r="EO72" s="385">
        <f>3</f>
        <v>3</v>
      </c>
      <c r="EP72" s="358"/>
      <c r="EQ72" s="385">
        <v>269.41198185659005</v>
      </c>
      <c r="ER72" s="385">
        <f>3</f>
        <v>3</v>
      </c>
      <c r="ES72" s="358"/>
      <c r="ET72" s="385">
        <v>269.41198185659005</v>
      </c>
      <c r="EU72" s="385">
        <f>3</f>
        <v>3</v>
      </c>
      <c r="EV72" s="358"/>
      <c r="EW72" s="385">
        <v>269.41198185659005</v>
      </c>
      <c r="EX72" s="385">
        <f>3</f>
        <v>3</v>
      </c>
      <c r="EY72" s="358"/>
      <c r="EZ72" s="385">
        <v>269.41198185659005</v>
      </c>
      <c r="FA72" s="385">
        <f>3</f>
        <v>3</v>
      </c>
      <c r="FB72" s="358"/>
      <c r="FC72" s="385">
        <v>269.41198185659005</v>
      </c>
      <c r="FD72" s="385">
        <f>3</f>
        <v>3</v>
      </c>
      <c r="FE72" s="358"/>
      <c r="FF72" s="385">
        <v>269.41198185659005</v>
      </c>
      <c r="FG72" s="385">
        <f>3</f>
        <v>3</v>
      </c>
      <c r="FH72" s="358"/>
      <c r="FI72" s="385">
        <v>269.41198185659005</v>
      </c>
      <c r="FJ72" s="385">
        <f>3</f>
        <v>3</v>
      </c>
      <c r="FK72" s="358"/>
      <c r="FL72" s="385">
        <v>269.41198185659005</v>
      </c>
      <c r="FM72" s="385">
        <f>3</f>
        <v>3</v>
      </c>
      <c r="FN72" s="358"/>
      <c r="FO72" s="385">
        <v>269.41198185659005</v>
      </c>
      <c r="FP72" s="385">
        <f>3</f>
        <v>3</v>
      </c>
      <c r="FQ72" s="358"/>
      <c r="FR72" s="385">
        <v>269.41198185659005</v>
      </c>
      <c r="FS72" s="385">
        <f>3</f>
        <v>3</v>
      </c>
      <c r="FT72" s="358"/>
      <c r="FU72" s="385">
        <v>269.41198185659005</v>
      </c>
      <c r="FV72" s="385">
        <f>3</f>
        <v>3</v>
      </c>
      <c r="FW72" s="358"/>
      <c r="FX72" s="385">
        <v>269.41198185659005</v>
      </c>
      <c r="FY72" s="385">
        <f>3</f>
        <v>3</v>
      </c>
      <c r="FZ72" s="358"/>
      <c r="GA72" s="385">
        <v>269.41198185659005</v>
      </c>
      <c r="GB72" s="385">
        <f>3</f>
        <v>3</v>
      </c>
      <c r="GC72" s="358"/>
      <c r="GD72" s="385">
        <v>269.41198185659005</v>
      </c>
      <c r="GE72" s="385">
        <f>3</f>
        <v>3</v>
      </c>
      <c r="GF72" s="358"/>
      <c r="GG72" s="385">
        <v>269.41198185659005</v>
      </c>
      <c r="GH72" s="385">
        <f>3</f>
        <v>3</v>
      </c>
      <c r="GI72" s="358"/>
      <c r="GJ72" s="385">
        <v>269.41198185659005</v>
      </c>
      <c r="GK72" s="385">
        <f>3</f>
        <v>3</v>
      </c>
      <c r="GL72" s="358"/>
      <c r="GM72" s="385">
        <v>269.41198185659005</v>
      </c>
      <c r="GN72" s="385">
        <f>3</f>
        <v>3</v>
      </c>
      <c r="GO72" s="358"/>
      <c r="GP72" s="385">
        <v>269.41198185659005</v>
      </c>
      <c r="GQ72" s="385">
        <f>3</f>
        <v>3</v>
      </c>
      <c r="GR72" s="358"/>
      <c r="GS72" s="385">
        <v>269.41198185659005</v>
      </c>
      <c r="GT72" s="385">
        <f>3</f>
        <v>3</v>
      </c>
      <c r="GU72" s="358"/>
      <c r="GV72" s="385">
        <v>269.41198185659005</v>
      </c>
      <c r="GW72" s="385">
        <f>3</f>
        <v>3</v>
      </c>
      <c r="GX72" s="358"/>
      <c r="GY72" s="385">
        <v>269.41198185659005</v>
      </c>
      <c r="GZ72" s="385">
        <f>3</f>
        <v>3</v>
      </c>
      <c r="HA72" s="358"/>
      <c r="HB72" s="385">
        <v>269.41198185659005</v>
      </c>
      <c r="HC72" s="385">
        <f>3</f>
        <v>3</v>
      </c>
      <c r="HD72" s="358"/>
      <c r="HE72" s="387">
        <v>269.41198185659005</v>
      </c>
      <c r="HF72" s="386">
        <f>3*6</f>
        <v>18</v>
      </c>
      <c r="HG72" s="358"/>
      <c r="HH72" s="387">
        <v>269.41198185659005</v>
      </c>
      <c r="HI72" s="358"/>
      <c r="HJ72" s="387">
        <v>269.41198185659005</v>
      </c>
      <c r="HK72" s="358"/>
      <c r="HL72" s="387">
        <v>269.41198185659005</v>
      </c>
      <c r="HM72" s="358"/>
      <c r="HN72" s="387">
        <v>269.41198185659005</v>
      </c>
      <c r="HO72" s="358"/>
      <c r="HP72" s="387">
        <v>269.41198185659005</v>
      </c>
      <c r="HQ72" s="358"/>
      <c r="HR72" s="387">
        <v>269.41198185659005</v>
      </c>
      <c r="HS72" s="358"/>
      <c r="HT72" s="387">
        <v>269.41198185659005</v>
      </c>
      <c r="HU72" s="358"/>
      <c r="HV72" s="388">
        <v>269.41198185659005</v>
      </c>
      <c r="HW72" s="425" t="s">
        <v>3310</v>
      </c>
      <c r="HX72" s="424">
        <v>269.41198185659005</v>
      </c>
      <c r="HY72" s="425" t="s">
        <v>3310</v>
      </c>
      <c r="HZ72" s="424">
        <v>269.41198185659005</v>
      </c>
      <c r="IA72" s="425" t="s">
        <v>3310</v>
      </c>
      <c r="IB72" s="424">
        <v>269.41198185659005</v>
      </c>
      <c r="IC72" s="425" t="s">
        <v>3310</v>
      </c>
      <c r="ID72" s="357">
        <f>VLOOKUP($C72,'[15]Prix accès'!A:D,4,FALSE)</f>
        <v>269.41198185659005</v>
      </c>
      <c r="IE72" s="426" t="s">
        <v>3310</v>
      </c>
      <c r="IF72" s="357">
        <f>VLOOKUP($C72,'[15]Prix accès'!$A:$D,4,FALSE)</f>
        <v>269.41198185659005</v>
      </c>
      <c r="IG72" s="426" t="s">
        <v>3310</v>
      </c>
      <c r="IH72" s="357">
        <f>VLOOKUP($C72,'[15]Prix accès'!$A:$D,4,FALSE)</f>
        <v>269.41198185659005</v>
      </c>
      <c r="II72" s="426" t="s">
        <v>3310</v>
      </c>
      <c r="IJ72" s="357">
        <f>VLOOKUP($C72,'[15]Prix accès'!$A:$D,4,FALSE)</f>
        <v>269.41198185659005</v>
      </c>
      <c r="IK72" s="426" t="s">
        <v>3310</v>
      </c>
      <c r="IL72" s="457">
        <v>70.665437864023616</v>
      </c>
      <c r="IM72" s="426"/>
      <c r="IN72" s="496"/>
      <c r="IO72" s="427"/>
      <c r="IP72" s="496"/>
      <c r="IQ72" s="427"/>
      <c r="IR72" s="429" t="s">
        <v>2857</v>
      </c>
      <c r="IS72" s="364" t="s">
        <v>77</v>
      </c>
      <c r="IT72" s="365">
        <v>43517</v>
      </c>
      <c r="IU72" s="371">
        <v>43525</v>
      </c>
      <c r="IW72" s="372">
        <f t="shared" si="11"/>
        <v>8</v>
      </c>
      <c r="IX72" s="373">
        <f t="shared" si="14"/>
        <v>8.833179733002952</v>
      </c>
      <c r="IY72" s="394">
        <f t="shared" si="13"/>
        <v>70.665437864023616</v>
      </c>
      <c r="IZ72" s="394"/>
      <c r="JA72" s="394"/>
    </row>
    <row r="73" spans="1:263" s="367" customFormat="1" ht="16.5" customHeight="1" x14ac:dyDescent="0.3">
      <c r="A73" s="354" t="s">
        <v>2735</v>
      </c>
      <c r="B73" s="505" t="s">
        <v>3207</v>
      </c>
      <c r="C73" s="506" t="s">
        <v>213</v>
      </c>
      <c r="D73" s="507">
        <f>((650-467)/30.5)*11+650</f>
        <v>716</v>
      </c>
      <c r="E73" s="508">
        <v>42</v>
      </c>
      <c r="F73" s="508">
        <v>2</v>
      </c>
      <c r="G73" s="509">
        <f>((108-5)/30.5)*11+108</f>
        <v>145.14754098360658</v>
      </c>
      <c r="H73" s="510">
        <v>0</v>
      </c>
      <c r="I73" s="844">
        <v>511</v>
      </c>
      <c r="J73" s="606">
        <v>5</v>
      </c>
      <c r="K73" s="606">
        <v>0</v>
      </c>
      <c r="L73" s="606">
        <v>511</v>
      </c>
      <c r="M73" s="606">
        <v>5</v>
      </c>
      <c r="N73" s="606">
        <v>0</v>
      </c>
      <c r="O73" s="845">
        <f>((511/30.5)*3)+511</f>
        <v>561.26229508196718</v>
      </c>
      <c r="P73" s="845">
        <f>((5/30.5)*3)+5</f>
        <v>5.4918032786885247</v>
      </c>
      <c r="Q73" s="845"/>
      <c r="R73" s="835">
        <v>320</v>
      </c>
      <c r="S73" s="831">
        <f>1</f>
        <v>1</v>
      </c>
      <c r="T73" s="827"/>
      <c r="U73" s="835">
        <v>320</v>
      </c>
      <c r="V73" s="831">
        <f>1</f>
        <v>1</v>
      </c>
      <c r="W73" s="827"/>
      <c r="X73" s="835">
        <v>320</v>
      </c>
      <c r="Y73" s="831">
        <f>1</f>
        <v>1</v>
      </c>
      <c r="Z73" s="827"/>
      <c r="AA73" s="835">
        <v>320</v>
      </c>
      <c r="AB73" s="831">
        <f>1</f>
        <v>1</v>
      </c>
      <c r="AC73" s="827"/>
      <c r="AD73" s="835">
        <v>320</v>
      </c>
      <c r="AE73" s="831">
        <f>1</f>
        <v>1</v>
      </c>
      <c r="AF73" s="827"/>
      <c r="AG73" s="835">
        <v>320</v>
      </c>
      <c r="AH73" s="831">
        <f>1</f>
        <v>1</v>
      </c>
      <c r="AI73" s="827"/>
      <c r="AJ73" s="835">
        <v>320</v>
      </c>
      <c r="AK73" s="831">
        <f>1</f>
        <v>1</v>
      </c>
      <c r="AL73" s="827"/>
      <c r="AM73" s="835">
        <v>320</v>
      </c>
      <c r="AN73" s="831">
        <f>1</f>
        <v>1</v>
      </c>
      <c r="AO73" s="827"/>
      <c r="AP73" s="835">
        <v>320</v>
      </c>
      <c r="AQ73" s="831">
        <f>1</f>
        <v>1</v>
      </c>
      <c r="AR73" s="827"/>
      <c r="AS73" s="881">
        <f>((320-272)/30.5)*31+320</f>
        <v>368.78688524590166</v>
      </c>
      <c r="AT73" s="831">
        <f>1</f>
        <v>1</v>
      </c>
      <c r="AU73" s="827"/>
      <c r="AV73" s="831">
        <v>272.41198185659005</v>
      </c>
      <c r="AW73" s="831">
        <f>1</f>
        <v>1</v>
      </c>
      <c r="AX73" s="827"/>
      <c r="AY73" s="831">
        <v>272.41198185659005</v>
      </c>
      <c r="AZ73" s="831">
        <f>1</f>
        <v>1</v>
      </c>
      <c r="BA73" s="358"/>
      <c r="BB73" s="385">
        <v>272.41198185659005</v>
      </c>
      <c r="BC73" s="385">
        <f>1</f>
        <v>1</v>
      </c>
      <c r="BD73" s="358"/>
      <c r="BE73" s="385">
        <v>272.41198185659005</v>
      </c>
      <c r="BF73" s="385">
        <f>1</f>
        <v>1</v>
      </c>
      <c r="BG73" s="358"/>
      <c r="BH73" s="385">
        <v>272.41198185659005</v>
      </c>
      <c r="BI73" s="385">
        <f>1</f>
        <v>1</v>
      </c>
      <c r="BJ73" s="358"/>
      <c r="BK73" s="385">
        <v>272.41198185659005</v>
      </c>
      <c r="BL73" s="385">
        <f>1</f>
        <v>1</v>
      </c>
      <c r="BM73" s="358"/>
      <c r="BN73" s="385">
        <v>272.41198185659005</v>
      </c>
      <c r="BO73" s="385">
        <f>1</f>
        <v>1</v>
      </c>
      <c r="BP73" s="358"/>
      <c r="BQ73" s="385">
        <v>272.41198185659005</v>
      </c>
      <c r="BR73" s="385">
        <f>1</f>
        <v>1</v>
      </c>
      <c r="BS73" s="358"/>
      <c r="BT73" s="385">
        <v>272.41198185659005</v>
      </c>
      <c r="BU73" s="385">
        <f>1</f>
        <v>1</v>
      </c>
      <c r="BV73" s="358"/>
      <c r="BW73" s="385">
        <v>272.41198185659005</v>
      </c>
      <c r="BX73" s="385">
        <f>1</f>
        <v>1</v>
      </c>
      <c r="BY73" s="358"/>
      <c r="BZ73" s="385">
        <v>272.41198185659005</v>
      </c>
      <c r="CA73" s="385">
        <f>1</f>
        <v>1</v>
      </c>
      <c r="CB73" s="358"/>
      <c r="CC73" s="385">
        <v>272.41198185659005</v>
      </c>
      <c r="CD73" s="385">
        <f>1</f>
        <v>1</v>
      </c>
      <c r="CE73" s="358"/>
      <c r="CF73" s="385">
        <v>272.41198185659005</v>
      </c>
      <c r="CG73" s="385">
        <f>1</f>
        <v>1</v>
      </c>
      <c r="CH73" s="358"/>
      <c r="CI73" s="385">
        <v>272.41198185659005</v>
      </c>
      <c r="CJ73" s="385">
        <f>1</f>
        <v>1</v>
      </c>
      <c r="CK73" s="358"/>
      <c r="CL73" s="385">
        <v>272.41198185659005</v>
      </c>
      <c r="CM73" s="385">
        <f>1</f>
        <v>1</v>
      </c>
      <c r="CN73" s="358"/>
      <c r="CO73" s="385">
        <v>272.41198185659005</v>
      </c>
      <c r="CP73" s="385">
        <f>1</f>
        <v>1</v>
      </c>
      <c r="CQ73" s="358"/>
      <c r="CR73" s="385">
        <v>272.41198185659005</v>
      </c>
      <c r="CS73" s="385">
        <f>1</f>
        <v>1</v>
      </c>
      <c r="CT73" s="358"/>
      <c r="CU73" s="385">
        <v>272.41198185659005</v>
      </c>
      <c r="CV73" s="385">
        <f>1</f>
        <v>1</v>
      </c>
      <c r="CW73" s="358"/>
      <c r="CX73" s="385">
        <v>272.41198185659005</v>
      </c>
      <c r="CY73" s="385">
        <f>1</f>
        <v>1</v>
      </c>
      <c r="CZ73" s="358"/>
      <c r="DA73" s="385">
        <v>272.41198185659005</v>
      </c>
      <c r="DB73" s="385">
        <f>1</f>
        <v>1</v>
      </c>
      <c r="DC73" s="358"/>
      <c r="DD73" s="385">
        <v>272.41198185659005</v>
      </c>
      <c r="DE73" s="385">
        <f>1</f>
        <v>1</v>
      </c>
      <c r="DF73" s="358"/>
      <c r="DG73" s="385">
        <v>272.41198185659005</v>
      </c>
      <c r="DH73" s="385">
        <f>1</f>
        <v>1</v>
      </c>
      <c r="DI73" s="358"/>
      <c r="DJ73" s="385">
        <v>272.41198185659005</v>
      </c>
      <c r="DK73" s="385">
        <f>1</f>
        <v>1</v>
      </c>
      <c r="DL73" s="358"/>
      <c r="DM73" s="385">
        <v>272.41198185659005</v>
      </c>
      <c r="DN73" s="385">
        <f>1</f>
        <v>1</v>
      </c>
      <c r="DO73" s="358"/>
      <c r="DP73" s="385">
        <v>272.41198185659005</v>
      </c>
      <c r="DQ73" s="385">
        <f>1</f>
        <v>1</v>
      </c>
      <c r="DR73" s="358"/>
      <c r="DS73" s="385">
        <v>272.41198185659005</v>
      </c>
      <c r="DT73" s="385">
        <f>1</f>
        <v>1</v>
      </c>
      <c r="DU73" s="358"/>
      <c r="DV73" s="385">
        <v>272.41198185659005</v>
      </c>
      <c r="DW73" s="385">
        <f>1</f>
        <v>1</v>
      </c>
      <c r="DX73" s="358"/>
      <c r="DY73" s="385">
        <v>272.41198185659005</v>
      </c>
      <c r="DZ73" s="385">
        <f>1</f>
        <v>1</v>
      </c>
      <c r="EA73" s="358"/>
      <c r="EB73" s="385">
        <v>272.41198185659005</v>
      </c>
      <c r="EC73" s="385">
        <f>1</f>
        <v>1</v>
      </c>
      <c r="ED73" s="358"/>
      <c r="EE73" s="385">
        <v>272.41198185659005</v>
      </c>
      <c r="EF73" s="385">
        <f>1</f>
        <v>1</v>
      </c>
      <c r="EG73" s="358"/>
      <c r="EH73" s="385">
        <v>272.41198185659005</v>
      </c>
      <c r="EI73" s="385">
        <f>1</f>
        <v>1</v>
      </c>
      <c r="EJ73" s="358"/>
      <c r="EK73" s="385">
        <v>272.41198185659005</v>
      </c>
      <c r="EL73" s="385">
        <f>1</f>
        <v>1</v>
      </c>
      <c r="EM73" s="358"/>
      <c r="EN73" s="385">
        <v>272.41198185659005</v>
      </c>
      <c r="EO73" s="385">
        <f>1</f>
        <v>1</v>
      </c>
      <c r="EP73" s="358"/>
      <c r="EQ73" s="385">
        <v>272.41198185659005</v>
      </c>
      <c r="ER73" s="385">
        <f>1</f>
        <v>1</v>
      </c>
      <c r="ES73" s="358"/>
      <c r="ET73" s="385">
        <v>272.41198185659005</v>
      </c>
      <c r="EU73" s="385">
        <f>1</f>
        <v>1</v>
      </c>
      <c r="EV73" s="358"/>
      <c r="EW73" s="385">
        <v>272.41198185659005</v>
      </c>
      <c r="EX73" s="385">
        <f>1</f>
        <v>1</v>
      </c>
      <c r="EY73" s="358"/>
      <c r="EZ73" s="385">
        <v>272.41198185659005</v>
      </c>
      <c r="FA73" s="385">
        <f>1</f>
        <v>1</v>
      </c>
      <c r="FB73" s="358"/>
      <c r="FC73" s="385">
        <v>272.41198185659005</v>
      </c>
      <c r="FD73" s="385">
        <f>1</f>
        <v>1</v>
      </c>
      <c r="FE73" s="358"/>
      <c r="FF73" s="385">
        <v>272.41198185659005</v>
      </c>
      <c r="FG73" s="385">
        <f>1</f>
        <v>1</v>
      </c>
      <c r="FH73" s="358"/>
      <c r="FI73" s="385">
        <v>272.41198185659005</v>
      </c>
      <c r="FJ73" s="385">
        <f>1</f>
        <v>1</v>
      </c>
      <c r="FK73" s="358"/>
      <c r="FL73" s="385">
        <v>272.41198185659005</v>
      </c>
      <c r="FM73" s="385">
        <f>1</f>
        <v>1</v>
      </c>
      <c r="FN73" s="358"/>
      <c r="FO73" s="385">
        <v>272.41198185659005</v>
      </c>
      <c r="FP73" s="385">
        <f>1</f>
        <v>1</v>
      </c>
      <c r="FQ73" s="358"/>
      <c r="FR73" s="385">
        <v>272.41198185659005</v>
      </c>
      <c r="FS73" s="385">
        <f>1</f>
        <v>1</v>
      </c>
      <c r="FT73" s="358"/>
      <c r="FU73" s="385">
        <v>272.41198185659005</v>
      </c>
      <c r="FV73" s="385">
        <f>1</f>
        <v>1</v>
      </c>
      <c r="FW73" s="358"/>
      <c r="FX73" s="385">
        <v>272.41198185659005</v>
      </c>
      <c r="FY73" s="385">
        <f>1</f>
        <v>1</v>
      </c>
      <c r="FZ73" s="358"/>
      <c r="GA73" s="385">
        <v>272.41198185659005</v>
      </c>
      <c r="GB73" s="385">
        <f>1</f>
        <v>1</v>
      </c>
      <c r="GC73" s="358"/>
      <c r="GD73" s="385">
        <v>272.41198185659005</v>
      </c>
      <c r="GE73" s="385">
        <f>1</f>
        <v>1</v>
      </c>
      <c r="GF73" s="358"/>
      <c r="GG73" s="385">
        <v>272.41198185659005</v>
      </c>
      <c r="GH73" s="385">
        <f>1</f>
        <v>1</v>
      </c>
      <c r="GI73" s="358"/>
      <c r="GJ73" s="385">
        <v>272.41198185659005</v>
      </c>
      <c r="GK73" s="385">
        <f>1</f>
        <v>1</v>
      </c>
      <c r="GL73" s="358"/>
      <c r="GM73" s="385">
        <v>272.41198185659005</v>
      </c>
      <c r="GN73" s="385">
        <f>1</f>
        <v>1</v>
      </c>
      <c r="GO73" s="358"/>
      <c r="GP73" s="385">
        <v>272.41198185659005</v>
      </c>
      <c r="GQ73" s="385">
        <f>1</f>
        <v>1</v>
      </c>
      <c r="GR73" s="358"/>
      <c r="GS73" s="385">
        <v>272.41198185659005</v>
      </c>
      <c r="GT73" s="385">
        <f>1</f>
        <v>1</v>
      </c>
      <c r="GU73" s="358"/>
      <c r="GV73" s="385">
        <v>272.41198185659005</v>
      </c>
      <c r="GW73" s="385">
        <f>1</f>
        <v>1</v>
      </c>
      <c r="GX73" s="358"/>
      <c r="GY73" s="385">
        <v>272.41198185659005</v>
      </c>
      <c r="GZ73" s="385">
        <f>1</f>
        <v>1</v>
      </c>
      <c r="HA73" s="358"/>
      <c r="HB73" s="385">
        <v>272.41198185659005</v>
      </c>
      <c r="HC73" s="385">
        <f>1</f>
        <v>1</v>
      </c>
      <c r="HD73" s="358"/>
      <c r="HE73" s="387">
        <v>272.41198185659005</v>
      </c>
      <c r="HF73" s="386">
        <f>1*6</f>
        <v>6</v>
      </c>
      <c r="HG73" s="358"/>
      <c r="HH73" s="387">
        <v>272.41198185659005</v>
      </c>
      <c r="HI73" s="358"/>
      <c r="HJ73" s="387">
        <v>272.41198185659005</v>
      </c>
      <c r="HK73" s="358"/>
      <c r="HL73" s="387">
        <v>272.41198185659005</v>
      </c>
      <c r="HM73" s="358"/>
      <c r="HN73" s="387">
        <v>272.41198185659005</v>
      </c>
      <c r="HO73" s="358"/>
      <c r="HP73" s="387">
        <v>272.41198185659005</v>
      </c>
      <c r="HQ73" s="358"/>
      <c r="HR73" s="387">
        <v>272.41198185659005</v>
      </c>
      <c r="HS73" s="358"/>
      <c r="HT73" s="387">
        <v>272.41198185659005</v>
      </c>
      <c r="HU73" s="358"/>
      <c r="HV73" s="388">
        <v>272.41198185659005</v>
      </c>
      <c r="HW73" s="425"/>
      <c r="HX73" s="424">
        <v>272.41198185659005</v>
      </c>
      <c r="HY73" s="425"/>
      <c r="HZ73" s="424">
        <v>272.41198185659005</v>
      </c>
      <c r="IA73" s="425"/>
      <c r="IB73" s="424">
        <v>272.41198185659005</v>
      </c>
      <c r="IC73" s="425"/>
      <c r="ID73" s="357">
        <f>VLOOKUP($C73,'[15]Prix accès'!A:D,4,FALSE)</f>
        <v>272.41198185659005</v>
      </c>
      <c r="IE73" s="426"/>
      <c r="IF73" s="357">
        <f>VLOOKUP($C73,'[15]Prix accès'!$A:$D,4,FALSE)</f>
        <v>272.41198185659005</v>
      </c>
      <c r="IG73" s="426"/>
      <c r="IH73" s="357">
        <f>VLOOKUP($C73,'[15]Prix accès'!$A:$D,4,FALSE)</f>
        <v>272.41198185659005</v>
      </c>
      <c r="II73" s="426"/>
      <c r="IJ73" s="357">
        <f>VLOOKUP($C73,'[15]Prix accès'!$A:$D,4,FALSE)</f>
        <v>272.41198185659005</v>
      </c>
      <c r="IK73" s="426"/>
      <c r="IL73" s="457">
        <v>361.55107661342004</v>
      </c>
      <c r="IM73" s="426"/>
      <c r="IN73" s="496"/>
      <c r="IO73" s="427"/>
      <c r="IP73" s="496"/>
      <c r="IQ73" s="427"/>
      <c r="IR73" s="429" t="s">
        <v>3079</v>
      </c>
      <c r="IS73" s="364" t="s">
        <v>77</v>
      </c>
      <c r="IT73" s="365">
        <v>43517</v>
      </c>
      <c r="IU73" s="371">
        <v>43525</v>
      </c>
      <c r="IW73" s="372">
        <f t="shared" si="11"/>
        <v>8</v>
      </c>
      <c r="IX73" s="373">
        <f t="shared" si="14"/>
        <v>8.9315403887406575</v>
      </c>
      <c r="IY73" s="394">
        <f t="shared" si="13"/>
        <v>71.45232310992526</v>
      </c>
      <c r="IZ73" s="394"/>
      <c r="JA73" s="394"/>
    </row>
    <row r="74" spans="1:263" s="367" customFormat="1" ht="16.5" customHeight="1" x14ac:dyDescent="0.3">
      <c r="A74" s="401" t="s">
        <v>3315</v>
      </c>
      <c r="B74" s="402" t="s">
        <v>3315</v>
      </c>
      <c r="C74" s="434" t="s">
        <v>2737</v>
      </c>
      <c r="D74" s="856"/>
      <c r="E74" s="751"/>
      <c r="F74" s="751"/>
      <c r="G74" s="751"/>
      <c r="H74" s="857"/>
      <c r="I74" s="853">
        <v>0</v>
      </c>
      <c r="J74" s="833">
        <v>0</v>
      </c>
      <c r="K74" s="833">
        <v>0</v>
      </c>
      <c r="L74" s="833">
        <v>0</v>
      </c>
      <c r="M74" s="833">
        <v>0</v>
      </c>
      <c r="N74" s="833">
        <v>0</v>
      </c>
      <c r="O74" s="833">
        <v>0</v>
      </c>
      <c r="P74" s="833">
        <v>0</v>
      </c>
      <c r="Q74" s="833">
        <v>0</v>
      </c>
      <c r="R74" s="833">
        <v>0</v>
      </c>
      <c r="S74" s="833">
        <v>0</v>
      </c>
      <c r="T74" s="833">
        <v>0</v>
      </c>
      <c r="U74" s="833">
        <v>0</v>
      </c>
      <c r="V74" s="833">
        <v>0</v>
      </c>
      <c r="W74" s="833">
        <v>0</v>
      </c>
      <c r="X74" s="833">
        <v>0</v>
      </c>
      <c r="Y74" s="833">
        <v>0</v>
      </c>
      <c r="Z74" s="833">
        <v>0</v>
      </c>
      <c r="AA74" s="833">
        <v>0</v>
      </c>
      <c r="AB74" s="833">
        <v>0</v>
      </c>
      <c r="AC74" s="833">
        <v>0</v>
      </c>
      <c r="AD74" s="833">
        <v>0</v>
      </c>
      <c r="AE74" s="833">
        <v>0</v>
      </c>
      <c r="AF74" s="833">
        <v>0</v>
      </c>
      <c r="AG74" s="833">
        <v>0</v>
      </c>
      <c r="AH74" s="833">
        <v>0</v>
      </c>
      <c r="AI74" s="833">
        <v>0</v>
      </c>
      <c r="AJ74" s="833">
        <v>0</v>
      </c>
      <c r="AK74" s="833">
        <v>0</v>
      </c>
      <c r="AL74" s="833">
        <v>0</v>
      </c>
      <c r="AM74" s="833">
        <v>0</v>
      </c>
      <c r="AN74" s="833">
        <v>0</v>
      </c>
      <c r="AO74" s="833">
        <v>0</v>
      </c>
      <c r="AP74" s="833">
        <v>0</v>
      </c>
      <c r="AQ74" s="833">
        <v>0</v>
      </c>
      <c r="AR74" s="833">
        <v>0</v>
      </c>
      <c r="AS74" s="833">
        <v>0</v>
      </c>
      <c r="AT74" s="833">
        <v>0</v>
      </c>
      <c r="AU74" s="833">
        <v>0</v>
      </c>
      <c r="AV74" s="635">
        <f>-(1367*2)</f>
        <v>-2734</v>
      </c>
      <c r="AW74" s="635">
        <f>-(14*2)</f>
        <v>-28</v>
      </c>
      <c r="AX74" s="839"/>
      <c r="AY74" s="635">
        <f>-(1367*2)</f>
        <v>-2734</v>
      </c>
      <c r="AZ74" s="635">
        <f>-(14*2)</f>
        <v>-28</v>
      </c>
      <c r="BA74" s="512"/>
      <c r="BB74" s="511">
        <f>-(1367*2)</f>
        <v>-2734</v>
      </c>
      <c r="BC74" s="511">
        <f>-(14*2)</f>
        <v>-28</v>
      </c>
      <c r="BD74" s="512"/>
      <c r="BE74" s="511">
        <v>1367</v>
      </c>
      <c r="BF74" s="511">
        <v>14</v>
      </c>
      <c r="BG74" s="513"/>
      <c r="BH74" s="511">
        <v>1367</v>
      </c>
      <c r="BI74" s="511">
        <v>14</v>
      </c>
      <c r="BJ74" s="513"/>
      <c r="BK74" s="511">
        <v>1367</v>
      </c>
      <c r="BL74" s="511">
        <v>14</v>
      </c>
      <c r="BM74" s="513"/>
      <c r="BN74" s="511">
        <v>1367</v>
      </c>
      <c r="BO74" s="511">
        <v>14</v>
      </c>
      <c r="BP74" s="513"/>
      <c r="BQ74" s="511">
        <v>1367</v>
      </c>
      <c r="BR74" s="511">
        <v>14</v>
      </c>
      <c r="BS74" s="513"/>
      <c r="BT74" s="514">
        <v>1367</v>
      </c>
      <c r="BU74" s="511">
        <v>14</v>
      </c>
      <c r="BV74" s="455"/>
      <c r="BW74" s="511">
        <v>1367</v>
      </c>
      <c r="BX74" s="511">
        <v>14</v>
      </c>
      <c r="BY74" s="455"/>
      <c r="BZ74" s="511">
        <v>1367</v>
      </c>
      <c r="CA74" s="511">
        <v>14</v>
      </c>
      <c r="CB74" s="455"/>
      <c r="CC74" s="511">
        <v>1367</v>
      </c>
      <c r="CD74" s="511">
        <v>14</v>
      </c>
      <c r="CE74" s="455"/>
      <c r="CF74" s="511">
        <v>1367</v>
      </c>
      <c r="CG74" s="511">
        <v>14</v>
      </c>
      <c r="CH74" s="455"/>
      <c r="CI74" s="511">
        <v>1367</v>
      </c>
      <c r="CJ74" s="511">
        <v>14</v>
      </c>
      <c r="CK74" s="455"/>
      <c r="CL74" s="511">
        <v>1367</v>
      </c>
      <c r="CM74" s="511">
        <v>14</v>
      </c>
      <c r="CN74" s="455"/>
      <c r="CO74" s="511">
        <v>1367</v>
      </c>
      <c r="CP74" s="511">
        <v>14</v>
      </c>
      <c r="CQ74" s="455"/>
      <c r="CR74" s="511">
        <v>1367</v>
      </c>
      <c r="CS74" s="511">
        <v>14</v>
      </c>
      <c r="CT74" s="455"/>
      <c r="CU74" s="511">
        <v>1367</v>
      </c>
      <c r="CV74" s="511">
        <v>14</v>
      </c>
      <c r="CW74" s="455"/>
      <c r="CX74" s="511">
        <f>((1367-1914)/30.5)*23+1367</f>
        <v>954.50819672131138</v>
      </c>
      <c r="CY74" s="511">
        <v>14</v>
      </c>
      <c r="CZ74" s="455"/>
      <c r="DA74" s="511">
        <v>1914</v>
      </c>
      <c r="DB74" s="511">
        <v>14</v>
      </c>
      <c r="DC74" s="455"/>
      <c r="DD74" s="511">
        <v>1914</v>
      </c>
      <c r="DE74" s="511">
        <v>14</v>
      </c>
      <c r="DF74" s="455"/>
      <c r="DG74" s="511">
        <v>1914</v>
      </c>
      <c r="DH74" s="511">
        <v>14</v>
      </c>
      <c r="DI74" s="455"/>
      <c r="DJ74" s="511">
        <v>1914</v>
      </c>
      <c r="DK74" s="511">
        <v>14</v>
      </c>
      <c r="DL74" s="455"/>
      <c r="DM74" s="511">
        <v>1914</v>
      </c>
      <c r="DN74" s="511">
        <v>14</v>
      </c>
      <c r="DO74" s="455"/>
      <c r="DP74" s="511">
        <f>((1914-2197)/30.5)*9+1914</f>
        <v>1830.4918032786886</v>
      </c>
      <c r="DQ74" s="511">
        <f>((14-36)/30.5)*9+14</f>
        <v>7.5081967213114753</v>
      </c>
      <c r="DR74" s="455"/>
      <c r="DS74" s="404">
        <v>2197.3364263010344</v>
      </c>
      <c r="DT74" s="404">
        <f>36</f>
        <v>36</v>
      </c>
      <c r="DU74" s="455"/>
      <c r="DV74" s="404">
        <v>2197.3364263010344</v>
      </c>
      <c r="DW74" s="404">
        <f>36</f>
        <v>36</v>
      </c>
      <c r="DX74" s="455"/>
      <c r="DY74" s="404">
        <v>2197.3364263010344</v>
      </c>
      <c r="DZ74" s="404">
        <f>36</f>
        <v>36</v>
      </c>
      <c r="EA74" s="455"/>
      <c r="EB74" s="404">
        <v>2197.3364263010344</v>
      </c>
      <c r="EC74" s="404">
        <f>36</f>
        <v>36</v>
      </c>
      <c r="ED74" s="455"/>
      <c r="EE74" s="404">
        <v>2197.3364263010344</v>
      </c>
      <c r="EF74" s="404">
        <f>36</f>
        <v>36</v>
      </c>
      <c r="EG74" s="455"/>
      <c r="EH74" s="404">
        <v>2197.3364263010344</v>
      </c>
      <c r="EI74" s="404">
        <f>36</f>
        <v>36</v>
      </c>
      <c r="EJ74" s="455"/>
      <c r="EK74" s="404">
        <v>2197.3364263010344</v>
      </c>
      <c r="EL74" s="404">
        <f>36</f>
        <v>36</v>
      </c>
      <c r="EM74" s="455"/>
      <c r="EN74" s="404">
        <v>2197.3364263010344</v>
      </c>
      <c r="EO74" s="404">
        <f>36</f>
        <v>36</v>
      </c>
      <c r="EP74" s="455"/>
      <c r="EQ74" s="404">
        <v>2197.3364263010344</v>
      </c>
      <c r="ER74" s="404">
        <f>36</f>
        <v>36</v>
      </c>
      <c r="ES74" s="455"/>
      <c r="ET74" s="404">
        <v>2197.3364263010344</v>
      </c>
      <c r="EU74" s="404">
        <f>36</f>
        <v>36</v>
      </c>
      <c r="EV74" s="455"/>
      <c r="EW74" s="404">
        <v>2197.3364263010344</v>
      </c>
      <c r="EX74" s="404">
        <f>36</f>
        <v>36</v>
      </c>
      <c r="EY74" s="455"/>
      <c r="EZ74" s="404">
        <v>2197.3364263010344</v>
      </c>
      <c r="FA74" s="404">
        <f>36</f>
        <v>36</v>
      </c>
      <c r="FB74" s="455"/>
      <c r="FC74" s="404">
        <v>2197.3364263010344</v>
      </c>
      <c r="FD74" s="404">
        <f>36</f>
        <v>36</v>
      </c>
      <c r="FE74" s="455"/>
      <c r="FF74" s="404">
        <v>2197.3364263010344</v>
      </c>
      <c r="FG74" s="404">
        <f>36</f>
        <v>36</v>
      </c>
      <c r="FH74" s="455"/>
      <c r="FI74" s="404">
        <v>2197.3364263010344</v>
      </c>
      <c r="FJ74" s="404">
        <f>36</f>
        <v>36</v>
      </c>
      <c r="FK74" s="455"/>
      <c r="FL74" s="404">
        <v>2197.3364263010344</v>
      </c>
      <c r="FM74" s="404">
        <f>36</f>
        <v>36</v>
      </c>
      <c r="FN74" s="455"/>
      <c r="FO74" s="404">
        <v>2197.3364263010344</v>
      </c>
      <c r="FP74" s="404">
        <f>36</f>
        <v>36</v>
      </c>
      <c r="FQ74" s="455"/>
      <c r="FR74" s="404">
        <v>2197.3364263010344</v>
      </c>
      <c r="FS74" s="404">
        <f>36</f>
        <v>36</v>
      </c>
      <c r="FT74" s="455"/>
      <c r="FU74" s="385">
        <v>2197.3364263010344</v>
      </c>
      <c r="FV74" s="385">
        <f>36</f>
        <v>36</v>
      </c>
      <c r="FW74" s="358"/>
      <c r="FX74" s="385">
        <v>2197.3364263010344</v>
      </c>
      <c r="FY74" s="385">
        <f>36</f>
        <v>36</v>
      </c>
      <c r="FZ74" s="358"/>
      <c r="GA74" s="385">
        <v>2197.3364263010344</v>
      </c>
      <c r="GB74" s="385">
        <f>36</f>
        <v>36</v>
      </c>
      <c r="GC74" s="358"/>
      <c r="GD74" s="385">
        <v>2197.3364263010344</v>
      </c>
      <c r="GE74" s="385">
        <f>36</f>
        <v>36</v>
      </c>
      <c r="GF74" s="358"/>
      <c r="GG74" s="385">
        <v>2197.3364263010344</v>
      </c>
      <c r="GH74" s="385">
        <f>36</f>
        <v>36</v>
      </c>
      <c r="GI74" s="358"/>
      <c r="GJ74" s="385">
        <v>2197.3364263010344</v>
      </c>
      <c r="GK74" s="385">
        <f>36</f>
        <v>36</v>
      </c>
      <c r="GL74" s="358"/>
      <c r="GM74" s="385">
        <v>2197.3364263010344</v>
      </c>
      <c r="GN74" s="385">
        <f>36</f>
        <v>36</v>
      </c>
      <c r="GO74" s="358"/>
      <c r="GP74" s="385">
        <v>2197.3364263010344</v>
      </c>
      <c r="GQ74" s="385">
        <f>36</f>
        <v>36</v>
      </c>
      <c r="GR74" s="358"/>
      <c r="GS74" s="385">
        <v>2197.3364263010344</v>
      </c>
      <c r="GT74" s="385">
        <f>36</f>
        <v>36</v>
      </c>
      <c r="GU74" s="358"/>
      <c r="GV74" s="385">
        <v>2197.3364263010344</v>
      </c>
      <c r="GW74" s="385">
        <f>36</f>
        <v>36</v>
      </c>
      <c r="GX74" s="358"/>
      <c r="GY74" s="385">
        <v>2197.3364263010344</v>
      </c>
      <c r="GZ74" s="385">
        <f>36</f>
        <v>36</v>
      </c>
      <c r="HA74" s="358"/>
      <c r="HB74" s="385">
        <v>2197.3364263010344</v>
      </c>
      <c r="HC74" s="385">
        <f>36</f>
        <v>36</v>
      </c>
      <c r="HD74" s="358"/>
      <c r="HE74" s="387">
        <v>2197.3364263010344</v>
      </c>
      <c r="HF74" s="386">
        <f>36*6</f>
        <v>216</v>
      </c>
      <c r="HG74" s="370">
        <v>0</v>
      </c>
      <c r="HH74" s="387">
        <v>2197.3364263010344</v>
      </c>
      <c r="HI74" s="369">
        <v>65.615106286748087</v>
      </c>
      <c r="HJ74" s="387">
        <v>2197.3364263010344</v>
      </c>
      <c r="HK74" s="369">
        <v>65.615106286748087</v>
      </c>
      <c r="HL74" s="387">
        <v>2197.3364263010344</v>
      </c>
      <c r="HM74" s="369">
        <v>65.615106286748087</v>
      </c>
      <c r="HN74" s="387">
        <v>2197.3364263010344</v>
      </c>
      <c r="HO74" s="369">
        <v>65.615106286748087</v>
      </c>
      <c r="HP74" s="387">
        <v>2197.3364263010344</v>
      </c>
      <c r="HQ74" s="369">
        <v>65.615106286748087</v>
      </c>
      <c r="HR74" s="387">
        <v>2197.3364263010344</v>
      </c>
      <c r="HS74" s="369">
        <v>65.615106286748087</v>
      </c>
      <c r="HT74" s="387">
        <v>2197.3364263010344</v>
      </c>
      <c r="HU74" s="369">
        <v>65.615106286748087</v>
      </c>
      <c r="HV74" s="388">
        <v>2197.3364263010344</v>
      </c>
      <c r="HW74" s="423">
        <v>65.615106286748087</v>
      </c>
      <c r="HX74" s="388" t="e">
        <f>VLOOKUP(C74,'[15]Prix accès'!A:D,4,FALSE)-JC74</f>
        <v>#N/A</v>
      </c>
      <c r="HY74" s="424">
        <v>65.615106286748087</v>
      </c>
      <c r="HZ74" s="424">
        <v>2262.9515325877824</v>
      </c>
      <c r="IA74" s="424">
        <v>65.615106286748087</v>
      </c>
      <c r="IB74" s="424">
        <v>2262.9515325877824</v>
      </c>
      <c r="IC74" s="424">
        <v>65.615106286748087</v>
      </c>
      <c r="ID74" s="357" t="e">
        <f>VLOOKUP($C74,'[15]Prix accès'!A:D,4,FALSE)</f>
        <v>#N/A</v>
      </c>
      <c r="IE74" s="435">
        <v>65.615106286748087</v>
      </c>
      <c r="IF74" s="357" t="e">
        <f>VLOOKUP($C74,'[15]Prix accès'!$A:$D,4,FALSE)</f>
        <v>#N/A</v>
      </c>
      <c r="IG74" s="435">
        <v>65.615106286748087</v>
      </c>
      <c r="IH74" s="357" t="e">
        <f>VLOOKUP($C74,'[15]Prix accès'!$A:$D,4,FALSE)</f>
        <v>#N/A</v>
      </c>
      <c r="II74" s="435">
        <v>65.615106286748087</v>
      </c>
      <c r="IJ74" s="357" t="e">
        <f>VLOOKUP($C74,'[15]Prix accès'!$A:$D,4,FALSE)</f>
        <v>#N/A</v>
      </c>
      <c r="IK74" s="435">
        <v>65.615106286748087</v>
      </c>
      <c r="IL74" s="457">
        <v>222.5853966479786</v>
      </c>
      <c r="IM74" s="500">
        <v>23.433966530981461</v>
      </c>
      <c r="IN74" s="496"/>
      <c r="IO74" s="427"/>
      <c r="IP74" s="496"/>
      <c r="IQ74" s="427"/>
      <c r="IR74" s="429" t="s">
        <v>2736</v>
      </c>
      <c r="IS74" s="364" t="s">
        <v>77</v>
      </c>
      <c r="IT74" s="365">
        <v>43522</v>
      </c>
      <c r="IU74" s="371">
        <v>43525</v>
      </c>
      <c r="IV74" s="464">
        <v>44918</v>
      </c>
      <c r="IW74" s="372">
        <f t="shared" si="11"/>
        <v>3</v>
      </c>
      <c r="IX74" s="373" t="e">
        <f t="shared" si="14"/>
        <v>#N/A</v>
      </c>
      <c r="IY74" s="394" t="e">
        <f t="shared" si="13"/>
        <v>#N/A</v>
      </c>
      <c r="IZ74" s="394" t="s">
        <v>3345</v>
      </c>
      <c r="JA74" s="460"/>
      <c r="JC74" s="461"/>
    </row>
    <row r="75" spans="1:263" s="367" customFormat="1" ht="16.5" customHeight="1" x14ac:dyDescent="0.3">
      <c r="A75" s="354" t="s">
        <v>2735</v>
      </c>
      <c r="B75" s="465" t="s">
        <v>2748</v>
      </c>
      <c r="C75" s="466" t="s">
        <v>530</v>
      </c>
      <c r="D75" s="467">
        <v>1149</v>
      </c>
      <c r="E75" s="468">
        <v>44</v>
      </c>
      <c r="F75" s="468">
        <v>80</v>
      </c>
      <c r="G75" s="468">
        <v>5</v>
      </c>
      <c r="H75" s="469">
        <v>0</v>
      </c>
      <c r="I75" s="858">
        <f>(1273+576)</f>
        <v>1849</v>
      </c>
      <c r="J75" s="831">
        <f>5</f>
        <v>5</v>
      </c>
      <c r="K75" s="827"/>
      <c r="L75" s="831">
        <v>1225.2564263010347</v>
      </c>
      <c r="M75" s="831">
        <f>5</f>
        <v>5</v>
      </c>
      <c r="N75" s="827"/>
      <c r="O75" s="831">
        <v>1225.2564263010347</v>
      </c>
      <c r="P75" s="831">
        <f>5</f>
        <v>5</v>
      </c>
      <c r="Q75" s="827"/>
      <c r="R75" s="831">
        <v>1225.2564263010347</v>
      </c>
      <c r="S75" s="831">
        <f>5</f>
        <v>5</v>
      </c>
      <c r="T75" s="827"/>
      <c r="U75" s="831">
        <v>1225.2564263010347</v>
      </c>
      <c r="V75" s="831">
        <f>5</f>
        <v>5</v>
      </c>
      <c r="W75" s="827"/>
      <c r="X75" s="831">
        <v>1225.2564263010347</v>
      </c>
      <c r="Y75" s="831">
        <f>5</f>
        <v>5</v>
      </c>
      <c r="Z75" s="827"/>
      <c r="AA75" s="831">
        <v>1225.2564263010347</v>
      </c>
      <c r="AB75" s="831">
        <f>5</f>
        <v>5</v>
      </c>
      <c r="AC75" s="827"/>
      <c r="AD75" s="831">
        <v>1225.2564263010347</v>
      </c>
      <c r="AE75" s="831">
        <f>5</f>
        <v>5</v>
      </c>
      <c r="AF75" s="827"/>
      <c r="AG75" s="831">
        <v>1225.2564263010347</v>
      </c>
      <c r="AH75" s="831">
        <f>5</f>
        <v>5</v>
      </c>
      <c r="AI75" s="827"/>
      <c r="AJ75" s="831">
        <v>1225.2564263010347</v>
      </c>
      <c r="AK75" s="831">
        <f>5</f>
        <v>5</v>
      </c>
      <c r="AL75" s="827"/>
      <c r="AM75" s="831">
        <v>1225.2564263010347</v>
      </c>
      <c r="AN75" s="831">
        <f>5</f>
        <v>5</v>
      </c>
      <c r="AO75" s="827"/>
      <c r="AP75" s="831">
        <v>1225.2564263010347</v>
      </c>
      <c r="AQ75" s="831">
        <f>5</f>
        <v>5</v>
      </c>
      <c r="AR75" s="827"/>
      <c r="AS75" s="831">
        <v>1225.2564263010347</v>
      </c>
      <c r="AT75" s="831">
        <f>5</f>
        <v>5</v>
      </c>
      <c r="AU75" s="827"/>
      <c r="AV75" s="831">
        <v>1225.2564263010347</v>
      </c>
      <c r="AW75" s="831">
        <f>5</f>
        <v>5</v>
      </c>
      <c r="AX75" s="827"/>
      <c r="AY75" s="831">
        <v>1225.2564263010347</v>
      </c>
      <c r="AZ75" s="831">
        <f>5</f>
        <v>5</v>
      </c>
      <c r="BA75" s="358"/>
      <c r="BB75" s="385">
        <v>1225.2564263010347</v>
      </c>
      <c r="BC75" s="385">
        <f>5</f>
        <v>5</v>
      </c>
      <c r="BD75" s="358"/>
      <c r="BE75" s="385">
        <v>1225.2564263010347</v>
      </c>
      <c r="BF75" s="385">
        <f>5</f>
        <v>5</v>
      </c>
      <c r="BG75" s="358"/>
      <c r="BH75" s="385">
        <v>1225.2564263010347</v>
      </c>
      <c r="BI75" s="385">
        <f>5</f>
        <v>5</v>
      </c>
      <c r="BJ75" s="358"/>
      <c r="BK75" s="385">
        <v>1225.2564263010347</v>
      </c>
      <c r="BL75" s="385">
        <f>5</f>
        <v>5</v>
      </c>
      <c r="BM75" s="358"/>
      <c r="BN75" s="385">
        <v>1225.2564263010347</v>
      </c>
      <c r="BO75" s="385">
        <f>5</f>
        <v>5</v>
      </c>
      <c r="BP75" s="358"/>
      <c r="BQ75" s="385">
        <v>1225.2564263010347</v>
      </c>
      <c r="BR75" s="385">
        <f>5</f>
        <v>5</v>
      </c>
      <c r="BS75" s="358"/>
      <c r="BT75" s="385">
        <v>1225.2564263010347</v>
      </c>
      <c r="BU75" s="385">
        <f>5</f>
        <v>5</v>
      </c>
      <c r="BV75" s="358"/>
      <c r="BW75" s="385">
        <v>1225.2564263010347</v>
      </c>
      <c r="BX75" s="385">
        <f>5</f>
        <v>5</v>
      </c>
      <c r="BY75" s="358"/>
      <c r="BZ75" s="385">
        <v>1225.2564263010347</v>
      </c>
      <c r="CA75" s="385">
        <f>5</f>
        <v>5</v>
      </c>
      <c r="CB75" s="358"/>
      <c r="CC75" s="385">
        <v>1225.2564263010347</v>
      </c>
      <c r="CD75" s="385">
        <f>5</f>
        <v>5</v>
      </c>
      <c r="CE75" s="358"/>
      <c r="CF75" s="385">
        <v>1225.2564263010347</v>
      </c>
      <c r="CG75" s="385">
        <f>5</f>
        <v>5</v>
      </c>
      <c r="CH75" s="358"/>
      <c r="CI75" s="385">
        <v>1225.2564263010347</v>
      </c>
      <c r="CJ75" s="385">
        <f>5</f>
        <v>5</v>
      </c>
      <c r="CK75" s="358"/>
      <c r="CL75" s="385">
        <v>1225.2564263010347</v>
      </c>
      <c r="CM75" s="385">
        <f>5</f>
        <v>5</v>
      </c>
      <c r="CN75" s="358"/>
      <c r="CO75" s="385">
        <v>1225.2564263010347</v>
      </c>
      <c r="CP75" s="385">
        <f>5</f>
        <v>5</v>
      </c>
      <c r="CQ75" s="358"/>
      <c r="CR75" s="385">
        <v>1225.2564263010347</v>
      </c>
      <c r="CS75" s="385">
        <f>5</f>
        <v>5</v>
      </c>
      <c r="CT75" s="358"/>
      <c r="CU75" s="385">
        <v>1225.2564263010347</v>
      </c>
      <c r="CV75" s="385">
        <f>5</f>
        <v>5</v>
      </c>
      <c r="CW75" s="358"/>
      <c r="CX75" s="385">
        <v>1225.2564263010347</v>
      </c>
      <c r="CY75" s="385">
        <f>5</f>
        <v>5</v>
      </c>
      <c r="CZ75" s="358"/>
      <c r="DA75" s="385">
        <v>1225.2564263010347</v>
      </c>
      <c r="DB75" s="385">
        <f>5</f>
        <v>5</v>
      </c>
      <c r="DC75" s="358"/>
      <c r="DD75" s="385">
        <v>1225.2564263010347</v>
      </c>
      <c r="DE75" s="385">
        <f>5</f>
        <v>5</v>
      </c>
      <c r="DF75" s="358"/>
      <c r="DG75" s="385">
        <v>1225.2564263010347</v>
      </c>
      <c r="DH75" s="385">
        <f>5</f>
        <v>5</v>
      </c>
      <c r="DI75" s="358"/>
      <c r="DJ75" s="385">
        <v>1225.2564263010347</v>
      </c>
      <c r="DK75" s="385">
        <f>5</f>
        <v>5</v>
      </c>
      <c r="DL75" s="358"/>
      <c r="DM75" s="385">
        <v>1225.2564263010347</v>
      </c>
      <c r="DN75" s="385">
        <f>5</f>
        <v>5</v>
      </c>
      <c r="DO75" s="358"/>
      <c r="DP75" s="385">
        <v>1225.2564263010347</v>
      </c>
      <c r="DQ75" s="385">
        <f>5</f>
        <v>5</v>
      </c>
      <c r="DR75" s="358"/>
      <c r="DS75" s="385">
        <v>1225.2564263010347</v>
      </c>
      <c r="DT75" s="385">
        <f>5</f>
        <v>5</v>
      </c>
      <c r="DU75" s="358"/>
      <c r="DV75" s="385">
        <v>1225.2564263010347</v>
      </c>
      <c r="DW75" s="385">
        <f>5</f>
        <v>5</v>
      </c>
      <c r="DX75" s="358"/>
      <c r="DY75" s="385">
        <v>1225.2564263010347</v>
      </c>
      <c r="DZ75" s="385">
        <f>5</f>
        <v>5</v>
      </c>
      <c r="EA75" s="358"/>
      <c r="EB75" s="385">
        <v>1225.2564263010347</v>
      </c>
      <c r="EC75" s="385">
        <f>5</f>
        <v>5</v>
      </c>
      <c r="ED75" s="358"/>
      <c r="EE75" s="385">
        <v>1225.2564263010347</v>
      </c>
      <c r="EF75" s="385">
        <f>5</f>
        <v>5</v>
      </c>
      <c r="EG75" s="358"/>
      <c r="EH75" s="385">
        <v>1225.2564263010347</v>
      </c>
      <c r="EI75" s="385">
        <f>5</f>
        <v>5</v>
      </c>
      <c r="EJ75" s="358"/>
      <c r="EK75" s="385">
        <v>1225.2564263010347</v>
      </c>
      <c r="EL75" s="385">
        <f>5</f>
        <v>5</v>
      </c>
      <c r="EM75" s="358"/>
      <c r="EN75" s="385">
        <v>1225.2564263010347</v>
      </c>
      <c r="EO75" s="385">
        <f>5</f>
        <v>5</v>
      </c>
      <c r="EP75" s="358"/>
      <c r="EQ75" s="385">
        <v>1225.2564263010347</v>
      </c>
      <c r="ER75" s="385">
        <f>5</f>
        <v>5</v>
      </c>
      <c r="ES75" s="358"/>
      <c r="ET75" s="385">
        <v>1225.2564263010347</v>
      </c>
      <c r="EU75" s="385">
        <f>5</f>
        <v>5</v>
      </c>
      <c r="EV75" s="358"/>
      <c r="EW75" s="385">
        <v>1225.2564263010347</v>
      </c>
      <c r="EX75" s="385">
        <f>5</f>
        <v>5</v>
      </c>
      <c r="EY75" s="358"/>
      <c r="EZ75" s="385">
        <v>1225.2564263010347</v>
      </c>
      <c r="FA75" s="385">
        <f>5</f>
        <v>5</v>
      </c>
      <c r="FB75" s="358"/>
      <c r="FC75" s="385">
        <v>1225.2564263010347</v>
      </c>
      <c r="FD75" s="385">
        <f>5</f>
        <v>5</v>
      </c>
      <c r="FE75" s="358"/>
      <c r="FF75" s="385">
        <v>1225.2564263010347</v>
      </c>
      <c r="FG75" s="385">
        <f>5</f>
        <v>5</v>
      </c>
      <c r="FH75" s="358"/>
      <c r="FI75" s="385">
        <v>1225.2564263010347</v>
      </c>
      <c r="FJ75" s="385">
        <f>5</f>
        <v>5</v>
      </c>
      <c r="FK75" s="358"/>
      <c r="FL75" s="385">
        <v>1225.2564263010347</v>
      </c>
      <c r="FM75" s="385">
        <f>5</f>
        <v>5</v>
      </c>
      <c r="FN75" s="358"/>
      <c r="FO75" s="385">
        <v>1225.2564263010347</v>
      </c>
      <c r="FP75" s="385">
        <f>5</f>
        <v>5</v>
      </c>
      <c r="FQ75" s="358"/>
      <c r="FR75" s="385">
        <v>1225.2564263010347</v>
      </c>
      <c r="FS75" s="385">
        <f>5</f>
        <v>5</v>
      </c>
      <c r="FT75" s="358"/>
      <c r="FU75" s="385">
        <v>1225.2564263010347</v>
      </c>
      <c r="FV75" s="385">
        <f>5</f>
        <v>5</v>
      </c>
      <c r="FW75" s="358"/>
      <c r="FX75" s="385">
        <v>1225.2564263010347</v>
      </c>
      <c r="FY75" s="385">
        <f>5</f>
        <v>5</v>
      </c>
      <c r="FZ75" s="358"/>
      <c r="GA75" s="385">
        <v>1225.2564263010347</v>
      </c>
      <c r="GB75" s="385">
        <f>5</f>
        <v>5</v>
      </c>
      <c r="GC75" s="358"/>
      <c r="GD75" s="385">
        <v>1225.2564263010347</v>
      </c>
      <c r="GE75" s="385">
        <f>5</f>
        <v>5</v>
      </c>
      <c r="GF75" s="358"/>
      <c r="GG75" s="385">
        <v>1225.2564263010347</v>
      </c>
      <c r="GH75" s="385">
        <f>5</f>
        <v>5</v>
      </c>
      <c r="GI75" s="358"/>
      <c r="GJ75" s="385">
        <v>1225.2564263010347</v>
      </c>
      <c r="GK75" s="385">
        <f>5</f>
        <v>5</v>
      </c>
      <c r="GL75" s="358"/>
      <c r="GM75" s="385">
        <v>1225.2564263010347</v>
      </c>
      <c r="GN75" s="385">
        <f>5</f>
        <v>5</v>
      </c>
      <c r="GO75" s="358"/>
      <c r="GP75" s="385">
        <v>1225.2564263010347</v>
      </c>
      <c r="GQ75" s="385">
        <f>5</f>
        <v>5</v>
      </c>
      <c r="GR75" s="358"/>
      <c r="GS75" s="385">
        <v>1225.2564263010347</v>
      </c>
      <c r="GT75" s="385">
        <f>5</f>
        <v>5</v>
      </c>
      <c r="GU75" s="358"/>
      <c r="GV75" s="385">
        <v>1225.2564263010347</v>
      </c>
      <c r="GW75" s="385">
        <f>5</f>
        <v>5</v>
      </c>
      <c r="GX75" s="358"/>
      <c r="GY75" s="385">
        <v>1225.2564263010347</v>
      </c>
      <c r="GZ75" s="385">
        <f>5</f>
        <v>5</v>
      </c>
      <c r="HA75" s="358"/>
      <c r="HB75" s="385">
        <v>1225.2564263010347</v>
      </c>
      <c r="HC75" s="385">
        <f>5</f>
        <v>5</v>
      </c>
      <c r="HD75" s="358"/>
      <c r="HE75" s="387">
        <v>1225.2564263010347</v>
      </c>
      <c r="HF75" s="386">
        <f>5*6</f>
        <v>30</v>
      </c>
      <c r="HG75" s="358"/>
      <c r="HH75" s="387">
        <v>1225.2564263010347</v>
      </c>
      <c r="HI75" s="358"/>
      <c r="HJ75" s="387">
        <v>1225.2564263010347</v>
      </c>
      <c r="HK75" s="358"/>
      <c r="HL75" s="387">
        <v>1225.2564263010347</v>
      </c>
      <c r="HM75" s="358"/>
      <c r="HN75" s="387">
        <v>1225.2564263010347</v>
      </c>
      <c r="HO75" s="358"/>
      <c r="HP75" s="387">
        <v>1225.2564263010347</v>
      </c>
      <c r="HQ75" s="358"/>
      <c r="HR75" s="387">
        <v>1225.2564263010347</v>
      </c>
      <c r="HS75" s="358"/>
      <c r="HT75" s="387">
        <v>1225.2564263010347</v>
      </c>
      <c r="HU75" s="358"/>
      <c r="HV75" s="388">
        <v>1225.2564263010347</v>
      </c>
      <c r="HW75" s="425"/>
      <c r="HX75" s="424">
        <v>1225.2564263010347</v>
      </c>
      <c r="HY75" s="425"/>
      <c r="HZ75" s="424">
        <v>1225.2564263010347</v>
      </c>
      <c r="IA75" s="425"/>
      <c r="IB75" s="424">
        <v>1225.2564263010347</v>
      </c>
      <c r="IC75" s="425"/>
      <c r="ID75" s="357">
        <f>VLOOKUP($C75,'[15]Prix accès'!A:D,4,FALSE)</f>
        <v>1225.2564263010347</v>
      </c>
      <c r="IE75" s="426"/>
      <c r="IF75" s="357">
        <f>VLOOKUP($C75,'[15]Prix accès'!$A:$D,4,FALSE)</f>
        <v>1225.2564263010347</v>
      </c>
      <c r="IG75" s="426"/>
      <c r="IH75" s="357">
        <f>VLOOKUP($C75,'[15]Prix accès'!$A:$D,4,FALSE)</f>
        <v>1225.2564263010347</v>
      </c>
      <c r="II75" s="426"/>
      <c r="IJ75" s="428">
        <v>1245.3425972240025</v>
      </c>
      <c r="IK75" s="426"/>
      <c r="IL75" s="496"/>
      <c r="IM75" s="427"/>
      <c r="IN75" s="496"/>
      <c r="IO75" s="427"/>
      <c r="IP75" s="496"/>
      <c r="IQ75" s="427"/>
      <c r="IR75" s="429" t="s">
        <v>3179</v>
      </c>
      <c r="IS75" s="364" t="s">
        <v>77</v>
      </c>
      <c r="IT75" s="365">
        <v>43525</v>
      </c>
      <c r="IU75" s="371">
        <v>43556</v>
      </c>
      <c r="IV75" s="515"/>
      <c r="IW75" s="372">
        <f t="shared" si="11"/>
        <v>31</v>
      </c>
      <c r="IX75" s="373">
        <f t="shared" si="14"/>
        <v>40.172341845935563</v>
      </c>
      <c r="IY75" s="394">
        <f t="shared" si="13"/>
        <v>1245.3425972240025</v>
      </c>
      <c r="IZ75" s="394"/>
      <c r="JA75" s="394"/>
    </row>
    <row r="76" spans="1:263" s="367" customFormat="1" ht="16.5" customHeight="1" x14ac:dyDescent="0.3">
      <c r="A76" s="354" t="s">
        <v>2735</v>
      </c>
      <c r="B76" s="415" t="s">
        <v>2867</v>
      </c>
      <c r="C76" s="993" t="s">
        <v>787</v>
      </c>
      <c r="D76" s="467">
        <v>290</v>
      </c>
      <c r="E76" s="468">
        <v>12</v>
      </c>
      <c r="F76" s="468">
        <v>18</v>
      </c>
      <c r="G76" s="468">
        <v>0</v>
      </c>
      <c r="H76" s="469">
        <v>0</v>
      </c>
      <c r="I76" s="841">
        <v>320</v>
      </c>
      <c r="J76" s="831"/>
      <c r="K76" s="827"/>
      <c r="L76" s="835">
        <v>320</v>
      </c>
      <c r="M76" s="831"/>
      <c r="N76" s="827"/>
      <c r="O76" s="835">
        <v>320</v>
      </c>
      <c r="P76" s="831"/>
      <c r="Q76" s="827"/>
      <c r="R76" s="835">
        <v>320</v>
      </c>
      <c r="S76" s="831"/>
      <c r="T76" s="827"/>
      <c r="U76" s="835">
        <v>320</v>
      </c>
      <c r="V76" s="831"/>
      <c r="W76" s="827"/>
      <c r="X76" s="835">
        <v>320</v>
      </c>
      <c r="Y76" s="831"/>
      <c r="Z76" s="827"/>
      <c r="AA76" s="835">
        <v>320</v>
      </c>
      <c r="AB76" s="831"/>
      <c r="AC76" s="827"/>
      <c r="AD76" s="835">
        <v>320</v>
      </c>
      <c r="AE76" s="831"/>
      <c r="AF76" s="827"/>
      <c r="AG76" s="835">
        <v>320</v>
      </c>
      <c r="AH76" s="831"/>
      <c r="AI76" s="827"/>
      <c r="AJ76" s="835">
        <v>320</v>
      </c>
      <c r="AK76" s="831"/>
      <c r="AL76" s="827"/>
      <c r="AM76" s="835">
        <v>320</v>
      </c>
      <c r="AN76" s="831"/>
      <c r="AO76" s="827"/>
      <c r="AP76" s="835">
        <v>320</v>
      </c>
      <c r="AQ76" s="831"/>
      <c r="AR76" s="827"/>
      <c r="AS76" s="881">
        <f>((320-272)/30.5)*31+320</f>
        <v>368.78688524590166</v>
      </c>
      <c r="AT76" s="831"/>
      <c r="AU76" s="827"/>
      <c r="AV76" s="829">
        <v>272.41198185659005</v>
      </c>
      <c r="AW76" s="831"/>
      <c r="AX76" s="827"/>
      <c r="AY76" s="829">
        <v>272.41198185659005</v>
      </c>
      <c r="AZ76" s="831"/>
      <c r="BA76" s="358"/>
      <c r="BB76" s="387">
        <v>272.41198185659005</v>
      </c>
      <c r="BC76" s="385"/>
      <c r="BD76" s="358"/>
      <c r="BE76" s="387">
        <v>272.41198185659005</v>
      </c>
      <c r="BF76" s="385"/>
      <c r="BG76" s="358"/>
      <c r="BH76" s="387">
        <v>272.41198185659005</v>
      </c>
      <c r="BI76" s="385"/>
      <c r="BJ76" s="358"/>
      <c r="BK76" s="387">
        <v>272.41198185659005</v>
      </c>
      <c r="BL76" s="385"/>
      <c r="BM76" s="358"/>
      <c r="BN76" s="387">
        <v>272.41198185659005</v>
      </c>
      <c r="BO76" s="385"/>
      <c r="BP76" s="358"/>
      <c r="BQ76" s="387">
        <v>272.41198185659005</v>
      </c>
      <c r="BR76" s="385"/>
      <c r="BS76" s="358"/>
      <c r="BT76" s="387">
        <v>272.41198185659005</v>
      </c>
      <c r="BU76" s="385"/>
      <c r="BV76" s="358"/>
      <c r="BW76" s="387">
        <v>272.41198185659005</v>
      </c>
      <c r="BX76" s="385"/>
      <c r="BY76" s="358"/>
      <c r="BZ76" s="387">
        <v>272.41198185659005</v>
      </c>
      <c r="CA76" s="385"/>
      <c r="CB76" s="358"/>
      <c r="CC76" s="387">
        <v>272.41198185659005</v>
      </c>
      <c r="CD76" s="385"/>
      <c r="CE76" s="358"/>
      <c r="CF76" s="387">
        <v>272.41198185659005</v>
      </c>
      <c r="CG76" s="385"/>
      <c r="CH76" s="358"/>
      <c r="CI76" s="387">
        <v>272.41198185659005</v>
      </c>
      <c r="CJ76" s="385"/>
      <c r="CK76" s="358"/>
      <c r="CL76" s="387">
        <v>272.41198185659005</v>
      </c>
      <c r="CM76" s="385"/>
      <c r="CN76" s="358"/>
      <c r="CO76" s="387">
        <v>272.41198185659005</v>
      </c>
      <c r="CP76" s="385"/>
      <c r="CQ76" s="358"/>
      <c r="CR76" s="387">
        <v>272.41198185659005</v>
      </c>
      <c r="CS76" s="385"/>
      <c r="CT76" s="358"/>
      <c r="CU76" s="387">
        <v>272.41198185659005</v>
      </c>
      <c r="CV76" s="385"/>
      <c r="CW76" s="358"/>
      <c r="CX76" s="387">
        <v>272.41198185659005</v>
      </c>
      <c r="CY76" s="385"/>
      <c r="CZ76" s="358"/>
      <c r="DA76" s="387">
        <v>272.41198185659005</v>
      </c>
      <c r="DB76" s="385"/>
      <c r="DC76" s="358"/>
      <c r="DD76" s="387">
        <v>272.41198185659005</v>
      </c>
      <c r="DE76" s="385"/>
      <c r="DF76" s="358"/>
      <c r="DG76" s="387">
        <v>272.41198185659005</v>
      </c>
      <c r="DH76" s="385"/>
      <c r="DI76" s="358"/>
      <c r="DJ76" s="387">
        <v>272.41198185659005</v>
      </c>
      <c r="DK76" s="385"/>
      <c r="DL76" s="358"/>
      <c r="DM76" s="387">
        <v>272.41198185659005</v>
      </c>
      <c r="DN76" s="385"/>
      <c r="DO76" s="358"/>
      <c r="DP76" s="387">
        <v>272.41198185659005</v>
      </c>
      <c r="DQ76" s="385"/>
      <c r="DR76" s="358"/>
      <c r="DS76" s="387">
        <v>272.41198185659005</v>
      </c>
      <c r="DT76" s="385"/>
      <c r="DU76" s="358"/>
      <c r="DV76" s="387">
        <v>272.41198185659005</v>
      </c>
      <c r="DW76" s="385"/>
      <c r="DX76" s="358"/>
      <c r="DY76" s="387">
        <v>272.41198185659005</v>
      </c>
      <c r="DZ76" s="385"/>
      <c r="EA76" s="358"/>
      <c r="EB76" s="387">
        <v>272.41198185659005</v>
      </c>
      <c r="EC76" s="385"/>
      <c r="ED76" s="358"/>
      <c r="EE76" s="387">
        <v>272.41198185659005</v>
      </c>
      <c r="EF76" s="385"/>
      <c r="EG76" s="358"/>
      <c r="EH76" s="387">
        <v>272.41198185659005</v>
      </c>
      <c r="EI76" s="385"/>
      <c r="EJ76" s="358"/>
      <c r="EK76" s="387">
        <v>272.41198185659005</v>
      </c>
      <c r="EL76" s="385"/>
      <c r="EM76" s="358"/>
      <c r="EN76" s="387">
        <v>272.41198185659005</v>
      </c>
      <c r="EO76" s="385"/>
      <c r="EP76" s="358"/>
      <c r="EQ76" s="387">
        <v>272.41198185659005</v>
      </c>
      <c r="ER76" s="385"/>
      <c r="ES76" s="358"/>
      <c r="ET76" s="387">
        <v>272.41198185659005</v>
      </c>
      <c r="EU76" s="385"/>
      <c r="EV76" s="358"/>
      <c r="EW76" s="387">
        <v>272.41198185659005</v>
      </c>
      <c r="EX76" s="385"/>
      <c r="EY76" s="358"/>
      <c r="EZ76" s="387">
        <v>272.41198185659005</v>
      </c>
      <c r="FA76" s="385"/>
      <c r="FB76" s="358"/>
      <c r="FC76" s="387">
        <v>272.41198185659005</v>
      </c>
      <c r="FD76" s="385"/>
      <c r="FE76" s="358"/>
      <c r="FF76" s="387">
        <v>272.41198185659005</v>
      </c>
      <c r="FG76" s="385"/>
      <c r="FH76" s="358"/>
      <c r="FI76" s="387">
        <v>272.41198185659005</v>
      </c>
      <c r="FJ76" s="385"/>
      <c r="FK76" s="358"/>
      <c r="FL76" s="387">
        <v>272.41198185659005</v>
      </c>
      <c r="FM76" s="385"/>
      <c r="FN76" s="358"/>
      <c r="FO76" s="387">
        <v>272.41198185659005</v>
      </c>
      <c r="FP76" s="385"/>
      <c r="FQ76" s="358"/>
      <c r="FR76" s="387">
        <v>272.41198185659005</v>
      </c>
      <c r="FS76" s="385"/>
      <c r="FT76" s="358"/>
      <c r="FU76" s="387">
        <v>272.41198185659005</v>
      </c>
      <c r="FV76" s="385"/>
      <c r="FW76" s="358"/>
      <c r="FX76" s="387">
        <v>272.41198185659005</v>
      </c>
      <c r="FY76" s="385"/>
      <c r="FZ76" s="358"/>
      <c r="GA76" s="387">
        <v>272.41198185659005</v>
      </c>
      <c r="GB76" s="385"/>
      <c r="GC76" s="358"/>
      <c r="GD76" s="387">
        <v>272.41198185659005</v>
      </c>
      <c r="GE76" s="385"/>
      <c r="GF76" s="358"/>
      <c r="GG76" s="387">
        <v>272.41198185659005</v>
      </c>
      <c r="GH76" s="385"/>
      <c r="GI76" s="358"/>
      <c r="GJ76" s="387">
        <v>272.41198185659005</v>
      </c>
      <c r="GK76" s="385"/>
      <c r="GL76" s="358"/>
      <c r="GM76" s="387">
        <v>272.41198185659005</v>
      </c>
      <c r="GN76" s="385"/>
      <c r="GO76" s="358"/>
      <c r="GP76" s="387">
        <v>272.41198185659005</v>
      </c>
      <c r="GQ76" s="385"/>
      <c r="GR76" s="358"/>
      <c r="GS76" s="387">
        <v>272.41198185659005</v>
      </c>
      <c r="GT76" s="385"/>
      <c r="GU76" s="358"/>
      <c r="GV76" s="387">
        <v>272.41198185659005</v>
      </c>
      <c r="GW76" s="385"/>
      <c r="GX76" s="358"/>
      <c r="GY76" s="387">
        <v>272.41198185659005</v>
      </c>
      <c r="GZ76" s="385"/>
      <c r="HA76" s="358"/>
      <c r="HB76" s="387">
        <v>272.41198185659005</v>
      </c>
      <c r="HC76" s="385"/>
      <c r="HD76" s="358"/>
      <c r="HE76" s="387">
        <v>272.41198185659005</v>
      </c>
      <c r="HF76" s="385"/>
      <c r="HG76" s="358"/>
      <c r="HH76" s="387">
        <v>272.41198185659005</v>
      </c>
      <c r="HI76" s="358"/>
      <c r="HJ76" s="387">
        <v>272.41198185659005</v>
      </c>
      <c r="HK76" s="358"/>
      <c r="HL76" s="387">
        <v>272.41198185659005</v>
      </c>
      <c r="HM76" s="358"/>
      <c r="HN76" s="387">
        <v>272.41198185659005</v>
      </c>
      <c r="HO76" s="358"/>
      <c r="HP76" s="387">
        <v>272.41198185659005</v>
      </c>
      <c r="HQ76" s="358"/>
      <c r="HR76" s="387">
        <v>272.41198185659005</v>
      </c>
      <c r="HS76" s="358"/>
      <c r="HT76" s="387">
        <v>272.41198185659005</v>
      </c>
      <c r="HU76" s="358"/>
      <c r="HV76" s="388">
        <v>272.41198185659005</v>
      </c>
      <c r="HW76" s="425"/>
      <c r="HX76" s="424">
        <v>272.41198185659005</v>
      </c>
      <c r="HY76" s="425"/>
      <c r="HZ76" s="424">
        <v>272.41198185659005</v>
      </c>
      <c r="IA76" s="425"/>
      <c r="IB76" s="424">
        <v>272.41198185659005</v>
      </c>
      <c r="IC76" s="425"/>
      <c r="ID76" s="357">
        <f>VLOOKUP($C76,'[15]Prix accès'!A:D,4,FALSE)</f>
        <v>272.41198185659005</v>
      </c>
      <c r="IE76" s="426"/>
      <c r="IF76" s="357">
        <f>VLOOKUP($C76,'[15]Prix accès'!$A:$D,4,FALSE)</f>
        <v>272.41198185659005</v>
      </c>
      <c r="IG76" s="426"/>
      <c r="IH76" s="357">
        <f>VLOOKUP($C76,'[15]Prix accès'!$A:$D,4,FALSE)</f>
        <v>272.41198185659005</v>
      </c>
      <c r="II76" s="426"/>
      <c r="IJ76" s="408">
        <v>241.15159049599777</v>
      </c>
      <c r="IK76" s="426"/>
      <c r="IL76" s="496"/>
      <c r="IM76" s="427"/>
      <c r="IN76" s="496"/>
      <c r="IO76" s="427"/>
      <c r="IP76" s="496"/>
      <c r="IQ76" s="427"/>
      <c r="IR76" s="429" t="s">
        <v>3193</v>
      </c>
      <c r="IS76" s="364" t="s">
        <v>77</v>
      </c>
      <c r="IT76" s="365">
        <v>43529</v>
      </c>
      <c r="IU76" s="371">
        <v>43556</v>
      </c>
      <c r="IW76" s="372">
        <f t="shared" si="11"/>
        <v>27</v>
      </c>
      <c r="IX76" s="373">
        <f t="shared" si="14"/>
        <v>8.9315403887406575</v>
      </c>
      <c r="IY76" s="394">
        <f t="shared" si="13"/>
        <v>241.15159049599777</v>
      </c>
      <c r="IZ76" s="394"/>
      <c r="JA76" s="394"/>
    </row>
    <row r="77" spans="1:263" s="367" customFormat="1" ht="16.5" customHeight="1" x14ac:dyDescent="0.3">
      <c r="A77" s="354" t="s">
        <v>2743</v>
      </c>
      <c r="B77" s="395" t="s">
        <v>2813</v>
      </c>
      <c r="C77" s="466" t="s">
        <v>1117</v>
      </c>
      <c r="D77" s="467">
        <v>1149</v>
      </c>
      <c r="E77" s="468">
        <v>71</v>
      </c>
      <c r="F77" s="468">
        <v>48</v>
      </c>
      <c r="G77" s="468">
        <v>5</v>
      </c>
      <c r="H77" s="469">
        <v>0</v>
      </c>
      <c r="I77" s="841">
        <v>1267</v>
      </c>
      <c r="J77" s="835">
        <v>5</v>
      </c>
      <c r="K77" s="835"/>
      <c r="L77" s="835">
        <v>1267</v>
      </c>
      <c r="M77" s="835">
        <v>5</v>
      </c>
      <c r="N77" s="835"/>
      <c r="O77" s="835">
        <v>1267</v>
      </c>
      <c r="P77" s="835">
        <v>5</v>
      </c>
      <c r="Q77" s="835"/>
      <c r="R77" s="835">
        <v>1267</v>
      </c>
      <c r="S77" s="835">
        <v>5</v>
      </c>
      <c r="T77" s="835"/>
      <c r="U77" s="835">
        <v>1267</v>
      </c>
      <c r="V77" s="835">
        <v>5</v>
      </c>
      <c r="W77" s="835"/>
      <c r="X77" s="835">
        <v>1267</v>
      </c>
      <c r="Y77" s="835">
        <v>5</v>
      </c>
      <c r="Z77" s="835"/>
      <c r="AA77" s="835">
        <v>1267</v>
      </c>
      <c r="AB77" s="835">
        <v>5</v>
      </c>
      <c r="AC77" s="835"/>
      <c r="AD77" s="835">
        <v>1267</v>
      </c>
      <c r="AE77" s="835">
        <v>5</v>
      </c>
      <c r="AF77" s="835"/>
      <c r="AG77" s="835">
        <v>1267</v>
      </c>
      <c r="AH77" s="835">
        <v>5</v>
      </c>
      <c r="AI77" s="835"/>
      <c r="AJ77" s="835">
        <v>1267</v>
      </c>
      <c r="AK77" s="835">
        <v>5</v>
      </c>
      <c r="AL77" s="835"/>
      <c r="AM77" s="842">
        <f>((1267-1081)/30.5)*12+1267</f>
        <v>1340.1803278688524</v>
      </c>
      <c r="AN77" s="842">
        <f>((5/30.5)*12+5)</f>
        <v>6.9672131147540988</v>
      </c>
      <c r="AO77" s="835"/>
      <c r="AP77" s="829">
        <v>1081.2564263010345</v>
      </c>
      <c r="AQ77" s="829"/>
      <c r="AR77" s="827"/>
      <c r="AS77" s="829">
        <v>1081.2564263010345</v>
      </c>
      <c r="AT77" s="829"/>
      <c r="AU77" s="827"/>
      <c r="AV77" s="829">
        <v>1081.2564263010345</v>
      </c>
      <c r="AW77" s="829"/>
      <c r="AX77" s="827"/>
      <c r="AY77" s="829">
        <v>1081.2564263010345</v>
      </c>
      <c r="AZ77" s="829"/>
      <c r="BA77" s="358"/>
      <c r="BB77" s="387">
        <v>1081.2564263010345</v>
      </c>
      <c r="BC77" s="387"/>
      <c r="BD77" s="358"/>
      <c r="BE77" s="387">
        <v>1081.2564263010345</v>
      </c>
      <c r="BF77" s="387"/>
      <c r="BG77" s="358"/>
      <c r="BH77" s="387">
        <v>1081.2564263010345</v>
      </c>
      <c r="BI77" s="387"/>
      <c r="BJ77" s="358"/>
      <c r="BK77" s="387">
        <v>1081.2564263010345</v>
      </c>
      <c r="BL77" s="387"/>
      <c r="BM77" s="358"/>
      <c r="BN77" s="387">
        <v>1081.2564263010345</v>
      </c>
      <c r="BO77" s="387"/>
      <c r="BP77" s="358"/>
      <c r="BQ77" s="387">
        <v>1081.2564263010345</v>
      </c>
      <c r="BR77" s="387"/>
      <c r="BS77" s="358"/>
      <c r="BT77" s="387">
        <v>1081.2564263010345</v>
      </c>
      <c r="BU77" s="387"/>
      <c r="BV77" s="358"/>
      <c r="BW77" s="387">
        <v>1081.2564263010345</v>
      </c>
      <c r="BX77" s="387"/>
      <c r="BY77" s="358"/>
      <c r="BZ77" s="387">
        <v>1081.2564263010345</v>
      </c>
      <c r="CA77" s="387"/>
      <c r="CB77" s="358"/>
      <c r="CC77" s="387">
        <v>1081.2564263010345</v>
      </c>
      <c r="CD77" s="387"/>
      <c r="CE77" s="358"/>
      <c r="CF77" s="387">
        <v>1081.2564263010345</v>
      </c>
      <c r="CG77" s="387"/>
      <c r="CH77" s="358"/>
      <c r="CI77" s="387">
        <v>1081.2564263010345</v>
      </c>
      <c r="CJ77" s="387"/>
      <c r="CK77" s="358"/>
      <c r="CL77" s="387">
        <v>1081.2564263010345</v>
      </c>
      <c r="CM77" s="387"/>
      <c r="CN77" s="358"/>
      <c r="CO77" s="387">
        <v>1081.2564263010345</v>
      </c>
      <c r="CP77" s="387"/>
      <c r="CQ77" s="358"/>
      <c r="CR77" s="387">
        <v>1081.2564263010345</v>
      </c>
      <c r="CS77" s="387"/>
      <c r="CT77" s="358"/>
      <c r="CU77" s="387">
        <v>1081.2564263010345</v>
      </c>
      <c r="CV77" s="387"/>
      <c r="CW77" s="358"/>
      <c r="CX77" s="387">
        <v>1081.2564263010345</v>
      </c>
      <c r="CY77" s="387"/>
      <c r="CZ77" s="358"/>
      <c r="DA77" s="387">
        <v>1081.2564263010345</v>
      </c>
      <c r="DB77" s="387"/>
      <c r="DC77" s="358"/>
      <c r="DD77" s="387">
        <v>1081.2564263010345</v>
      </c>
      <c r="DE77" s="387"/>
      <c r="DF77" s="358"/>
      <c r="DG77" s="387">
        <v>1081.2564263010345</v>
      </c>
      <c r="DH77" s="387"/>
      <c r="DI77" s="358"/>
      <c r="DJ77" s="387">
        <v>1081.2564263010345</v>
      </c>
      <c r="DK77" s="387"/>
      <c r="DL77" s="358"/>
      <c r="DM77" s="387">
        <v>1081.2564263010345</v>
      </c>
      <c r="DN77" s="387"/>
      <c r="DO77" s="358"/>
      <c r="DP77" s="387">
        <v>1081.2564263010345</v>
      </c>
      <c r="DQ77" s="387"/>
      <c r="DR77" s="358"/>
      <c r="DS77" s="387">
        <v>1081.2564263010345</v>
      </c>
      <c r="DT77" s="387"/>
      <c r="DU77" s="358"/>
      <c r="DV77" s="387">
        <v>1081.2564263010345</v>
      </c>
      <c r="DW77" s="387"/>
      <c r="DX77" s="358"/>
      <c r="DY77" s="387">
        <v>1081.2564263010345</v>
      </c>
      <c r="DZ77" s="387"/>
      <c r="EA77" s="358"/>
      <c r="EB77" s="387">
        <v>1081.2564263010345</v>
      </c>
      <c r="EC77" s="387"/>
      <c r="ED77" s="358"/>
      <c r="EE77" s="387">
        <v>1081.2564263010345</v>
      </c>
      <c r="EF77" s="387"/>
      <c r="EG77" s="358"/>
      <c r="EH77" s="387">
        <v>1081.2564263010345</v>
      </c>
      <c r="EI77" s="387"/>
      <c r="EJ77" s="358"/>
      <c r="EK77" s="387">
        <v>1081.2564263010345</v>
      </c>
      <c r="EL77" s="387"/>
      <c r="EM77" s="358"/>
      <c r="EN77" s="387">
        <v>1081.2564263010345</v>
      </c>
      <c r="EO77" s="387"/>
      <c r="EP77" s="358"/>
      <c r="EQ77" s="387">
        <v>1081.2564263010345</v>
      </c>
      <c r="ER77" s="387"/>
      <c r="ES77" s="358"/>
      <c r="ET77" s="387">
        <v>1081.2564263010345</v>
      </c>
      <c r="EU77" s="387"/>
      <c r="EV77" s="358"/>
      <c r="EW77" s="387">
        <v>1081.2564263010345</v>
      </c>
      <c r="EX77" s="387"/>
      <c r="EY77" s="358"/>
      <c r="EZ77" s="387">
        <v>1081.2564263010345</v>
      </c>
      <c r="FA77" s="387"/>
      <c r="FB77" s="358"/>
      <c r="FC77" s="387">
        <v>1081.2564263010345</v>
      </c>
      <c r="FD77" s="387"/>
      <c r="FE77" s="358"/>
      <c r="FF77" s="387">
        <v>1081.2564263010345</v>
      </c>
      <c r="FG77" s="387"/>
      <c r="FH77" s="358"/>
      <c r="FI77" s="387">
        <v>1081.2564263010345</v>
      </c>
      <c r="FJ77" s="387"/>
      <c r="FK77" s="358"/>
      <c r="FL77" s="387">
        <v>1081.2564263010345</v>
      </c>
      <c r="FM77" s="387"/>
      <c r="FN77" s="358"/>
      <c r="FO77" s="387">
        <v>1081.2564263010345</v>
      </c>
      <c r="FP77" s="387"/>
      <c r="FQ77" s="358"/>
      <c r="FR77" s="387">
        <v>1081.2564263010345</v>
      </c>
      <c r="FS77" s="387"/>
      <c r="FT77" s="358"/>
      <c r="FU77" s="387">
        <v>1081.2564263010345</v>
      </c>
      <c r="FV77" s="387"/>
      <c r="FW77" s="358"/>
      <c r="FX77" s="387">
        <v>1081.2564263010345</v>
      </c>
      <c r="FY77" s="387"/>
      <c r="FZ77" s="358"/>
      <c r="GA77" s="387">
        <v>1081.2564263010345</v>
      </c>
      <c r="GB77" s="387"/>
      <c r="GC77" s="358"/>
      <c r="GD77" s="387">
        <v>1081.2564263010345</v>
      </c>
      <c r="GE77" s="387"/>
      <c r="GF77" s="358"/>
      <c r="GG77" s="387">
        <v>1081.2564263010345</v>
      </c>
      <c r="GH77" s="387"/>
      <c r="GI77" s="358"/>
      <c r="GJ77" s="387">
        <v>1081.2564263010345</v>
      </c>
      <c r="GK77" s="387"/>
      <c r="GL77" s="358"/>
      <c r="GM77" s="387">
        <v>1081.2564263010345</v>
      </c>
      <c r="GN77" s="387"/>
      <c r="GO77" s="358"/>
      <c r="GP77" s="387">
        <v>1081.2564263010345</v>
      </c>
      <c r="GQ77" s="387"/>
      <c r="GR77" s="358"/>
      <c r="GS77" s="387">
        <v>1081.2564263010345</v>
      </c>
      <c r="GT77" s="387"/>
      <c r="GU77" s="358"/>
      <c r="GV77" s="387">
        <v>1081.2564263010345</v>
      </c>
      <c r="GW77" s="387"/>
      <c r="GX77" s="358"/>
      <c r="GY77" s="387">
        <v>1081.2564263010345</v>
      </c>
      <c r="GZ77" s="387"/>
      <c r="HA77" s="358"/>
      <c r="HB77" s="387">
        <v>1081.2564263010345</v>
      </c>
      <c r="HC77" s="387"/>
      <c r="HD77" s="358"/>
      <c r="HE77" s="387">
        <v>1081.2564263010345</v>
      </c>
      <c r="HF77" s="387"/>
      <c r="HG77" s="358"/>
      <c r="HH77" s="387">
        <v>1081.2564263010345</v>
      </c>
      <c r="HI77" s="358"/>
      <c r="HJ77" s="387">
        <v>1081.2564263010345</v>
      </c>
      <c r="HK77" s="358"/>
      <c r="HL77" s="387">
        <v>1081.2564263010345</v>
      </c>
      <c r="HM77" s="358"/>
      <c r="HN77" s="387">
        <v>1081.2564263010345</v>
      </c>
      <c r="HO77" s="358"/>
      <c r="HP77" s="387">
        <v>1081.2564263010345</v>
      </c>
      <c r="HQ77" s="358"/>
      <c r="HR77" s="387">
        <v>1081.2564263010345</v>
      </c>
      <c r="HS77" s="358"/>
      <c r="HT77" s="387">
        <v>1081.2564263010345</v>
      </c>
      <c r="HU77" s="358"/>
      <c r="HV77" s="388">
        <v>1081.2564263010345</v>
      </c>
      <c r="HW77" s="425"/>
      <c r="HX77" s="424">
        <v>1081.2564263010345</v>
      </c>
      <c r="HY77" s="425"/>
      <c r="HZ77" s="424">
        <v>1081.2564263010345</v>
      </c>
      <c r="IA77" s="425"/>
      <c r="IB77" s="424">
        <v>1081.2564263010345</v>
      </c>
      <c r="IC77" s="425"/>
      <c r="ID77" s="357">
        <f>VLOOKUP($C77,'[15]Prix accès'!A:D,4,FALSE)</f>
        <v>1081.2564263010345</v>
      </c>
      <c r="IE77" s="426"/>
      <c r="IF77" s="357">
        <f>VLOOKUP($C77,'[15]Prix accès'!$A:$D,4,FALSE)</f>
        <v>1081.2564263010345</v>
      </c>
      <c r="IG77" s="426"/>
      <c r="IH77" s="357">
        <f>VLOOKUP($C77,'[15]Prix accès'!$A:$D,4,FALSE)</f>
        <v>1081.2564263010345</v>
      </c>
      <c r="II77" s="426"/>
      <c r="IJ77" s="428">
        <v>886.27575926314307</v>
      </c>
      <c r="IK77" s="426"/>
      <c r="IL77" s="496"/>
      <c r="IM77" s="426"/>
      <c r="IN77" s="496"/>
      <c r="IO77" s="427"/>
      <c r="IP77" s="496"/>
      <c r="IQ77" s="427"/>
      <c r="IR77" s="429" t="s">
        <v>3025</v>
      </c>
      <c r="IS77" s="364" t="s">
        <v>77</v>
      </c>
      <c r="IT77" s="365">
        <v>43531</v>
      </c>
      <c r="IU77" s="371">
        <v>43556</v>
      </c>
      <c r="IW77" s="372">
        <f t="shared" si="11"/>
        <v>25</v>
      </c>
      <c r="IX77" s="373">
        <f t="shared" si="14"/>
        <v>35.451030370525721</v>
      </c>
      <c r="IY77" s="394">
        <f t="shared" si="13"/>
        <v>886.27575926314307</v>
      </c>
      <c r="IZ77" s="394"/>
      <c r="JA77" s="394"/>
    </row>
    <row r="78" spans="1:263" s="367" customFormat="1" ht="16.5" customHeight="1" x14ac:dyDescent="0.3">
      <c r="A78" s="354" t="s">
        <v>2735</v>
      </c>
      <c r="B78" s="465" t="s">
        <v>2784</v>
      </c>
      <c r="C78" s="466" t="s">
        <v>234</v>
      </c>
      <c r="D78" s="467">
        <v>1454</v>
      </c>
      <c r="E78" s="468">
        <v>165</v>
      </c>
      <c r="F78" s="468">
        <v>16</v>
      </c>
      <c r="G78" s="468">
        <v>36</v>
      </c>
      <c r="H78" s="469"/>
      <c r="I78" s="883">
        <v>1634.8564263010346</v>
      </c>
      <c r="J78" s="884">
        <f>36</f>
        <v>36</v>
      </c>
      <c r="K78" s="836"/>
      <c r="L78" s="884">
        <v>1634.8564263010346</v>
      </c>
      <c r="M78" s="884">
        <f>36</f>
        <v>36</v>
      </c>
      <c r="N78" s="836"/>
      <c r="O78" s="884">
        <v>1634.8564263010346</v>
      </c>
      <c r="P78" s="884">
        <f>36</f>
        <v>36</v>
      </c>
      <c r="Q78" s="836"/>
      <c r="R78" s="884">
        <v>1634.8564263010346</v>
      </c>
      <c r="S78" s="884">
        <f>36</f>
        <v>36</v>
      </c>
      <c r="T78" s="836"/>
      <c r="U78" s="884">
        <v>1634.8564263010346</v>
      </c>
      <c r="V78" s="884">
        <f>36</f>
        <v>36</v>
      </c>
      <c r="W78" s="836"/>
      <c r="X78" s="884">
        <v>1634.8564263010346</v>
      </c>
      <c r="Y78" s="884">
        <f>36</f>
        <v>36</v>
      </c>
      <c r="Z78" s="836"/>
      <c r="AA78" s="884">
        <v>1634.8564263010346</v>
      </c>
      <c r="AB78" s="884">
        <f>36</f>
        <v>36</v>
      </c>
      <c r="AC78" s="836"/>
      <c r="AD78" s="884">
        <v>1634.8564263010346</v>
      </c>
      <c r="AE78" s="884">
        <f>36</f>
        <v>36</v>
      </c>
      <c r="AF78" s="836"/>
      <c r="AG78" s="884">
        <v>1634.8564263010346</v>
      </c>
      <c r="AH78" s="884">
        <f>36</f>
        <v>36</v>
      </c>
      <c r="AI78" s="836"/>
      <c r="AJ78" s="884">
        <v>1634.8564263010346</v>
      </c>
      <c r="AK78" s="884">
        <f>36</f>
        <v>36</v>
      </c>
      <c r="AL78" s="836"/>
      <c r="AM78" s="835">
        <v>1634.8564263010346</v>
      </c>
      <c r="AN78" s="835">
        <f>36</f>
        <v>36</v>
      </c>
      <c r="AO78" s="827"/>
      <c r="AP78" s="835">
        <v>1634.8564263010346</v>
      </c>
      <c r="AQ78" s="835">
        <f>36</f>
        <v>36</v>
      </c>
      <c r="AR78" s="827"/>
      <c r="AS78" s="835">
        <v>1634.8564263010346</v>
      </c>
      <c r="AT78" s="835">
        <f>36</f>
        <v>36</v>
      </c>
      <c r="AU78" s="827"/>
      <c r="AV78" s="835">
        <v>1634.8564263010346</v>
      </c>
      <c r="AW78" s="835">
        <f>36</f>
        <v>36</v>
      </c>
      <c r="AX78" s="827"/>
      <c r="AY78" s="835">
        <v>1634.8564263010346</v>
      </c>
      <c r="AZ78" s="835">
        <f>36</f>
        <v>36</v>
      </c>
      <c r="BA78" s="358"/>
      <c r="BB78" s="384">
        <v>1634.8564263010346</v>
      </c>
      <c r="BC78" s="384">
        <f>36</f>
        <v>36</v>
      </c>
      <c r="BD78" s="358"/>
      <c r="BE78" s="384">
        <v>1634.8564263010346</v>
      </c>
      <c r="BF78" s="384">
        <f>36</f>
        <v>36</v>
      </c>
      <c r="BG78" s="358"/>
      <c r="BH78" s="384">
        <v>1634.8564263010346</v>
      </c>
      <c r="BI78" s="384">
        <f>36</f>
        <v>36</v>
      </c>
      <c r="BJ78" s="472"/>
      <c r="BK78" s="384">
        <v>1634.8564263010346</v>
      </c>
      <c r="BL78" s="384">
        <f>36</f>
        <v>36</v>
      </c>
      <c r="BM78" s="472"/>
      <c r="BN78" s="384">
        <v>1634.8564263010346</v>
      </c>
      <c r="BO78" s="384">
        <f>36</f>
        <v>36</v>
      </c>
      <c r="BP78" s="472"/>
      <c r="BQ78" s="385">
        <v>1634.8564263010346</v>
      </c>
      <c r="BR78" s="385">
        <f>36</f>
        <v>36</v>
      </c>
      <c r="BS78" s="358"/>
      <c r="BT78" s="385">
        <v>1634.8564263010346</v>
      </c>
      <c r="BU78" s="385">
        <f>36</f>
        <v>36</v>
      </c>
      <c r="BV78" s="358"/>
      <c r="BW78" s="385">
        <v>1634.8564263010346</v>
      </c>
      <c r="BX78" s="385">
        <f>36</f>
        <v>36</v>
      </c>
      <c r="BY78" s="358"/>
      <c r="BZ78" s="385">
        <v>1634.8564263010346</v>
      </c>
      <c r="CA78" s="385">
        <f>36</f>
        <v>36</v>
      </c>
      <c r="CB78" s="358"/>
      <c r="CC78" s="385">
        <v>1634.8564263010346</v>
      </c>
      <c r="CD78" s="385">
        <f>36</f>
        <v>36</v>
      </c>
      <c r="CE78" s="358"/>
      <c r="CF78" s="385">
        <v>1634.8564263010346</v>
      </c>
      <c r="CG78" s="385">
        <f>36</f>
        <v>36</v>
      </c>
      <c r="CH78" s="358"/>
      <c r="CI78" s="385">
        <v>1634.8564263010346</v>
      </c>
      <c r="CJ78" s="385">
        <f>36</f>
        <v>36</v>
      </c>
      <c r="CK78" s="358"/>
      <c r="CL78" s="385">
        <v>1634.8564263010346</v>
      </c>
      <c r="CM78" s="385">
        <f>36</f>
        <v>36</v>
      </c>
      <c r="CN78" s="358"/>
      <c r="CO78" s="385">
        <v>1634.8564263010346</v>
      </c>
      <c r="CP78" s="385">
        <f>36</f>
        <v>36</v>
      </c>
      <c r="CQ78" s="358"/>
      <c r="CR78" s="385">
        <v>1634.8564263010346</v>
      </c>
      <c r="CS78" s="385">
        <f>36</f>
        <v>36</v>
      </c>
      <c r="CT78" s="358"/>
      <c r="CU78" s="385">
        <v>1634.8564263010346</v>
      </c>
      <c r="CV78" s="385">
        <f>36</f>
        <v>36</v>
      </c>
      <c r="CW78" s="358"/>
      <c r="CX78" s="385">
        <v>1634.8564263010346</v>
      </c>
      <c r="CY78" s="385">
        <f>36</f>
        <v>36</v>
      </c>
      <c r="CZ78" s="358"/>
      <c r="DA78" s="385">
        <v>1634.8564263010346</v>
      </c>
      <c r="DB78" s="385">
        <f>36</f>
        <v>36</v>
      </c>
      <c r="DC78" s="358"/>
      <c r="DD78" s="385">
        <v>1634.8564263010346</v>
      </c>
      <c r="DE78" s="385">
        <f>36</f>
        <v>36</v>
      </c>
      <c r="DF78" s="358"/>
      <c r="DG78" s="385">
        <v>1634.8564263010346</v>
      </c>
      <c r="DH78" s="385">
        <f>36</f>
        <v>36</v>
      </c>
      <c r="DI78" s="358"/>
      <c r="DJ78" s="385">
        <v>1634.8564263010346</v>
      </c>
      <c r="DK78" s="385">
        <f>36</f>
        <v>36</v>
      </c>
      <c r="DL78" s="358"/>
      <c r="DM78" s="385">
        <v>1634.8564263010346</v>
      </c>
      <c r="DN78" s="385">
        <f>36</f>
        <v>36</v>
      </c>
      <c r="DO78" s="358"/>
      <c r="DP78" s="385">
        <v>1634.8564263010346</v>
      </c>
      <c r="DQ78" s="385">
        <f>36</f>
        <v>36</v>
      </c>
      <c r="DR78" s="358"/>
      <c r="DS78" s="385">
        <v>1634.8564263010346</v>
      </c>
      <c r="DT78" s="385">
        <f>36</f>
        <v>36</v>
      </c>
      <c r="DU78" s="358"/>
      <c r="DV78" s="385">
        <v>1634.8564263010346</v>
      </c>
      <c r="DW78" s="385">
        <f>36</f>
        <v>36</v>
      </c>
      <c r="DX78" s="358"/>
      <c r="DY78" s="385">
        <v>1634.8564263010346</v>
      </c>
      <c r="DZ78" s="385">
        <f>36</f>
        <v>36</v>
      </c>
      <c r="EA78" s="358"/>
      <c r="EB78" s="385">
        <v>1634.8564263010346</v>
      </c>
      <c r="EC78" s="385">
        <f>36</f>
        <v>36</v>
      </c>
      <c r="ED78" s="358"/>
      <c r="EE78" s="385">
        <v>1634.8564263010346</v>
      </c>
      <c r="EF78" s="385">
        <f>36</f>
        <v>36</v>
      </c>
      <c r="EG78" s="358"/>
      <c r="EH78" s="385">
        <v>1634.8564263010346</v>
      </c>
      <c r="EI78" s="385">
        <f>36</f>
        <v>36</v>
      </c>
      <c r="EJ78" s="358"/>
      <c r="EK78" s="385">
        <v>1634.8564263010346</v>
      </c>
      <c r="EL78" s="385">
        <f>36</f>
        <v>36</v>
      </c>
      <c r="EM78" s="358"/>
      <c r="EN78" s="385">
        <v>1634.8564263010346</v>
      </c>
      <c r="EO78" s="385">
        <f>36</f>
        <v>36</v>
      </c>
      <c r="EP78" s="358"/>
      <c r="EQ78" s="385">
        <v>1634.8564263010346</v>
      </c>
      <c r="ER78" s="385">
        <f>36</f>
        <v>36</v>
      </c>
      <c r="ES78" s="358"/>
      <c r="ET78" s="385">
        <v>1634.8564263010346</v>
      </c>
      <c r="EU78" s="385">
        <f>36</f>
        <v>36</v>
      </c>
      <c r="EV78" s="358"/>
      <c r="EW78" s="385">
        <v>1634.8564263010346</v>
      </c>
      <c r="EX78" s="385">
        <f>36</f>
        <v>36</v>
      </c>
      <c r="EY78" s="358"/>
      <c r="EZ78" s="385">
        <v>1634.8564263010346</v>
      </c>
      <c r="FA78" s="385">
        <f>36</f>
        <v>36</v>
      </c>
      <c r="FB78" s="358"/>
      <c r="FC78" s="385">
        <v>1634.8564263010346</v>
      </c>
      <c r="FD78" s="385">
        <f>36</f>
        <v>36</v>
      </c>
      <c r="FE78" s="358"/>
      <c r="FF78" s="385">
        <v>1634.8564263010346</v>
      </c>
      <c r="FG78" s="385">
        <f>36</f>
        <v>36</v>
      </c>
      <c r="FH78" s="358"/>
      <c r="FI78" s="385">
        <v>1634.8564263010346</v>
      </c>
      <c r="FJ78" s="385">
        <f>36</f>
        <v>36</v>
      </c>
      <c r="FK78" s="358"/>
      <c r="FL78" s="385">
        <v>1634.8564263010346</v>
      </c>
      <c r="FM78" s="385">
        <f>36</f>
        <v>36</v>
      </c>
      <c r="FN78" s="358"/>
      <c r="FO78" s="385">
        <v>1634.8564263010346</v>
      </c>
      <c r="FP78" s="385">
        <f>36</f>
        <v>36</v>
      </c>
      <c r="FQ78" s="358"/>
      <c r="FR78" s="385">
        <v>1634.8564263010346</v>
      </c>
      <c r="FS78" s="385">
        <f>36</f>
        <v>36</v>
      </c>
      <c r="FT78" s="358"/>
      <c r="FU78" s="385">
        <v>1634.8564263010346</v>
      </c>
      <c r="FV78" s="385">
        <f>36</f>
        <v>36</v>
      </c>
      <c r="FW78" s="358"/>
      <c r="FX78" s="385">
        <v>1634.8564263010346</v>
      </c>
      <c r="FY78" s="385">
        <f>36</f>
        <v>36</v>
      </c>
      <c r="FZ78" s="358"/>
      <c r="GA78" s="385">
        <v>1634.8564263010346</v>
      </c>
      <c r="GB78" s="385">
        <f>36</f>
        <v>36</v>
      </c>
      <c r="GC78" s="358"/>
      <c r="GD78" s="385">
        <v>1634.8564263010346</v>
      </c>
      <c r="GE78" s="385">
        <f>36</f>
        <v>36</v>
      </c>
      <c r="GF78" s="358"/>
      <c r="GG78" s="385">
        <v>1634.8564263010346</v>
      </c>
      <c r="GH78" s="385">
        <f>36</f>
        <v>36</v>
      </c>
      <c r="GI78" s="358"/>
      <c r="GJ78" s="385">
        <v>1634.8564263010346</v>
      </c>
      <c r="GK78" s="385">
        <f>36</f>
        <v>36</v>
      </c>
      <c r="GL78" s="358"/>
      <c r="GM78" s="385">
        <v>1634.8564263010346</v>
      </c>
      <c r="GN78" s="385">
        <f>36</f>
        <v>36</v>
      </c>
      <c r="GO78" s="358"/>
      <c r="GP78" s="385">
        <v>1634.8564263010346</v>
      </c>
      <c r="GQ78" s="385">
        <f>36</f>
        <v>36</v>
      </c>
      <c r="GR78" s="358"/>
      <c r="GS78" s="385">
        <v>1634.8564263010346</v>
      </c>
      <c r="GT78" s="385">
        <f>36</f>
        <v>36</v>
      </c>
      <c r="GU78" s="358"/>
      <c r="GV78" s="385">
        <v>1634.8564263010346</v>
      </c>
      <c r="GW78" s="385">
        <f>36</f>
        <v>36</v>
      </c>
      <c r="GX78" s="358"/>
      <c r="GY78" s="385">
        <v>1634.8564263010346</v>
      </c>
      <c r="GZ78" s="385">
        <f>36</f>
        <v>36</v>
      </c>
      <c r="HA78" s="358"/>
      <c r="HB78" s="385">
        <v>1634.8564263010346</v>
      </c>
      <c r="HC78" s="385">
        <f>36</f>
        <v>36</v>
      </c>
      <c r="HD78" s="358"/>
      <c r="HE78" s="387">
        <v>1634.8564263010346</v>
      </c>
      <c r="HF78" s="386">
        <f>36*6</f>
        <v>216</v>
      </c>
      <c r="HG78" s="370">
        <v>0</v>
      </c>
      <c r="HH78" s="387">
        <v>1634.8564263010346</v>
      </c>
      <c r="HI78" s="369">
        <v>65.615106286748087</v>
      </c>
      <c r="HJ78" s="387">
        <v>1634.8564263010346</v>
      </c>
      <c r="HK78" s="369">
        <v>65.615106286748087</v>
      </c>
      <c r="HL78" s="387">
        <v>1634.8564263010346</v>
      </c>
      <c r="HM78" s="369">
        <v>65.615106286748087</v>
      </c>
      <c r="HN78" s="387">
        <v>1634.8564263010346</v>
      </c>
      <c r="HO78" s="369">
        <v>65.615106286748087</v>
      </c>
      <c r="HP78" s="387">
        <v>1634.8564263010346</v>
      </c>
      <c r="HQ78" s="369">
        <v>65.615106286748087</v>
      </c>
      <c r="HR78" s="387">
        <v>1634.8564263010346</v>
      </c>
      <c r="HS78" s="369">
        <v>65.615106286748087</v>
      </c>
      <c r="HT78" s="387">
        <v>1634.8564263010346</v>
      </c>
      <c r="HU78" s="369">
        <v>65.615106286748087</v>
      </c>
      <c r="HV78" s="388">
        <v>1634.8564263010346</v>
      </c>
      <c r="HW78" s="423">
        <v>65.615106286748087</v>
      </c>
      <c r="HX78" s="388">
        <f>VLOOKUP(C78,'[15]Prix accès'!A:D,4,FALSE)-JC78</f>
        <v>1634.8564263010346</v>
      </c>
      <c r="HY78" s="424">
        <v>65.615106286748087</v>
      </c>
      <c r="HZ78" s="424">
        <v>1700.4715325877828</v>
      </c>
      <c r="IA78" s="424">
        <v>65.615106286748087</v>
      </c>
      <c r="IB78" s="424">
        <v>1700.4715325877828</v>
      </c>
      <c r="IC78" s="424">
        <v>65.615106286748087</v>
      </c>
      <c r="ID78" s="357">
        <f>VLOOKUP($C78,'[15]Prix accès'!A:D,4,FALSE)</f>
        <v>1634.8564263010346</v>
      </c>
      <c r="IE78" s="435">
        <v>65.615106286748087</v>
      </c>
      <c r="IF78" s="357">
        <f>VLOOKUP($C78,'[15]Prix accès'!$A:$D,4,FALSE)</f>
        <v>1634.8564263010346</v>
      </c>
      <c r="IG78" s="435">
        <v>65.615106286748087</v>
      </c>
      <c r="IH78" s="357">
        <f>VLOOKUP($C78,'[15]Prix accès'!$A:$D,4,FALSE)</f>
        <v>1634.8564263010346</v>
      </c>
      <c r="II78" s="435">
        <v>65.615106286748087</v>
      </c>
      <c r="IJ78" s="457">
        <v>1170.8164650604406</v>
      </c>
      <c r="IK78" s="500">
        <v>60.236818886194968</v>
      </c>
      <c r="IL78" s="458"/>
      <c r="IM78" s="426"/>
      <c r="IN78" s="496"/>
      <c r="IO78" s="427"/>
      <c r="IP78" s="496"/>
      <c r="IQ78" s="427"/>
      <c r="IR78" s="429" t="s">
        <v>3039</v>
      </c>
      <c r="IS78" s="364" t="s">
        <v>77</v>
      </c>
      <c r="IT78" s="365">
        <v>43535</v>
      </c>
      <c r="IU78" s="371">
        <v>43556</v>
      </c>
      <c r="IW78" s="372">
        <f t="shared" si="11"/>
        <v>21</v>
      </c>
      <c r="IX78" s="373">
        <f t="shared" si="14"/>
        <v>53.601850042656871</v>
      </c>
      <c r="IY78" s="394">
        <f t="shared" si="13"/>
        <v>1125.6388508957943</v>
      </c>
      <c r="IZ78" s="394"/>
      <c r="JA78" s="460"/>
      <c r="JC78" s="461"/>
    </row>
    <row r="79" spans="1:263" s="367" customFormat="1" ht="16.5" customHeight="1" x14ac:dyDescent="0.3">
      <c r="A79" s="354" t="s">
        <v>2743</v>
      </c>
      <c r="B79" s="465" t="s">
        <v>2813</v>
      </c>
      <c r="C79" s="466" t="s">
        <v>1265</v>
      </c>
      <c r="D79" s="467">
        <v>1149</v>
      </c>
      <c r="E79" s="468">
        <v>71</v>
      </c>
      <c r="F79" s="468">
        <v>48</v>
      </c>
      <c r="G79" s="468">
        <v>5</v>
      </c>
      <c r="H79" s="469">
        <v>0</v>
      </c>
      <c r="I79" s="847">
        <v>1267</v>
      </c>
      <c r="J79" s="516">
        <v>5</v>
      </c>
      <c r="K79" s="837"/>
      <c r="L79" s="837">
        <v>1267</v>
      </c>
      <c r="M79" s="516">
        <v>5</v>
      </c>
      <c r="N79" s="837"/>
      <c r="O79" s="837">
        <v>1267</v>
      </c>
      <c r="P79" s="516">
        <v>5</v>
      </c>
      <c r="Q79" s="837"/>
      <c r="R79" s="837">
        <v>1267</v>
      </c>
      <c r="S79" s="516">
        <v>5</v>
      </c>
      <c r="T79" s="837"/>
      <c r="U79" s="837">
        <v>1267</v>
      </c>
      <c r="V79" s="516">
        <v>5</v>
      </c>
      <c r="W79" s="837"/>
      <c r="X79" s="837">
        <v>1267</v>
      </c>
      <c r="Y79" s="516">
        <v>5</v>
      </c>
      <c r="Z79" s="837"/>
      <c r="AA79" s="837">
        <v>1267</v>
      </c>
      <c r="AB79" s="516">
        <v>5</v>
      </c>
      <c r="AC79" s="837"/>
      <c r="AD79" s="837">
        <v>1267</v>
      </c>
      <c r="AE79" s="516">
        <v>5</v>
      </c>
      <c r="AF79" s="837"/>
      <c r="AG79" s="837">
        <v>1267</v>
      </c>
      <c r="AH79" s="516">
        <v>5</v>
      </c>
      <c r="AI79" s="837"/>
      <c r="AJ79" s="838">
        <f>((1267-1081)/30.5)*19+1267</f>
        <v>1382.8688524590164</v>
      </c>
      <c r="AK79" s="517">
        <f>((5/30.5)*19+5)</f>
        <v>8.1147540983606561</v>
      </c>
      <c r="AL79" s="838"/>
      <c r="AM79" s="828">
        <v>1081.2564263010345</v>
      </c>
      <c r="AN79" s="829"/>
      <c r="AO79" s="827"/>
      <c r="AP79" s="829">
        <v>1081.2564263010345</v>
      </c>
      <c r="AQ79" s="829"/>
      <c r="AR79" s="827"/>
      <c r="AS79" s="829">
        <v>1081.2564263010345</v>
      </c>
      <c r="AT79" s="829"/>
      <c r="AU79" s="827"/>
      <c r="AV79" s="829">
        <v>1081.2564263010345</v>
      </c>
      <c r="AW79" s="829"/>
      <c r="AX79" s="827"/>
      <c r="AY79" s="829">
        <v>1081.2564263010345</v>
      </c>
      <c r="AZ79" s="829"/>
      <c r="BA79" s="358"/>
      <c r="BB79" s="387">
        <v>1081.2564263010345</v>
      </c>
      <c r="BC79" s="387"/>
      <c r="BD79" s="358"/>
      <c r="BE79" s="387">
        <v>1081.2564263010345</v>
      </c>
      <c r="BF79" s="387"/>
      <c r="BG79" s="358"/>
      <c r="BH79" s="387">
        <v>1081.2564263010345</v>
      </c>
      <c r="BI79" s="387"/>
      <c r="BJ79" s="358"/>
      <c r="BK79" s="387">
        <v>1081.2564263010345</v>
      </c>
      <c r="BL79" s="387"/>
      <c r="BM79" s="358"/>
      <c r="BN79" s="387">
        <v>1081.2564263010345</v>
      </c>
      <c r="BO79" s="387"/>
      <c r="BP79" s="358"/>
      <c r="BQ79" s="387">
        <v>1081.2564263010345</v>
      </c>
      <c r="BR79" s="387"/>
      <c r="BS79" s="358"/>
      <c r="BT79" s="387">
        <v>1081.2564263010345</v>
      </c>
      <c r="BU79" s="387"/>
      <c r="BV79" s="358"/>
      <c r="BW79" s="387">
        <v>1081.2564263010345</v>
      </c>
      <c r="BX79" s="387"/>
      <c r="BY79" s="358"/>
      <c r="BZ79" s="387">
        <v>1081.2564263010345</v>
      </c>
      <c r="CA79" s="387"/>
      <c r="CB79" s="358"/>
      <c r="CC79" s="387">
        <v>1081.2564263010345</v>
      </c>
      <c r="CD79" s="387"/>
      <c r="CE79" s="358"/>
      <c r="CF79" s="387">
        <v>1081.2564263010345</v>
      </c>
      <c r="CG79" s="387"/>
      <c r="CH79" s="358"/>
      <c r="CI79" s="387">
        <v>1081.2564263010345</v>
      </c>
      <c r="CJ79" s="387"/>
      <c r="CK79" s="358"/>
      <c r="CL79" s="387">
        <v>1081.2564263010345</v>
      </c>
      <c r="CM79" s="387"/>
      <c r="CN79" s="358"/>
      <c r="CO79" s="387">
        <v>1081.2564263010345</v>
      </c>
      <c r="CP79" s="387"/>
      <c r="CQ79" s="358"/>
      <c r="CR79" s="387">
        <v>1081.2564263010345</v>
      </c>
      <c r="CS79" s="387"/>
      <c r="CT79" s="358"/>
      <c r="CU79" s="387">
        <v>1081.2564263010345</v>
      </c>
      <c r="CV79" s="387"/>
      <c r="CW79" s="358"/>
      <c r="CX79" s="387">
        <v>1081.2564263010345</v>
      </c>
      <c r="CY79" s="387"/>
      <c r="CZ79" s="358"/>
      <c r="DA79" s="387">
        <v>1081.2564263010345</v>
      </c>
      <c r="DB79" s="387"/>
      <c r="DC79" s="358"/>
      <c r="DD79" s="387">
        <v>1081.2564263010345</v>
      </c>
      <c r="DE79" s="387"/>
      <c r="DF79" s="358"/>
      <c r="DG79" s="387">
        <v>1081.2564263010345</v>
      </c>
      <c r="DH79" s="387"/>
      <c r="DI79" s="358"/>
      <c r="DJ79" s="387">
        <v>1081.2564263010345</v>
      </c>
      <c r="DK79" s="387"/>
      <c r="DL79" s="358"/>
      <c r="DM79" s="387">
        <v>1081.2564263010345</v>
      </c>
      <c r="DN79" s="387"/>
      <c r="DO79" s="358"/>
      <c r="DP79" s="387">
        <v>1081.2564263010345</v>
      </c>
      <c r="DQ79" s="387"/>
      <c r="DR79" s="358"/>
      <c r="DS79" s="387">
        <v>1081.2564263010345</v>
      </c>
      <c r="DT79" s="387"/>
      <c r="DU79" s="358"/>
      <c r="DV79" s="387">
        <v>1081.2564263010345</v>
      </c>
      <c r="DW79" s="387"/>
      <c r="DX79" s="358"/>
      <c r="DY79" s="387">
        <v>1081.2564263010345</v>
      </c>
      <c r="DZ79" s="387"/>
      <c r="EA79" s="358"/>
      <c r="EB79" s="387">
        <v>1081.2564263010345</v>
      </c>
      <c r="EC79" s="387"/>
      <c r="ED79" s="358"/>
      <c r="EE79" s="387">
        <v>1081.2564263010345</v>
      </c>
      <c r="EF79" s="387"/>
      <c r="EG79" s="358"/>
      <c r="EH79" s="387">
        <v>1081.2564263010345</v>
      </c>
      <c r="EI79" s="387"/>
      <c r="EJ79" s="358"/>
      <c r="EK79" s="387">
        <v>1081.2564263010345</v>
      </c>
      <c r="EL79" s="387"/>
      <c r="EM79" s="358"/>
      <c r="EN79" s="387">
        <v>1081.2564263010345</v>
      </c>
      <c r="EO79" s="387"/>
      <c r="EP79" s="358"/>
      <c r="EQ79" s="387">
        <v>1081.2564263010345</v>
      </c>
      <c r="ER79" s="387"/>
      <c r="ES79" s="358"/>
      <c r="ET79" s="387">
        <v>1081.2564263010345</v>
      </c>
      <c r="EU79" s="387"/>
      <c r="EV79" s="358"/>
      <c r="EW79" s="387">
        <v>1081.2564263010345</v>
      </c>
      <c r="EX79" s="387"/>
      <c r="EY79" s="358"/>
      <c r="EZ79" s="387">
        <v>1081.2564263010345</v>
      </c>
      <c r="FA79" s="387"/>
      <c r="FB79" s="358"/>
      <c r="FC79" s="387">
        <v>1081.2564263010345</v>
      </c>
      <c r="FD79" s="387"/>
      <c r="FE79" s="358"/>
      <c r="FF79" s="387">
        <v>1081.2564263010345</v>
      </c>
      <c r="FG79" s="387"/>
      <c r="FH79" s="358"/>
      <c r="FI79" s="387">
        <v>1081.2564263010345</v>
      </c>
      <c r="FJ79" s="387"/>
      <c r="FK79" s="358"/>
      <c r="FL79" s="387">
        <v>1081.2564263010345</v>
      </c>
      <c r="FM79" s="387"/>
      <c r="FN79" s="358"/>
      <c r="FO79" s="387">
        <v>1081.2564263010345</v>
      </c>
      <c r="FP79" s="387"/>
      <c r="FQ79" s="358"/>
      <c r="FR79" s="387">
        <v>1081.2564263010345</v>
      </c>
      <c r="FS79" s="387"/>
      <c r="FT79" s="358"/>
      <c r="FU79" s="387">
        <v>1081.2564263010345</v>
      </c>
      <c r="FV79" s="387"/>
      <c r="FW79" s="358"/>
      <c r="FX79" s="387">
        <v>1081.2564263010345</v>
      </c>
      <c r="FY79" s="387"/>
      <c r="FZ79" s="358"/>
      <c r="GA79" s="387">
        <v>1081.2564263010345</v>
      </c>
      <c r="GB79" s="387"/>
      <c r="GC79" s="358"/>
      <c r="GD79" s="387">
        <v>1081.2564263010345</v>
      </c>
      <c r="GE79" s="387"/>
      <c r="GF79" s="358"/>
      <c r="GG79" s="387">
        <v>1081.2564263010345</v>
      </c>
      <c r="GH79" s="387"/>
      <c r="GI79" s="358"/>
      <c r="GJ79" s="387">
        <v>1081.2564263010345</v>
      </c>
      <c r="GK79" s="387"/>
      <c r="GL79" s="358"/>
      <c r="GM79" s="387">
        <v>1081.2564263010345</v>
      </c>
      <c r="GN79" s="387"/>
      <c r="GO79" s="358"/>
      <c r="GP79" s="387">
        <v>1081.2564263010345</v>
      </c>
      <c r="GQ79" s="387"/>
      <c r="GR79" s="358"/>
      <c r="GS79" s="387">
        <v>1081.2564263010345</v>
      </c>
      <c r="GT79" s="387"/>
      <c r="GU79" s="358"/>
      <c r="GV79" s="387">
        <v>1081.2564263010345</v>
      </c>
      <c r="GW79" s="387"/>
      <c r="GX79" s="358"/>
      <c r="GY79" s="387">
        <v>1081.2564263010345</v>
      </c>
      <c r="GZ79" s="387"/>
      <c r="HA79" s="358"/>
      <c r="HB79" s="387">
        <v>1081.2564263010345</v>
      </c>
      <c r="HC79" s="387"/>
      <c r="HD79" s="358"/>
      <c r="HE79" s="387">
        <v>1081.2564263010345</v>
      </c>
      <c r="HF79" s="387"/>
      <c r="HG79" s="358"/>
      <c r="HH79" s="387">
        <v>1081.2564263010345</v>
      </c>
      <c r="HI79" s="358"/>
      <c r="HJ79" s="387">
        <v>1081.2564263010345</v>
      </c>
      <c r="HK79" s="358"/>
      <c r="HL79" s="387">
        <v>1081.2564263010345</v>
      </c>
      <c r="HM79" s="358"/>
      <c r="HN79" s="387">
        <v>1081.2564263010345</v>
      </c>
      <c r="HO79" s="358"/>
      <c r="HP79" s="387">
        <v>1081.2564263010345</v>
      </c>
      <c r="HQ79" s="358"/>
      <c r="HR79" s="387">
        <v>1081.2564263010345</v>
      </c>
      <c r="HS79" s="358"/>
      <c r="HT79" s="387">
        <v>1081.2564263010345</v>
      </c>
      <c r="HU79" s="358"/>
      <c r="HV79" s="388">
        <v>1081.2564263010345</v>
      </c>
      <c r="HW79" s="425"/>
      <c r="HX79" s="424">
        <v>1081.2564263010345</v>
      </c>
      <c r="HY79" s="425"/>
      <c r="HZ79" s="424">
        <v>1081.2564263010345</v>
      </c>
      <c r="IA79" s="425"/>
      <c r="IB79" s="424">
        <v>1081.2564263010345</v>
      </c>
      <c r="IC79" s="425"/>
      <c r="ID79" s="357">
        <f>VLOOKUP($C79,'[15]Prix accès'!A:D,4,FALSE)</f>
        <v>1081.2564263010345</v>
      </c>
      <c r="IE79" s="426"/>
      <c r="IF79" s="357">
        <f>VLOOKUP($C79,'[15]Prix accès'!$A:$D,4,FALSE)</f>
        <v>1081.2564263010345</v>
      </c>
      <c r="IG79" s="426"/>
      <c r="IH79" s="357">
        <f>VLOOKUP($C79,'[15]Prix accès'!$A:$D,4,FALSE)</f>
        <v>1081.2564263010345</v>
      </c>
      <c r="II79" s="361"/>
      <c r="IJ79" s="457">
        <v>673.56957703998876</v>
      </c>
      <c r="IK79" s="361"/>
      <c r="IL79" s="496"/>
      <c r="IM79" s="427"/>
      <c r="IN79" s="496"/>
      <c r="IO79" s="427"/>
      <c r="IP79" s="496"/>
      <c r="IQ79" s="427"/>
      <c r="IR79" s="429" t="s">
        <v>2948</v>
      </c>
      <c r="IS79" s="364" t="s">
        <v>77</v>
      </c>
      <c r="IT79" s="365">
        <v>43537</v>
      </c>
      <c r="IU79" s="371">
        <v>43556</v>
      </c>
      <c r="IW79" s="372">
        <f t="shared" si="11"/>
        <v>19</v>
      </c>
      <c r="IX79" s="373">
        <f t="shared" si="14"/>
        <v>35.451030370525721</v>
      </c>
      <c r="IY79" s="394">
        <f t="shared" si="13"/>
        <v>673.56957703998876</v>
      </c>
      <c r="IZ79" s="394"/>
      <c r="JA79" s="394"/>
    </row>
    <row r="80" spans="1:263" s="367" customFormat="1" ht="16.5" customHeight="1" x14ac:dyDescent="0.3">
      <c r="A80" s="354" t="s">
        <v>2743</v>
      </c>
      <c r="B80" s="465" t="s">
        <v>2748</v>
      </c>
      <c r="C80" s="501" t="s">
        <v>2468</v>
      </c>
      <c r="D80" s="502">
        <v>2384</v>
      </c>
      <c r="E80" s="503">
        <v>44</v>
      </c>
      <c r="F80" s="503">
        <v>32</v>
      </c>
      <c r="G80" s="503">
        <v>5</v>
      </c>
      <c r="H80" s="504">
        <v>0</v>
      </c>
      <c r="I80" s="847">
        <v>2460</v>
      </c>
      <c r="J80" s="516">
        <v>5</v>
      </c>
      <c r="K80" s="837"/>
      <c r="L80" s="837">
        <v>2460</v>
      </c>
      <c r="M80" s="516">
        <v>5</v>
      </c>
      <c r="N80" s="837"/>
      <c r="O80" s="837">
        <v>2460</v>
      </c>
      <c r="P80" s="516">
        <v>5</v>
      </c>
      <c r="Q80" s="837"/>
      <c r="R80" s="837">
        <v>2460</v>
      </c>
      <c r="S80" s="516">
        <v>5</v>
      </c>
      <c r="T80" s="837"/>
      <c r="U80" s="837">
        <v>2460</v>
      </c>
      <c r="V80" s="516">
        <v>5</v>
      </c>
      <c r="W80" s="837"/>
      <c r="X80" s="837">
        <v>2460</v>
      </c>
      <c r="Y80" s="516">
        <v>5</v>
      </c>
      <c r="Z80" s="837"/>
      <c r="AA80" s="837">
        <v>2460</v>
      </c>
      <c r="AB80" s="516">
        <v>5</v>
      </c>
      <c r="AC80" s="837"/>
      <c r="AD80" s="837">
        <v>2460</v>
      </c>
      <c r="AE80" s="516">
        <v>5</v>
      </c>
      <c r="AF80" s="837"/>
      <c r="AG80" s="837">
        <v>2460</v>
      </c>
      <c r="AH80" s="516">
        <v>5</v>
      </c>
      <c r="AI80" s="837"/>
      <c r="AJ80" s="838">
        <f>((2460-2064)/30.5)*8+2460</f>
        <v>2563.8688524590166</v>
      </c>
      <c r="AK80" s="517">
        <f>((5/30.5)*2+5)</f>
        <v>5.3278688524590168</v>
      </c>
      <c r="AL80" s="838"/>
      <c r="AM80" s="828">
        <v>2064.0564263010347</v>
      </c>
      <c r="AN80" s="829"/>
      <c r="AO80" s="827"/>
      <c r="AP80" s="829">
        <v>2064.0564263010347</v>
      </c>
      <c r="AQ80" s="829"/>
      <c r="AR80" s="827"/>
      <c r="AS80" s="829">
        <v>2064.0564263010347</v>
      </c>
      <c r="AT80" s="829"/>
      <c r="AU80" s="827"/>
      <c r="AV80" s="829">
        <v>2064.0564263010347</v>
      </c>
      <c r="AW80" s="829"/>
      <c r="AX80" s="827"/>
      <c r="AY80" s="829">
        <v>2064.0564263010347</v>
      </c>
      <c r="AZ80" s="829"/>
      <c r="BA80" s="358"/>
      <c r="BB80" s="387">
        <v>2064.0564263010347</v>
      </c>
      <c r="BC80" s="387"/>
      <c r="BD80" s="358"/>
      <c r="BE80" s="387">
        <v>2064.0564263010347</v>
      </c>
      <c r="BF80" s="387"/>
      <c r="BG80" s="358"/>
      <c r="BH80" s="387">
        <v>2064.0564263010347</v>
      </c>
      <c r="BI80" s="387"/>
      <c r="BJ80" s="358"/>
      <c r="BK80" s="387">
        <v>2064.0564263010347</v>
      </c>
      <c r="BL80" s="387"/>
      <c r="BM80" s="358"/>
      <c r="BN80" s="387">
        <v>2064.0564263010347</v>
      </c>
      <c r="BO80" s="387"/>
      <c r="BP80" s="358"/>
      <c r="BQ80" s="387">
        <v>2064.0564263010347</v>
      </c>
      <c r="BR80" s="387"/>
      <c r="BS80" s="358"/>
      <c r="BT80" s="387">
        <v>2064.0564263010347</v>
      </c>
      <c r="BU80" s="387"/>
      <c r="BV80" s="358"/>
      <c r="BW80" s="387">
        <v>2064.0564263010347</v>
      </c>
      <c r="BX80" s="387"/>
      <c r="BY80" s="358"/>
      <c r="BZ80" s="387">
        <v>2064.0564263010347</v>
      </c>
      <c r="CA80" s="387"/>
      <c r="CB80" s="358"/>
      <c r="CC80" s="387">
        <v>2064.0564263010347</v>
      </c>
      <c r="CD80" s="387"/>
      <c r="CE80" s="358"/>
      <c r="CF80" s="387">
        <v>2064.0564263010347</v>
      </c>
      <c r="CG80" s="387"/>
      <c r="CH80" s="358"/>
      <c r="CI80" s="387">
        <v>2064.0564263010347</v>
      </c>
      <c r="CJ80" s="387"/>
      <c r="CK80" s="358"/>
      <c r="CL80" s="387">
        <v>2064.0564263010347</v>
      </c>
      <c r="CM80" s="387"/>
      <c r="CN80" s="358"/>
      <c r="CO80" s="387">
        <v>2064.0564263010347</v>
      </c>
      <c r="CP80" s="387"/>
      <c r="CQ80" s="358"/>
      <c r="CR80" s="387">
        <v>2064.0564263010347</v>
      </c>
      <c r="CS80" s="387"/>
      <c r="CT80" s="358"/>
      <c r="CU80" s="387">
        <v>2064.0564263010347</v>
      </c>
      <c r="CV80" s="387"/>
      <c r="CW80" s="358"/>
      <c r="CX80" s="387">
        <v>2064.0564263010347</v>
      </c>
      <c r="CY80" s="387"/>
      <c r="CZ80" s="358"/>
      <c r="DA80" s="387">
        <v>2064.0564263010347</v>
      </c>
      <c r="DB80" s="387"/>
      <c r="DC80" s="358"/>
      <c r="DD80" s="387">
        <v>2064.0564263010347</v>
      </c>
      <c r="DE80" s="387"/>
      <c r="DF80" s="358"/>
      <c r="DG80" s="387">
        <v>2064.0564263010347</v>
      </c>
      <c r="DH80" s="387"/>
      <c r="DI80" s="358"/>
      <c r="DJ80" s="387">
        <v>2064.0564263010347</v>
      </c>
      <c r="DK80" s="387"/>
      <c r="DL80" s="358"/>
      <c r="DM80" s="387">
        <v>2064.0564263010347</v>
      </c>
      <c r="DN80" s="387"/>
      <c r="DO80" s="358"/>
      <c r="DP80" s="387">
        <v>2064.0564263010347</v>
      </c>
      <c r="DQ80" s="387"/>
      <c r="DR80" s="358"/>
      <c r="DS80" s="387">
        <v>2064.0564263010347</v>
      </c>
      <c r="DT80" s="387"/>
      <c r="DU80" s="358"/>
      <c r="DV80" s="387">
        <v>2064.0564263010347</v>
      </c>
      <c r="DW80" s="387"/>
      <c r="DX80" s="358"/>
      <c r="DY80" s="387">
        <v>2064.0564263010347</v>
      </c>
      <c r="DZ80" s="387"/>
      <c r="EA80" s="358"/>
      <c r="EB80" s="387">
        <v>2064.0564263010347</v>
      </c>
      <c r="EC80" s="387"/>
      <c r="ED80" s="358"/>
      <c r="EE80" s="387">
        <v>2064.0564263010347</v>
      </c>
      <c r="EF80" s="387"/>
      <c r="EG80" s="358"/>
      <c r="EH80" s="387">
        <v>2064.0564263010347</v>
      </c>
      <c r="EI80" s="387"/>
      <c r="EJ80" s="358"/>
      <c r="EK80" s="387">
        <v>2064.0564263010347</v>
      </c>
      <c r="EL80" s="387"/>
      <c r="EM80" s="358"/>
      <c r="EN80" s="387">
        <v>2064.0564263010347</v>
      </c>
      <c r="EO80" s="387"/>
      <c r="EP80" s="358"/>
      <c r="EQ80" s="387">
        <v>2064.0564263010347</v>
      </c>
      <c r="ER80" s="387"/>
      <c r="ES80" s="358"/>
      <c r="ET80" s="387">
        <v>2064.0564263010347</v>
      </c>
      <c r="EU80" s="387"/>
      <c r="EV80" s="358"/>
      <c r="EW80" s="387">
        <v>2064.0564263010347</v>
      </c>
      <c r="EX80" s="387"/>
      <c r="EY80" s="358"/>
      <c r="EZ80" s="387">
        <v>2064.0564263010347</v>
      </c>
      <c r="FA80" s="387"/>
      <c r="FB80" s="358"/>
      <c r="FC80" s="387">
        <v>2064.0564263010347</v>
      </c>
      <c r="FD80" s="387"/>
      <c r="FE80" s="358"/>
      <c r="FF80" s="387">
        <v>2064.0564263010347</v>
      </c>
      <c r="FG80" s="387"/>
      <c r="FH80" s="358"/>
      <c r="FI80" s="387">
        <v>2064.0564263010347</v>
      </c>
      <c r="FJ80" s="387"/>
      <c r="FK80" s="358"/>
      <c r="FL80" s="387">
        <v>2064.0564263010347</v>
      </c>
      <c r="FM80" s="387"/>
      <c r="FN80" s="358"/>
      <c r="FO80" s="387">
        <v>2064.0564263010347</v>
      </c>
      <c r="FP80" s="387"/>
      <c r="FQ80" s="358"/>
      <c r="FR80" s="387">
        <v>2064.0564263010347</v>
      </c>
      <c r="FS80" s="387"/>
      <c r="FT80" s="358"/>
      <c r="FU80" s="387">
        <v>2064.0564263010347</v>
      </c>
      <c r="FV80" s="387"/>
      <c r="FW80" s="358"/>
      <c r="FX80" s="387">
        <v>2064.0564263010347</v>
      </c>
      <c r="FY80" s="387"/>
      <c r="FZ80" s="358"/>
      <c r="GA80" s="387">
        <v>2064.0564263010347</v>
      </c>
      <c r="GB80" s="387"/>
      <c r="GC80" s="358"/>
      <c r="GD80" s="387">
        <v>2064.0564263010347</v>
      </c>
      <c r="GE80" s="387"/>
      <c r="GF80" s="358"/>
      <c r="GG80" s="387">
        <v>2064.0564263010347</v>
      </c>
      <c r="GH80" s="387"/>
      <c r="GI80" s="358"/>
      <c r="GJ80" s="387">
        <v>2064.0564263010347</v>
      </c>
      <c r="GK80" s="387"/>
      <c r="GL80" s="358"/>
      <c r="GM80" s="387">
        <v>2064.0564263010347</v>
      </c>
      <c r="GN80" s="387"/>
      <c r="GO80" s="358"/>
      <c r="GP80" s="387">
        <v>2064.0564263010347</v>
      </c>
      <c r="GQ80" s="387"/>
      <c r="GR80" s="358"/>
      <c r="GS80" s="387">
        <v>2064.0564263010347</v>
      </c>
      <c r="GT80" s="387"/>
      <c r="GU80" s="358"/>
      <c r="GV80" s="387">
        <v>2064.0564263010347</v>
      </c>
      <c r="GW80" s="387"/>
      <c r="GX80" s="358"/>
      <c r="GY80" s="387">
        <v>2064.0564263010347</v>
      </c>
      <c r="GZ80" s="387"/>
      <c r="HA80" s="358"/>
      <c r="HB80" s="387">
        <v>2064.0564263010347</v>
      </c>
      <c r="HC80" s="387"/>
      <c r="HD80" s="358"/>
      <c r="HE80" s="387">
        <v>2064.0564263010347</v>
      </c>
      <c r="HF80" s="387"/>
      <c r="HG80" s="358"/>
      <c r="HH80" s="387">
        <v>2064.0564263010347</v>
      </c>
      <c r="HI80" s="358"/>
      <c r="HJ80" s="387">
        <v>2064.0564263010347</v>
      </c>
      <c r="HK80" s="358"/>
      <c r="HL80" s="387">
        <v>2064.0564263010347</v>
      </c>
      <c r="HM80" s="358"/>
      <c r="HN80" s="387">
        <v>2064.0564263010347</v>
      </c>
      <c r="HO80" s="358"/>
      <c r="HP80" s="387">
        <v>2064.0564263010347</v>
      </c>
      <c r="HQ80" s="358"/>
      <c r="HR80" s="387">
        <v>2064.0564263010347</v>
      </c>
      <c r="HS80" s="358"/>
      <c r="HT80" s="387">
        <v>2064.0564263010347</v>
      </c>
      <c r="HU80" s="358"/>
      <c r="HV80" s="388">
        <v>2064.0564263010347</v>
      </c>
      <c r="HW80" s="425"/>
      <c r="HX80" s="424">
        <v>2064.0564263010347</v>
      </c>
      <c r="HY80" s="425"/>
      <c r="HZ80" s="424">
        <v>2064.0564263010347</v>
      </c>
      <c r="IA80" s="425"/>
      <c r="IB80" s="424">
        <v>2064.0564263010347</v>
      </c>
      <c r="IC80" s="425"/>
      <c r="ID80" s="357">
        <f>VLOOKUP($C80,'[15]Prix accès'!A:D,4,FALSE)</f>
        <v>2064.0564263010347</v>
      </c>
      <c r="IE80" s="426"/>
      <c r="IF80" s="357">
        <f>VLOOKUP($C80,'[15]Prix accès'!$A:$D,4,FALSE)</f>
        <v>2064.0564263010347</v>
      </c>
      <c r="IG80" s="426"/>
      <c r="IH80" s="357">
        <f>VLOOKUP($C80,'[15]Prix accès'!$A:$D,4,FALSE)</f>
        <v>2064.0564263010347</v>
      </c>
      <c r="II80" s="426"/>
      <c r="IJ80" s="457">
        <v>1218.1316614235616</v>
      </c>
      <c r="IK80" s="426"/>
      <c r="IL80" s="458"/>
      <c r="IM80" s="426"/>
      <c r="IN80" s="496"/>
      <c r="IO80" s="427"/>
      <c r="IP80" s="496"/>
      <c r="IQ80" s="427"/>
      <c r="IR80" s="429" t="s">
        <v>3134</v>
      </c>
      <c r="IS80" s="364" t="s">
        <v>77</v>
      </c>
      <c r="IT80" s="365">
        <v>43538</v>
      </c>
      <c r="IU80" s="371">
        <v>43556</v>
      </c>
      <c r="IW80" s="372">
        <f t="shared" ref="IW80:IW144" si="16">IU80-IT80</f>
        <v>18</v>
      </c>
      <c r="IX80" s="373">
        <f t="shared" si="14"/>
        <v>67.673981190197864</v>
      </c>
      <c r="IY80" s="394">
        <f t="shared" si="13"/>
        <v>1218.1316614235616</v>
      </c>
      <c r="IZ80" s="394"/>
      <c r="JA80" s="394"/>
    </row>
    <row r="81" spans="1:261" s="367" customFormat="1" ht="16.5" customHeight="1" x14ac:dyDescent="0.3">
      <c r="A81" s="354" t="s">
        <v>2735</v>
      </c>
      <c r="B81" s="415" t="s">
        <v>2801</v>
      </c>
      <c r="C81" s="378" t="s">
        <v>679</v>
      </c>
      <c r="D81" s="832">
        <v>899</v>
      </c>
      <c r="E81" s="832">
        <v>24</v>
      </c>
      <c r="F81" s="832">
        <v>0</v>
      </c>
      <c r="G81" s="840">
        <f>(31*12)+36</f>
        <v>408</v>
      </c>
      <c r="H81" s="449">
        <v>66</v>
      </c>
      <c r="I81" s="830">
        <v>923.25642630103448</v>
      </c>
      <c r="J81" s="831">
        <f>5</f>
        <v>5</v>
      </c>
      <c r="K81" s="831">
        <v>66</v>
      </c>
      <c r="L81" s="831">
        <v>923.25642630103448</v>
      </c>
      <c r="M81" s="831">
        <f>5</f>
        <v>5</v>
      </c>
      <c r="N81" s="831">
        <v>66</v>
      </c>
      <c r="O81" s="831">
        <v>923.25642630103448</v>
      </c>
      <c r="P81" s="831">
        <f>5</f>
        <v>5</v>
      </c>
      <c r="Q81" s="831">
        <v>66</v>
      </c>
      <c r="R81" s="831">
        <v>923.25642630103448</v>
      </c>
      <c r="S81" s="831">
        <f>5</f>
        <v>5</v>
      </c>
      <c r="T81" s="831">
        <v>66</v>
      </c>
      <c r="U81" s="831">
        <v>923.25642630103448</v>
      </c>
      <c r="V81" s="831">
        <f>5</f>
        <v>5</v>
      </c>
      <c r="W81" s="831">
        <v>66</v>
      </c>
      <c r="X81" s="831">
        <v>923.25642630103448</v>
      </c>
      <c r="Y81" s="831">
        <f>5</f>
        <v>5</v>
      </c>
      <c r="Z81" s="831">
        <v>66</v>
      </c>
      <c r="AA81" s="831">
        <v>923.25642630103448</v>
      </c>
      <c r="AB81" s="831">
        <f>5</f>
        <v>5</v>
      </c>
      <c r="AC81" s="831">
        <v>66</v>
      </c>
      <c r="AD81" s="831">
        <v>923.25642630103448</v>
      </c>
      <c r="AE81" s="831">
        <f>5</f>
        <v>5</v>
      </c>
      <c r="AF81" s="831">
        <v>66</v>
      </c>
      <c r="AG81" s="831">
        <v>923.25642630103448</v>
      </c>
      <c r="AH81" s="831">
        <f>5</f>
        <v>5</v>
      </c>
      <c r="AI81" s="831">
        <v>66</v>
      </c>
      <c r="AJ81" s="831">
        <v>923.25642630103448</v>
      </c>
      <c r="AK81" s="831">
        <f>5</f>
        <v>5</v>
      </c>
      <c r="AL81" s="831">
        <v>66</v>
      </c>
      <c r="AM81" s="831">
        <v>923.25642630103448</v>
      </c>
      <c r="AN81" s="831">
        <f>5</f>
        <v>5</v>
      </c>
      <c r="AO81" s="831">
        <v>66</v>
      </c>
      <c r="AP81" s="831">
        <v>923.25642630103448</v>
      </c>
      <c r="AQ81" s="831">
        <f>5</f>
        <v>5</v>
      </c>
      <c r="AR81" s="831">
        <v>66</v>
      </c>
      <c r="AS81" s="831">
        <v>923.25642630103448</v>
      </c>
      <c r="AT81" s="831">
        <f>5</f>
        <v>5</v>
      </c>
      <c r="AU81" s="831">
        <v>66</v>
      </c>
      <c r="AV81" s="831">
        <v>923.25642630103448</v>
      </c>
      <c r="AW81" s="831">
        <f>5</f>
        <v>5</v>
      </c>
      <c r="AX81" s="831">
        <v>66</v>
      </c>
      <c r="AY81" s="831">
        <v>923.25642630103448</v>
      </c>
      <c r="AZ81" s="831">
        <f>5</f>
        <v>5</v>
      </c>
      <c r="BA81" s="369">
        <v>66</v>
      </c>
      <c r="BB81" s="385">
        <v>923.25642630103448</v>
      </c>
      <c r="BC81" s="385">
        <f>5</f>
        <v>5</v>
      </c>
      <c r="BD81" s="369">
        <v>66</v>
      </c>
      <c r="BE81" s="385">
        <v>923.25642630103448</v>
      </c>
      <c r="BF81" s="385">
        <f>5</f>
        <v>5</v>
      </c>
      <c r="BG81" s="369">
        <v>66</v>
      </c>
      <c r="BH81" s="385">
        <v>923.25642630103448</v>
      </c>
      <c r="BI81" s="385">
        <f>5</f>
        <v>5</v>
      </c>
      <c r="BJ81" s="369">
        <v>66</v>
      </c>
      <c r="BK81" s="385">
        <v>923.25642630103448</v>
      </c>
      <c r="BL81" s="385">
        <f>5</f>
        <v>5</v>
      </c>
      <c r="BM81" s="369">
        <v>66</v>
      </c>
      <c r="BN81" s="385">
        <v>923.25642630103448</v>
      </c>
      <c r="BO81" s="385">
        <f>5</f>
        <v>5</v>
      </c>
      <c r="BP81" s="369">
        <v>66</v>
      </c>
      <c r="BQ81" s="385">
        <v>923.25642630103448</v>
      </c>
      <c r="BR81" s="385">
        <f>5</f>
        <v>5</v>
      </c>
      <c r="BS81" s="369">
        <v>66</v>
      </c>
      <c r="BT81" s="385">
        <v>923.25642630103448</v>
      </c>
      <c r="BU81" s="385">
        <f>5</f>
        <v>5</v>
      </c>
      <c r="BV81" s="369">
        <v>66</v>
      </c>
      <c r="BW81" s="385">
        <v>923.25642630103448</v>
      </c>
      <c r="BX81" s="385">
        <f>5</f>
        <v>5</v>
      </c>
      <c r="BY81" s="369">
        <v>66</v>
      </c>
      <c r="BZ81" s="385">
        <v>923.25642630103448</v>
      </c>
      <c r="CA81" s="385">
        <f>5</f>
        <v>5</v>
      </c>
      <c r="CB81" s="369">
        <v>66</v>
      </c>
      <c r="CC81" s="385">
        <v>923.25642630103448</v>
      </c>
      <c r="CD81" s="385">
        <f>5</f>
        <v>5</v>
      </c>
      <c r="CE81" s="369">
        <v>66</v>
      </c>
      <c r="CF81" s="385">
        <v>923.25642630103448</v>
      </c>
      <c r="CG81" s="385">
        <f>5</f>
        <v>5</v>
      </c>
      <c r="CH81" s="369">
        <v>66</v>
      </c>
      <c r="CI81" s="385">
        <v>923.25642630103448</v>
      </c>
      <c r="CJ81" s="385">
        <f>5</f>
        <v>5</v>
      </c>
      <c r="CK81" s="369">
        <v>66</v>
      </c>
      <c r="CL81" s="385">
        <v>923.25642630103448</v>
      </c>
      <c r="CM81" s="385">
        <f>5</f>
        <v>5</v>
      </c>
      <c r="CN81" s="369">
        <v>66</v>
      </c>
      <c r="CO81" s="385">
        <v>923.25642630103448</v>
      </c>
      <c r="CP81" s="385">
        <f>5</f>
        <v>5</v>
      </c>
      <c r="CQ81" s="369">
        <v>66</v>
      </c>
      <c r="CR81" s="385">
        <v>923.25642630103448</v>
      </c>
      <c r="CS81" s="385">
        <f>5</f>
        <v>5</v>
      </c>
      <c r="CT81" s="369">
        <v>66</v>
      </c>
      <c r="CU81" s="385">
        <v>923.25642630103448</v>
      </c>
      <c r="CV81" s="385">
        <f>5</f>
        <v>5</v>
      </c>
      <c r="CW81" s="369">
        <v>66</v>
      </c>
      <c r="CX81" s="385">
        <v>923.25642630103448</v>
      </c>
      <c r="CY81" s="385">
        <f>5</f>
        <v>5</v>
      </c>
      <c r="CZ81" s="369">
        <v>66</v>
      </c>
      <c r="DA81" s="385">
        <v>923.25642630103448</v>
      </c>
      <c r="DB81" s="385">
        <f>5</f>
        <v>5</v>
      </c>
      <c r="DC81" s="369">
        <v>66</v>
      </c>
      <c r="DD81" s="385">
        <v>923.25642630103448</v>
      </c>
      <c r="DE81" s="385">
        <f>5</f>
        <v>5</v>
      </c>
      <c r="DF81" s="369">
        <v>66</v>
      </c>
      <c r="DG81" s="385">
        <v>923.25642630103448</v>
      </c>
      <c r="DH81" s="385">
        <f>5</f>
        <v>5</v>
      </c>
      <c r="DI81" s="369">
        <v>66</v>
      </c>
      <c r="DJ81" s="385">
        <v>923.25642630103448</v>
      </c>
      <c r="DK81" s="385">
        <f>5</f>
        <v>5</v>
      </c>
      <c r="DL81" s="369">
        <v>66</v>
      </c>
      <c r="DM81" s="385">
        <v>923.25642630103448</v>
      </c>
      <c r="DN81" s="385">
        <f>5</f>
        <v>5</v>
      </c>
      <c r="DO81" s="369">
        <v>66</v>
      </c>
      <c r="DP81" s="385">
        <v>923.25642630103448</v>
      </c>
      <c r="DQ81" s="385">
        <f>5</f>
        <v>5</v>
      </c>
      <c r="DR81" s="369">
        <v>66</v>
      </c>
      <c r="DS81" s="385">
        <v>923.25642630103448</v>
      </c>
      <c r="DT81" s="385">
        <f>5</f>
        <v>5</v>
      </c>
      <c r="DU81" s="369">
        <v>66</v>
      </c>
      <c r="DV81" s="385">
        <v>923.25642630103448</v>
      </c>
      <c r="DW81" s="385">
        <f>5</f>
        <v>5</v>
      </c>
      <c r="DX81" s="369">
        <v>66</v>
      </c>
      <c r="DY81" s="385">
        <v>923.25642630103448</v>
      </c>
      <c r="DZ81" s="385">
        <f>5</f>
        <v>5</v>
      </c>
      <c r="EA81" s="369">
        <v>66</v>
      </c>
      <c r="EB81" s="385">
        <v>923.25642630103448</v>
      </c>
      <c r="EC81" s="385">
        <f>5</f>
        <v>5</v>
      </c>
      <c r="ED81" s="369">
        <v>66</v>
      </c>
      <c r="EE81" s="385">
        <v>923.25642630103448</v>
      </c>
      <c r="EF81" s="385">
        <f>5</f>
        <v>5</v>
      </c>
      <c r="EG81" s="369">
        <v>66</v>
      </c>
      <c r="EH81" s="385">
        <v>923.25642630103448</v>
      </c>
      <c r="EI81" s="385">
        <f>5</f>
        <v>5</v>
      </c>
      <c r="EJ81" s="369">
        <v>66</v>
      </c>
      <c r="EK81" s="385">
        <v>923.25642630103448</v>
      </c>
      <c r="EL81" s="385">
        <f>5</f>
        <v>5</v>
      </c>
      <c r="EM81" s="369">
        <v>66</v>
      </c>
      <c r="EN81" s="385">
        <v>923.25642630103448</v>
      </c>
      <c r="EO81" s="385">
        <f>5</f>
        <v>5</v>
      </c>
      <c r="EP81" s="369">
        <v>66</v>
      </c>
      <c r="EQ81" s="385">
        <v>923.25642630103448</v>
      </c>
      <c r="ER81" s="385">
        <f>5</f>
        <v>5</v>
      </c>
      <c r="ES81" s="369">
        <v>66</v>
      </c>
      <c r="ET81" s="385">
        <v>923.25642630103448</v>
      </c>
      <c r="EU81" s="385">
        <f>5</f>
        <v>5</v>
      </c>
      <c r="EV81" s="369">
        <v>66</v>
      </c>
      <c r="EW81" s="385">
        <v>923.25642630103448</v>
      </c>
      <c r="EX81" s="385">
        <f>5</f>
        <v>5</v>
      </c>
      <c r="EY81" s="369">
        <v>66</v>
      </c>
      <c r="EZ81" s="385">
        <v>923.25642630103448</v>
      </c>
      <c r="FA81" s="385">
        <f>5</f>
        <v>5</v>
      </c>
      <c r="FB81" s="369">
        <v>66</v>
      </c>
      <c r="FC81" s="385">
        <v>923.25642630103448</v>
      </c>
      <c r="FD81" s="385">
        <f>5</f>
        <v>5</v>
      </c>
      <c r="FE81" s="369">
        <v>66</v>
      </c>
      <c r="FF81" s="385">
        <v>923.25642630103448</v>
      </c>
      <c r="FG81" s="385">
        <f>5</f>
        <v>5</v>
      </c>
      <c r="FH81" s="369">
        <v>66</v>
      </c>
      <c r="FI81" s="385">
        <v>923.25642630103448</v>
      </c>
      <c r="FJ81" s="385">
        <f>5</f>
        <v>5</v>
      </c>
      <c r="FK81" s="369">
        <v>66</v>
      </c>
      <c r="FL81" s="385">
        <v>923.25642630103448</v>
      </c>
      <c r="FM81" s="385">
        <f>5</f>
        <v>5</v>
      </c>
      <c r="FN81" s="369">
        <v>66</v>
      </c>
      <c r="FO81" s="385">
        <v>923.25642630103448</v>
      </c>
      <c r="FP81" s="385">
        <f>5</f>
        <v>5</v>
      </c>
      <c r="FQ81" s="369">
        <v>66</v>
      </c>
      <c r="FR81" s="385">
        <v>923.25642630103448</v>
      </c>
      <c r="FS81" s="385">
        <f>5</f>
        <v>5</v>
      </c>
      <c r="FT81" s="369">
        <v>66</v>
      </c>
      <c r="FU81" s="386">
        <v>923.25642630103448</v>
      </c>
      <c r="FV81" s="386">
        <f>5</f>
        <v>5</v>
      </c>
      <c r="FW81" s="370">
        <v>66</v>
      </c>
      <c r="FX81" s="385">
        <v>923.25642630103448</v>
      </c>
      <c r="FY81" s="385">
        <f>5</f>
        <v>5</v>
      </c>
      <c r="FZ81" s="358"/>
      <c r="GA81" s="385">
        <v>923.25642630103448</v>
      </c>
      <c r="GB81" s="385">
        <f>5</f>
        <v>5</v>
      </c>
      <c r="GC81" s="358"/>
      <c r="GD81" s="385">
        <v>923.25642630103448</v>
      </c>
      <c r="GE81" s="385">
        <f>5</f>
        <v>5</v>
      </c>
      <c r="GF81" s="358"/>
      <c r="GG81" s="385">
        <v>923.25642630103448</v>
      </c>
      <c r="GH81" s="385">
        <f>5</f>
        <v>5</v>
      </c>
      <c r="GI81" s="358"/>
      <c r="GJ81" s="385">
        <v>923.25642630103448</v>
      </c>
      <c r="GK81" s="385">
        <f>5</f>
        <v>5</v>
      </c>
      <c r="GL81" s="358"/>
      <c r="GM81" s="385">
        <v>923.25642630103448</v>
      </c>
      <c r="GN81" s="385">
        <f>5</f>
        <v>5</v>
      </c>
      <c r="GO81" s="358"/>
      <c r="GP81" s="385">
        <v>923.25642630103448</v>
      </c>
      <c r="GQ81" s="385">
        <f>5</f>
        <v>5</v>
      </c>
      <c r="GR81" s="358"/>
      <c r="GS81" s="385">
        <v>923.25642630103448</v>
      </c>
      <c r="GT81" s="385">
        <f>5</f>
        <v>5</v>
      </c>
      <c r="GU81" s="358"/>
      <c r="GV81" s="385">
        <v>923.25642630103448</v>
      </c>
      <c r="GW81" s="385">
        <f>5</f>
        <v>5</v>
      </c>
      <c r="GX81" s="358"/>
      <c r="GY81" s="385">
        <v>923.25642630103448</v>
      </c>
      <c r="GZ81" s="385">
        <f>5</f>
        <v>5</v>
      </c>
      <c r="HA81" s="358"/>
      <c r="HB81" s="385">
        <v>923.25642630103448</v>
      </c>
      <c r="HC81" s="385">
        <f>5</f>
        <v>5</v>
      </c>
      <c r="HD81" s="358"/>
      <c r="HE81" s="387">
        <v>923.25642630103448</v>
      </c>
      <c r="HF81" s="386">
        <f>5*6</f>
        <v>30</v>
      </c>
      <c r="HG81" s="358"/>
      <c r="HH81" s="387">
        <v>923.25642630103448</v>
      </c>
      <c r="HI81" s="358"/>
      <c r="HJ81" s="387">
        <v>923.25642630103448</v>
      </c>
      <c r="HK81" s="358"/>
      <c r="HL81" s="387">
        <v>923.25642630103448</v>
      </c>
      <c r="HM81" s="358"/>
      <c r="HN81" s="387">
        <v>923.25642630103448</v>
      </c>
      <c r="HO81" s="358"/>
      <c r="HP81" s="387">
        <v>923.25642630103448</v>
      </c>
      <c r="HQ81" s="358"/>
      <c r="HR81" s="387">
        <v>923.25642630103448</v>
      </c>
      <c r="HS81" s="358"/>
      <c r="HT81" s="387">
        <v>923.25642630103448</v>
      </c>
      <c r="HU81" s="358"/>
      <c r="HV81" s="388">
        <v>923.25642630103448</v>
      </c>
      <c r="HW81" s="425" t="s">
        <v>3310</v>
      </c>
      <c r="HX81" s="424">
        <v>923.25642630103448</v>
      </c>
      <c r="HY81" s="425" t="s">
        <v>3310</v>
      </c>
      <c r="HZ81" s="424">
        <v>923.25642630103448</v>
      </c>
      <c r="IA81" s="425" t="s">
        <v>3310</v>
      </c>
      <c r="IB81" s="424">
        <v>923.25642630103448</v>
      </c>
      <c r="IC81" s="425" t="s">
        <v>3310</v>
      </c>
      <c r="ID81" s="357">
        <f>VLOOKUP($C81,'[15]Prix accès'!A:D,4,FALSE)</f>
        <v>923.25642630103448</v>
      </c>
      <c r="IE81" s="426" t="s">
        <v>3310</v>
      </c>
      <c r="IF81" s="357">
        <f>VLOOKUP($C81,'[15]Prix accès'!$A:$D,4,FALSE)</f>
        <v>923.25642630103448</v>
      </c>
      <c r="IG81" s="426" t="s">
        <v>3310</v>
      </c>
      <c r="IH81" s="357">
        <f>VLOOKUP($C81,'[15]Prix accès'!$A:$D,4,FALSE)</f>
        <v>923.25642630103448</v>
      </c>
      <c r="II81" s="426" t="s">
        <v>3310</v>
      </c>
      <c r="IJ81" s="457">
        <v>1081.2564263010345</v>
      </c>
      <c r="IK81" s="426" t="s">
        <v>3310</v>
      </c>
      <c r="IL81" s="458"/>
      <c r="IM81" s="426"/>
      <c r="IN81" s="496"/>
      <c r="IO81" s="427"/>
      <c r="IP81" s="496"/>
      <c r="IQ81" s="427"/>
      <c r="IR81" s="429" t="s">
        <v>2799</v>
      </c>
      <c r="IS81" s="364" t="s">
        <v>77</v>
      </c>
      <c r="IT81" s="365">
        <v>43538</v>
      </c>
      <c r="IU81" s="439">
        <v>43556</v>
      </c>
      <c r="IV81" s="518">
        <v>44348</v>
      </c>
      <c r="IW81" s="372">
        <f t="shared" si="16"/>
        <v>18</v>
      </c>
      <c r="IX81" s="373">
        <f t="shared" si="14"/>
        <v>30.270702501673263</v>
      </c>
      <c r="IY81" s="394">
        <f t="shared" si="13"/>
        <v>544.87264503011875</v>
      </c>
      <c r="IZ81" s="394"/>
      <c r="JA81" s="394"/>
    </row>
    <row r="82" spans="1:261" s="367" customFormat="1" ht="16.5" customHeight="1" x14ac:dyDescent="0.3">
      <c r="A82" s="354" t="s">
        <v>2743</v>
      </c>
      <c r="B82" s="465" t="s">
        <v>2748</v>
      </c>
      <c r="C82" s="519" t="s">
        <v>1332</v>
      </c>
      <c r="D82" s="520">
        <v>1149</v>
      </c>
      <c r="E82" s="508">
        <v>44</v>
      </c>
      <c r="F82" s="508">
        <v>32</v>
      </c>
      <c r="G82" s="508">
        <v>0</v>
      </c>
      <c r="H82" s="510">
        <v>0</v>
      </c>
      <c r="I82" s="828">
        <v>1225.2564263010347</v>
      </c>
      <c r="J82" s="829"/>
      <c r="K82" s="827"/>
      <c r="L82" s="829">
        <v>1225.2564263010347</v>
      </c>
      <c r="M82" s="829"/>
      <c r="N82" s="827"/>
      <c r="O82" s="829">
        <v>1225.2564263010347</v>
      </c>
      <c r="P82" s="829"/>
      <c r="Q82" s="827"/>
      <c r="R82" s="829">
        <v>1225.2564263010347</v>
      </c>
      <c r="S82" s="829"/>
      <c r="T82" s="827"/>
      <c r="U82" s="829">
        <v>1225.2564263010347</v>
      </c>
      <c r="V82" s="829"/>
      <c r="W82" s="827"/>
      <c r="X82" s="829">
        <v>1225.2564263010347</v>
      </c>
      <c r="Y82" s="829"/>
      <c r="Z82" s="827"/>
      <c r="AA82" s="829">
        <v>1225.2564263010347</v>
      </c>
      <c r="AB82" s="829"/>
      <c r="AC82" s="827"/>
      <c r="AD82" s="829">
        <v>1225.2564263010347</v>
      </c>
      <c r="AE82" s="829"/>
      <c r="AF82" s="827"/>
      <c r="AG82" s="829">
        <v>1225.2564263010347</v>
      </c>
      <c r="AH82" s="829"/>
      <c r="AI82" s="827"/>
      <c r="AJ82" s="829">
        <v>1225.2564263010347</v>
      </c>
      <c r="AK82" s="829"/>
      <c r="AL82" s="827"/>
      <c r="AM82" s="829">
        <v>1225.2564263010347</v>
      </c>
      <c r="AN82" s="829"/>
      <c r="AO82" s="827"/>
      <c r="AP82" s="829">
        <v>1225.2564263010347</v>
      </c>
      <c r="AQ82" s="829"/>
      <c r="AR82" s="827"/>
      <c r="AS82" s="829">
        <v>1225.2564263010347</v>
      </c>
      <c r="AT82" s="829"/>
      <c r="AU82" s="827"/>
      <c r="AV82" s="829">
        <v>1225.2564263010347</v>
      </c>
      <c r="AW82" s="829"/>
      <c r="AX82" s="827"/>
      <c r="AY82" s="829">
        <v>1225.2564263010347</v>
      </c>
      <c r="AZ82" s="829"/>
      <c r="BA82" s="358"/>
      <c r="BB82" s="387">
        <v>1225.2564263010347</v>
      </c>
      <c r="BC82" s="387"/>
      <c r="BD82" s="358"/>
      <c r="BE82" s="387">
        <v>1225.2564263010347</v>
      </c>
      <c r="BF82" s="387"/>
      <c r="BG82" s="358"/>
      <c r="BH82" s="387">
        <v>1225.2564263010347</v>
      </c>
      <c r="BI82" s="387"/>
      <c r="BJ82" s="358"/>
      <c r="BK82" s="387">
        <v>1225.2564263010347</v>
      </c>
      <c r="BL82" s="387"/>
      <c r="BM82" s="358"/>
      <c r="BN82" s="387">
        <v>1225.2564263010347</v>
      </c>
      <c r="BO82" s="387"/>
      <c r="BP82" s="358"/>
      <c r="BQ82" s="387">
        <v>1225.2564263010347</v>
      </c>
      <c r="BR82" s="387"/>
      <c r="BS82" s="358"/>
      <c r="BT82" s="387">
        <v>1225.2564263010347</v>
      </c>
      <c r="BU82" s="387"/>
      <c r="BV82" s="358"/>
      <c r="BW82" s="387">
        <v>1225.2564263010347</v>
      </c>
      <c r="BX82" s="387"/>
      <c r="BY82" s="358"/>
      <c r="BZ82" s="387">
        <v>1225.2564263010347</v>
      </c>
      <c r="CA82" s="387"/>
      <c r="CB82" s="358"/>
      <c r="CC82" s="387">
        <v>1225.2564263010347</v>
      </c>
      <c r="CD82" s="387"/>
      <c r="CE82" s="358"/>
      <c r="CF82" s="387">
        <v>1225.2564263010347</v>
      </c>
      <c r="CG82" s="387"/>
      <c r="CH82" s="358"/>
      <c r="CI82" s="387">
        <v>1225.2564263010347</v>
      </c>
      <c r="CJ82" s="387"/>
      <c r="CK82" s="358"/>
      <c r="CL82" s="387">
        <v>1225.2564263010347</v>
      </c>
      <c r="CM82" s="387"/>
      <c r="CN82" s="358"/>
      <c r="CO82" s="387">
        <v>1225.2564263010347</v>
      </c>
      <c r="CP82" s="387"/>
      <c r="CQ82" s="358"/>
      <c r="CR82" s="387">
        <v>1225.2564263010347</v>
      </c>
      <c r="CS82" s="387"/>
      <c r="CT82" s="358"/>
      <c r="CU82" s="387">
        <v>1225.2564263010347</v>
      </c>
      <c r="CV82" s="387"/>
      <c r="CW82" s="358"/>
      <c r="CX82" s="387">
        <v>1225.2564263010347</v>
      </c>
      <c r="CY82" s="387"/>
      <c r="CZ82" s="358"/>
      <c r="DA82" s="387">
        <v>1225.2564263010347</v>
      </c>
      <c r="DB82" s="387"/>
      <c r="DC82" s="358"/>
      <c r="DD82" s="387">
        <v>1225.2564263010347</v>
      </c>
      <c r="DE82" s="387"/>
      <c r="DF82" s="358"/>
      <c r="DG82" s="387">
        <v>1225.2564263010347</v>
      </c>
      <c r="DH82" s="387"/>
      <c r="DI82" s="358"/>
      <c r="DJ82" s="387">
        <v>1225.2564263010347</v>
      </c>
      <c r="DK82" s="387"/>
      <c r="DL82" s="358"/>
      <c r="DM82" s="387">
        <v>1225.2564263010347</v>
      </c>
      <c r="DN82" s="387"/>
      <c r="DO82" s="358"/>
      <c r="DP82" s="387">
        <v>1225.2564263010347</v>
      </c>
      <c r="DQ82" s="387"/>
      <c r="DR82" s="358"/>
      <c r="DS82" s="387">
        <v>1225.2564263010347</v>
      </c>
      <c r="DT82" s="387"/>
      <c r="DU82" s="358"/>
      <c r="DV82" s="387">
        <v>1225.2564263010347</v>
      </c>
      <c r="DW82" s="387"/>
      <c r="DX82" s="358"/>
      <c r="DY82" s="387">
        <v>1225.2564263010347</v>
      </c>
      <c r="DZ82" s="387"/>
      <c r="EA82" s="358"/>
      <c r="EB82" s="387">
        <v>1225.2564263010347</v>
      </c>
      <c r="EC82" s="387"/>
      <c r="ED82" s="358"/>
      <c r="EE82" s="387">
        <v>1225.2564263010347</v>
      </c>
      <c r="EF82" s="387"/>
      <c r="EG82" s="358"/>
      <c r="EH82" s="387">
        <v>1225.2564263010347</v>
      </c>
      <c r="EI82" s="387"/>
      <c r="EJ82" s="358"/>
      <c r="EK82" s="387">
        <v>1225.2564263010347</v>
      </c>
      <c r="EL82" s="387"/>
      <c r="EM82" s="358"/>
      <c r="EN82" s="387">
        <v>1225.2564263010347</v>
      </c>
      <c r="EO82" s="387"/>
      <c r="EP82" s="358"/>
      <c r="EQ82" s="387">
        <v>1225.2564263010347</v>
      </c>
      <c r="ER82" s="387"/>
      <c r="ES82" s="358"/>
      <c r="ET82" s="387">
        <v>1225.2564263010347</v>
      </c>
      <c r="EU82" s="387"/>
      <c r="EV82" s="358"/>
      <c r="EW82" s="387">
        <v>1225.2564263010347</v>
      </c>
      <c r="EX82" s="387"/>
      <c r="EY82" s="358"/>
      <c r="EZ82" s="387">
        <v>1225.2564263010347</v>
      </c>
      <c r="FA82" s="387"/>
      <c r="FB82" s="358"/>
      <c r="FC82" s="387">
        <v>1225.2564263010347</v>
      </c>
      <c r="FD82" s="387"/>
      <c r="FE82" s="358"/>
      <c r="FF82" s="387">
        <v>1225.2564263010347</v>
      </c>
      <c r="FG82" s="387"/>
      <c r="FH82" s="358"/>
      <c r="FI82" s="387">
        <v>1225.2564263010347</v>
      </c>
      <c r="FJ82" s="387"/>
      <c r="FK82" s="358"/>
      <c r="FL82" s="387">
        <v>1225.2564263010347</v>
      </c>
      <c r="FM82" s="387"/>
      <c r="FN82" s="358"/>
      <c r="FO82" s="387">
        <v>1225.2564263010347</v>
      </c>
      <c r="FP82" s="387"/>
      <c r="FQ82" s="358"/>
      <c r="FR82" s="387">
        <v>1225.2564263010347</v>
      </c>
      <c r="FS82" s="387"/>
      <c r="FT82" s="358"/>
      <c r="FU82" s="387">
        <v>1225.2564263010347</v>
      </c>
      <c r="FV82" s="387"/>
      <c r="FW82" s="358"/>
      <c r="FX82" s="387">
        <v>1225.2564263010347</v>
      </c>
      <c r="FY82" s="387"/>
      <c r="FZ82" s="358"/>
      <c r="GA82" s="387">
        <v>1225.2564263010347</v>
      </c>
      <c r="GB82" s="387"/>
      <c r="GC82" s="358"/>
      <c r="GD82" s="387">
        <v>1225.2564263010347</v>
      </c>
      <c r="GE82" s="387"/>
      <c r="GF82" s="358"/>
      <c r="GG82" s="387">
        <v>1225.2564263010347</v>
      </c>
      <c r="GH82" s="387"/>
      <c r="GI82" s="358"/>
      <c r="GJ82" s="387">
        <v>1225.2564263010347</v>
      </c>
      <c r="GK82" s="387"/>
      <c r="GL82" s="358"/>
      <c r="GM82" s="387">
        <v>1225.2564263010347</v>
      </c>
      <c r="GN82" s="387"/>
      <c r="GO82" s="358"/>
      <c r="GP82" s="387">
        <v>1225.2564263010347</v>
      </c>
      <c r="GQ82" s="387"/>
      <c r="GR82" s="358"/>
      <c r="GS82" s="387">
        <v>1225.2564263010347</v>
      </c>
      <c r="GT82" s="387"/>
      <c r="GU82" s="358"/>
      <c r="GV82" s="387">
        <v>1225.2564263010347</v>
      </c>
      <c r="GW82" s="387"/>
      <c r="GX82" s="358"/>
      <c r="GY82" s="387">
        <v>1225.2564263010347</v>
      </c>
      <c r="GZ82" s="387"/>
      <c r="HA82" s="358"/>
      <c r="HB82" s="387">
        <v>1225.2564263010347</v>
      </c>
      <c r="HC82" s="387"/>
      <c r="HD82" s="358"/>
      <c r="HE82" s="387">
        <v>1225.2564263010347</v>
      </c>
      <c r="HF82" s="387"/>
      <c r="HG82" s="358"/>
      <c r="HH82" s="387">
        <v>1225.2564263010347</v>
      </c>
      <c r="HI82" s="358"/>
      <c r="HJ82" s="387">
        <v>1225.2564263010347</v>
      </c>
      <c r="HK82" s="358"/>
      <c r="HL82" s="387">
        <v>1225.2564263010347</v>
      </c>
      <c r="HM82" s="358"/>
      <c r="HN82" s="387">
        <v>1225.2564263010347</v>
      </c>
      <c r="HO82" s="358"/>
      <c r="HP82" s="387">
        <v>1225.2564263010347</v>
      </c>
      <c r="HQ82" s="358"/>
      <c r="HR82" s="387">
        <v>1225.2564263010347</v>
      </c>
      <c r="HS82" s="358"/>
      <c r="HT82" s="387">
        <v>1225.2564263010347</v>
      </c>
      <c r="HU82" s="358"/>
      <c r="HV82" s="388">
        <v>1225.2564263010347</v>
      </c>
      <c r="HW82" s="425"/>
      <c r="HX82" s="424">
        <v>1225.2564263010347</v>
      </c>
      <c r="HY82" s="425"/>
      <c r="HZ82" s="424">
        <v>1225.2564263010347</v>
      </c>
      <c r="IA82" s="425"/>
      <c r="IB82" s="424">
        <v>1225.2564263010347</v>
      </c>
      <c r="IC82" s="425"/>
      <c r="ID82" s="357">
        <f>VLOOKUP($C82,'[15]Prix accès'!A:D,4,FALSE)</f>
        <v>1225.2564263010347</v>
      </c>
      <c r="IE82" s="426"/>
      <c r="IF82" s="357">
        <f>VLOOKUP($C82,'[15]Prix accès'!$A:$D,4,FALSE)</f>
        <v>1225.2564263010347</v>
      </c>
      <c r="IG82" s="426"/>
      <c r="IH82" s="357">
        <f>VLOOKUP($C82,'[15]Prix accès'!$A:$D,4,FALSE)</f>
        <v>1225.2564263010347</v>
      </c>
      <c r="II82" s="426"/>
      <c r="IJ82" s="457">
        <v>682.92981138090454</v>
      </c>
      <c r="IK82" s="426"/>
      <c r="IL82" s="458"/>
      <c r="IM82" s="426"/>
      <c r="IN82" s="496"/>
      <c r="IO82" s="427"/>
      <c r="IP82" s="496"/>
      <c r="IQ82" s="427"/>
      <c r="IR82" s="429" t="s">
        <v>3015</v>
      </c>
      <c r="IS82" s="364" t="s">
        <v>77</v>
      </c>
      <c r="IT82" s="365">
        <v>43539</v>
      </c>
      <c r="IU82" s="371">
        <v>43556</v>
      </c>
      <c r="IW82" s="372">
        <f t="shared" si="16"/>
        <v>17</v>
      </c>
      <c r="IX82" s="373">
        <f t="shared" si="14"/>
        <v>40.172341845935563</v>
      </c>
      <c r="IY82" s="394">
        <f t="shared" ref="IY82:IY97" si="17">IW82*IX82</f>
        <v>682.92981138090454</v>
      </c>
      <c r="IZ82" s="394"/>
      <c r="JA82" s="394"/>
    </row>
    <row r="83" spans="1:261" s="367" customFormat="1" ht="16.5" customHeight="1" x14ac:dyDescent="0.3">
      <c r="A83" s="354" t="s">
        <v>2743</v>
      </c>
      <c r="B83" s="465" t="s">
        <v>2867</v>
      </c>
      <c r="C83" s="466" t="s">
        <v>2477</v>
      </c>
      <c r="D83" s="467">
        <v>290</v>
      </c>
      <c r="E83" s="468">
        <v>12</v>
      </c>
      <c r="F83" s="468">
        <v>0</v>
      </c>
      <c r="G83" s="468">
        <v>0</v>
      </c>
      <c r="H83" s="469">
        <v>0</v>
      </c>
      <c r="I83" s="841">
        <v>302</v>
      </c>
      <c r="J83" s="829"/>
      <c r="K83" s="827"/>
      <c r="L83" s="835">
        <v>302</v>
      </c>
      <c r="M83" s="829"/>
      <c r="N83" s="827"/>
      <c r="O83" s="835">
        <v>302</v>
      </c>
      <c r="P83" s="829"/>
      <c r="Q83" s="827"/>
      <c r="R83" s="835">
        <v>302</v>
      </c>
      <c r="S83" s="829"/>
      <c r="T83" s="827"/>
      <c r="U83" s="835">
        <v>302</v>
      </c>
      <c r="V83" s="829"/>
      <c r="W83" s="827"/>
      <c r="X83" s="835">
        <v>302</v>
      </c>
      <c r="Y83" s="829"/>
      <c r="Z83" s="827"/>
      <c r="AA83" s="835">
        <v>302</v>
      </c>
      <c r="AB83" s="829"/>
      <c r="AC83" s="827"/>
      <c r="AD83" s="835">
        <v>302</v>
      </c>
      <c r="AE83" s="829"/>
      <c r="AF83" s="827"/>
      <c r="AG83" s="835">
        <v>302</v>
      </c>
      <c r="AH83" s="829"/>
      <c r="AI83" s="827"/>
      <c r="AJ83" s="835">
        <v>302</v>
      </c>
      <c r="AK83" s="829"/>
      <c r="AL83" s="827"/>
      <c r="AM83" s="835">
        <v>302</v>
      </c>
      <c r="AN83" s="829"/>
      <c r="AO83" s="827"/>
      <c r="AP83" s="835">
        <v>302</v>
      </c>
      <c r="AQ83" s="829"/>
      <c r="AR83" s="827"/>
      <c r="AS83" s="881">
        <f>((302-254)/30.5)*31+302</f>
        <v>350.78688524590166</v>
      </c>
      <c r="AT83" s="829"/>
      <c r="AU83" s="827"/>
      <c r="AV83" s="829">
        <v>254.41198185659007</v>
      </c>
      <c r="AW83" s="829"/>
      <c r="AX83" s="827"/>
      <c r="AY83" s="829">
        <v>254.41198185659007</v>
      </c>
      <c r="AZ83" s="829"/>
      <c r="BA83" s="358"/>
      <c r="BB83" s="387">
        <v>254.41198185659007</v>
      </c>
      <c r="BC83" s="387"/>
      <c r="BD83" s="358"/>
      <c r="BE83" s="387">
        <v>254.41198185659007</v>
      </c>
      <c r="BF83" s="387"/>
      <c r="BG83" s="358"/>
      <c r="BH83" s="387">
        <v>254.41198185659007</v>
      </c>
      <c r="BI83" s="387"/>
      <c r="BJ83" s="358"/>
      <c r="BK83" s="387">
        <v>254.41198185659007</v>
      </c>
      <c r="BL83" s="387"/>
      <c r="BM83" s="358"/>
      <c r="BN83" s="387">
        <v>254.41198185659007</v>
      </c>
      <c r="BO83" s="387"/>
      <c r="BP83" s="358"/>
      <c r="BQ83" s="387">
        <v>254.41198185659007</v>
      </c>
      <c r="BR83" s="387"/>
      <c r="BS83" s="358"/>
      <c r="BT83" s="387">
        <v>254.41198185659007</v>
      </c>
      <c r="BU83" s="387"/>
      <c r="BV83" s="358"/>
      <c r="BW83" s="387">
        <v>254.41198185659007</v>
      </c>
      <c r="BX83" s="387"/>
      <c r="BY83" s="358"/>
      <c r="BZ83" s="387">
        <v>254.41198185659007</v>
      </c>
      <c r="CA83" s="387"/>
      <c r="CB83" s="358"/>
      <c r="CC83" s="387">
        <v>254.41198185659007</v>
      </c>
      <c r="CD83" s="387"/>
      <c r="CE83" s="358"/>
      <c r="CF83" s="387">
        <v>254.41198185659007</v>
      </c>
      <c r="CG83" s="387"/>
      <c r="CH83" s="358"/>
      <c r="CI83" s="387">
        <v>254.41198185659007</v>
      </c>
      <c r="CJ83" s="387"/>
      <c r="CK83" s="358"/>
      <c r="CL83" s="387">
        <v>254.41198185659007</v>
      </c>
      <c r="CM83" s="387"/>
      <c r="CN83" s="358"/>
      <c r="CO83" s="387">
        <v>254.41198185659007</v>
      </c>
      <c r="CP83" s="387"/>
      <c r="CQ83" s="358"/>
      <c r="CR83" s="387">
        <v>254.41198185659007</v>
      </c>
      <c r="CS83" s="387"/>
      <c r="CT83" s="358"/>
      <c r="CU83" s="387">
        <v>254.41198185659007</v>
      </c>
      <c r="CV83" s="387"/>
      <c r="CW83" s="358"/>
      <c r="CX83" s="387">
        <v>254.41198185659007</v>
      </c>
      <c r="CY83" s="387"/>
      <c r="CZ83" s="358"/>
      <c r="DA83" s="387">
        <v>254.41198185659007</v>
      </c>
      <c r="DB83" s="387"/>
      <c r="DC83" s="358"/>
      <c r="DD83" s="387">
        <v>254.41198185659007</v>
      </c>
      <c r="DE83" s="387"/>
      <c r="DF83" s="358"/>
      <c r="DG83" s="387">
        <v>254.41198185659007</v>
      </c>
      <c r="DH83" s="387"/>
      <c r="DI83" s="358"/>
      <c r="DJ83" s="387">
        <v>254.41198185659007</v>
      </c>
      <c r="DK83" s="387"/>
      <c r="DL83" s="358"/>
      <c r="DM83" s="387">
        <v>254.41198185659007</v>
      </c>
      <c r="DN83" s="387"/>
      <c r="DO83" s="358"/>
      <c r="DP83" s="387">
        <v>254.41198185659007</v>
      </c>
      <c r="DQ83" s="387"/>
      <c r="DR83" s="358"/>
      <c r="DS83" s="387">
        <v>254.41198185659007</v>
      </c>
      <c r="DT83" s="387"/>
      <c r="DU83" s="358"/>
      <c r="DV83" s="387">
        <v>254.41198185659007</v>
      </c>
      <c r="DW83" s="387"/>
      <c r="DX83" s="358"/>
      <c r="DY83" s="387">
        <v>254.41198185659007</v>
      </c>
      <c r="DZ83" s="387"/>
      <c r="EA83" s="358"/>
      <c r="EB83" s="387">
        <v>254.41198185659007</v>
      </c>
      <c r="EC83" s="387"/>
      <c r="ED83" s="358"/>
      <c r="EE83" s="387">
        <v>254.41198185659007</v>
      </c>
      <c r="EF83" s="387"/>
      <c r="EG83" s="358"/>
      <c r="EH83" s="387">
        <v>254.41198185659007</v>
      </c>
      <c r="EI83" s="387"/>
      <c r="EJ83" s="358"/>
      <c r="EK83" s="387">
        <v>254.41198185659007</v>
      </c>
      <c r="EL83" s="387"/>
      <c r="EM83" s="358"/>
      <c r="EN83" s="387">
        <v>254.41198185659007</v>
      </c>
      <c r="EO83" s="387"/>
      <c r="EP83" s="358"/>
      <c r="EQ83" s="387">
        <v>254.41198185659007</v>
      </c>
      <c r="ER83" s="387"/>
      <c r="ES83" s="358"/>
      <c r="ET83" s="387">
        <v>254.41198185659007</v>
      </c>
      <c r="EU83" s="387"/>
      <c r="EV83" s="358"/>
      <c r="EW83" s="387">
        <v>254.41198185659007</v>
      </c>
      <c r="EX83" s="387"/>
      <c r="EY83" s="358"/>
      <c r="EZ83" s="387">
        <v>254.41198185659007</v>
      </c>
      <c r="FA83" s="387"/>
      <c r="FB83" s="358"/>
      <c r="FC83" s="387">
        <v>254.41198185659007</v>
      </c>
      <c r="FD83" s="387"/>
      <c r="FE83" s="358"/>
      <c r="FF83" s="387">
        <v>254.41198185659007</v>
      </c>
      <c r="FG83" s="387"/>
      <c r="FH83" s="358"/>
      <c r="FI83" s="387">
        <v>254.41198185659007</v>
      </c>
      <c r="FJ83" s="387"/>
      <c r="FK83" s="358"/>
      <c r="FL83" s="387">
        <v>254.41198185659007</v>
      </c>
      <c r="FM83" s="387"/>
      <c r="FN83" s="358"/>
      <c r="FO83" s="387">
        <v>254.41198185659007</v>
      </c>
      <c r="FP83" s="387"/>
      <c r="FQ83" s="358"/>
      <c r="FR83" s="387">
        <v>254.41198185659007</v>
      </c>
      <c r="FS83" s="387"/>
      <c r="FT83" s="358"/>
      <c r="FU83" s="387">
        <v>254.41198185659007</v>
      </c>
      <c r="FV83" s="387"/>
      <c r="FW83" s="358"/>
      <c r="FX83" s="387">
        <v>254.41198185659007</v>
      </c>
      <c r="FY83" s="387"/>
      <c r="FZ83" s="358"/>
      <c r="GA83" s="387">
        <v>254.41198185659007</v>
      </c>
      <c r="GB83" s="387"/>
      <c r="GC83" s="358"/>
      <c r="GD83" s="387">
        <v>254.41198185659007</v>
      </c>
      <c r="GE83" s="387"/>
      <c r="GF83" s="358"/>
      <c r="GG83" s="387">
        <v>254.41198185659007</v>
      </c>
      <c r="GH83" s="387"/>
      <c r="GI83" s="358"/>
      <c r="GJ83" s="387">
        <v>254.41198185659007</v>
      </c>
      <c r="GK83" s="387"/>
      <c r="GL83" s="358"/>
      <c r="GM83" s="387">
        <v>254.41198185659007</v>
      </c>
      <c r="GN83" s="387"/>
      <c r="GO83" s="358"/>
      <c r="GP83" s="387">
        <v>254.41198185659007</v>
      </c>
      <c r="GQ83" s="387"/>
      <c r="GR83" s="358"/>
      <c r="GS83" s="387">
        <v>254.41198185659007</v>
      </c>
      <c r="GT83" s="387"/>
      <c r="GU83" s="358"/>
      <c r="GV83" s="387">
        <v>254.41198185659007</v>
      </c>
      <c r="GW83" s="387"/>
      <c r="GX83" s="358"/>
      <c r="GY83" s="387">
        <v>254.41198185659007</v>
      </c>
      <c r="GZ83" s="387"/>
      <c r="HA83" s="358"/>
      <c r="HB83" s="387">
        <v>254.41198185659007</v>
      </c>
      <c r="HC83" s="387"/>
      <c r="HD83" s="358"/>
      <c r="HE83" s="387">
        <v>254.41198185659007</v>
      </c>
      <c r="HF83" s="387"/>
      <c r="HG83" s="358"/>
      <c r="HH83" s="387">
        <v>254.41198185659007</v>
      </c>
      <c r="HI83" s="358"/>
      <c r="HJ83" s="387">
        <v>254.41198185659007</v>
      </c>
      <c r="HK83" s="358"/>
      <c r="HL83" s="387">
        <v>254.41198185659007</v>
      </c>
      <c r="HM83" s="358"/>
      <c r="HN83" s="387">
        <v>254.41198185659007</v>
      </c>
      <c r="HO83" s="358"/>
      <c r="HP83" s="387">
        <v>254.41198185659007</v>
      </c>
      <c r="HQ83" s="358"/>
      <c r="HR83" s="387">
        <v>254.41198185659007</v>
      </c>
      <c r="HS83" s="358"/>
      <c r="HT83" s="387">
        <v>254.41198185659007</v>
      </c>
      <c r="HU83" s="358"/>
      <c r="HV83" s="388">
        <v>254.41198185659007</v>
      </c>
      <c r="HW83" s="425"/>
      <c r="HX83" s="424">
        <v>254.41198185659007</v>
      </c>
      <c r="HY83" s="425"/>
      <c r="HZ83" s="424">
        <v>254.41198185659007</v>
      </c>
      <c r="IA83" s="425"/>
      <c r="IB83" s="424">
        <v>254.41198185659007</v>
      </c>
      <c r="IC83" s="425"/>
      <c r="ID83" s="357">
        <f>VLOOKUP($C83,'[15]Prix accès'!A:D,4,FALSE)</f>
        <v>254.41198185659007</v>
      </c>
      <c r="IE83" s="426"/>
      <c r="IF83" s="357">
        <f>VLOOKUP($C83,'[15]Prix accès'!$A:$D,4,FALSE)</f>
        <v>254.41198185659007</v>
      </c>
      <c r="IG83" s="426"/>
      <c r="IH83" s="357">
        <f>VLOOKUP($C83,'[15]Prix accès'!$A:$D,4,FALSE)</f>
        <v>254.41198185659007</v>
      </c>
      <c r="II83" s="426"/>
      <c r="IJ83" s="462">
        <v>108.43789390608757</v>
      </c>
      <c r="IK83" s="426"/>
      <c r="IL83" s="425"/>
      <c r="IM83" s="427"/>
      <c r="IN83" s="499"/>
      <c r="IO83" s="427"/>
      <c r="IP83" s="496"/>
      <c r="IQ83" s="427"/>
      <c r="IR83" s="429" t="s">
        <v>2828</v>
      </c>
      <c r="IS83" s="364" t="s">
        <v>77</v>
      </c>
      <c r="IT83" s="365">
        <v>43543</v>
      </c>
      <c r="IU83" s="371">
        <v>43556</v>
      </c>
      <c r="IW83" s="372">
        <f t="shared" si="16"/>
        <v>13</v>
      </c>
      <c r="IX83" s="373">
        <f t="shared" si="14"/>
        <v>8.3413764543144282</v>
      </c>
      <c r="IY83" s="394">
        <f t="shared" si="17"/>
        <v>108.43789390608757</v>
      </c>
      <c r="IZ83" s="394"/>
      <c r="JA83" s="394"/>
    </row>
    <row r="84" spans="1:261" s="367" customFormat="1" ht="16.5" customHeight="1" x14ac:dyDescent="0.3">
      <c r="A84" s="401" t="s">
        <v>3315</v>
      </c>
      <c r="B84" s="402" t="s">
        <v>3315</v>
      </c>
      <c r="C84" s="521" t="s">
        <v>3346</v>
      </c>
      <c r="D84" s="885"/>
      <c r="E84" s="886"/>
      <c r="F84" s="886"/>
      <c r="G84" s="886"/>
      <c r="H84" s="887"/>
      <c r="I84" s="853">
        <v>0</v>
      </c>
      <c r="J84" s="833">
        <v>0</v>
      </c>
      <c r="K84" s="833">
        <v>0</v>
      </c>
      <c r="L84" s="833">
        <v>0</v>
      </c>
      <c r="M84" s="833">
        <v>0</v>
      </c>
      <c r="N84" s="833">
        <v>0</v>
      </c>
      <c r="O84" s="833">
        <v>0</v>
      </c>
      <c r="P84" s="833">
        <v>0</v>
      </c>
      <c r="Q84" s="833">
        <v>0</v>
      </c>
      <c r="R84" s="833">
        <v>0</v>
      </c>
      <c r="S84" s="833">
        <v>0</v>
      </c>
      <c r="T84" s="833">
        <v>0</v>
      </c>
      <c r="U84" s="833">
        <v>0</v>
      </c>
      <c r="V84" s="833">
        <v>0</v>
      </c>
      <c r="W84" s="833">
        <v>0</v>
      </c>
      <c r="X84" s="833">
        <v>0</v>
      </c>
      <c r="Y84" s="833">
        <v>0</v>
      </c>
      <c r="Z84" s="833">
        <v>0</v>
      </c>
      <c r="AA84" s="833">
        <v>0</v>
      </c>
      <c r="AB84" s="833">
        <v>0</v>
      </c>
      <c r="AC84" s="833">
        <v>0</v>
      </c>
      <c r="AD84" s="833">
        <v>0</v>
      </c>
      <c r="AE84" s="833">
        <v>0</v>
      </c>
      <c r="AF84" s="833">
        <v>0</v>
      </c>
      <c r="AG84" s="833">
        <v>0</v>
      </c>
      <c r="AH84" s="833">
        <v>0</v>
      </c>
      <c r="AI84" s="833">
        <v>0</v>
      </c>
      <c r="AJ84" s="833">
        <v>0</v>
      </c>
      <c r="AK84" s="833">
        <v>0</v>
      </c>
      <c r="AL84" s="833">
        <v>0</v>
      </c>
      <c r="AM84" s="833">
        <v>0</v>
      </c>
      <c r="AN84" s="833">
        <v>0</v>
      </c>
      <c r="AO84" s="833">
        <v>0</v>
      </c>
      <c r="AP84" s="833">
        <v>0</v>
      </c>
      <c r="AQ84" s="833">
        <v>0</v>
      </c>
      <c r="AR84" s="833">
        <v>0</v>
      </c>
      <c r="AS84" s="833">
        <v>0</v>
      </c>
      <c r="AT84" s="833">
        <v>0</v>
      </c>
      <c r="AU84" s="833">
        <v>0</v>
      </c>
      <c r="AV84" s="833"/>
      <c r="AW84" s="833"/>
      <c r="AX84" s="833"/>
      <c r="AY84" s="833"/>
      <c r="AZ84" s="833"/>
      <c r="BA84" s="455"/>
      <c r="BB84" s="404"/>
      <c r="BC84" s="404"/>
      <c r="BD84" s="455"/>
      <c r="BE84" s="404"/>
      <c r="BF84" s="404"/>
      <c r="BG84" s="455"/>
      <c r="BH84" s="404"/>
      <c r="BI84" s="404"/>
      <c r="BJ84" s="455"/>
      <c r="BK84" s="404"/>
      <c r="BL84" s="404"/>
      <c r="BM84" s="455"/>
      <c r="BN84" s="404"/>
      <c r="BO84" s="404"/>
      <c r="BP84" s="455"/>
      <c r="BQ84" s="404"/>
      <c r="BR84" s="404"/>
      <c r="BS84" s="455"/>
      <c r="BT84" s="404"/>
      <c r="BU84" s="404"/>
      <c r="BV84" s="455"/>
      <c r="BW84" s="404"/>
      <c r="BX84" s="404"/>
      <c r="BY84" s="455"/>
      <c r="BZ84" s="404"/>
      <c r="CA84" s="404"/>
      <c r="CB84" s="455"/>
      <c r="CC84" s="404"/>
      <c r="CD84" s="404"/>
      <c r="CE84" s="455"/>
      <c r="CF84" s="404"/>
      <c r="CG84" s="404"/>
      <c r="CH84" s="455"/>
      <c r="CI84" s="404"/>
      <c r="CJ84" s="404"/>
      <c r="CK84" s="455"/>
      <c r="CL84" s="404"/>
      <c r="CM84" s="404"/>
      <c r="CN84" s="455"/>
      <c r="CO84" s="404"/>
      <c r="CP84" s="404"/>
      <c r="CQ84" s="455"/>
      <c r="CR84" s="404"/>
      <c r="CS84" s="404"/>
      <c r="CT84" s="455"/>
      <c r="CU84" s="404"/>
      <c r="CV84" s="404"/>
      <c r="CW84" s="455"/>
      <c r="CX84" s="404"/>
      <c r="CY84" s="404"/>
      <c r="CZ84" s="455"/>
      <c r="DA84" s="404"/>
      <c r="DB84" s="404"/>
      <c r="DC84" s="455"/>
      <c r="DD84" s="404"/>
      <c r="DE84" s="404"/>
      <c r="DF84" s="455"/>
      <c r="DG84" s="404"/>
      <c r="DH84" s="404"/>
      <c r="DI84" s="455"/>
      <c r="DJ84" s="404"/>
      <c r="DK84" s="404"/>
      <c r="DL84" s="455"/>
      <c r="DM84" s="404"/>
      <c r="DN84" s="404"/>
      <c r="DO84" s="455"/>
      <c r="DP84" s="404"/>
      <c r="DQ84" s="404"/>
      <c r="DR84" s="455"/>
      <c r="DS84" s="404"/>
      <c r="DT84" s="404"/>
      <c r="DU84" s="455"/>
      <c r="DV84" s="404"/>
      <c r="DW84" s="404"/>
      <c r="DX84" s="455"/>
      <c r="DY84" s="404"/>
      <c r="DZ84" s="404"/>
      <c r="EA84" s="455"/>
      <c r="EB84" s="404"/>
      <c r="EC84" s="404"/>
      <c r="ED84" s="455"/>
      <c r="EE84" s="404"/>
      <c r="EF84" s="404"/>
      <c r="EG84" s="455"/>
      <c r="EH84" s="404"/>
      <c r="EI84" s="404"/>
      <c r="EJ84" s="455"/>
      <c r="EK84" s="404"/>
      <c r="EL84" s="404"/>
      <c r="EM84" s="455"/>
      <c r="EN84" s="404"/>
      <c r="EO84" s="404"/>
      <c r="EP84" s="455"/>
      <c r="EQ84" s="404"/>
      <c r="ER84" s="404"/>
      <c r="ES84" s="455"/>
      <c r="ET84" s="404"/>
      <c r="EU84" s="404"/>
      <c r="EV84" s="455"/>
      <c r="EW84" s="404"/>
      <c r="EX84" s="404"/>
      <c r="EY84" s="455"/>
      <c r="EZ84" s="404"/>
      <c r="FA84" s="404"/>
      <c r="FB84" s="455"/>
      <c r="FC84" s="404"/>
      <c r="FD84" s="404"/>
      <c r="FE84" s="455"/>
      <c r="FF84" s="404"/>
      <c r="FG84" s="404"/>
      <c r="FH84" s="455"/>
      <c r="FI84" s="404"/>
      <c r="FJ84" s="404"/>
      <c r="FK84" s="455"/>
      <c r="FL84" s="404"/>
      <c r="FM84" s="404"/>
      <c r="FN84" s="455"/>
      <c r="FO84" s="404"/>
      <c r="FP84" s="404"/>
      <c r="FQ84" s="455"/>
      <c r="FR84" s="404"/>
      <c r="FS84" s="404"/>
      <c r="FT84" s="455"/>
      <c r="FU84" s="404"/>
      <c r="FV84" s="404"/>
      <c r="FW84" s="455"/>
      <c r="FX84" s="404"/>
      <c r="FY84" s="404"/>
      <c r="FZ84" s="455"/>
      <c r="GA84" s="404"/>
      <c r="GB84" s="404"/>
      <c r="GC84" s="455"/>
      <c r="GD84" s="404"/>
      <c r="GE84" s="404"/>
      <c r="GF84" s="455"/>
      <c r="GG84" s="404"/>
      <c r="GH84" s="404"/>
      <c r="GI84" s="455"/>
      <c r="GJ84" s="404"/>
      <c r="GK84" s="404"/>
      <c r="GL84" s="455"/>
      <c r="GM84" s="404">
        <v>0</v>
      </c>
      <c r="GN84" s="404"/>
      <c r="GO84" s="358"/>
      <c r="GP84" s="404">
        <v>0</v>
      </c>
      <c r="GQ84" s="404"/>
      <c r="GR84" s="358"/>
      <c r="GS84" s="404">
        <v>0</v>
      </c>
      <c r="GT84" s="404"/>
      <c r="GU84" s="358"/>
      <c r="GV84" s="404">
        <v>0</v>
      </c>
      <c r="GW84" s="404"/>
      <c r="GX84" s="358"/>
      <c r="GY84" s="404">
        <v>0</v>
      </c>
      <c r="GZ84" s="404"/>
      <c r="HA84" s="358"/>
      <c r="HB84" s="404">
        <v>0</v>
      </c>
      <c r="HC84" s="404"/>
      <c r="HD84" s="358"/>
      <c r="HE84" s="404">
        <v>0</v>
      </c>
      <c r="HF84" s="404"/>
      <c r="HG84" s="358"/>
      <c r="HH84" s="404">
        <v>0</v>
      </c>
      <c r="HI84" s="358"/>
      <c r="HJ84" s="404">
        <v>0</v>
      </c>
      <c r="HK84" s="358"/>
      <c r="HL84" s="386">
        <v>0</v>
      </c>
      <c r="HM84" s="358"/>
      <c r="HN84" s="386">
        <v>0</v>
      </c>
      <c r="HO84" s="358"/>
      <c r="HP84" s="386">
        <v>0</v>
      </c>
      <c r="HQ84" s="358"/>
      <c r="HR84" s="386">
        <v>0</v>
      </c>
      <c r="HS84" s="358"/>
      <c r="HT84" s="387">
        <v>1564.4564263010345</v>
      </c>
      <c r="HU84" s="358"/>
      <c r="HV84" s="388">
        <v>1564.4564263010345</v>
      </c>
      <c r="HW84" s="522"/>
      <c r="HX84" s="523">
        <v>1564.4564263010345</v>
      </c>
      <c r="HY84" s="522"/>
      <c r="HZ84" s="523">
        <v>1564.4564263010345</v>
      </c>
      <c r="IA84" s="522"/>
      <c r="IB84" s="523">
        <v>1564.4564263010345</v>
      </c>
      <c r="IC84" s="522"/>
      <c r="ID84" s="357">
        <f>VLOOKUP($C84,'[15]Prix accès'!A:D,4,FALSE)</f>
        <v>0</v>
      </c>
      <c r="IE84" s="426"/>
      <c r="IF84" s="357">
        <f>VLOOKUP($C84,'[15]Prix accès'!$A:$D,4,FALSE)</f>
        <v>0</v>
      </c>
      <c r="IG84" s="426"/>
      <c r="IH84" s="357">
        <f>VLOOKUP($C84,'[15]Prix accès'!$A:$D,4,FALSE)</f>
        <v>0</v>
      </c>
      <c r="II84" s="426"/>
      <c r="IJ84" s="462">
        <v>615.52383985614472</v>
      </c>
      <c r="IK84" s="426"/>
      <c r="IL84" s="458"/>
      <c r="IM84" s="426"/>
      <c r="IN84" s="496"/>
      <c r="IO84" s="427"/>
      <c r="IP84" s="496"/>
      <c r="IQ84" s="427"/>
      <c r="IR84" s="429" t="s">
        <v>3347</v>
      </c>
      <c r="IS84" s="364" t="s">
        <v>77</v>
      </c>
      <c r="IT84" s="365">
        <v>43544</v>
      </c>
      <c r="IU84" s="371">
        <v>43556</v>
      </c>
      <c r="IW84" s="372">
        <f t="shared" si="16"/>
        <v>12</v>
      </c>
      <c r="IX84" s="373">
        <f t="shared" si="14"/>
        <v>0</v>
      </c>
      <c r="IY84" s="394">
        <f t="shared" si="17"/>
        <v>0</v>
      </c>
      <c r="IZ84" s="394"/>
      <c r="JA84" s="394"/>
    </row>
    <row r="85" spans="1:261" s="367" customFormat="1" ht="16.5" customHeight="1" x14ac:dyDescent="0.3">
      <c r="A85" s="401" t="s">
        <v>3315</v>
      </c>
      <c r="B85" s="402" t="s">
        <v>3315</v>
      </c>
      <c r="C85" s="434" t="s">
        <v>3348</v>
      </c>
      <c r="D85" s="856"/>
      <c r="E85" s="751"/>
      <c r="F85" s="751"/>
      <c r="G85" s="751"/>
      <c r="H85" s="857"/>
      <c r="I85" s="853">
        <v>0</v>
      </c>
      <c r="J85" s="833">
        <v>0</v>
      </c>
      <c r="K85" s="833">
        <v>0</v>
      </c>
      <c r="L85" s="833">
        <v>0</v>
      </c>
      <c r="M85" s="833">
        <v>0</v>
      </c>
      <c r="N85" s="833">
        <v>0</v>
      </c>
      <c r="O85" s="833">
        <v>0</v>
      </c>
      <c r="P85" s="833">
        <v>0</v>
      </c>
      <c r="Q85" s="833">
        <v>0</v>
      </c>
      <c r="R85" s="833">
        <v>0</v>
      </c>
      <c r="S85" s="833">
        <v>0</v>
      </c>
      <c r="T85" s="833">
        <v>0</v>
      </c>
      <c r="U85" s="833">
        <v>0</v>
      </c>
      <c r="V85" s="833">
        <v>0</v>
      </c>
      <c r="W85" s="833">
        <v>0</v>
      </c>
      <c r="X85" s="833">
        <v>0</v>
      </c>
      <c r="Y85" s="833">
        <v>0</v>
      </c>
      <c r="Z85" s="833">
        <v>0</v>
      </c>
      <c r="AA85" s="833">
        <v>0</v>
      </c>
      <c r="AB85" s="833">
        <v>0</v>
      </c>
      <c r="AC85" s="833">
        <v>0</v>
      </c>
      <c r="AD85" s="833">
        <v>0</v>
      </c>
      <c r="AE85" s="833">
        <v>0</v>
      </c>
      <c r="AF85" s="833">
        <v>0</v>
      </c>
      <c r="AG85" s="833">
        <v>0</v>
      </c>
      <c r="AH85" s="833">
        <v>0</v>
      </c>
      <c r="AI85" s="833">
        <v>0</v>
      </c>
      <c r="AJ85" s="833">
        <v>0</v>
      </c>
      <c r="AK85" s="833">
        <v>0</v>
      </c>
      <c r="AL85" s="833">
        <v>0</v>
      </c>
      <c r="AM85" s="833">
        <v>0</v>
      </c>
      <c r="AN85" s="833">
        <v>0</v>
      </c>
      <c r="AO85" s="833">
        <v>0</v>
      </c>
      <c r="AP85" s="833">
        <v>0</v>
      </c>
      <c r="AQ85" s="833">
        <v>0</v>
      </c>
      <c r="AR85" s="833">
        <v>0</v>
      </c>
      <c r="AS85" s="833">
        <v>0</v>
      </c>
      <c r="AT85" s="833">
        <v>0</v>
      </c>
      <c r="AU85" s="833">
        <v>0</v>
      </c>
      <c r="AV85" s="833">
        <v>0</v>
      </c>
      <c r="AW85" s="833">
        <v>0</v>
      </c>
      <c r="AX85" s="833"/>
      <c r="AY85" s="833">
        <v>0</v>
      </c>
      <c r="AZ85" s="833">
        <v>0</v>
      </c>
      <c r="BA85" s="455"/>
      <c r="BB85" s="404">
        <v>0</v>
      </c>
      <c r="BC85" s="404">
        <v>0</v>
      </c>
      <c r="BD85" s="455"/>
      <c r="BE85" s="404">
        <v>0</v>
      </c>
      <c r="BF85" s="404">
        <v>0</v>
      </c>
      <c r="BG85" s="455"/>
      <c r="BH85" s="404">
        <v>0</v>
      </c>
      <c r="BI85" s="404">
        <v>0</v>
      </c>
      <c r="BJ85" s="455"/>
      <c r="BK85" s="404">
        <v>0</v>
      </c>
      <c r="BL85" s="404">
        <v>0</v>
      </c>
      <c r="BM85" s="455"/>
      <c r="BN85" s="404">
        <v>0</v>
      </c>
      <c r="BO85" s="404">
        <v>0</v>
      </c>
      <c r="BP85" s="455"/>
      <c r="BQ85" s="404">
        <v>0</v>
      </c>
      <c r="BR85" s="404">
        <v>0</v>
      </c>
      <c r="BS85" s="455"/>
      <c r="BT85" s="404">
        <v>0</v>
      </c>
      <c r="BU85" s="404">
        <v>0</v>
      </c>
      <c r="BV85" s="455"/>
      <c r="BW85" s="404">
        <v>0</v>
      </c>
      <c r="BX85" s="404">
        <v>0</v>
      </c>
      <c r="BY85" s="455"/>
      <c r="BZ85" s="404">
        <v>0</v>
      </c>
      <c r="CA85" s="404">
        <v>0</v>
      </c>
      <c r="CB85" s="455"/>
      <c r="CC85" s="404">
        <v>0</v>
      </c>
      <c r="CD85" s="404">
        <v>0</v>
      </c>
      <c r="CE85" s="455"/>
      <c r="CF85" s="404">
        <v>0</v>
      </c>
      <c r="CG85" s="404">
        <v>0</v>
      </c>
      <c r="CH85" s="455"/>
      <c r="CI85" s="404">
        <v>0</v>
      </c>
      <c r="CJ85" s="404">
        <v>0</v>
      </c>
      <c r="CK85" s="455"/>
      <c r="CL85" s="385">
        <v>1081.2564263010345</v>
      </c>
      <c r="CM85" s="385">
        <f>5</f>
        <v>5</v>
      </c>
      <c r="CN85" s="358"/>
      <c r="CO85" s="385">
        <v>1081.2564263010345</v>
      </c>
      <c r="CP85" s="385">
        <f>5</f>
        <v>5</v>
      </c>
      <c r="CQ85" s="358"/>
      <c r="CR85" s="385">
        <v>1081.2564263010345</v>
      </c>
      <c r="CS85" s="385">
        <f>5</f>
        <v>5</v>
      </c>
      <c r="CT85" s="358"/>
      <c r="CU85" s="385">
        <v>1081.2564263010345</v>
      </c>
      <c r="CV85" s="385">
        <f>5</f>
        <v>5</v>
      </c>
      <c r="CW85" s="358"/>
      <c r="CX85" s="385">
        <v>1081.2564263010345</v>
      </c>
      <c r="CY85" s="385">
        <f>5</f>
        <v>5</v>
      </c>
      <c r="CZ85" s="358"/>
      <c r="DA85" s="385">
        <v>1081.2564263010345</v>
      </c>
      <c r="DB85" s="385">
        <f>5</f>
        <v>5</v>
      </c>
      <c r="DC85" s="358"/>
      <c r="DD85" s="385">
        <v>1081.2564263010345</v>
      </c>
      <c r="DE85" s="385">
        <f>5</f>
        <v>5</v>
      </c>
      <c r="DF85" s="358"/>
      <c r="DG85" s="385">
        <v>1081.2564263010345</v>
      </c>
      <c r="DH85" s="385">
        <f>5</f>
        <v>5</v>
      </c>
      <c r="DI85" s="358"/>
      <c r="DJ85" s="385">
        <v>1081.2564263010345</v>
      </c>
      <c r="DK85" s="385">
        <f>5</f>
        <v>5</v>
      </c>
      <c r="DL85" s="358"/>
      <c r="DM85" s="385">
        <v>1081.2564263010345</v>
      </c>
      <c r="DN85" s="385">
        <f>5</f>
        <v>5</v>
      </c>
      <c r="DO85" s="358"/>
      <c r="DP85" s="385">
        <v>1081.2564263010345</v>
      </c>
      <c r="DQ85" s="385">
        <f>5</f>
        <v>5</v>
      </c>
      <c r="DR85" s="358"/>
      <c r="DS85" s="385">
        <v>1081.2564263010345</v>
      </c>
      <c r="DT85" s="385">
        <f>5</f>
        <v>5</v>
      </c>
      <c r="DU85" s="358"/>
      <c r="DV85" s="385">
        <v>1081.2564263010345</v>
      </c>
      <c r="DW85" s="385">
        <f>5</f>
        <v>5</v>
      </c>
      <c r="DX85" s="358"/>
      <c r="DY85" s="385">
        <v>1081.2564263010345</v>
      </c>
      <c r="DZ85" s="385">
        <f>5</f>
        <v>5</v>
      </c>
      <c r="EA85" s="358"/>
      <c r="EB85" s="385">
        <v>1081.2564263010345</v>
      </c>
      <c r="EC85" s="385">
        <f>5</f>
        <v>5</v>
      </c>
      <c r="ED85" s="358"/>
      <c r="EE85" s="385">
        <v>1081.2564263010345</v>
      </c>
      <c r="EF85" s="385">
        <f>5</f>
        <v>5</v>
      </c>
      <c r="EG85" s="358"/>
      <c r="EH85" s="385">
        <v>1081.2564263010345</v>
      </c>
      <c r="EI85" s="385">
        <f>5</f>
        <v>5</v>
      </c>
      <c r="EJ85" s="358"/>
      <c r="EK85" s="385">
        <v>1081.2564263010345</v>
      </c>
      <c r="EL85" s="385">
        <f>5</f>
        <v>5</v>
      </c>
      <c r="EM85" s="358"/>
      <c r="EN85" s="385">
        <v>1081.2564263010345</v>
      </c>
      <c r="EO85" s="385">
        <f>5</f>
        <v>5</v>
      </c>
      <c r="EP85" s="358"/>
      <c r="EQ85" s="385">
        <v>1081.2564263010345</v>
      </c>
      <c r="ER85" s="385">
        <f>5</f>
        <v>5</v>
      </c>
      <c r="ES85" s="358"/>
      <c r="ET85" s="385">
        <v>1081.2564263010345</v>
      </c>
      <c r="EU85" s="385">
        <f>5</f>
        <v>5</v>
      </c>
      <c r="EV85" s="358"/>
      <c r="EW85" s="385">
        <v>1081.2564263010345</v>
      </c>
      <c r="EX85" s="385">
        <f>5</f>
        <v>5</v>
      </c>
      <c r="EY85" s="358"/>
      <c r="EZ85" s="385">
        <v>1081.2564263010345</v>
      </c>
      <c r="FA85" s="385">
        <f>5</f>
        <v>5</v>
      </c>
      <c r="FB85" s="358"/>
      <c r="FC85" s="385">
        <v>1081.2564263010345</v>
      </c>
      <c r="FD85" s="385">
        <f>5</f>
        <v>5</v>
      </c>
      <c r="FE85" s="358"/>
      <c r="FF85" s="385">
        <v>1081.2564263010345</v>
      </c>
      <c r="FG85" s="385">
        <f>5</f>
        <v>5</v>
      </c>
      <c r="FH85" s="358"/>
      <c r="FI85" s="385">
        <v>1081.2564263010345</v>
      </c>
      <c r="FJ85" s="385">
        <f>5</f>
        <v>5</v>
      </c>
      <c r="FK85" s="358"/>
      <c r="FL85" s="385">
        <v>1081.2564263010345</v>
      </c>
      <c r="FM85" s="385">
        <f>5</f>
        <v>5</v>
      </c>
      <c r="FN85" s="358"/>
      <c r="FO85" s="385">
        <v>1081.2564263010345</v>
      </c>
      <c r="FP85" s="385">
        <f>5</f>
        <v>5</v>
      </c>
      <c r="FQ85" s="358"/>
      <c r="FR85" s="385">
        <v>1081.2564263010345</v>
      </c>
      <c r="FS85" s="385">
        <f>5</f>
        <v>5</v>
      </c>
      <c r="FT85" s="358"/>
      <c r="FU85" s="385">
        <v>1081.2564263010345</v>
      </c>
      <c r="FV85" s="385">
        <f>5</f>
        <v>5</v>
      </c>
      <c r="FW85" s="358"/>
      <c r="FX85" s="385">
        <v>1081.2564263010345</v>
      </c>
      <c r="FY85" s="385">
        <f>5</f>
        <v>5</v>
      </c>
      <c r="FZ85" s="358"/>
      <c r="GA85" s="385">
        <v>1081.2564263010345</v>
      </c>
      <c r="GB85" s="385">
        <f>5</f>
        <v>5</v>
      </c>
      <c r="GC85" s="358"/>
      <c r="GD85" s="385">
        <v>1081.2564263010345</v>
      </c>
      <c r="GE85" s="385">
        <f>5</f>
        <v>5</v>
      </c>
      <c r="GF85" s="358"/>
      <c r="GG85" s="385">
        <v>1081.2564263010345</v>
      </c>
      <c r="GH85" s="385">
        <f>5</f>
        <v>5</v>
      </c>
      <c r="GI85" s="358"/>
      <c r="GJ85" s="385">
        <v>1081.2564263010345</v>
      </c>
      <c r="GK85" s="385">
        <f>5</f>
        <v>5</v>
      </c>
      <c r="GL85" s="358"/>
      <c r="GM85" s="385">
        <v>1081.2564263010345</v>
      </c>
      <c r="GN85" s="385">
        <f>5</f>
        <v>5</v>
      </c>
      <c r="GO85" s="358"/>
      <c r="GP85" s="385">
        <v>1081.2564263010345</v>
      </c>
      <c r="GQ85" s="385">
        <f>5</f>
        <v>5</v>
      </c>
      <c r="GR85" s="358"/>
      <c r="GS85" s="385">
        <v>1081.2564263010345</v>
      </c>
      <c r="GT85" s="385">
        <f>5</f>
        <v>5</v>
      </c>
      <c r="GU85" s="358"/>
      <c r="GV85" s="385">
        <v>1081.2564263010345</v>
      </c>
      <c r="GW85" s="385">
        <f>5</f>
        <v>5</v>
      </c>
      <c r="GX85" s="358"/>
      <c r="GY85" s="385">
        <v>1081.2564263010345</v>
      </c>
      <c r="GZ85" s="385">
        <f>5</f>
        <v>5</v>
      </c>
      <c r="HA85" s="358"/>
      <c r="HB85" s="385">
        <v>1081.2564263010345</v>
      </c>
      <c r="HC85" s="385">
        <f>5</f>
        <v>5</v>
      </c>
      <c r="HD85" s="358"/>
      <c r="HE85" s="387">
        <v>1081.2564263010345</v>
      </c>
      <c r="HF85" s="386">
        <f>5*6</f>
        <v>30</v>
      </c>
      <c r="HG85" s="358"/>
      <c r="HH85" s="387">
        <v>1081.2564263010345</v>
      </c>
      <c r="HI85" s="358"/>
      <c r="HJ85" s="387">
        <v>1081.2564263010345</v>
      </c>
      <c r="HK85" s="358"/>
      <c r="HL85" s="387">
        <v>1081.2564263010345</v>
      </c>
      <c r="HM85" s="358"/>
      <c r="HN85" s="387">
        <v>1081.2564263010345</v>
      </c>
      <c r="HO85" s="358"/>
      <c r="HP85" s="387">
        <v>1081.2564263010345</v>
      </c>
      <c r="HQ85" s="358"/>
      <c r="HR85" s="387">
        <v>1081.2564263010345</v>
      </c>
      <c r="HS85" s="358"/>
      <c r="HT85" s="387">
        <v>1081.2564263010345</v>
      </c>
      <c r="HU85" s="358"/>
      <c r="HV85" s="388">
        <v>1081.2564263010345</v>
      </c>
      <c r="HW85" s="425"/>
      <c r="HX85" s="424">
        <v>1081.2564263010345</v>
      </c>
      <c r="HY85" s="425"/>
      <c r="HZ85" s="424">
        <v>1081.2564263010345</v>
      </c>
      <c r="IA85" s="425"/>
      <c r="IB85" s="424">
        <v>1081.2564263010345</v>
      </c>
      <c r="IC85" s="425"/>
      <c r="ID85" s="357">
        <f>VLOOKUP($C85,'[15]Prix accès'!A:D,4,FALSE)</f>
        <v>1081.2564263010345</v>
      </c>
      <c r="IE85" s="426"/>
      <c r="IF85" s="357">
        <f>VLOOKUP($C85,'[15]Prix accès'!$A:$D,4,FALSE)</f>
        <v>1081.2564263010345</v>
      </c>
      <c r="IG85" s="426"/>
      <c r="IH85" s="357">
        <f>VLOOKUP($C85,'[15]Prix accès'!$A:$D,4,FALSE)</f>
        <v>1081.2564263010345</v>
      </c>
      <c r="II85" s="426"/>
      <c r="IJ85" s="457">
        <v>389.96133407578293</v>
      </c>
      <c r="IK85" s="426"/>
      <c r="IL85" s="458"/>
      <c r="IM85" s="426"/>
      <c r="IN85" s="496"/>
      <c r="IO85" s="427"/>
      <c r="IP85" s="496"/>
      <c r="IQ85" s="427"/>
      <c r="IR85" s="429" t="s">
        <v>3103</v>
      </c>
      <c r="IS85" s="364" t="s">
        <v>77</v>
      </c>
      <c r="IT85" s="365">
        <v>43545</v>
      </c>
      <c r="IU85" s="371">
        <v>43556</v>
      </c>
      <c r="IW85" s="372">
        <f t="shared" si="16"/>
        <v>11</v>
      </c>
      <c r="IX85" s="373">
        <f t="shared" si="14"/>
        <v>35.451030370525721</v>
      </c>
      <c r="IY85" s="394">
        <f t="shared" si="17"/>
        <v>389.96133407578293</v>
      </c>
      <c r="IZ85" s="394"/>
      <c r="JA85" s="394"/>
    </row>
    <row r="86" spans="1:261" s="367" customFormat="1" ht="16.5" customHeight="1" x14ac:dyDescent="0.3">
      <c r="A86" s="354" t="s">
        <v>2743</v>
      </c>
      <c r="B86" s="465" t="s">
        <v>2791</v>
      </c>
      <c r="C86" s="993" t="s">
        <v>1369</v>
      </c>
      <c r="D86" s="467">
        <v>1454</v>
      </c>
      <c r="E86" s="468">
        <v>95</v>
      </c>
      <c r="F86" s="468">
        <v>16</v>
      </c>
      <c r="G86" s="468">
        <v>36</v>
      </c>
      <c r="H86" s="469">
        <v>0</v>
      </c>
      <c r="I86" s="858">
        <f>(1564+2748)</f>
        <v>4312</v>
      </c>
      <c r="J86" s="859">
        <f>(36+264)</f>
        <v>300</v>
      </c>
      <c r="K86" s="827"/>
      <c r="L86" s="835">
        <v>1335.4564263010345</v>
      </c>
      <c r="M86" s="835">
        <f>14</f>
        <v>14</v>
      </c>
      <c r="N86" s="827"/>
      <c r="O86" s="835">
        <v>1335.4564263010345</v>
      </c>
      <c r="P86" s="835">
        <f>14</f>
        <v>14</v>
      </c>
      <c r="Q86" s="827"/>
      <c r="R86" s="835">
        <v>1335.4564263010345</v>
      </c>
      <c r="S86" s="835">
        <f>14</f>
        <v>14</v>
      </c>
      <c r="T86" s="827"/>
      <c r="U86" s="835">
        <v>1335.4564263010345</v>
      </c>
      <c r="V86" s="835">
        <f>14</f>
        <v>14</v>
      </c>
      <c r="W86" s="827"/>
      <c r="X86" s="835">
        <v>1335.4564263010345</v>
      </c>
      <c r="Y86" s="835">
        <f>14</f>
        <v>14</v>
      </c>
      <c r="Z86" s="827"/>
      <c r="AA86" s="835">
        <v>1335.4564263010345</v>
      </c>
      <c r="AB86" s="835">
        <f>14</f>
        <v>14</v>
      </c>
      <c r="AC86" s="827"/>
      <c r="AD86" s="835">
        <v>1335.4564263010345</v>
      </c>
      <c r="AE86" s="835">
        <f>14</f>
        <v>14</v>
      </c>
      <c r="AF86" s="827"/>
      <c r="AG86" s="835">
        <v>1335.4564263010345</v>
      </c>
      <c r="AH86" s="835">
        <f>14</f>
        <v>14</v>
      </c>
      <c r="AI86" s="827"/>
      <c r="AJ86" s="835">
        <v>1335.4564263010345</v>
      </c>
      <c r="AK86" s="835">
        <f>14</f>
        <v>14</v>
      </c>
      <c r="AL86" s="827"/>
      <c r="AM86" s="835">
        <v>1335.4564263010345</v>
      </c>
      <c r="AN86" s="835">
        <f>14</f>
        <v>14</v>
      </c>
      <c r="AO86" s="827"/>
      <c r="AP86" s="835">
        <v>1335.4564263010345</v>
      </c>
      <c r="AQ86" s="835">
        <f>14</f>
        <v>14</v>
      </c>
      <c r="AR86" s="827"/>
      <c r="AS86" s="835">
        <v>1335.4564263010345</v>
      </c>
      <c r="AT86" s="835">
        <f>14</f>
        <v>14</v>
      </c>
      <c r="AU86" s="827"/>
      <c r="AV86" s="835">
        <v>1335.4564263010345</v>
      </c>
      <c r="AW86" s="835">
        <f>14</f>
        <v>14</v>
      </c>
      <c r="AX86" s="827"/>
      <c r="AY86" s="835">
        <v>1335.4564263010345</v>
      </c>
      <c r="AZ86" s="835">
        <f>14</f>
        <v>14</v>
      </c>
      <c r="BA86" s="358"/>
      <c r="BB86" s="384">
        <v>1335.4564263010345</v>
      </c>
      <c r="BC86" s="384">
        <f>14</f>
        <v>14</v>
      </c>
      <c r="BD86" s="358"/>
      <c r="BE86" s="384">
        <v>1335.4564263010345</v>
      </c>
      <c r="BF86" s="384">
        <f>14</f>
        <v>14</v>
      </c>
      <c r="BG86" s="358"/>
      <c r="BH86" s="384">
        <v>1335.4564263010345</v>
      </c>
      <c r="BI86" s="384">
        <f>14</f>
        <v>14</v>
      </c>
      <c r="BJ86" s="472"/>
      <c r="BK86" s="385">
        <v>1335.4564263010345</v>
      </c>
      <c r="BL86" s="385">
        <f>14</f>
        <v>14</v>
      </c>
      <c r="BM86" s="358"/>
      <c r="BN86" s="385">
        <v>1335.4564263010345</v>
      </c>
      <c r="BO86" s="385">
        <f>14</f>
        <v>14</v>
      </c>
      <c r="BP86" s="358"/>
      <c r="BQ86" s="385">
        <v>1335.4564263010345</v>
      </c>
      <c r="BR86" s="385">
        <f>14</f>
        <v>14</v>
      </c>
      <c r="BS86" s="358"/>
      <c r="BT86" s="385">
        <v>1335.4564263010345</v>
      </c>
      <c r="BU86" s="385">
        <f>14</f>
        <v>14</v>
      </c>
      <c r="BV86" s="358"/>
      <c r="BW86" s="385">
        <v>1335.4564263010345</v>
      </c>
      <c r="BX86" s="385">
        <f>14</f>
        <v>14</v>
      </c>
      <c r="BY86" s="358"/>
      <c r="BZ86" s="385">
        <v>1335.4564263010345</v>
      </c>
      <c r="CA86" s="385">
        <f>14</f>
        <v>14</v>
      </c>
      <c r="CB86" s="358"/>
      <c r="CC86" s="385">
        <v>1335.4564263010345</v>
      </c>
      <c r="CD86" s="385">
        <f>14</f>
        <v>14</v>
      </c>
      <c r="CE86" s="358"/>
      <c r="CF86" s="385">
        <v>1335.4564263010345</v>
      </c>
      <c r="CG86" s="385">
        <f>14</f>
        <v>14</v>
      </c>
      <c r="CH86" s="358"/>
      <c r="CI86" s="385">
        <v>1335.4564263010345</v>
      </c>
      <c r="CJ86" s="385">
        <f>14</f>
        <v>14</v>
      </c>
      <c r="CK86" s="358"/>
      <c r="CL86" s="385">
        <v>1335.4564263010345</v>
      </c>
      <c r="CM86" s="385">
        <f>14</f>
        <v>14</v>
      </c>
      <c r="CN86" s="358"/>
      <c r="CO86" s="385">
        <v>1335.4564263010345</v>
      </c>
      <c r="CP86" s="385">
        <f>14</f>
        <v>14</v>
      </c>
      <c r="CQ86" s="358"/>
      <c r="CR86" s="385">
        <v>1335.4564263010345</v>
      </c>
      <c r="CS86" s="385">
        <f>14</f>
        <v>14</v>
      </c>
      <c r="CT86" s="358"/>
      <c r="CU86" s="385">
        <v>1335.4564263010345</v>
      </c>
      <c r="CV86" s="385">
        <f>14</f>
        <v>14</v>
      </c>
      <c r="CW86" s="358"/>
      <c r="CX86" s="385">
        <v>1335.4564263010345</v>
      </c>
      <c r="CY86" s="385">
        <f>14</f>
        <v>14</v>
      </c>
      <c r="CZ86" s="358"/>
      <c r="DA86" s="385">
        <v>1335.4564263010345</v>
      </c>
      <c r="DB86" s="385">
        <f>14</f>
        <v>14</v>
      </c>
      <c r="DC86" s="358"/>
      <c r="DD86" s="385">
        <v>1335.4564263010345</v>
      </c>
      <c r="DE86" s="385">
        <f>14</f>
        <v>14</v>
      </c>
      <c r="DF86" s="358"/>
      <c r="DG86" s="385">
        <v>1335.4564263010345</v>
      </c>
      <c r="DH86" s="385">
        <f>14</f>
        <v>14</v>
      </c>
      <c r="DI86" s="358"/>
      <c r="DJ86" s="385">
        <v>1335.4564263010345</v>
      </c>
      <c r="DK86" s="385">
        <f>14</f>
        <v>14</v>
      </c>
      <c r="DL86" s="358"/>
      <c r="DM86" s="385">
        <v>1335.4564263010345</v>
      </c>
      <c r="DN86" s="385">
        <f>14</f>
        <v>14</v>
      </c>
      <c r="DO86" s="358"/>
      <c r="DP86" s="385">
        <v>1335.4564263010345</v>
      </c>
      <c r="DQ86" s="385">
        <f>14</f>
        <v>14</v>
      </c>
      <c r="DR86" s="358"/>
      <c r="DS86" s="385">
        <v>1335.4564263010345</v>
      </c>
      <c r="DT86" s="385">
        <f>14</f>
        <v>14</v>
      </c>
      <c r="DU86" s="358"/>
      <c r="DV86" s="385">
        <v>1335.4564263010345</v>
      </c>
      <c r="DW86" s="385">
        <f>14</f>
        <v>14</v>
      </c>
      <c r="DX86" s="358"/>
      <c r="DY86" s="385">
        <v>1335.4564263010345</v>
      </c>
      <c r="DZ86" s="385">
        <f>14</f>
        <v>14</v>
      </c>
      <c r="EA86" s="358"/>
      <c r="EB86" s="385">
        <v>1335.4564263010345</v>
      </c>
      <c r="EC86" s="385">
        <f>14</f>
        <v>14</v>
      </c>
      <c r="ED86" s="358"/>
      <c r="EE86" s="385">
        <v>1335.4564263010345</v>
      </c>
      <c r="EF86" s="385">
        <f>14</f>
        <v>14</v>
      </c>
      <c r="EG86" s="358"/>
      <c r="EH86" s="385">
        <v>1335.4564263010345</v>
      </c>
      <c r="EI86" s="385">
        <f>14</f>
        <v>14</v>
      </c>
      <c r="EJ86" s="358"/>
      <c r="EK86" s="385">
        <v>1335.4564263010345</v>
      </c>
      <c r="EL86" s="385">
        <f>14</f>
        <v>14</v>
      </c>
      <c r="EM86" s="358"/>
      <c r="EN86" s="385">
        <v>1335.4564263010345</v>
      </c>
      <c r="EO86" s="385">
        <f>14</f>
        <v>14</v>
      </c>
      <c r="EP86" s="358"/>
      <c r="EQ86" s="385">
        <v>1335.4564263010345</v>
      </c>
      <c r="ER86" s="385">
        <f>14</f>
        <v>14</v>
      </c>
      <c r="ES86" s="358"/>
      <c r="ET86" s="385">
        <v>1335.4564263010345</v>
      </c>
      <c r="EU86" s="385">
        <f>14</f>
        <v>14</v>
      </c>
      <c r="EV86" s="358"/>
      <c r="EW86" s="385">
        <v>1335.4564263010345</v>
      </c>
      <c r="EX86" s="385">
        <f>14</f>
        <v>14</v>
      </c>
      <c r="EY86" s="358"/>
      <c r="EZ86" s="385">
        <v>1335.4564263010345</v>
      </c>
      <c r="FA86" s="385">
        <f>14</f>
        <v>14</v>
      </c>
      <c r="FB86" s="358"/>
      <c r="FC86" s="385">
        <v>1335.4564263010345</v>
      </c>
      <c r="FD86" s="385">
        <f>14</f>
        <v>14</v>
      </c>
      <c r="FE86" s="358"/>
      <c r="FF86" s="385">
        <v>1335.4564263010345</v>
      </c>
      <c r="FG86" s="385">
        <f>14</f>
        <v>14</v>
      </c>
      <c r="FH86" s="358"/>
      <c r="FI86" s="385">
        <v>1335.4564263010345</v>
      </c>
      <c r="FJ86" s="385">
        <f>14</f>
        <v>14</v>
      </c>
      <c r="FK86" s="358"/>
      <c r="FL86" s="385">
        <v>1335.4564263010345</v>
      </c>
      <c r="FM86" s="385">
        <f>14</f>
        <v>14</v>
      </c>
      <c r="FN86" s="358"/>
      <c r="FO86" s="385">
        <v>1335.4564263010345</v>
      </c>
      <c r="FP86" s="385">
        <f>14</f>
        <v>14</v>
      </c>
      <c r="FQ86" s="358"/>
      <c r="FR86" s="385">
        <v>1335.4564263010345</v>
      </c>
      <c r="FS86" s="385">
        <f>14</f>
        <v>14</v>
      </c>
      <c r="FT86" s="358"/>
      <c r="FU86" s="385">
        <v>1335.4564263010345</v>
      </c>
      <c r="FV86" s="385">
        <f>14</f>
        <v>14</v>
      </c>
      <c r="FW86" s="358"/>
      <c r="FX86" s="385">
        <v>1335.4564263010345</v>
      </c>
      <c r="FY86" s="385">
        <f>14</f>
        <v>14</v>
      </c>
      <c r="FZ86" s="358"/>
      <c r="GA86" s="385">
        <v>1335.4564263010345</v>
      </c>
      <c r="GB86" s="385">
        <f>14</f>
        <v>14</v>
      </c>
      <c r="GC86" s="358"/>
      <c r="GD86" s="385">
        <v>1335.4564263010345</v>
      </c>
      <c r="GE86" s="385">
        <f>14</f>
        <v>14</v>
      </c>
      <c r="GF86" s="358"/>
      <c r="GG86" s="385">
        <v>1335.4564263010345</v>
      </c>
      <c r="GH86" s="385">
        <f>14</f>
        <v>14</v>
      </c>
      <c r="GI86" s="358"/>
      <c r="GJ86" s="385">
        <v>1335.4564263010345</v>
      </c>
      <c r="GK86" s="385">
        <f>14</f>
        <v>14</v>
      </c>
      <c r="GL86" s="358"/>
      <c r="GM86" s="385">
        <v>1335.4564263010345</v>
      </c>
      <c r="GN86" s="385">
        <f>14</f>
        <v>14</v>
      </c>
      <c r="GO86" s="358"/>
      <c r="GP86" s="385">
        <v>1335.4564263010345</v>
      </c>
      <c r="GQ86" s="385">
        <f>14</f>
        <v>14</v>
      </c>
      <c r="GR86" s="358"/>
      <c r="GS86" s="385">
        <v>1335.4564263010345</v>
      </c>
      <c r="GT86" s="385">
        <f>14</f>
        <v>14</v>
      </c>
      <c r="GU86" s="358"/>
      <c r="GV86" s="385">
        <v>1335.4564263010345</v>
      </c>
      <c r="GW86" s="385">
        <f>14</f>
        <v>14</v>
      </c>
      <c r="GX86" s="358"/>
      <c r="GY86" s="385">
        <v>1335.4564263010345</v>
      </c>
      <c r="GZ86" s="385">
        <f>14</f>
        <v>14</v>
      </c>
      <c r="HA86" s="358"/>
      <c r="HB86" s="385">
        <v>1335.4564263010345</v>
      </c>
      <c r="HC86" s="385">
        <f>14</f>
        <v>14</v>
      </c>
      <c r="HD86" s="358"/>
      <c r="HE86" s="387">
        <v>1335.4564263010345</v>
      </c>
      <c r="HF86" s="386">
        <f>14*6</f>
        <v>84</v>
      </c>
      <c r="HG86" s="358"/>
      <c r="HH86" s="387">
        <v>1335.4564263010345</v>
      </c>
      <c r="HI86" s="358"/>
      <c r="HJ86" s="387">
        <v>1335.4564263010345</v>
      </c>
      <c r="HK86" s="358"/>
      <c r="HL86" s="387">
        <v>1335.4564263010345</v>
      </c>
      <c r="HM86" s="358"/>
      <c r="HN86" s="387">
        <v>1335.4564263010345</v>
      </c>
      <c r="HO86" s="358"/>
      <c r="HP86" s="387">
        <v>1335.4564263010345</v>
      </c>
      <c r="HQ86" s="358"/>
      <c r="HR86" s="387">
        <v>1335.4564263010345</v>
      </c>
      <c r="HS86" s="358"/>
      <c r="HT86" s="387">
        <v>1335.4564263010345</v>
      </c>
      <c r="HU86" s="358"/>
      <c r="HV86" s="388">
        <v>1335.4564263010345</v>
      </c>
      <c r="HW86" s="425"/>
      <c r="HX86" s="424">
        <v>1335.4564263010345</v>
      </c>
      <c r="HY86" s="425"/>
      <c r="HZ86" s="424">
        <v>1335.4564263010345</v>
      </c>
      <c r="IA86" s="425"/>
      <c r="IB86" s="424">
        <v>1335.4564263010345</v>
      </c>
      <c r="IC86" s="425"/>
      <c r="ID86" s="357">
        <f>VLOOKUP($C86,'[15]Prix accès'!A:D,4,FALSE)</f>
        <v>1335.4564263010345</v>
      </c>
      <c r="IE86" s="426"/>
      <c r="IF86" s="357">
        <f>VLOOKUP($C86,'[15]Prix accès'!$A:$D,4,FALSE)</f>
        <v>1335.4564263010345</v>
      </c>
      <c r="IG86" s="426"/>
      <c r="IH86" s="357">
        <f>VLOOKUP($C86,'[15]Prix accès'!$A:$D,4,FALSE)</f>
        <v>1335.4564263010345</v>
      </c>
      <c r="II86" s="426"/>
      <c r="IJ86" s="457">
        <v>481.64002260037307</v>
      </c>
      <c r="IK86" s="426"/>
      <c r="IL86" s="458"/>
      <c r="IM86" s="426"/>
      <c r="IN86" s="496"/>
      <c r="IO86" s="427"/>
      <c r="IP86" s="496"/>
      <c r="IQ86" s="427"/>
      <c r="IR86" s="429" t="s">
        <v>2893</v>
      </c>
      <c r="IS86" s="364" t="s">
        <v>77</v>
      </c>
      <c r="IT86" s="365">
        <v>43545</v>
      </c>
      <c r="IU86" s="371">
        <v>43556</v>
      </c>
      <c r="IW86" s="372">
        <f t="shared" si="16"/>
        <v>11</v>
      </c>
      <c r="IX86" s="373">
        <f t="shared" si="14"/>
        <v>43.785456600033918</v>
      </c>
      <c r="IY86" s="394">
        <f t="shared" si="17"/>
        <v>481.64002260037307</v>
      </c>
      <c r="IZ86" s="394"/>
      <c r="JA86" s="394"/>
    </row>
    <row r="87" spans="1:261" s="367" customFormat="1" ht="16.5" customHeight="1" x14ac:dyDescent="0.3">
      <c r="A87" s="354" t="s">
        <v>2735</v>
      </c>
      <c r="B87" s="415" t="s">
        <v>2757</v>
      </c>
      <c r="C87" s="997" t="s">
        <v>731</v>
      </c>
      <c r="D87" s="888">
        <v>356</v>
      </c>
      <c r="E87" s="888">
        <v>27</v>
      </c>
      <c r="F87" s="888">
        <v>0</v>
      </c>
      <c r="G87" s="888">
        <v>3</v>
      </c>
      <c r="H87" s="504">
        <v>0</v>
      </c>
      <c r="I87" s="841">
        <v>383.21198185659011</v>
      </c>
      <c r="J87" s="831">
        <f>3</f>
        <v>3</v>
      </c>
      <c r="K87" s="827"/>
      <c r="L87" s="835">
        <v>383.21198185659011</v>
      </c>
      <c r="M87" s="831">
        <f>3</f>
        <v>3</v>
      </c>
      <c r="N87" s="827"/>
      <c r="O87" s="835">
        <v>383.21198185659011</v>
      </c>
      <c r="P87" s="831">
        <f>3</f>
        <v>3</v>
      </c>
      <c r="Q87" s="827"/>
      <c r="R87" s="835">
        <v>383.21198185659011</v>
      </c>
      <c r="S87" s="831">
        <f>3</f>
        <v>3</v>
      </c>
      <c r="T87" s="827"/>
      <c r="U87" s="835">
        <v>383.21198185659011</v>
      </c>
      <c r="V87" s="831">
        <f>3</f>
        <v>3</v>
      </c>
      <c r="W87" s="827"/>
      <c r="X87" s="835">
        <v>383.21198185659011</v>
      </c>
      <c r="Y87" s="831">
        <f>3</f>
        <v>3</v>
      </c>
      <c r="Z87" s="827"/>
      <c r="AA87" s="835">
        <v>383.21198185659011</v>
      </c>
      <c r="AB87" s="831">
        <f>3</f>
        <v>3</v>
      </c>
      <c r="AC87" s="827"/>
      <c r="AD87" s="835">
        <v>383.21198185659011</v>
      </c>
      <c r="AE87" s="831">
        <f>3</f>
        <v>3</v>
      </c>
      <c r="AF87" s="827"/>
      <c r="AG87" s="835">
        <v>383.21198185659011</v>
      </c>
      <c r="AH87" s="831">
        <f>3</f>
        <v>3</v>
      </c>
      <c r="AI87" s="827"/>
      <c r="AJ87" s="835">
        <v>383.21198185659011</v>
      </c>
      <c r="AK87" s="831">
        <f>3</f>
        <v>3</v>
      </c>
      <c r="AL87" s="827"/>
      <c r="AM87" s="835">
        <v>383.21198185659011</v>
      </c>
      <c r="AN87" s="831">
        <f>3</f>
        <v>3</v>
      </c>
      <c r="AO87" s="827"/>
      <c r="AP87" s="835">
        <v>383.21198185659011</v>
      </c>
      <c r="AQ87" s="831">
        <f>3</f>
        <v>3</v>
      </c>
      <c r="AR87" s="827"/>
      <c r="AS87" s="881">
        <v>383.21198185659011</v>
      </c>
      <c r="AT87" s="831">
        <f>3</f>
        <v>3</v>
      </c>
      <c r="AU87" s="827"/>
      <c r="AV87" s="831">
        <v>383.21198185659011</v>
      </c>
      <c r="AW87" s="831">
        <f>3</f>
        <v>3</v>
      </c>
      <c r="AX87" s="827"/>
      <c r="AY87" s="831">
        <v>383.21198185659011</v>
      </c>
      <c r="AZ87" s="831">
        <f>3</f>
        <v>3</v>
      </c>
      <c r="BA87" s="358"/>
      <c r="BB87" s="385">
        <v>383.21198185659011</v>
      </c>
      <c r="BC87" s="385">
        <f>3</f>
        <v>3</v>
      </c>
      <c r="BD87" s="358"/>
      <c r="BE87" s="385">
        <v>383.21198185659011</v>
      </c>
      <c r="BF87" s="385">
        <f>3</f>
        <v>3</v>
      </c>
      <c r="BG87" s="358"/>
      <c r="BH87" s="385">
        <v>383.21198185659011</v>
      </c>
      <c r="BI87" s="385">
        <f>3</f>
        <v>3</v>
      </c>
      <c r="BJ87" s="358"/>
      <c r="BK87" s="385">
        <v>383.21198185659011</v>
      </c>
      <c r="BL87" s="385">
        <f>3</f>
        <v>3</v>
      </c>
      <c r="BM87" s="358"/>
      <c r="BN87" s="385">
        <v>383.21198185659011</v>
      </c>
      <c r="BO87" s="385">
        <f>3</f>
        <v>3</v>
      </c>
      <c r="BP87" s="358"/>
      <c r="BQ87" s="385">
        <v>383.21198185659011</v>
      </c>
      <c r="BR87" s="385">
        <f>3</f>
        <v>3</v>
      </c>
      <c r="BS87" s="358"/>
      <c r="BT87" s="385">
        <v>383.21198185659011</v>
      </c>
      <c r="BU87" s="385">
        <f>3</f>
        <v>3</v>
      </c>
      <c r="BV87" s="358"/>
      <c r="BW87" s="385">
        <v>383.21198185659011</v>
      </c>
      <c r="BX87" s="385">
        <f>3</f>
        <v>3</v>
      </c>
      <c r="BY87" s="358"/>
      <c r="BZ87" s="385">
        <v>383.21198185659011</v>
      </c>
      <c r="CA87" s="385">
        <f>3</f>
        <v>3</v>
      </c>
      <c r="CB87" s="358"/>
      <c r="CC87" s="385">
        <v>383.21198185659011</v>
      </c>
      <c r="CD87" s="385">
        <f>3</f>
        <v>3</v>
      </c>
      <c r="CE87" s="358"/>
      <c r="CF87" s="385">
        <v>383.21198185659011</v>
      </c>
      <c r="CG87" s="385">
        <f>3</f>
        <v>3</v>
      </c>
      <c r="CH87" s="358"/>
      <c r="CI87" s="385">
        <v>383.21198185659011</v>
      </c>
      <c r="CJ87" s="385">
        <f>3</f>
        <v>3</v>
      </c>
      <c r="CK87" s="358"/>
      <c r="CL87" s="385">
        <v>383.21198185659011</v>
      </c>
      <c r="CM87" s="385">
        <f>3</f>
        <v>3</v>
      </c>
      <c r="CN87" s="358"/>
      <c r="CO87" s="385">
        <v>383.21198185659011</v>
      </c>
      <c r="CP87" s="385">
        <f>3</f>
        <v>3</v>
      </c>
      <c r="CQ87" s="358"/>
      <c r="CR87" s="385">
        <v>383.21198185659011</v>
      </c>
      <c r="CS87" s="385">
        <f>3</f>
        <v>3</v>
      </c>
      <c r="CT87" s="358"/>
      <c r="CU87" s="385">
        <v>383.21198185659011</v>
      </c>
      <c r="CV87" s="385">
        <f>3</f>
        <v>3</v>
      </c>
      <c r="CW87" s="358"/>
      <c r="CX87" s="385">
        <v>383.21198185659011</v>
      </c>
      <c r="CY87" s="385">
        <f>3</f>
        <v>3</v>
      </c>
      <c r="CZ87" s="358"/>
      <c r="DA87" s="385">
        <v>383.21198185659011</v>
      </c>
      <c r="DB87" s="385">
        <f>3</f>
        <v>3</v>
      </c>
      <c r="DC87" s="358"/>
      <c r="DD87" s="385">
        <v>383.21198185659011</v>
      </c>
      <c r="DE87" s="385">
        <f>3</f>
        <v>3</v>
      </c>
      <c r="DF87" s="358"/>
      <c r="DG87" s="385">
        <v>383.21198185659011</v>
      </c>
      <c r="DH87" s="385">
        <f>3</f>
        <v>3</v>
      </c>
      <c r="DI87" s="358"/>
      <c r="DJ87" s="385">
        <v>383.21198185659011</v>
      </c>
      <c r="DK87" s="385">
        <f>3</f>
        <v>3</v>
      </c>
      <c r="DL87" s="358"/>
      <c r="DM87" s="385">
        <v>383.21198185659011</v>
      </c>
      <c r="DN87" s="385">
        <f>3</f>
        <v>3</v>
      </c>
      <c r="DO87" s="358"/>
      <c r="DP87" s="385">
        <v>383.21198185659011</v>
      </c>
      <c r="DQ87" s="385">
        <f>3</f>
        <v>3</v>
      </c>
      <c r="DR87" s="358"/>
      <c r="DS87" s="385">
        <v>383.21198185659011</v>
      </c>
      <c r="DT87" s="385">
        <f>3</f>
        <v>3</v>
      </c>
      <c r="DU87" s="358"/>
      <c r="DV87" s="385">
        <v>383.21198185659011</v>
      </c>
      <c r="DW87" s="385">
        <f>3</f>
        <v>3</v>
      </c>
      <c r="DX87" s="358"/>
      <c r="DY87" s="385">
        <v>383.21198185659011</v>
      </c>
      <c r="DZ87" s="385">
        <f>3</f>
        <v>3</v>
      </c>
      <c r="EA87" s="358"/>
      <c r="EB87" s="385">
        <v>383.21198185659011</v>
      </c>
      <c r="EC87" s="385">
        <f>3</f>
        <v>3</v>
      </c>
      <c r="ED87" s="358"/>
      <c r="EE87" s="385">
        <v>383.21198185659011</v>
      </c>
      <c r="EF87" s="385">
        <f>3</f>
        <v>3</v>
      </c>
      <c r="EG87" s="358"/>
      <c r="EH87" s="385">
        <v>383.21198185659011</v>
      </c>
      <c r="EI87" s="385">
        <f>3</f>
        <v>3</v>
      </c>
      <c r="EJ87" s="358"/>
      <c r="EK87" s="385">
        <v>383.21198185659011</v>
      </c>
      <c r="EL87" s="385">
        <f>3</f>
        <v>3</v>
      </c>
      <c r="EM87" s="358"/>
      <c r="EN87" s="385">
        <v>383.21198185659011</v>
      </c>
      <c r="EO87" s="385">
        <f>3</f>
        <v>3</v>
      </c>
      <c r="EP87" s="358"/>
      <c r="EQ87" s="385">
        <v>383.21198185659011</v>
      </c>
      <c r="ER87" s="385">
        <f>3</f>
        <v>3</v>
      </c>
      <c r="ES87" s="358"/>
      <c r="ET87" s="385">
        <v>383.21198185659011</v>
      </c>
      <c r="EU87" s="385">
        <f>3</f>
        <v>3</v>
      </c>
      <c r="EV87" s="358"/>
      <c r="EW87" s="385">
        <v>383.21198185659011</v>
      </c>
      <c r="EX87" s="385">
        <f>3</f>
        <v>3</v>
      </c>
      <c r="EY87" s="358"/>
      <c r="EZ87" s="385">
        <v>383.21198185659011</v>
      </c>
      <c r="FA87" s="385">
        <f>3</f>
        <v>3</v>
      </c>
      <c r="FB87" s="358"/>
      <c r="FC87" s="385">
        <v>383.21198185659011</v>
      </c>
      <c r="FD87" s="385">
        <f>3</f>
        <v>3</v>
      </c>
      <c r="FE87" s="358"/>
      <c r="FF87" s="385">
        <v>383.21198185659011</v>
      </c>
      <c r="FG87" s="385">
        <f>3</f>
        <v>3</v>
      </c>
      <c r="FH87" s="358"/>
      <c r="FI87" s="385">
        <v>383.21198185659011</v>
      </c>
      <c r="FJ87" s="385">
        <f>3</f>
        <v>3</v>
      </c>
      <c r="FK87" s="358"/>
      <c r="FL87" s="385">
        <v>383.21198185659011</v>
      </c>
      <c r="FM87" s="385">
        <f>3</f>
        <v>3</v>
      </c>
      <c r="FN87" s="358"/>
      <c r="FO87" s="385">
        <v>383.21198185659011</v>
      </c>
      <c r="FP87" s="385">
        <f>3</f>
        <v>3</v>
      </c>
      <c r="FQ87" s="358"/>
      <c r="FR87" s="385">
        <v>383.21198185659011</v>
      </c>
      <c r="FS87" s="385">
        <f>3</f>
        <v>3</v>
      </c>
      <c r="FT87" s="358"/>
      <c r="FU87" s="385">
        <v>383.21198185659011</v>
      </c>
      <c r="FV87" s="385">
        <f>3</f>
        <v>3</v>
      </c>
      <c r="FW87" s="358"/>
      <c r="FX87" s="385">
        <v>383.21198185659011</v>
      </c>
      <c r="FY87" s="385">
        <f>3</f>
        <v>3</v>
      </c>
      <c r="FZ87" s="358"/>
      <c r="GA87" s="385">
        <v>383.21198185659011</v>
      </c>
      <c r="GB87" s="385">
        <f>3</f>
        <v>3</v>
      </c>
      <c r="GC87" s="358"/>
      <c r="GD87" s="385">
        <v>383.21198185659011</v>
      </c>
      <c r="GE87" s="385">
        <f>3</f>
        <v>3</v>
      </c>
      <c r="GF87" s="358"/>
      <c r="GG87" s="385">
        <v>383.21198185659011</v>
      </c>
      <c r="GH87" s="385">
        <f>3</f>
        <v>3</v>
      </c>
      <c r="GI87" s="358"/>
      <c r="GJ87" s="385">
        <v>383.21198185659011</v>
      </c>
      <c r="GK87" s="385">
        <f>3</f>
        <v>3</v>
      </c>
      <c r="GL87" s="358"/>
      <c r="GM87" s="385">
        <v>383.21198185659011</v>
      </c>
      <c r="GN87" s="385">
        <f>3</f>
        <v>3</v>
      </c>
      <c r="GO87" s="358"/>
      <c r="GP87" s="385">
        <v>383.21198185659011</v>
      </c>
      <c r="GQ87" s="385">
        <f>3</f>
        <v>3</v>
      </c>
      <c r="GR87" s="358"/>
      <c r="GS87" s="385">
        <v>383.21198185659011</v>
      </c>
      <c r="GT87" s="385">
        <f>3</f>
        <v>3</v>
      </c>
      <c r="GU87" s="358"/>
      <c r="GV87" s="385">
        <v>383.21198185659011</v>
      </c>
      <c r="GW87" s="385">
        <f>3</f>
        <v>3</v>
      </c>
      <c r="GX87" s="358"/>
      <c r="GY87" s="385">
        <v>383.21198185659011</v>
      </c>
      <c r="GZ87" s="385">
        <f>3</f>
        <v>3</v>
      </c>
      <c r="HA87" s="358"/>
      <c r="HB87" s="385">
        <v>383.21198185659011</v>
      </c>
      <c r="HC87" s="385">
        <f>3</f>
        <v>3</v>
      </c>
      <c r="HD87" s="358"/>
      <c r="HE87" s="387">
        <v>383.21198185659011</v>
      </c>
      <c r="HF87" s="386">
        <f>3*6</f>
        <v>18</v>
      </c>
      <c r="HG87" s="358"/>
      <c r="HH87" s="387">
        <v>383.21198185659011</v>
      </c>
      <c r="HI87" s="358"/>
      <c r="HJ87" s="387">
        <v>383.21198185659011</v>
      </c>
      <c r="HK87" s="358"/>
      <c r="HL87" s="387">
        <v>383.21198185659011</v>
      </c>
      <c r="HM87" s="358"/>
      <c r="HN87" s="387">
        <v>383.21198185659011</v>
      </c>
      <c r="HO87" s="358"/>
      <c r="HP87" s="387">
        <v>383.21198185659011</v>
      </c>
      <c r="HQ87" s="358"/>
      <c r="HR87" s="387">
        <v>383.21198185659011</v>
      </c>
      <c r="HS87" s="358"/>
      <c r="HT87" s="387">
        <v>383.21198185659011</v>
      </c>
      <c r="HU87" s="358"/>
      <c r="HV87" s="388">
        <v>383.21198185659011</v>
      </c>
      <c r="HW87" s="425" t="s">
        <v>3310</v>
      </c>
      <c r="HX87" s="424">
        <v>383.21198185659011</v>
      </c>
      <c r="HY87" s="425" t="s">
        <v>3310</v>
      </c>
      <c r="HZ87" s="424">
        <v>383.21198185659011</v>
      </c>
      <c r="IA87" s="425" t="s">
        <v>3310</v>
      </c>
      <c r="IB87" s="424">
        <v>383.21198185659011</v>
      </c>
      <c r="IC87" s="425" t="s">
        <v>3310</v>
      </c>
      <c r="ID87" s="357">
        <f>VLOOKUP($C87,'[15]Prix accès'!A:D,4,FALSE)</f>
        <v>383.21198185659011</v>
      </c>
      <c r="IE87" s="426" t="s">
        <v>3310</v>
      </c>
      <c r="IF87" s="357">
        <f>VLOOKUP($C87,'[15]Prix accès'!$A:$D,4,FALSE)</f>
        <v>383.21198185659011</v>
      </c>
      <c r="IG87" s="426" t="s">
        <v>3310</v>
      </c>
      <c r="IH87" s="357">
        <f>VLOOKUP($C87,'[15]Prix accès'!$A:$D,4,FALSE)</f>
        <v>383.21198185659011</v>
      </c>
      <c r="II87" s="426" t="s">
        <v>3310</v>
      </c>
      <c r="IJ87" s="457">
        <v>62.821636369932811</v>
      </c>
      <c r="IK87" s="426" t="s">
        <v>3310</v>
      </c>
      <c r="IL87" s="458"/>
      <c r="IM87" s="426"/>
      <c r="IN87" s="496"/>
      <c r="IO87" s="427"/>
      <c r="IP87" s="496"/>
      <c r="IQ87" s="427"/>
      <c r="IR87" s="429" t="s">
        <v>2843</v>
      </c>
      <c r="IS87" s="364" t="s">
        <v>77</v>
      </c>
      <c r="IT87" s="365">
        <v>43551</v>
      </c>
      <c r="IU87" s="371">
        <v>43556</v>
      </c>
      <c r="IW87" s="372">
        <f t="shared" si="16"/>
        <v>5</v>
      </c>
      <c r="IX87" s="373">
        <f t="shared" si="14"/>
        <v>12.564327273986562</v>
      </c>
      <c r="IY87" s="394">
        <f t="shared" si="17"/>
        <v>62.821636369932811</v>
      </c>
      <c r="IZ87" s="394"/>
      <c r="JA87" s="394"/>
    </row>
    <row r="88" spans="1:261" s="367" customFormat="1" ht="16.5" customHeight="1" x14ac:dyDescent="0.3">
      <c r="A88" s="354" t="s">
        <v>2735</v>
      </c>
      <c r="B88" s="411" t="s">
        <v>2788</v>
      </c>
      <c r="C88" s="378" t="s">
        <v>625</v>
      </c>
      <c r="D88" s="525">
        <f>(27*12)+479</f>
        <v>803</v>
      </c>
      <c r="E88" s="840">
        <v>54</v>
      </c>
      <c r="F88" s="840">
        <v>0</v>
      </c>
      <c r="G88" s="449">
        <v>9</v>
      </c>
      <c r="H88" s="449">
        <v>66</v>
      </c>
      <c r="I88" s="841">
        <v>506</v>
      </c>
      <c r="J88" s="831">
        <v>9</v>
      </c>
      <c r="K88" s="827">
        <v>66</v>
      </c>
      <c r="L88" s="835">
        <v>506</v>
      </c>
      <c r="M88" s="831">
        <v>9</v>
      </c>
      <c r="N88" s="827">
        <v>66</v>
      </c>
      <c r="O88" s="835">
        <v>506</v>
      </c>
      <c r="P88" s="831">
        <v>9</v>
      </c>
      <c r="Q88" s="827">
        <v>66</v>
      </c>
      <c r="R88" s="835">
        <v>506</v>
      </c>
      <c r="S88" s="831">
        <v>9</v>
      </c>
      <c r="T88" s="827">
        <v>66</v>
      </c>
      <c r="U88" s="835">
        <v>506</v>
      </c>
      <c r="V88" s="831">
        <v>9</v>
      </c>
      <c r="W88" s="827">
        <v>66</v>
      </c>
      <c r="X88" s="835">
        <v>506</v>
      </c>
      <c r="Y88" s="831">
        <v>9</v>
      </c>
      <c r="Z88" s="827">
        <v>66</v>
      </c>
      <c r="AA88" s="835">
        <v>506</v>
      </c>
      <c r="AB88" s="831">
        <v>9</v>
      </c>
      <c r="AC88" s="827">
        <v>66</v>
      </c>
      <c r="AD88" s="835">
        <v>506</v>
      </c>
      <c r="AE88" s="831">
        <v>9</v>
      </c>
      <c r="AF88" s="827">
        <v>66</v>
      </c>
      <c r="AG88" s="835">
        <v>506</v>
      </c>
      <c r="AH88" s="831">
        <v>9</v>
      </c>
      <c r="AI88" s="827">
        <v>66</v>
      </c>
      <c r="AJ88" s="835">
        <v>506</v>
      </c>
      <c r="AK88" s="831">
        <v>9</v>
      </c>
      <c r="AL88" s="827">
        <v>66</v>
      </c>
      <c r="AM88" s="835">
        <v>506</v>
      </c>
      <c r="AN88" s="831">
        <v>9</v>
      </c>
      <c r="AO88" s="827">
        <v>66</v>
      </c>
      <c r="AP88" s="835">
        <v>506</v>
      </c>
      <c r="AQ88" s="831">
        <v>9</v>
      </c>
      <c r="AR88" s="827">
        <v>66</v>
      </c>
      <c r="AS88" s="881">
        <f>((506-448)/30.5)*31+506</f>
        <v>564.95081967213116</v>
      </c>
      <c r="AT88" s="831">
        <v>9</v>
      </c>
      <c r="AU88" s="827">
        <v>66</v>
      </c>
      <c r="AV88" s="831">
        <v>448</v>
      </c>
      <c r="AW88" s="831">
        <v>9</v>
      </c>
      <c r="AX88" s="827">
        <v>66</v>
      </c>
      <c r="AY88" s="831">
        <v>448</v>
      </c>
      <c r="AZ88" s="831">
        <v>9</v>
      </c>
      <c r="BA88" s="358">
        <v>66</v>
      </c>
      <c r="BB88" s="385">
        <v>448</v>
      </c>
      <c r="BC88" s="385">
        <v>9</v>
      </c>
      <c r="BD88" s="358">
        <v>66</v>
      </c>
      <c r="BE88" s="385">
        <v>448</v>
      </c>
      <c r="BF88" s="385">
        <v>9</v>
      </c>
      <c r="BG88" s="358">
        <v>66</v>
      </c>
      <c r="BH88" s="385">
        <v>448</v>
      </c>
      <c r="BI88" s="385">
        <v>9</v>
      </c>
      <c r="BJ88" s="369">
        <v>66</v>
      </c>
      <c r="BK88" s="385">
        <v>448</v>
      </c>
      <c r="BL88" s="385">
        <v>9</v>
      </c>
      <c r="BM88" s="369">
        <v>66</v>
      </c>
      <c r="BN88" s="385">
        <v>448</v>
      </c>
      <c r="BO88" s="385">
        <v>9</v>
      </c>
      <c r="BP88" s="369">
        <v>66</v>
      </c>
      <c r="BQ88" s="385">
        <v>448</v>
      </c>
      <c r="BR88" s="385">
        <v>9</v>
      </c>
      <c r="BS88" s="369">
        <v>66</v>
      </c>
      <c r="BT88" s="385">
        <v>448</v>
      </c>
      <c r="BU88" s="385">
        <v>9</v>
      </c>
      <c r="BV88" s="369">
        <v>66</v>
      </c>
      <c r="BW88" s="385">
        <v>448</v>
      </c>
      <c r="BX88" s="385">
        <v>9</v>
      </c>
      <c r="BY88" s="369">
        <v>66</v>
      </c>
      <c r="BZ88" s="385">
        <v>448</v>
      </c>
      <c r="CA88" s="385">
        <v>9</v>
      </c>
      <c r="CB88" s="369">
        <v>66</v>
      </c>
      <c r="CC88" s="385">
        <v>448</v>
      </c>
      <c r="CD88" s="385">
        <v>9</v>
      </c>
      <c r="CE88" s="369">
        <v>66</v>
      </c>
      <c r="CF88" s="385">
        <v>448</v>
      </c>
      <c r="CG88" s="385">
        <v>9</v>
      </c>
      <c r="CH88" s="369">
        <v>66</v>
      </c>
      <c r="CI88" s="385">
        <v>448</v>
      </c>
      <c r="CJ88" s="385">
        <v>9</v>
      </c>
      <c r="CK88" s="369">
        <v>66</v>
      </c>
      <c r="CL88" s="385">
        <v>448</v>
      </c>
      <c r="CM88" s="385">
        <v>9</v>
      </c>
      <c r="CN88" s="369">
        <v>66</v>
      </c>
      <c r="CO88" s="385">
        <v>448</v>
      </c>
      <c r="CP88" s="385">
        <v>9</v>
      </c>
      <c r="CQ88" s="369">
        <v>66</v>
      </c>
      <c r="CR88" s="385">
        <v>448</v>
      </c>
      <c r="CS88" s="385">
        <v>9</v>
      </c>
      <c r="CT88" s="369">
        <v>66</v>
      </c>
      <c r="CU88" s="385">
        <v>448</v>
      </c>
      <c r="CV88" s="385">
        <v>9</v>
      </c>
      <c r="CW88" s="369">
        <v>66</v>
      </c>
      <c r="CX88" s="385">
        <v>448</v>
      </c>
      <c r="CY88" s="385">
        <v>9</v>
      </c>
      <c r="CZ88" s="369">
        <v>66</v>
      </c>
      <c r="DA88" s="385">
        <v>448</v>
      </c>
      <c r="DB88" s="385">
        <v>9</v>
      </c>
      <c r="DC88" s="369">
        <v>66</v>
      </c>
      <c r="DD88" s="385">
        <v>448</v>
      </c>
      <c r="DE88" s="385">
        <v>9</v>
      </c>
      <c r="DF88" s="369">
        <v>66</v>
      </c>
      <c r="DG88" s="385">
        <v>448</v>
      </c>
      <c r="DH88" s="385">
        <v>9</v>
      </c>
      <c r="DI88" s="369">
        <v>66</v>
      </c>
      <c r="DJ88" s="385">
        <v>448</v>
      </c>
      <c r="DK88" s="385">
        <v>9</v>
      </c>
      <c r="DL88" s="369">
        <v>66</v>
      </c>
      <c r="DM88" s="385">
        <v>448</v>
      </c>
      <c r="DN88" s="385">
        <v>9</v>
      </c>
      <c r="DO88" s="369">
        <v>66</v>
      </c>
      <c r="DP88" s="385">
        <v>448</v>
      </c>
      <c r="DQ88" s="385">
        <v>9</v>
      </c>
      <c r="DR88" s="369">
        <v>66</v>
      </c>
      <c r="DS88" s="385">
        <v>448</v>
      </c>
      <c r="DT88" s="385">
        <v>9</v>
      </c>
      <c r="DU88" s="369">
        <v>66</v>
      </c>
      <c r="DV88" s="385">
        <v>448</v>
      </c>
      <c r="DW88" s="385">
        <v>9</v>
      </c>
      <c r="DX88" s="369">
        <v>66</v>
      </c>
      <c r="DY88" s="385">
        <v>448</v>
      </c>
      <c r="DZ88" s="385">
        <v>9</v>
      </c>
      <c r="EA88" s="369">
        <v>66</v>
      </c>
      <c r="EB88" s="386">
        <v>448</v>
      </c>
      <c r="EC88" s="386">
        <v>9</v>
      </c>
      <c r="ED88" s="370">
        <v>66</v>
      </c>
      <c r="EE88" s="385">
        <v>345.21</v>
      </c>
      <c r="EF88" s="385"/>
      <c r="EG88" s="369">
        <v>66</v>
      </c>
      <c r="EH88" s="385">
        <v>345.21</v>
      </c>
      <c r="EI88" s="385"/>
      <c r="EJ88" s="369">
        <v>66</v>
      </c>
      <c r="EK88" s="385">
        <v>345.21</v>
      </c>
      <c r="EL88" s="385"/>
      <c r="EM88" s="369">
        <v>66</v>
      </c>
      <c r="EN88" s="385">
        <v>345.21</v>
      </c>
      <c r="EO88" s="385"/>
      <c r="EP88" s="369">
        <v>66</v>
      </c>
      <c r="EQ88" s="385">
        <v>345.21</v>
      </c>
      <c r="ER88" s="385"/>
      <c r="ES88" s="369">
        <v>66</v>
      </c>
      <c r="ET88" s="385">
        <v>345.21</v>
      </c>
      <c r="EU88" s="385"/>
      <c r="EV88" s="369">
        <v>66</v>
      </c>
      <c r="EW88" s="385">
        <v>345.21</v>
      </c>
      <c r="EX88" s="385"/>
      <c r="EY88" s="369">
        <v>66</v>
      </c>
      <c r="EZ88" s="385">
        <v>345.21</v>
      </c>
      <c r="FA88" s="385"/>
      <c r="FB88" s="369">
        <v>66</v>
      </c>
      <c r="FC88" s="385">
        <v>345.21</v>
      </c>
      <c r="FD88" s="385"/>
      <c r="FE88" s="369">
        <v>66</v>
      </c>
      <c r="FF88" s="385">
        <v>345.21</v>
      </c>
      <c r="FG88" s="385"/>
      <c r="FH88" s="369">
        <v>66</v>
      </c>
      <c r="FI88" s="385">
        <v>345.21</v>
      </c>
      <c r="FJ88" s="385"/>
      <c r="FK88" s="369">
        <v>66</v>
      </c>
      <c r="FL88" s="385">
        <v>345.21</v>
      </c>
      <c r="FM88" s="385"/>
      <c r="FN88" s="369">
        <v>66</v>
      </c>
      <c r="FO88" s="385">
        <v>345.21</v>
      </c>
      <c r="FP88" s="385"/>
      <c r="FQ88" s="369">
        <v>66</v>
      </c>
      <c r="FR88" s="386">
        <v>345.21</v>
      </c>
      <c r="FS88" s="386"/>
      <c r="FT88" s="370">
        <v>66</v>
      </c>
      <c r="FU88" s="387">
        <v>345.21</v>
      </c>
      <c r="FV88" s="387"/>
      <c r="FW88" s="358"/>
      <c r="FX88" s="387">
        <v>345.21</v>
      </c>
      <c r="FY88" s="387"/>
      <c r="FZ88" s="358"/>
      <c r="GA88" s="387">
        <v>345.21</v>
      </c>
      <c r="GB88" s="387"/>
      <c r="GC88" s="358"/>
      <c r="GD88" s="387">
        <v>345.21</v>
      </c>
      <c r="GE88" s="387"/>
      <c r="GF88" s="358"/>
      <c r="GG88" s="387">
        <v>345.21</v>
      </c>
      <c r="GH88" s="387"/>
      <c r="GI88" s="358"/>
      <c r="GJ88" s="387">
        <v>345.21</v>
      </c>
      <c r="GK88" s="387"/>
      <c r="GL88" s="358"/>
      <c r="GM88" s="387">
        <v>345.21</v>
      </c>
      <c r="GN88" s="387"/>
      <c r="GO88" s="358"/>
      <c r="GP88" s="387">
        <v>345.21</v>
      </c>
      <c r="GQ88" s="387"/>
      <c r="GR88" s="358"/>
      <c r="GS88" s="387">
        <v>345.21</v>
      </c>
      <c r="GT88" s="387"/>
      <c r="GU88" s="358"/>
      <c r="GV88" s="387">
        <v>345.21</v>
      </c>
      <c r="GW88" s="387"/>
      <c r="GX88" s="358"/>
      <c r="GY88" s="387">
        <v>345.21</v>
      </c>
      <c r="GZ88" s="387"/>
      <c r="HA88" s="358"/>
      <c r="HB88" s="387">
        <v>345.21</v>
      </c>
      <c r="HC88" s="387"/>
      <c r="HD88" s="358"/>
      <c r="HE88" s="387">
        <v>345.21</v>
      </c>
      <c r="HF88" s="387"/>
      <c r="HG88" s="358"/>
      <c r="HH88" s="387">
        <v>345.21</v>
      </c>
      <c r="HI88" s="358"/>
      <c r="HJ88" s="387">
        <v>345.21</v>
      </c>
      <c r="HK88" s="358"/>
      <c r="HL88" s="387">
        <v>345.21</v>
      </c>
      <c r="HM88" s="358"/>
      <c r="HN88" s="387">
        <v>345.21</v>
      </c>
      <c r="HO88" s="358"/>
      <c r="HP88" s="387">
        <v>345.21</v>
      </c>
      <c r="HQ88" s="358"/>
      <c r="HR88" s="387">
        <v>345.21</v>
      </c>
      <c r="HS88" s="358"/>
      <c r="HT88" s="387">
        <v>345.21</v>
      </c>
      <c r="HU88" s="358"/>
      <c r="HV88" s="388">
        <v>345.21</v>
      </c>
      <c r="HW88" s="358" t="s">
        <v>3310</v>
      </c>
      <c r="HX88" s="368">
        <v>345.21</v>
      </c>
      <c r="HY88" s="358" t="s">
        <v>3310</v>
      </c>
      <c r="HZ88" s="368">
        <v>345.21</v>
      </c>
      <c r="IA88" s="358" t="s">
        <v>3310</v>
      </c>
      <c r="IB88" s="368">
        <v>345.21</v>
      </c>
      <c r="IC88" s="358" t="s">
        <v>3310</v>
      </c>
      <c r="ID88" s="357">
        <f>VLOOKUP($C88,'[15]Prix accès'!A:D,4,FALSE)</f>
        <v>345.21</v>
      </c>
      <c r="IE88" s="361" t="s">
        <v>3310</v>
      </c>
      <c r="IF88" s="357">
        <f>VLOOKUP($C88,'[15]Prix accès'!$A:$D,4,FALSE)</f>
        <v>345.21</v>
      </c>
      <c r="IG88" s="361" t="s">
        <v>3310</v>
      </c>
      <c r="IH88" s="357">
        <f>VLOOKUP($C88,'[15]Prix accès'!$A:$D,4,FALSE)</f>
        <v>345.21</v>
      </c>
      <c r="II88" s="361" t="s">
        <v>3310</v>
      </c>
      <c r="IJ88" s="428">
        <v>45.273442622950817</v>
      </c>
      <c r="IK88" s="361" t="s">
        <v>3310</v>
      </c>
      <c r="IL88" s="496"/>
      <c r="IM88" s="361" t="s">
        <v>3310</v>
      </c>
      <c r="IN88" s="496"/>
      <c r="IO88" s="361" t="s">
        <v>3310</v>
      </c>
      <c r="IP88" s="496"/>
      <c r="IQ88" s="361" t="s">
        <v>3310</v>
      </c>
      <c r="IR88" s="400" t="s">
        <v>3349</v>
      </c>
      <c r="IS88" s="364" t="s">
        <v>77</v>
      </c>
      <c r="IT88" s="365">
        <v>43552</v>
      </c>
      <c r="IU88" s="371">
        <v>43556</v>
      </c>
      <c r="IV88" s="440">
        <v>44805</v>
      </c>
      <c r="IW88" s="526">
        <f t="shared" si="16"/>
        <v>4</v>
      </c>
      <c r="IX88" s="527">
        <f t="shared" si="14"/>
        <v>11.318360655737704</v>
      </c>
      <c r="IY88" s="442">
        <f t="shared" si="17"/>
        <v>45.273442622950817</v>
      </c>
      <c r="IZ88" s="394"/>
      <c r="JA88" s="394"/>
    </row>
    <row r="89" spans="1:261" s="367" customFormat="1" ht="16.5" customHeight="1" x14ac:dyDescent="0.3">
      <c r="A89" s="354" t="s">
        <v>2743</v>
      </c>
      <c r="B89" s="465" t="s">
        <v>2768</v>
      </c>
      <c r="C89" s="519" t="s">
        <v>2400</v>
      </c>
      <c r="D89" s="520">
        <v>1988</v>
      </c>
      <c r="E89" s="508">
        <v>44</v>
      </c>
      <c r="F89" s="508">
        <v>16</v>
      </c>
      <c r="G89" s="508">
        <v>0</v>
      </c>
      <c r="H89" s="510">
        <v>0</v>
      </c>
      <c r="I89" s="828">
        <v>2048.0564263010347</v>
      </c>
      <c r="J89" s="829"/>
      <c r="K89" s="827"/>
      <c r="L89" s="829">
        <v>2048.0564263010347</v>
      </c>
      <c r="M89" s="829"/>
      <c r="N89" s="827"/>
      <c r="O89" s="829">
        <v>2048.0564263010347</v>
      </c>
      <c r="P89" s="829"/>
      <c r="Q89" s="827"/>
      <c r="R89" s="829">
        <v>2048.0564263010347</v>
      </c>
      <c r="S89" s="829"/>
      <c r="T89" s="827"/>
      <c r="U89" s="829">
        <v>2048.0564263010347</v>
      </c>
      <c r="V89" s="829"/>
      <c r="W89" s="827"/>
      <c r="X89" s="829">
        <v>2048.0564263010347</v>
      </c>
      <c r="Y89" s="829"/>
      <c r="Z89" s="827"/>
      <c r="AA89" s="829">
        <v>2048.0564263010347</v>
      </c>
      <c r="AB89" s="829"/>
      <c r="AC89" s="827"/>
      <c r="AD89" s="829">
        <v>2048.0564263010347</v>
      </c>
      <c r="AE89" s="829"/>
      <c r="AF89" s="827"/>
      <c r="AG89" s="829">
        <v>2048.0564263010347</v>
      </c>
      <c r="AH89" s="829"/>
      <c r="AI89" s="827"/>
      <c r="AJ89" s="829">
        <v>2048.0564263010347</v>
      </c>
      <c r="AK89" s="829"/>
      <c r="AL89" s="827"/>
      <c r="AM89" s="829">
        <v>2048.0564263010347</v>
      </c>
      <c r="AN89" s="829"/>
      <c r="AO89" s="827"/>
      <c r="AP89" s="829">
        <v>2048.0564263010347</v>
      </c>
      <c r="AQ89" s="829"/>
      <c r="AR89" s="827"/>
      <c r="AS89" s="829">
        <v>2048.0564263010347</v>
      </c>
      <c r="AT89" s="829"/>
      <c r="AU89" s="827"/>
      <c r="AV89" s="829">
        <v>2048.0564263010347</v>
      </c>
      <c r="AW89" s="829"/>
      <c r="AX89" s="827"/>
      <c r="AY89" s="829">
        <v>2048.0564263010347</v>
      </c>
      <c r="AZ89" s="829"/>
      <c r="BA89" s="358"/>
      <c r="BB89" s="387">
        <v>2048.0564263010347</v>
      </c>
      <c r="BC89" s="387"/>
      <c r="BD89" s="358"/>
      <c r="BE89" s="387">
        <v>2048.0564263010347</v>
      </c>
      <c r="BF89" s="387"/>
      <c r="BG89" s="358"/>
      <c r="BH89" s="387">
        <v>2048.0564263010347</v>
      </c>
      <c r="BI89" s="387"/>
      <c r="BJ89" s="358"/>
      <c r="BK89" s="387">
        <v>2048.0564263010347</v>
      </c>
      <c r="BL89" s="387"/>
      <c r="BM89" s="358"/>
      <c r="BN89" s="387">
        <v>2048.0564263010347</v>
      </c>
      <c r="BO89" s="387"/>
      <c r="BP89" s="358"/>
      <c r="BQ89" s="387">
        <v>2048.0564263010347</v>
      </c>
      <c r="BR89" s="387"/>
      <c r="BS89" s="358"/>
      <c r="BT89" s="387">
        <v>2048.0564263010347</v>
      </c>
      <c r="BU89" s="387"/>
      <c r="BV89" s="358"/>
      <c r="BW89" s="387">
        <v>2048.0564263010347</v>
      </c>
      <c r="BX89" s="387"/>
      <c r="BY89" s="358"/>
      <c r="BZ89" s="387">
        <v>2048.0564263010347</v>
      </c>
      <c r="CA89" s="387"/>
      <c r="CB89" s="358"/>
      <c r="CC89" s="387">
        <v>2048.0564263010347</v>
      </c>
      <c r="CD89" s="387"/>
      <c r="CE89" s="358"/>
      <c r="CF89" s="387">
        <v>2048.0564263010347</v>
      </c>
      <c r="CG89" s="387"/>
      <c r="CH89" s="358"/>
      <c r="CI89" s="387">
        <v>2048.0564263010347</v>
      </c>
      <c r="CJ89" s="387"/>
      <c r="CK89" s="358"/>
      <c r="CL89" s="387">
        <v>2048.0564263010347</v>
      </c>
      <c r="CM89" s="387"/>
      <c r="CN89" s="358"/>
      <c r="CO89" s="387">
        <v>2048.0564263010347</v>
      </c>
      <c r="CP89" s="387"/>
      <c r="CQ89" s="358"/>
      <c r="CR89" s="387">
        <v>2048.0564263010347</v>
      </c>
      <c r="CS89" s="387"/>
      <c r="CT89" s="358"/>
      <c r="CU89" s="387">
        <v>2048.0564263010347</v>
      </c>
      <c r="CV89" s="387"/>
      <c r="CW89" s="358"/>
      <c r="CX89" s="387">
        <v>2048.0564263010347</v>
      </c>
      <c r="CY89" s="387"/>
      <c r="CZ89" s="358"/>
      <c r="DA89" s="387">
        <v>2048.0564263010347</v>
      </c>
      <c r="DB89" s="387"/>
      <c r="DC89" s="358"/>
      <c r="DD89" s="387">
        <v>2048.0564263010347</v>
      </c>
      <c r="DE89" s="387"/>
      <c r="DF89" s="358"/>
      <c r="DG89" s="387">
        <v>2048.0564263010347</v>
      </c>
      <c r="DH89" s="387"/>
      <c r="DI89" s="358"/>
      <c r="DJ89" s="387">
        <v>2048.0564263010347</v>
      </c>
      <c r="DK89" s="387"/>
      <c r="DL89" s="358"/>
      <c r="DM89" s="387">
        <v>2048.0564263010347</v>
      </c>
      <c r="DN89" s="387"/>
      <c r="DO89" s="358"/>
      <c r="DP89" s="387">
        <v>2048.0564263010347</v>
      </c>
      <c r="DQ89" s="387"/>
      <c r="DR89" s="358"/>
      <c r="DS89" s="387">
        <v>2048.0564263010347</v>
      </c>
      <c r="DT89" s="387"/>
      <c r="DU89" s="358"/>
      <c r="DV89" s="387">
        <v>2048.0564263010347</v>
      </c>
      <c r="DW89" s="387"/>
      <c r="DX89" s="358"/>
      <c r="DY89" s="387">
        <v>2048.0564263010347</v>
      </c>
      <c r="DZ89" s="387"/>
      <c r="EA89" s="358"/>
      <c r="EB89" s="387">
        <v>2048.0564263010347</v>
      </c>
      <c r="EC89" s="387"/>
      <c r="ED89" s="358"/>
      <c r="EE89" s="387">
        <v>2048.0564263010347</v>
      </c>
      <c r="EF89" s="387"/>
      <c r="EG89" s="358"/>
      <c r="EH89" s="387">
        <v>2048.0564263010347</v>
      </c>
      <c r="EI89" s="387"/>
      <c r="EJ89" s="358"/>
      <c r="EK89" s="387">
        <v>2048.0564263010347</v>
      </c>
      <c r="EL89" s="387"/>
      <c r="EM89" s="358"/>
      <c r="EN89" s="387">
        <v>2048.0564263010347</v>
      </c>
      <c r="EO89" s="387"/>
      <c r="EP89" s="358"/>
      <c r="EQ89" s="387">
        <v>2048.0564263010347</v>
      </c>
      <c r="ER89" s="387"/>
      <c r="ES89" s="358"/>
      <c r="ET89" s="387">
        <v>2048.0564263010347</v>
      </c>
      <c r="EU89" s="387"/>
      <c r="EV89" s="358"/>
      <c r="EW89" s="387">
        <v>2048.0564263010347</v>
      </c>
      <c r="EX89" s="387"/>
      <c r="EY89" s="358"/>
      <c r="EZ89" s="387">
        <v>2048.0564263010347</v>
      </c>
      <c r="FA89" s="387"/>
      <c r="FB89" s="358"/>
      <c r="FC89" s="387">
        <v>2048.0564263010347</v>
      </c>
      <c r="FD89" s="387"/>
      <c r="FE89" s="358"/>
      <c r="FF89" s="387">
        <v>2048.0564263010347</v>
      </c>
      <c r="FG89" s="387"/>
      <c r="FH89" s="358"/>
      <c r="FI89" s="387">
        <v>2048.0564263010347</v>
      </c>
      <c r="FJ89" s="387"/>
      <c r="FK89" s="358"/>
      <c r="FL89" s="387">
        <v>2048.0564263010347</v>
      </c>
      <c r="FM89" s="387"/>
      <c r="FN89" s="358"/>
      <c r="FO89" s="387">
        <v>2048.0564263010347</v>
      </c>
      <c r="FP89" s="387"/>
      <c r="FQ89" s="358"/>
      <c r="FR89" s="387">
        <v>2048.0564263010347</v>
      </c>
      <c r="FS89" s="387"/>
      <c r="FT89" s="358"/>
      <c r="FU89" s="387">
        <v>2048.0564263010347</v>
      </c>
      <c r="FV89" s="387"/>
      <c r="FW89" s="358"/>
      <c r="FX89" s="387">
        <v>2048.0564263010347</v>
      </c>
      <c r="FY89" s="387"/>
      <c r="FZ89" s="358"/>
      <c r="GA89" s="387">
        <v>2048.0564263010347</v>
      </c>
      <c r="GB89" s="387"/>
      <c r="GC89" s="358"/>
      <c r="GD89" s="387">
        <v>2048.0564263010347</v>
      </c>
      <c r="GE89" s="387"/>
      <c r="GF89" s="358"/>
      <c r="GG89" s="387">
        <v>2048.0564263010347</v>
      </c>
      <c r="GH89" s="387"/>
      <c r="GI89" s="358"/>
      <c r="GJ89" s="387">
        <v>2048.0564263010347</v>
      </c>
      <c r="GK89" s="387"/>
      <c r="GL89" s="358"/>
      <c r="GM89" s="387">
        <v>2048.0564263010347</v>
      </c>
      <c r="GN89" s="387"/>
      <c r="GO89" s="358"/>
      <c r="GP89" s="387">
        <v>2048.0564263010347</v>
      </c>
      <c r="GQ89" s="387"/>
      <c r="GR89" s="358"/>
      <c r="GS89" s="387">
        <v>2048.0564263010347</v>
      </c>
      <c r="GT89" s="387"/>
      <c r="GU89" s="358"/>
      <c r="GV89" s="387">
        <v>2048.0564263010347</v>
      </c>
      <c r="GW89" s="387"/>
      <c r="GX89" s="358"/>
      <c r="GY89" s="387">
        <v>2048.0564263010347</v>
      </c>
      <c r="GZ89" s="387"/>
      <c r="HA89" s="358"/>
      <c r="HB89" s="387">
        <v>2048.0564263010347</v>
      </c>
      <c r="HC89" s="387"/>
      <c r="HD89" s="358"/>
      <c r="HE89" s="387">
        <v>2048.0564263010347</v>
      </c>
      <c r="HF89" s="387"/>
      <c r="HG89" s="358"/>
      <c r="HH89" s="387">
        <v>2048.0564263010347</v>
      </c>
      <c r="HI89" s="358"/>
      <c r="HJ89" s="387">
        <v>2048.0564263010347</v>
      </c>
      <c r="HK89" s="358"/>
      <c r="HL89" s="387">
        <v>2048.0564263010347</v>
      </c>
      <c r="HM89" s="358"/>
      <c r="HN89" s="387">
        <v>2048.0564263010347</v>
      </c>
      <c r="HO89" s="358"/>
      <c r="HP89" s="387">
        <v>2048.0564263010347</v>
      </c>
      <c r="HQ89" s="358"/>
      <c r="HR89" s="387">
        <v>2048.0564263010347</v>
      </c>
      <c r="HS89" s="358"/>
      <c r="HT89" s="387">
        <v>2048.0564263010347</v>
      </c>
      <c r="HU89" s="358"/>
      <c r="HV89" s="388">
        <v>2048.0564263010347</v>
      </c>
      <c r="HW89" s="425"/>
      <c r="HX89" s="424">
        <v>2048.0564263010347</v>
      </c>
      <c r="HY89" s="425"/>
      <c r="HZ89" s="424">
        <v>2048.0564263010347</v>
      </c>
      <c r="IA89" s="425"/>
      <c r="IB89" s="424">
        <v>2048.0564263010347</v>
      </c>
      <c r="IC89" s="425"/>
      <c r="ID89" s="357">
        <f>VLOOKUP($C89,'[15]Prix accès'!A:D,4,FALSE)</f>
        <v>2048.0564263010347</v>
      </c>
      <c r="IE89" s="426"/>
      <c r="IF89" s="357">
        <f>VLOOKUP($C89,'[15]Prix accès'!$A:$D,4,FALSE)</f>
        <v>2048.0564263010347</v>
      </c>
      <c r="IG89" s="426"/>
      <c r="IH89" s="357">
        <f>VLOOKUP($C89,'[15]Prix accès'!$A:$D,4,FALSE)</f>
        <v>2048.0564263010347</v>
      </c>
      <c r="II89" s="426"/>
      <c r="IJ89" s="457">
        <v>268.59756410505372</v>
      </c>
      <c r="IK89" s="426"/>
      <c r="IL89" s="458"/>
      <c r="IM89" s="426"/>
      <c r="IN89" s="496"/>
      <c r="IO89" s="427"/>
      <c r="IP89" s="496"/>
      <c r="IQ89" s="427"/>
      <c r="IR89" s="429" t="s">
        <v>3107</v>
      </c>
      <c r="IS89" s="364" t="s">
        <v>77</v>
      </c>
      <c r="IT89" s="365">
        <v>43552</v>
      </c>
      <c r="IU89" s="371">
        <v>43556</v>
      </c>
      <c r="IW89" s="372">
        <f t="shared" si="16"/>
        <v>4</v>
      </c>
      <c r="IX89" s="373">
        <f t="shared" si="14"/>
        <v>67.14939102626343</v>
      </c>
      <c r="IY89" s="394">
        <f t="shared" si="17"/>
        <v>268.59756410505372</v>
      </c>
      <c r="IZ89" s="394"/>
      <c r="JA89" s="394"/>
    </row>
    <row r="90" spans="1:261" s="367" customFormat="1" ht="16.5" customHeight="1" x14ac:dyDescent="0.3">
      <c r="A90" s="354" t="s">
        <v>2743</v>
      </c>
      <c r="B90" s="465" t="s">
        <v>2784</v>
      </c>
      <c r="C90" s="528" t="s">
        <v>1209</v>
      </c>
      <c r="D90" s="529">
        <f>((1454-1341)/30.5)*4+1454</f>
        <v>1468.8196721311476</v>
      </c>
      <c r="E90" s="530">
        <f>((84-60)/30.5)*4+84</f>
        <v>87.147540983606561</v>
      </c>
      <c r="F90" s="530">
        <v>0</v>
      </c>
      <c r="G90" s="530">
        <f>((36-14)/30.5)*4+36</f>
        <v>38.885245901639344</v>
      </c>
      <c r="H90" s="469">
        <v>0</v>
      </c>
      <c r="I90" s="841">
        <v>1341</v>
      </c>
      <c r="J90" s="835">
        <v>14</v>
      </c>
      <c r="K90" s="827"/>
      <c r="L90" s="835">
        <v>1341</v>
      </c>
      <c r="M90" s="835">
        <v>14</v>
      </c>
      <c r="N90" s="827"/>
      <c r="O90" s="835">
        <v>1341</v>
      </c>
      <c r="P90" s="835">
        <v>14</v>
      </c>
      <c r="Q90" s="827"/>
      <c r="R90" s="835">
        <v>1341</v>
      </c>
      <c r="S90" s="835">
        <v>14</v>
      </c>
      <c r="T90" s="827"/>
      <c r="U90" s="835">
        <v>1341</v>
      </c>
      <c r="V90" s="835">
        <v>14</v>
      </c>
      <c r="W90" s="827"/>
      <c r="X90" s="835">
        <v>1341</v>
      </c>
      <c r="Y90" s="835">
        <v>14</v>
      </c>
      <c r="Z90" s="827"/>
      <c r="AA90" s="835">
        <v>1341</v>
      </c>
      <c r="AB90" s="835">
        <v>14</v>
      </c>
      <c r="AC90" s="827"/>
      <c r="AD90" s="835">
        <v>1341</v>
      </c>
      <c r="AE90" s="835">
        <v>14</v>
      </c>
      <c r="AF90" s="827"/>
      <c r="AG90" s="835">
        <v>1341</v>
      </c>
      <c r="AH90" s="835">
        <v>14</v>
      </c>
      <c r="AI90" s="827"/>
      <c r="AJ90" s="835">
        <v>1341</v>
      </c>
      <c r="AK90" s="835">
        <v>14</v>
      </c>
      <c r="AL90" s="827"/>
      <c r="AM90" s="835">
        <v>1341</v>
      </c>
      <c r="AN90" s="835">
        <v>14</v>
      </c>
      <c r="AO90" s="827"/>
      <c r="AP90" s="835">
        <v>1341</v>
      </c>
      <c r="AQ90" s="835">
        <v>14</v>
      </c>
      <c r="AR90" s="827"/>
      <c r="AS90" s="835">
        <v>1341</v>
      </c>
      <c r="AT90" s="835">
        <v>14</v>
      </c>
      <c r="AU90" s="827"/>
      <c r="AV90" s="835">
        <v>1341</v>
      </c>
      <c r="AW90" s="835">
        <v>14</v>
      </c>
      <c r="AX90" s="827"/>
      <c r="AY90" s="835">
        <v>1341</v>
      </c>
      <c r="AZ90" s="835">
        <v>14</v>
      </c>
      <c r="BA90" s="358"/>
      <c r="BB90" s="472">
        <v>1341</v>
      </c>
      <c r="BC90" s="384">
        <v>14</v>
      </c>
      <c r="BD90" s="358"/>
      <c r="BE90" s="472">
        <v>1341</v>
      </c>
      <c r="BF90" s="384">
        <v>14</v>
      </c>
      <c r="BG90" s="358"/>
      <c r="BH90" s="370">
        <v>1341</v>
      </c>
      <c r="BI90" s="386">
        <f>((14-5)/30.5)*13+14</f>
        <v>17.83606557377049</v>
      </c>
      <c r="BJ90" s="386"/>
      <c r="BK90" s="370">
        <f>((1341-1225)/30.5)*20+1341</f>
        <v>1417.0655737704917</v>
      </c>
      <c r="BL90" s="386">
        <f>5</f>
        <v>5</v>
      </c>
      <c r="BM90" s="386"/>
      <c r="BN90" s="369">
        <f>1225</f>
        <v>1225</v>
      </c>
      <c r="BO90" s="385">
        <f>5</f>
        <v>5</v>
      </c>
      <c r="BP90" s="385"/>
      <c r="BQ90" s="369">
        <f>1225</f>
        <v>1225</v>
      </c>
      <c r="BR90" s="385">
        <f>5</f>
        <v>5</v>
      </c>
      <c r="BS90" s="385"/>
      <c r="BT90" s="370">
        <f>((1225-1055)/30.5*6)+1225</f>
        <v>1258.4426229508197</v>
      </c>
      <c r="BU90" s="386">
        <f>((5/30.5*6)+5)</f>
        <v>5.9836065573770494</v>
      </c>
      <c r="BV90" s="386"/>
      <c r="BW90" s="387">
        <v>1055.0564263010344</v>
      </c>
      <c r="BX90" s="387"/>
      <c r="BY90" s="358"/>
      <c r="BZ90" s="387">
        <v>1055.0564263010344</v>
      </c>
      <c r="CA90" s="387"/>
      <c r="CB90" s="358"/>
      <c r="CC90" s="387">
        <v>1055.0564263010344</v>
      </c>
      <c r="CD90" s="387"/>
      <c r="CE90" s="358"/>
      <c r="CF90" s="387">
        <v>1055.0564263010344</v>
      </c>
      <c r="CG90" s="387"/>
      <c r="CH90" s="358"/>
      <c r="CI90" s="387">
        <v>1055.0564263010344</v>
      </c>
      <c r="CJ90" s="387"/>
      <c r="CK90" s="358"/>
      <c r="CL90" s="387">
        <v>1055.0564263010344</v>
      </c>
      <c r="CM90" s="387"/>
      <c r="CN90" s="358"/>
      <c r="CO90" s="387">
        <v>1055.0564263010344</v>
      </c>
      <c r="CP90" s="387"/>
      <c r="CQ90" s="358"/>
      <c r="CR90" s="387">
        <v>1055.0564263010344</v>
      </c>
      <c r="CS90" s="387"/>
      <c r="CT90" s="358"/>
      <c r="CU90" s="387">
        <v>1055.0564263010344</v>
      </c>
      <c r="CV90" s="387"/>
      <c r="CW90" s="358"/>
      <c r="CX90" s="387">
        <v>1055.0564263010344</v>
      </c>
      <c r="CY90" s="387"/>
      <c r="CZ90" s="358"/>
      <c r="DA90" s="387">
        <v>1055.0564263010344</v>
      </c>
      <c r="DB90" s="387"/>
      <c r="DC90" s="358"/>
      <c r="DD90" s="387">
        <v>1055.0564263010344</v>
      </c>
      <c r="DE90" s="387"/>
      <c r="DF90" s="358"/>
      <c r="DG90" s="387">
        <v>1055.0564263010344</v>
      </c>
      <c r="DH90" s="387"/>
      <c r="DI90" s="358"/>
      <c r="DJ90" s="387">
        <v>1055.0564263010344</v>
      </c>
      <c r="DK90" s="387"/>
      <c r="DL90" s="358"/>
      <c r="DM90" s="387">
        <v>1055.0564263010344</v>
      </c>
      <c r="DN90" s="387"/>
      <c r="DO90" s="358"/>
      <c r="DP90" s="387">
        <v>1055.0564263010344</v>
      </c>
      <c r="DQ90" s="387"/>
      <c r="DR90" s="358"/>
      <c r="DS90" s="387">
        <v>1055.0564263010344</v>
      </c>
      <c r="DT90" s="387"/>
      <c r="DU90" s="358"/>
      <c r="DV90" s="387">
        <v>1055.0564263010344</v>
      </c>
      <c r="DW90" s="387"/>
      <c r="DX90" s="358"/>
      <c r="DY90" s="387">
        <v>1055.0564263010344</v>
      </c>
      <c r="DZ90" s="387"/>
      <c r="EA90" s="358"/>
      <c r="EB90" s="387">
        <v>1055.0564263010344</v>
      </c>
      <c r="EC90" s="387"/>
      <c r="ED90" s="358"/>
      <c r="EE90" s="387">
        <v>1055.0564263010344</v>
      </c>
      <c r="EF90" s="387"/>
      <c r="EG90" s="358"/>
      <c r="EH90" s="387">
        <v>1055.0564263010344</v>
      </c>
      <c r="EI90" s="387"/>
      <c r="EJ90" s="358"/>
      <c r="EK90" s="387">
        <v>1055.0564263010344</v>
      </c>
      <c r="EL90" s="387"/>
      <c r="EM90" s="358"/>
      <c r="EN90" s="387">
        <v>1055.0564263010344</v>
      </c>
      <c r="EO90" s="387"/>
      <c r="EP90" s="358"/>
      <c r="EQ90" s="387">
        <v>1055.0564263010344</v>
      </c>
      <c r="ER90" s="387"/>
      <c r="ES90" s="358"/>
      <c r="ET90" s="387">
        <v>1055.0564263010344</v>
      </c>
      <c r="EU90" s="387"/>
      <c r="EV90" s="358"/>
      <c r="EW90" s="387">
        <v>1055.0564263010344</v>
      </c>
      <c r="EX90" s="387"/>
      <c r="EY90" s="358"/>
      <c r="EZ90" s="387">
        <v>1055.0564263010344</v>
      </c>
      <c r="FA90" s="387"/>
      <c r="FB90" s="358"/>
      <c r="FC90" s="387">
        <v>1055.0564263010344</v>
      </c>
      <c r="FD90" s="387"/>
      <c r="FE90" s="358"/>
      <c r="FF90" s="387">
        <v>1055.0564263010344</v>
      </c>
      <c r="FG90" s="387"/>
      <c r="FH90" s="358"/>
      <c r="FI90" s="387">
        <v>1055.0564263010344</v>
      </c>
      <c r="FJ90" s="387"/>
      <c r="FK90" s="358"/>
      <c r="FL90" s="387">
        <v>1055.0564263010344</v>
      </c>
      <c r="FM90" s="387"/>
      <c r="FN90" s="358"/>
      <c r="FO90" s="387">
        <v>1055.0564263010344</v>
      </c>
      <c r="FP90" s="387"/>
      <c r="FQ90" s="358"/>
      <c r="FR90" s="387">
        <v>1055.0564263010344</v>
      </c>
      <c r="FS90" s="387"/>
      <c r="FT90" s="358"/>
      <c r="FU90" s="387">
        <v>1055.0564263010344</v>
      </c>
      <c r="FV90" s="387"/>
      <c r="FW90" s="358"/>
      <c r="FX90" s="387">
        <v>1055.0564263010344</v>
      </c>
      <c r="FY90" s="387"/>
      <c r="FZ90" s="358"/>
      <c r="GA90" s="387">
        <v>1055.0564263010344</v>
      </c>
      <c r="GB90" s="387"/>
      <c r="GC90" s="358"/>
      <c r="GD90" s="387">
        <v>1055.0564263010344</v>
      </c>
      <c r="GE90" s="387"/>
      <c r="GF90" s="358"/>
      <c r="GG90" s="387">
        <v>1055.0564263010344</v>
      </c>
      <c r="GH90" s="387"/>
      <c r="GI90" s="358"/>
      <c r="GJ90" s="387">
        <v>1055.0564263010344</v>
      </c>
      <c r="GK90" s="387"/>
      <c r="GL90" s="358"/>
      <c r="GM90" s="387">
        <v>1055.0564263010344</v>
      </c>
      <c r="GN90" s="387"/>
      <c r="GO90" s="358"/>
      <c r="GP90" s="387">
        <v>1055.0564263010344</v>
      </c>
      <c r="GQ90" s="387"/>
      <c r="GR90" s="358"/>
      <c r="GS90" s="387">
        <v>1055.0564263010344</v>
      </c>
      <c r="GT90" s="387"/>
      <c r="GU90" s="358"/>
      <c r="GV90" s="387">
        <v>1055.0564263010344</v>
      </c>
      <c r="GW90" s="387"/>
      <c r="GX90" s="358"/>
      <c r="GY90" s="387">
        <v>1055.0564263010344</v>
      </c>
      <c r="GZ90" s="387"/>
      <c r="HA90" s="358"/>
      <c r="HB90" s="387">
        <v>1055.0564263010344</v>
      </c>
      <c r="HC90" s="387"/>
      <c r="HD90" s="358"/>
      <c r="HE90" s="387">
        <v>1055.0564263010344</v>
      </c>
      <c r="HF90" s="387"/>
      <c r="HG90" s="358"/>
      <c r="HH90" s="387">
        <v>1055.0564263010344</v>
      </c>
      <c r="HI90" s="358"/>
      <c r="HJ90" s="387">
        <v>1055.0564263010344</v>
      </c>
      <c r="HK90" s="358"/>
      <c r="HL90" s="387">
        <v>1055.0564263010344</v>
      </c>
      <c r="HM90" s="358"/>
      <c r="HN90" s="387">
        <v>1055.0564263010344</v>
      </c>
      <c r="HO90" s="358"/>
      <c r="HP90" s="387">
        <v>1055.0564263010344</v>
      </c>
      <c r="HQ90" s="358"/>
      <c r="HR90" s="387">
        <v>1055.0564263010344</v>
      </c>
      <c r="HS90" s="358"/>
      <c r="HT90" s="387">
        <v>1055.0564263010344</v>
      </c>
      <c r="HU90" s="358"/>
      <c r="HV90" s="388">
        <v>1055.0564263010344</v>
      </c>
      <c r="HW90" s="425"/>
      <c r="HX90" s="424">
        <v>1055.0564263010344</v>
      </c>
      <c r="HY90" s="425"/>
      <c r="HZ90" s="424">
        <v>1055.0564263010344</v>
      </c>
      <c r="IA90" s="425"/>
      <c r="IB90" s="424">
        <v>1055.0564263010344</v>
      </c>
      <c r="IC90" s="425"/>
      <c r="ID90" s="357">
        <f>VLOOKUP($C90,'[15]Prix accès'!A:D,4,FALSE)</f>
        <v>1055.0564263010344</v>
      </c>
      <c r="IE90" s="426"/>
      <c r="IF90" s="357">
        <f>VLOOKUP($C90,'[15]Prix accès'!$A:$D,4,FALSE)</f>
        <v>1055.0564263010344</v>
      </c>
      <c r="IG90" s="426"/>
      <c r="IH90" s="357">
        <f>VLOOKUP($C90,'[15]Prix accès'!$A:$D,4,FALSE)</f>
        <v>1055.0564263010344</v>
      </c>
      <c r="II90" s="426"/>
      <c r="IJ90" s="457">
        <v>138.36805590833239</v>
      </c>
      <c r="IK90" s="426"/>
      <c r="IL90" s="458"/>
      <c r="IM90" s="426"/>
      <c r="IN90" s="496"/>
      <c r="IO90" s="427"/>
      <c r="IP90" s="496"/>
      <c r="IQ90" s="427"/>
      <c r="IR90" s="429" t="s">
        <v>2961</v>
      </c>
      <c r="IS90" s="364" t="s">
        <v>77</v>
      </c>
      <c r="IT90" s="365">
        <v>43552</v>
      </c>
      <c r="IU90" s="371">
        <v>43556</v>
      </c>
      <c r="IW90" s="372">
        <f t="shared" si="16"/>
        <v>4</v>
      </c>
      <c r="IX90" s="373">
        <f t="shared" si="14"/>
        <v>34.592013977083099</v>
      </c>
      <c r="IY90" s="394">
        <f t="shared" si="17"/>
        <v>138.36805590833239</v>
      </c>
      <c r="IZ90" s="394"/>
      <c r="JA90" s="394"/>
    </row>
    <row r="91" spans="1:261" s="367" customFormat="1" ht="16.5" customHeight="1" x14ac:dyDescent="0.3">
      <c r="A91" s="354" t="s">
        <v>2743</v>
      </c>
      <c r="B91" s="415" t="s">
        <v>2748</v>
      </c>
      <c r="C91" s="447" t="s">
        <v>1288</v>
      </c>
      <c r="D91" s="448">
        <v>1149</v>
      </c>
      <c r="E91" s="449">
        <v>44</v>
      </c>
      <c r="F91" s="449">
        <v>32</v>
      </c>
      <c r="G91" s="449">
        <v>5</v>
      </c>
      <c r="H91" s="450">
        <v>0</v>
      </c>
      <c r="I91" s="830">
        <v>1225</v>
      </c>
      <c r="J91" s="831">
        <v>5</v>
      </c>
      <c r="K91" s="827"/>
      <c r="L91" s="831">
        <v>1225</v>
      </c>
      <c r="M91" s="831">
        <v>5</v>
      </c>
      <c r="N91" s="827"/>
      <c r="O91" s="831">
        <v>1225</v>
      </c>
      <c r="P91" s="831">
        <v>5</v>
      </c>
      <c r="Q91" s="827"/>
      <c r="R91" s="831">
        <v>1225</v>
      </c>
      <c r="S91" s="831">
        <v>5</v>
      </c>
      <c r="T91" s="827"/>
      <c r="U91" s="831">
        <v>1225</v>
      </c>
      <c r="V91" s="831">
        <v>5</v>
      </c>
      <c r="W91" s="827"/>
      <c r="X91" s="831">
        <v>1225</v>
      </c>
      <c r="Y91" s="831">
        <v>5</v>
      </c>
      <c r="Z91" s="827"/>
      <c r="AA91" s="831">
        <v>1225</v>
      </c>
      <c r="AB91" s="831">
        <v>5</v>
      </c>
      <c r="AC91" s="827"/>
      <c r="AD91" s="831">
        <v>1225</v>
      </c>
      <c r="AE91" s="831">
        <v>5</v>
      </c>
      <c r="AF91" s="827"/>
      <c r="AG91" s="831">
        <v>1225</v>
      </c>
      <c r="AH91" s="831">
        <v>5</v>
      </c>
      <c r="AI91" s="827"/>
      <c r="AJ91" s="831">
        <v>1225</v>
      </c>
      <c r="AK91" s="831">
        <v>5</v>
      </c>
      <c r="AL91" s="827"/>
      <c r="AM91" s="831">
        <v>1225</v>
      </c>
      <c r="AN91" s="831">
        <v>5</v>
      </c>
      <c r="AO91" s="827"/>
      <c r="AP91" s="831">
        <v>1225</v>
      </c>
      <c r="AQ91" s="831">
        <v>5</v>
      </c>
      <c r="AR91" s="827"/>
      <c r="AS91" s="831">
        <v>1225</v>
      </c>
      <c r="AT91" s="831">
        <v>5</v>
      </c>
      <c r="AU91" s="827"/>
      <c r="AV91" s="831">
        <v>1225</v>
      </c>
      <c r="AW91" s="831">
        <v>5</v>
      </c>
      <c r="AX91" s="827"/>
      <c r="AY91" s="831">
        <v>1225</v>
      </c>
      <c r="AZ91" s="831">
        <v>5</v>
      </c>
      <c r="BA91" s="358"/>
      <c r="BB91" s="385">
        <v>1225</v>
      </c>
      <c r="BC91" s="385">
        <v>5</v>
      </c>
      <c r="BD91" s="358"/>
      <c r="BE91" s="385">
        <v>1225</v>
      </c>
      <c r="BF91" s="385">
        <v>5</v>
      </c>
      <c r="BG91" s="358"/>
      <c r="BH91" s="385">
        <v>1225</v>
      </c>
      <c r="BI91" s="385">
        <v>5</v>
      </c>
      <c r="BJ91" s="369"/>
      <c r="BK91" s="385">
        <v>1225</v>
      </c>
      <c r="BL91" s="385">
        <v>5</v>
      </c>
      <c r="BM91" s="369"/>
      <c r="BN91" s="385">
        <v>1225</v>
      </c>
      <c r="BO91" s="385">
        <v>5</v>
      </c>
      <c r="BP91" s="369"/>
      <c r="BQ91" s="385">
        <v>1225</v>
      </c>
      <c r="BR91" s="385">
        <v>5</v>
      </c>
      <c r="BS91" s="369"/>
      <c r="BT91" s="385">
        <v>1225</v>
      </c>
      <c r="BU91" s="385">
        <v>5</v>
      </c>
      <c r="BV91" s="369"/>
      <c r="BW91" s="385">
        <v>1225</v>
      </c>
      <c r="BX91" s="385">
        <v>5</v>
      </c>
      <c r="BY91" s="369"/>
      <c r="BZ91" s="385">
        <v>1225</v>
      </c>
      <c r="CA91" s="385">
        <v>5</v>
      </c>
      <c r="CB91" s="369"/>
      <c r="CC91" s="385">
        <v>1225</v>
      </c>
      <c r="CD91" s="385">
        <v>5</v>
      </c>
      <c r="CE91" s="369"/>
      <c r="CF91" s="385">
        <v>1225</v>
      </c>
      <c r="CG91" s="385">
        <v>5</v>
      </c>
      <c r="CH91" s="369"/>
      <c r="CI91" s="385">
        <v>1225</v>
      </c>
      <c r="CJ91" s="385">
        <v>5</v>
      </c>
      <c r="CK91" s="369"/>
      <c r="CL91" s="385">
        <v>1225</v>
      </c>
      <c r="CM91" s="385">
        <v>5</v>
      </c>
      <c r="CN91" s="369"/>
      <c r="CO91" s="385">
        <v>1225</v>
      </c>
      <c r="CP91" s="385">
        <v>5</v>
      </c>
      <c r="CQ91" s="369"/>
      <c r="CR91" s="385">
        <v>1225</v>
      </c>
      <c r="CS91" s="385">
        <v>5</v>
      </c>
      <c r="CT91" s="369"/>
      <c r="CU91" s="386">
        <f>((1225-1055)*19)+1225</f>
        <v>4455</v>
      </c>
      <c r="CV91" s="386">
        <f>5*20</f>
        <v>100</v>
      </c>
      <c r="CW91" s="370"/>
      <c r="CX91" s="385">
        <v>1055.0564263010344</v>
      </c>
      <c r="CY91" s="385"/>
      <c r="CZ91" s="369"/>
      <c r="DA91" s="385">
        <v>1055.0564263010344</v>
      </c>
      <c r="DB91" s="385"/>
      <c r="DC91" s="369"/>
      <c r="DD91" s="385">
        <v>1055.0564263010344</v>
      </c>
      <c r="DE91" s="385"/>
      <c r="DF91" s="369"/>
      <c r="DG91" s="385">
        <v>1055.0564263010344</v>
      </c>
      <c r="DH91" s="385"/>
      <c r="DI91" s="369"/>
      <c r="DJ91" s="385">
        <v>1055.0564263010344</v>
      </c>
      <c r="DK91" s="385"/>
      <c r="DL91" s="369"/>
      <c r="DM91" s="385">
        <v>1055.0564263010344</v>
      </c>
      <c r="DN91" s="385"/>
      <c r="DO91" s="369"/>
      <c r="DP91" s="385">
        <v>1055.0564263010344</v>
      </c>
      <c r="DQ91" s="385"/>
      <c r="DR91" s="369"/>
      <c r="DS91" s="385">
        <v>1055.0564263010344</v>
      </c>
      <c r="DT91" s="385"/>
      <c r="DU91" s="369"/>
      <c r="DV91" s="385">
        <v>1055.0564263010344</v>
      </c>
      <c r="DW91" s="385"/>
      <c r="DX91" s="369"/>
      <c r="DY91" s="385">
        <v>1055.0564263010344</v>
      </c>
      <c r="DZ91" s="385"/>
      <c r="EA91" s="369"/>
      <c r="EB91" s="385">
        <v>1055.0564263010344</v>
      </c>
      <c r="EC91" s="385"/>
      <c r="ED91" s="369"/>
      <c r="EE91" s="385">
        <v>1055.0564263010344</v>
      </c>
      <c r="EF91" s="385"/>
      <c r="EG91" s="369"/>
      <c r="EH91" s="385">
        <v>1055.0564263010344</v>
      </c>
      <c r="EI91" s="385"/>
      <c r="EJ91" s="369"/>
      <c r="EK91" s="385">
        <v>1055.0564263010344</v>
      </c>
      <c r="EL91" s="385"/>
      <c r="EM91" s="369"/>
      <c r="EN91" s="385">
        <v>1055.0564263010344</v>
      </c>
      <c r="EO91" s="385"/>
      <c r="EP91" s="369"/>
      <c r="EQ91" s="385">
        <v>1055.0564263010344</v>
      </c>
      <c r="ER91" s="385"/>
      <c r="ES91" s="369"/>
      <c r="ET91" s="385">
        <v>1055.0564263010344</v>
      </c>
      <c r="EU91" s="385"/>
      <c r="EV91" s="369"/>
      <c r="EW91" s="385">
        <v>1055.0564263010344</v>
      </c>
      <c r="EX91" s="385"/>
      <c r="EY91" s="369"/>
      <c r="EZ91" s="385">
        <v>1055.0564263010344</v>
      </c>
      <c r="FA91" s="385"/>
      <c r="FB91" s="369"/>
      <c r="FC91" s="385">
        <v>1055.0564263010344</v>
      </c>
      <c r="FD91" s="385"/>
      <c r="FE91" s="369"/>
      <c r="FF91" s="385">
        <v>1055.0564263010344</v>
      </c>
      <c r="FG91" s="385"/>
      <c r="FH91" s="369"/>
      <c r="FI91" s="385">
        <v>1055.0564263010344</v>
      </c>
      <c r="FJ91" s="385"/>
      <c r="FK91" s="369"/>
      <c r="FL91" s="385">
        <v>1055.0564263010344</v>
      </c>
      <c r="FM91" s="385"/>
      <c r="FN91" s="369"/>
      <c r="FO91" s="385">
        <v>1055.0564263010344</v>
      </c>
      <c r="FP91" s="385"/>
      <c r="FQ91" s="369"/>
      <c r="FR91" s="385">
        <v>1055.0564263010344</v>
      </c>
      <c r="FS91" s="385"/>
      <c r="FT91" s="369"/>
      <c r="FU91" s="387">
        <v>1055.0564263010344</v>
      </c>
      <c r="FV91" s="387"/>
      <c r="FW91" s="358"/>
      <c r="FX91" s="387">
        <v>1055.0564263010344</v>
      </c>
      <c r="FY91" s="387"/>
      <c r="FZ91" s="358"/>
      <c r="GA91" s="387">
        <v>1055.0564263010344</v>
      </c>
      <c r="GB91" s="387"/>
      <c r="GC91" s="358"/>
      <c r="GD91" s="387">
        <v>1055.0564263010344</v>
      </c>
      <c r="GE91" s="387"/>
      <c r="GF91" s="358"/>
      <c r="GG91" s="387">
        <v>1055.0564263010344</v>
      </c>
      <c r="GH91" s="387"/>
      <c r="GI91" s="358"/>
      <c r="GJ91" s="387">
        <v>1055.0564263010344</v>
      </c>
      <c r="GK91" s="387"/>
      <c r="GL91" s="358"/>
      <c r="GM91" s="387">
        <v>1055.0564263010344</v>
      </c>
      <c r="GN91" s="387"/>
      <c r="GO91" s="358"/>
      <c r="GP91" s="387">
        <v>1055.0564263010344</v>
      </c>
      <c r="GQ91" s="387"/>
      <c r="GR91" s="358"/>
      <c r="GS91" s="387">
        <v>1055.0564263010344</v>
      </c>
      <c r="GT91" s="387"/>
      <c r="GU91" s="358"/>
      <c r="GV91" s="387">
        <v>1055.0564263010344</v>
      </c>
      <c r="GW91" s="387"/>
      <c r="GX91" s="358"/>
      <c r="GY91" s="387">
        <v>1055.0564263010344</v>
      </c>
      <c r="GZ91" s="387"/>
      <c r="HA91" s="358"/>
      <c r="HB91" s="387">
        <v>1055.0564263010344</v>
      </c>
      <c r="HC91" s="387"/>
      <c r="HD91" s="358"/>
      <c r="HE91" s="387">
        <v>1055.0564263010344</v>
      </c>
      <c r="HF91" s="387"/>
      <c r="HG91" s="358"/>
      <c r="HH91" s="387">
        <v>1055.0564263010344</v>
      </c>
      <c r="HI91" s="358"/>
      <c r="HJ91" s="387">
        <v>1055.0564263010344</v>
      </c>
      <c r="HK91" s="358"/>
      <c r="HL91" s="387">
        <v>1055.0564263010344</v>
      </c>
      <c r="HM91" s="358"/>
      <c r="HN91" s="387">
        <v>1055.0564263010344</v>
      </c>
      <c r="HO91" s="358"/>
      <c r="HP91" s="387">
        <v>1055.0564263010344</v>
      </c>
      <c r="HQ91" s="358"/>
      <c r="HR91" s="387">
        <v>1055.0564263010344</v>
      </c>
      <c r="HS91" s="358"/>
      <c r="HT91" s="387">
        <v>1055.0564263010344</v>
      </c>
      <c r="HU91" s="358"/>
      <c r="HV91" s="388">
        <v>1055.0564263010344</v>
      </c>
      <c r="HW91" s="425"/>
      <c r="HX91" s="424">
        <v>1055.0564263010344</v>
      </c>
      <c r="HY91" s="425"/>
      <c r="HZ91" s="424">
        <v>1055.0564263010344</v>
      </c>
      <c r="IA91" s="425"/>
      <c r="IB91" s="424">
        <v>1055.0564263010344</v>
      </c>
      <c r="IC91" s="425"/>
      <c r="ID91" s="357">
        <f>VLOOKUP($C91,'[15]Prix accès'!A:D,4,FALSE)</f>
        <v>1055.0564263010344</v>
      </c>
      <c r="IE91" s="426"/>
      <c r="IF91" s="357">
        <f>VLOOKUP($C91,'[15]Prix accès'!$A:$D,4,FALSE)</f>
        <v>1055.0564263010344</v>
      </c>
      <c r="IG91" s="426"/>
      <c r="IH91" s="457">
        <v>1037.760419312493</v>
      </c>
      <c r="II91" s="426"/>
      <c r="IJ91" s="458"/>
      <c r="IK91" s="426"/>
      <c r="IL91" s="458"/>
      <c r="IM91" s="426"/>
      <c r="IN91" s="496"/>
      <c r="IO91" s="427"/>
      <c r="IP91" s="496"/>
      <c r="IQ91" s="427"/>
      <c r="IR91" s="429" t="s">
        <v>3122</v>
      </c>
      <c r="IS91" s="364" t="s">
        <v>77</v>
      </c>
      <c r="IT91" s="365">
        <v>43556</v>
      </c>
      <c r="IU91" s="371">
        <v>43586</v>
      </c>
      <c r="IW91" s="372">
        <f t="shared" si="16"/>
        <v>30</v>
      </c>
      <c r="IX91" s="373">
        <f t="shared" si="14"/>
        <v>34.592013977083099</v>
      </c>
      <c r="IY91" s="394">
        <f t="shared" si="17"/>
        <v>1037.760419312493</v>
      </c>
      <c r="IZ91" s="394"/>
      <c r="JA91" s="394"/>
    </row>
    <row r="92" spans="1:261" s="367" customFormat="1" ht="16.5" customHeight="1" x14ac:dyDescent="0.3">
      <c r="A92" s="354" t="s">
        <v>2743</v>
      </c>
      <c r="B92" s="415" t="s">
        <v>2813</v>
      </c>
      <c r="C92" s="447" t="s">
        <v>987</v>
      </c>
      <c r="D92" s="448">
        <v>1149</v>
      </c>
      <c r="E92" s="449">
        <v>71</v>
      </c>
      <c r="F92" s="449">
        <v>32</v>
      </c>
      <c r="G92" s="449">
        <v>0</v>
      </c>
      <c r="H92" s="450">
        <v>0</v>
      </c>
      <c r="I92" s="828">
        <v>1251.4564263010345</v>
      </c>
      <c r="J92" s="829"/>
      <c r="K92" s="827"/>
      <c r="L92" s="829">
        <v>1251.4564263010345</v>
      </c>
      <c r="M92" s="829"/>
      <c r="N92" s="827"/>
      <c r="O92" s="829">
        <v>1251.4564263010345</v>
      </c>
      <c r="P92" s="829"/>
      <c r="Q92" s="827"/>
      <c r="R92" s="829">
        <v>1251.4564263010345</v>
      </c>
      <c r="S92" s="829"/>
      <c r="T92" s="827"/>
      <c r="U92" s="829">
        <v>1251.4564263010345</v>
      </c>
      <c r="V92" s="829"/>
      <c r="W92" s="827"/>
      <c r="X92" s="829">
        <v>1251.4564263010345</v>
      </c>
      <c r="Y92" s="829"/>
      <c r="Z92" s="827"/>
      <c r="AA92" s="829">
        <v>1251.4564263010345</v>
      </c>
      <c r="AB92" s="829"/>
      <c r="AC92" s="827"/>
      <c r="AD92" s="829">
        <v>1251.4564263010345</v>
      </c>
      <c r="AE92" s="829"/>
      <c r="AF92" s="827"/>
      <c r="AG92" s="829">
        <v>1251.4564263010345</v>
      </c>
      <c r="AH92" s="829"/>
      <c r="AI92" s="827"/>
      <c r="AJ92" s="829">
        <v>1251.4564263010345</v>
      </c>
      <c r="AK92" s="829"/>
      <c r="AL92" s="827"/>
      <c r="AM92" s="829">
        <v>1251.4564263010345</v>
      </c>
      <c r="AN92" s="829"/>
      <c r="AO92" s="827"/>
      <c r="AP92" s="829">
        <v>1251.4564263010345</v>
      </c>
      <c r="AQ92" s="829"/>
      <c r="AR92" s="827"/>
      <c r="AS92" s="829">
        <v>1251.4564263010345</v>
      </c>
      <c r="AT92" s="829"/>
      <c r="AU92" s="827"/>
      <c r="AV92" s="829">
        <v>1251.4564263010345</v>
      </c>
      <c r="AW92" s="829"/>
      <c r="AX92" s="827"/>
      <c r="AY92" s="829">
        <v>1251.4564263010345</v>
      </c>
      <c r="AZ92" s="829"/>
      <c r="BA92" s="358"/>
      <c r="BB92" s="387">
        <v>1251.4564263010345</v>
      </c>
      <c r="BC92" s="387"/>
      <c r="BD92" s="358"/>
      <c r="BE92" s="387">
        <v>1251.4564263010345</v>
      </c>
      <c r="BF92" s="387"/>
      <c r="BG92" s="358"/>
      <c r="BH92" s="387">
        <v>1251.4564263010345</v>
      </c>
      <c r="BI92" s="387"/>
      <c r="BJ92" s="358"/>
      <c r="BK92" s="387">
        <v>1251.4564263010345</v>
      </c>
      <c r="BL92" s="387"/>
      <c r="BM92" s="358"/>
      <c r="BN92" s="387">
        <v>1251.4564263010345</v>
      </c>
      <c r="BO92" s="387"/>
      <c r="BP92" s="358"/>
      <c r="BQ92" s="387">
        <v>1251.4564263010345</v>
      </c>
      <c r="BR92" s="387"/>
      <c r="BS92" s="358"/>
      <c r="BT92" s="387">
        <v>1251.4564263010345</v>
      </c>
      <c r="BU92" s="387"/>
      <c r="BV92" s="358"/>
      <c r="BW92" s="387">
        <v>1251.4564263010345</v>
      </c>
      <c r="BX92" s="387"/>
      <c r="BY92" s="358"/>
      <c r="BZ92" s="387">
        <v>1251.4564263010345</v>
      </c>
      <c r="CA92" s="387"/>
      <c r="CB92" s="358"/>
      <c r="CC92" s="387">
        <v>1251.4564263010345</v>
      </c>
      <c r="CD92" s="387"/>
      <c r="CE92" s="358"/>
      <c r="CF92" s="387">
        <v>1251.4564263010345</v>
      </c>
      <c r="CG92" s="387"/>
      <c r="CH92" s="358"/>
      <c r="CI92" s="387">
        <v>1251.4564263010345</v>
      </c>
      <c r="CJ92" s="387"/>
      <c r="CK92" s="358"/>
      <c r="CL92" s="387">
        <v>1251.4564263010345</v>
      </c>
      <c r="CM92" s="387"/>
      <c r="CN92" s="358"/>
      <c r="CO92" s="387">
        <v>1251.4564263010345</v>
      </c>
      <c r="CP92" s="387"/>
      <c r="CQ92" s="358"/>
      <c r="CR92" s="387">
        <v>1251.4564263010345</v>
      </c>
      <c r="CS92" s="387"/>
      <c r="CT92" s="358"/>
      <c r="CU92" s="387">
        <v>1251.4564263010345</v>
      </c>
      <c r="CV92" s="387"/>
      <c r="CW92" s="358"/>
      <c r="CX92" s="387">
        <v>1251.4564263010345</v>
      </c>
      <c r="CY92" s="387"/>
      <c r="CZ92" s="358"/>
      <c r="DA92" s="387">
        <v>1251.4564263010345</v>
      </c>
      <c r="DB92" s="387"/>
      <c r="DC92" s="358"/>
      <c r="DD92" s="387">
        <v>1251.4564263010345</v>
      </c>
      <c r="DE92" s="387"/>
      <c r="DF92" s="358"/>
      <c r="DG92" s="387">
        <v>1251.4564263010345</v>
      </c>
      <c r="DH92" s="387"/>
      <c r="DI92" s="358"/>
      <c r="DJ92" s="387">
        <v>1251.4564263010345</v>
      </c>
      <c r="DK92" s="387"/>
      <c r="DL92" s="358"/>
      <c r="DM92" s="387">
        <v>1251.4564263010345</v>
      </c>
      <c r="DN92" s="387"/>
      <c r="DO92" s="358"/>
      <c r="DP92" s="387">
        <v>1251.4564263010345</v>
      </c>
      <c r="DQ92" s="387"/>
      <c r="DR92" s="358"/>
      <c r="DS92" s="387">
        <v>1251.4564263010345</v>
      </c>
      <c r="DT92" s="387"/>
      <c r="DU92" s="358"/>
      <c r="DV92" s="387">
        <v>1251.4564263010345</v>
      </c>
      <c r="DW92" s="387"/>
      <c r="DX92" s="358"/>
      <c r="DY92" s="387">
        <v>1251.4564263010345</v>
      </c>
      <c r="DZ92" s="387"/>
      <c r="EA92" s="358"/>
      <c r="EB92" s="387">
        <v>1251.4564263010345</v>
      </c>
      <c r="EC92" s="387"/>
      <c r="ED92" s="358"/>
      <c r="EE92" s="387">
        <v>1251.4564263010345</v>
      </c>
      <c r="EF92" s="387"/>
      <c r="EG92" s="358"/>
      <c r="EH92" s="387">
        <v>1251.4564263010345</v>
      </c>
      <c r="EI92" s="387"/>
      <c r="EJ92" s="358"/>
      <c r="EK92" s="387">
        <v>1251.4564263010345</v>
      </c>
      <c r="EL92" s="387"/>
      <c r="EM92" s="358"/>
      <c r="EN92" s="387">
        <v>1251.4564263010345</v>
      </c>
      <c r="EO92" s="387"/>
      <c r="EP92" s="358"/>
      <c r="EQ92" s="387">
        <v>1251.4564263010345</v>
      </c>
      <c r="ER92" s="387"/>
      <c r="ES92" s="358"/>
      <c r="ET92" s="387">
        <v>1251.4564263010345</v>
      </c>
      <c r="EU92" s="387"/>
      <c r="EV92" s="358"/>
      <c r="EW92" s="387">
        <v>1251.4564263010345</v>
      </c>
      <c r="EX92" s="387"/>
      <c r="EY92" s="358"/>
      <c r="EZ92" s="387">
        <v>1251.4564263010345</v>
      </c>
      <c r="FA92" s="387"/>
      <c r="FB92" s="358"/>
      <c r="FC92" s="387">
        <v>1251.4564263010345</v>
      </c>
      <c r="FD92" s="387"/>
      <c r="FE92" s="358"/>
      <c r="FF92" s="387">
        <v>1251.4564263010345</v>
      </c>
      <c r="FG92" s="387"/>
      <c r="FH92" s="358"/>
      <c r="FI92" s="387">
        <v>1251.4564263010345</v>
      </c>
      <c r="FJ92" s="387"/>
      <c r="FK92" s="358"/>
      <c r="FL92" s="387">
        <v>1251.4564263010345</v>
      </c>
      <c r="FM92" s="387"/>
      <c r="FN92" s="358"/>
      <c r="FO92" s="387">
        <v>1251.4564263010345</v>
      </c>
      <c r="FP92" s="387"/>
      <c r="FQ92" s="358"/>
      <c r="FR92" s="387">
        <v>1251.4564263010345</v>
      </c>
      <c r="FS92" s="387"/>
      <c r="FT92" s="358"/>
      <c r="FU92" s="387">
        <v>1251.4564263010345</v>
      </c>
      <c r="FV92" s="387"/>
      <c r="FW92" s="358"/>
      <c r="FX92" s="387">
        <v>1251.4564263010345</v>
      </c>
      <c r="FY92" s="387"/>
      <c r="FZ92" s="358"/>
      <c r="GA92" s="387">
        <v>1251.4564263010345</v>
      </c>
      <c r="GB92" s="387"/>
      <c r="GC92" s="358"/>
      <c r="GD92" s="387">
        <v>1251.4564263010345</v>
      </c>
      <c r="GE92" s="387"/>
      <c r="GF92" s="358"/>
      <c r="GG92" s="387">
        <v>1251.4564263010345</v>
      </c>
      <c r="GH92" s="387"/>
      <c r="GI92" s="358"/>
      <c r="GJ92" s="387">
        <v>1251.4564263010345</v>
      </c>
      <c r="GK92" s="387"/>
      <c r="GL92" s="358"/>
      <c r="GM92" s="387">
        <v>1251.4564263010345</v>
      </c>
      <c r="GN92" s="387"/>
      <c r="GO92" s="358"/>
      <c r="GP92" s="387">
        <v>1251.4564263010345</v>
      </c>
      <c r="GQ92" s="387"/>
      <c r="GR92" s="358"/>
      <c r="GS92" s="387">
        <v>1251.4564263010345</v>
      </c>
      <c r="GT92" s="387"/>
      <c r="GU92" s="358"/>
      <c r="GV92" s="387">
        <v>1251.4564263010345</v>
      </c>
      <c r="GW92" s="387"/>
      <c r="GX92" s="358"/>
      <c r="GY92" s="387">
        <v>1251.4564263010345</v>
      </c>
      <c r="GZ92" s="387"/>
      <c r="HA92" s="358"/>
      <c r="HB92" s="387">
        <v>1251.4564263010345</v>
      </c>
      <c r="HC92" s="387"/>
      <c r="HD92" s="358"/>
      <c r="HE92" s="387">
        <v>1251.4564263010345</v>
      </c>
      <c r="HF92" s="387"/>
      <c r="HG92" s="358"/>
      <c r="HH92" s="387">
        <v>1251.4564263010345</v>
      </c>
      <c r="HI92" s="358"/>
      <c r="HJ92" s="387">
        <v>1251.4564263010345</v>
      </c>
      <c r="HK92" s="358"/>
      <c r="HL92" s="387">
        <v>1251.4564263010345</v>
      </c>
      <c r="HM92" s="358"/>
      <c r="HN92" s="387">
        <v>1251.4564263010345</v>
      </c>
      <c r="HO92" s="358"/>
      <c r="HP92" s="387">
        <v>1251.4564263010345</v>
      </c>
      <c r="HQ92" s="358"/>
      <c r="HR92" s="387">
        <v>1251.4564263010345</v>
      </c>
      <c r="HS92" s="358"/>
      <c r="HT92" s="387">
        <v>1251.4564263010345</v>
      </c>
      <c r="HU92" s="358"/>
      <c r="HV92" s="388">
        <v>1251.4564263010345</v>
      </c>
      <c r="HW92" s="425"/>
      <c r="HX92" s="424">
        <v>1251.4564263010345</v>
      </c>
      <c r="HY92" s="425"/>
      <c r="HZ92" s="424">
        <v>1251.4564263010345</v>
      </c>
      <c r="IA92" s="425"/>
      <c r="IB92" s="424">
        <v>1251.4564263010345</v>
      </c>
      <c r="IC92" s="425"/>
      <c r="ID92" s="357">
        <f>VLOOKUP($C92,'[15]Prix accès'!A:D,4,FALSE)</f>
        <v>1251.4564263010345</v>
      </c>
      <c r="IE92" s="426"/>
      <c r="IF92" s="357">
        <f>VLOOKUP($C92,'[15]Prix accès'!$A:$D,4,FALSE)</f>
        <v>1251.4564263010345</v>
      </c>
      <c r="IG92" s="426"/>
      <c r="IH92" s="457">
        <v>1189.9093889419671</v>
      </c>
      <c r="II92" s="426"/>
      <c r="IJ92" s="458"/>
      <c r="IK92" s="426"/>
      <c r="IL92" s="458"/>
      <c r="IM92" s="426"/>
      <c r="IN92" s="496"/>
      <c r="IO92" s="427"/>
      <c r="IP92" s="496"/>
      <c r="IQ92" s="427"/>
      <c r="IR92" s="429" t="s">
        <v>3153</v>
      </c>
      <c r="IS92" s="364" t="s">
        <v>77</v>
      </c>
      <c r="IT92" s="365">
        <v>43557</v>
      </c>
      <c r="IU92" s="371">
        <v>43586</v>
      </c>
      <c r="IW92" s="372">
        <f t="shared" si="16"/>
        <v>29</v>
      </c>
      <c r="IX92" s="373">
        <f t="shared" si="14"/>
        <v>41.031358239378179</v>
      </c>
      <c r="IY92" s="394">
        <f t="shared" si="17"/>
        <v>1189.9093889419671</v>
      </c>
      <c r="IZ92" s="394"/>
      <c r="JA92" s="394"/>
    </row>
    <row r="93" spans="1:261" s="367" customFormat="1" ht="16.5" customHeight="1" x14ac:dyDescent="0.3">
      <c r="A93" s="354" t="s">
        <v>2735</v>
      </c>
      <c r="B93" s="395" t="s">
        <v>2748</v>
      </c>
      <c r="C93" s="466" t="s">
        <v>243</v>
      </c>
      <c r="D93" s="467">
        <v>2384</v>
      </c>
      <c r="E93" s="468">
        <v>71</v>
      </c>
      <c r="F93" s="468">
        <v>48</v>
      </c>
      <c r="G93" s="468">
        <v>5</v>
      </c>
      <c r="H93" s="469">
        <v>0</v>
      </c>
      <c r="I93" s="841">
        <v>2502</v>
      </c>
      <c r="J93" s="835">
        <v>5</v>
      </c>
      <c r="K93" s="835"/>
      <c r="L93" s="835">
        <v>2502</v>
      </c>
      <c r="M93" s="835">
        <v>5</v>
      </c>
      <c r="N93" s="835"/>
      <c r="O93" s="835">
        <v>2502</v>
      </c>
      <c r="P93" s="835">
        <v>5</v>
      </c>
      <c r="Q93" s="835"/>
      <c r="R93" s="835">
        <v>2502</v>
      </c>
      <c r="S93" s="835">
        <v>5</v>
      </c>
      <c r="T93" s="835"/>
      <c r="U93" s="835">
        <v>2502</v>
      </c>
      <c r="V93" s="835">
        <v>5</v>
      </c>
      <c r="W93" s="835"/>
      <c r="X93" s="835">
        <v>2502</v>
      </c>
      <c r="Y93" s="835">
        <v>5</v>
      </c>
      <c r="Z93" s="835"/>
      <c r="AA93" s="835">
        <v>2502</v>
      </c>
      <c r="AB93" s="835">
        <v>5</v>
      </c>
      <c r="AC93" s="835"/>
      <c r="AD93" s="835">
        <v>2502</v>
      </c>
      <c r="AE93" s="835">
        <v>5</v>
      </c>
      <c r="AF93" s="835"/>
      <c r="AG93" s="835">
        <v>2502</v>
      </c>
      <c r="AH93" s="835">
        <v>5</v>
      </c>
      <c r="AI93" s="835"/>
      <c r="AJ93" s="835">
        <v>2502</v>
      </c>
      <c r="AK93" s="835">
        <v>5</v>
      </c>
      <c r="AL93" s="835"/>
      <c r="AM93" s="842">
        <f>((2502-2090)/30.5)*12+2502</f>
        <v>2664.0983606557379</v>
      </c>
      <c r="AN93" s="835">
        <v>5</v>
      </c>
      <c r="AO93" s="835"/>
      <c r="AP93" s="831">
        <v>2090.2564263010345</v>
      </c>
      <c r="AQ93" s="831">
        <f>5</f>
        <v>5</v>
      </c>
      <c r="AR93" s="827"/>
      <c r="AS93" s="831">
        <v>2090.2564263010345</v>
      </c>
      <c r="AT93" s="831">
        <f>5</f>
        <v>5</v>
      </c>
      <c r="AU93" s="827"/>
      <c r="AV93" s="831">
        <v>2090.2564263010345</v>
      </c>
      <c r="AW93" s="831">
        <f>5</f>
        <v>5</v>
      </c>
      <c r="AX93" s="827"/>
      <c r="AY93" s="831">
        <v>2090.2564263010345</v>
      </c>
      <c r="AZ93" s="831">
        <f>5</f>
        <v>5</v>
      </c>
      <c r="BA93" s="358"/>
      <c r="BB93" s="385">
        <v>2090.2564263010345</v>
      </c>
      <c r="BC93" s="385">
        <f>5</f>
        <v>5</v>
      </c>
      <c r="BD93" s="358"/>
      <c r="BE93" s="385">
        <v>2090.2564263010345</v>
      </c>
      <c r="BF93" s="385">
        <f>5</f>
        <v>5</v>
      </c>
      <c r="BG93" s="358"/>
      <c r="BH93" s="385">
        <v>2090.2564263010345</v>
      </c>
      <c r="BI93" s="385">
        <f>5</f>
        <v>5</v>
      </c>
      <c r="BJ93" s="358"/>
      <c r="BK93" s="385">
        <v>2090.2564263010345</v>
      </c>
      <c r="BL93" s="385">
        <f>5</f>
        <v>5</v>
      </c>
      <c r="BM93" s="358"/>
      <c r="BN93" s="385">
        <v>2090.2564263010345</v>
      </c>
      <c r="BO93" s="385">
        <f>5</f>
        <v>5</v>
      </c>
      <c r="BP93" s="358"/>
      <c r="BQ93" s="385">
        <v>2090.2564263010345</v>
      </c>
      <c r="BR93" s="385">
        <f>5</f>
        <v>5</v>
      </c>
      <c r="BS93" s="358"/>
      <c r="BT93" s="385">
        <v>2090.2564263010345</v>
      </c>
      <c r="BU93" s="385">
        <f>5</f>
        <v>5</v>
      </c>
      <c r="BV93" s="358"/>
      <c r="BW93" s="385">
        <v>2090.2564263010345</v>
      </c>
      <c r="BX93" s="385">
        <f>5</f>
        <v>5</v>
      </c>
      <c r="BY93" s="358"/>
      <c r="BZ93" s="385">
        <v>2090.2564263010345</v>
      </c>
      <c r="CA93" s="385">
        <f>5</f>
        <v>5</v>
      </c>
      <c r="CB93" s="358"/>
      <c r="CC93" s="385">
        <v>2090.2564263010345</v>
      </c>
      <c r="CD93" s="385">
        <f>5</f>
        <v>5</v>
      </c>
      <c r="CE93" s="358"/>
      <c r="CF93" s="385">
        <v>2090.2564263010345</v>
      </c>
      <c r="CG93" s="385">
        <f>5</f>
        <v>5</v>
      </c>
      <c r="CH93" s="358"/>
      <c r="CI93" s="385">
        <v>2090.2564263010345</v>
      </c>
      <c r="CJ93" s="385">
        <f>5</f>
        <v>5</v>
      </c>
      <c r="CK93" s="358"/>
      <c r="CL93" s="385">
        <v>2090.2564263010345</v>
      </c>
      <c r="CM93" s="385">
        <f>5</f>
        <v>5</v>
      </c>
      <c r="CN93" s="358"/>
      <c r="CO93" s="385">
        <v>2090.2564263010345</v>
      </c>
      <c r="CP93" s="385">
        <f>5</f>
        <v>5</v>
      </c>
      <c r="CQ93" s="358"/>
      <c r="CR93" s="385">
        <v>2090.2564263010345</v>
      </c>
      <c r="CS93" s="385">
        <f>5</f>
        <v>5</v>
      </c>
      <c r="CT93" s="358"/>
      <c r="CU93" s="385">
        <v>2090.2564263010345</v>
      </c>
      <c r="CV93" s="385">
        <f>5</f>
        <v>5</v>
      </c>
      <c r="CW93" s="358"/>
      <c r="CX93" s="385">
        <v>2090.2564263010345</v>
      </c>
      <c r="CY93" s="385">
        <f>5</f>
        <v>5</v>
      </c>
      <c r="CZ93" s="358"/>
      <c r="DA93" s="385">
        <v>2090.2564263010345</v>
      </c>
      <c r="DB93" s="385">
        <f>5</f>
        <v>5</v>
      </c>
      <c r="DC93" s="358"/>
      <c r="DD93" s="385">
        <v>2090.2564263010345</v>
      </c>
      <c r="DE93" s="385">
        <f>5</f>
        <v>5</v>
      </c>
      <c r="DF93" s="358"/>
      <c r="DG93" s="385">
        <v>2090.2564263010345</v>
      </c>
      <c r="DH93" s="385">
        <f>5</f>
        <v>5</v>
      </c>
      <c r="DI93" s="358"/>
      <c r="DJ93" s="385">
        <v>2090.2564263010345</v>
      </c>
      <c r="DK93" s="385">
        <f>5</f>
        <v>5</v>
      </c>
      <c r="DL93" s="358"/>
      <c r="DM93" s="385">
        <v>2090.2564263010345</v>
      </c>
      <c r="DN93" s="385">
        <f>5</f>
        <v>5</v>
      </c>
      <c r="DO93" s="358"/>
      <c r="DP93" s="385">
        <v>2090.2564263010345</v>
      </c>
      <c r="DQ93" s="385">
        <f>5</f>
        <v>5</v>
      </c>
      <c r="DR93" s="358"/>
      <c r="DS93" s="385">
        <v>2090.2564263010345</v>
      </c>
      <c r="DT93" s="385">
        <f>5</f>
        <v>5</v>
      </c>
      <c r="DU93" s="358"/>
      <c r="DV93" s="385">
        <v>2090.2564263010345</v>
      </c>
      <c r="DW93" s="385">
        <f>5</f>
        <v>5</v>
      </c>
      <c r="DX93" s="358"/>
      <c r="DY93" s="385">
        <v>2090.2564263010345</v>
      </c>
      <c r="DZ93" s="385">
        <f>5</f>
        <v>5</v>
      </c>
      <c r="EA93" s="358"/>
      <c r="EB93" s="385">
        <v>2090.2564263010345</v>
      </c>
      <c r="EC93" s="385">
        <f>5</f>
        <v>5</v>
      </c>
      <c r="ED93" s="358"/>
      <c r="EE93" s="385">
        <v>2090.2564263010345</v>
      </c>
      <c r="EF93" s="385">
        <f>5</f>
        <v>5</v>
      </c>
      <c r="EG93" s="358"/>
      <c r="EH93" s="385">
        <v>2090.2564263010345</v>
      </c>
      <c r="EI93" s="385">
        <f>5</f>
        <v>5</v>
      </c>
      <c r="EJ93" s="358"/>
      <c r="EK93" s="385">
        <v>2090.2564263010345</v>
      </c>
      <c r="EL93" s="385">
        <f>5</f>
        <v>5</v>
      </c>
      <c r="EM93" s="358"/>
      <c r="EN93" s="385">
        <v>2090.2564263010345</v>
      </c>
      <c r="EO93" s="385">
        <f>5</f>
        <v>5</v>
      </c>
      <c r="EP93" s="358"/>
      <c r="EQ93" s="385">
        <v>2090.2564263010345</v>
      </c>
      <c r="ER93" s="385">
        <f>5</f>
        <v>5</v>
      </c>
      <c r="ES93" s="358"/>
      <c r="ET93" s="385">
        <v>2090.2564263010345</v>
      </c>
      <c r="EU93" s="385">
        <f>5</f>
        <v>5</v>
      </c>
      <c r="EV93" s="358"/>
      <c r="EW93" s="385">
        <v>2090.2564263010345</v>
      </c>
      <c r="EX93" s="385">
        <f>5</f>
        <v>5</v>
      </c>
      <c r="EY93" s="358"/>
      <c r="EZ93" s="385">
        <v>2090.2564263010345</v>
      </c>
      <c r="FA93" s="385">
        <f>5</f>
        <v>5</v>
      </c>
      <c r="FB93" s="358"/>
      <c r="FC93" s="385">
        <v>2090.2564263010345</v>
      </c>
      <c r="FD93" s="385">
        <f>5</f>
        <v>5</v>
      </c>
      <c r="FE93" s="358"/>
      <c r="FF93" s="385">
        <v>2090.2564263010345</v>
      </c>
      <c r="FG93" s="385">
        <f>5</f>
        <v>5</v>
      </c>
      <c r="FH93" s="358"/>
      <c r="FI93" s="385">
        <v>2090.2564263010345</v>
      </c>
      <c r="FJ93" s="385">
        <f>5</f>
        <v>5</v>
      </c>
      <c r="FK93" s="358"/>
      <c r="FL93" s="385">
        <v>2090.2564263010345</v>
      </c>
      <c r="FM93" s="385">
        <f>5</f>
        <v>5</v>
      </c>
      <c r="FN93" s="358"/>
      <c r="FO93" s="385">
        <v>2090.2564263010345</v>
      </c>
      <c r="FP93" s="385">
        <f>5</f>
        <v>5</v>
      </c>
      <c r="FQ93" s="358"/>
      <c r="FR93" s="385">
        <v>2090.2564263010345</v>
      </c>
      <c r="FS93" s="385">
        <f>5</f>
        <v>5</v>
      </c>
      <c r="FT93" s="358"/>
      <c r="FU93" s="385">
        <v>2090.2564263010345</v>
      </c>
      <c r="FV93" s="385">
        <f>5</f>
        <v>5</v>
      </c>
      <c r="FW93" s="358"/>
      <c r="FX93" s="385">
        <v>2090.2564263010345</v>
      </c>
      <c r="FY93" s="385">
        <f>5</f>
        <v>5</v>
      </c>
      <c r="FZ93" s="358"/>
      <c r="GA93" s="385">
        <v>2090.2564263010345</v>
      </c>
      <c r="GB93" s="385">
        <f>5</f>
        <v>5</v>
      </c>
      <c r="GC93" s="358"/>
      <c r="GD93" s="385">
        <v>2090.2564263010345</v>
      </c>
      <c r="GE93" s="385">
        <f>5</f>
        <v>5</v>
      </c>
      <c r="GF93" s="358"/>
      <c r="GG93" s="385">
        <v>2090.2564263010345</v>
      </c>
      <c r="GH93" s="385">
        <f>5</f>
        <v>5</v>
      </c>
      <c r="GI93" s="358"/>
      <c r="GJ93" s="385">
        <v>2090.2564263010345</v>
      </c>
      <c r="GK93" s="385">
        <f>5</f>
        <v>5</v>
      </c>
      <c r="GL93" s="358"/>
      <c r="GM93" s="385">
        <v>2090.2564263010345</v>
      </c>
      <c r="GN93" s="385">
        <f>5</f>
        <v>5</v>
      </c>
      <c r="GO93" s="358"/>
      <c r="GP93" s="385">
        <v>2090.2564263010345</v>
      </c>
      <c r="GQ93" s="385">
        <f>5</f>
        <v>5</v>
      </c>
      <c r="GR93" s="358"/>
      <c r="GS93" s="385">
        <v>2090.2564263010345</v>
      </c>
      <c r="GT93" s="385">
        <f>5</f>
        <v>5</v>
      </c>
      <c r="GU93" s="358"/>
      <c r="GV93" s="385">
        <v>2090.2564263010345</v>
      </c>
      <c r="GW93" s="385">
        <f>5</f>
        <v>5</v>
      </c>
      <c r="GX93" s="358"/>
      <c r="GY93" s="385">
        <v>2090.2564263010345</v>
      </c>
      <c r="GZ93" s="385">
        <f>5</f>
        <v>5</v>
      </c>
      <c r="HA93" s="358"/>
      <c r="HB93" s="385">
        <v>2090.2564263010345</v>
      </c>
      <c r="HC93" s="385">
        <f>5</f>
        <v>5</v>
      </c>
      <c r="HD93" s="358"/>
      <c r="HE93" s="387">
        <v>2090.2564263010345</v>
      </c>
      <c r="HF93" s="386">
        <f>5*6</f>
        <v>30</v>
      </c>
      <c r="HG93" s="358"/>
      <c r="HH93" s="387">
        <v>2090.2564263010345</v>
      </c>
      <c r="HI93" s="358"/>
      <c r="HJ93" s="387">
        <v>2090.2564263010345</v>
      </c>
      <c r="HK93" s="358"/>
      <c r="HL93" s="387">
        <v>2090.2564263010345</v>
      </c>
      <c r="HM93" s="358"/>
      <c r="HN93" s="387">
        <v>2090.2564263010345</v>
      </c>
      <c r="HO93" s="358"/>
      <c r="HP93" s="387">
        <v>2090.2564263010345</v>
      </c>
      <c r="HQ93" s="358"/>
      <c r="HR93" s="387">
        <v>2090.2564263010345</v>
      </c>
      <c r="HS93" s="358"/>
      <c r="HT93" s="387">
        <v>2090.2564263010345</v>
      </c>
      <c r="HU93" s="358"/>
      <c r="HV93" s="388">
        <v>2090.2564263010345</v>
      </c>
      <c r="HW93" s="425" t="s">
        <v>3310</v>
      </c>
      <c r="HX93" s="424">
        <v>2090.2564263010345</v>
      </c>
      <c r="HY93" s="425" t="s">
        <v>3310</v>
      </c>
      <c r="HZ93" s="424">
        <v>2090.2564263010345</v>
      </c>
      <c r="IA93" s="425" t="s">
        <v>3310</v>
      </c>
      <c r="IB93" s="424">
        <v>2090.2564263010345</v>
      </c>
      <c r="IC93" s="425" t="s">
        <v>3310</v>
      </c>
      <c r="ID93" s="357">
        <f>VLOOKUP($C93,'[15]Prix accès'!A:D,4,FALSE)</f>
        <v>2090.2564263010345</v>
      </c>
      <c r="IE93" s="426" t="s">
        <v>3310</v>
      </c>
      <c r="IF93" s="357">
        <f>VLOOKUP($C93,'[15]Prix accès'!$A:$D,4,FALSE)</f>
        <v>2090.2564263010345</v>
      </c>
      <c r="IG93" s="426" t="s">
        <v>3310</v>
      </c>
      <c r="IH93" s="457">
        <v>1987.4569299255738</v>
      </c>
      <c r="II93" s="426" t="s">
        <v>3310</v>
      </c>
      <c r="IJ93" s="458"/>
      <c r="IK93" s="426"/>
      <c r="IL93" s="458"/>
      <c r="IM93" s="426"/>
      <c r="IN93" s="496"/>
      <c r="IO93" s="427"/>
      <c r="IP93" s="496"/>
      <c r="IQ93" s="427"/>
      <c r="IR93" s="429" t="s">
        <v>3019</v>
      </c>
      <c r="IS93" s="364" t="s">
        <v>77</v>
      </c>
      <c r="IT93" s="365">
        <v>43557</v>
      </c>
      <c r="IU93" s="371">
        <v>43586</v>
      </c>
      <c r="IW93" s="372">
        <f t="shared" si="16"/>
        <v>29</v>
      </c>
      <c r="IX93" s="373">
        <f t="shared" si="14"/>
        <v>68.53299758364048</v>
      </c>
      <c r="IY93" s="394">
        <f t="shared" si="17"/>
        <v>1987.4569299255738</v>
      </c>
      <c r="IZ93" s="394"/>
      <c r="JA93" s="394"/>
    </row>
    <row r="94" spans="1:261" s="367" customFormat="1" ht="16.5" customHeight="1" x14ac:dyDescent="0.3">
      <c r="A94" s="354" t="s">
        <v>2743</v>
      </c>
      <c r="B94" s="395" t="s">
        <v>2784</v>
      </c>
      <c r="C94" s="993" t="s">
        <v>1217</v>
      </c>
      <c r="D94" s="448">
        <v>1453.8564263010346</v>
      </c>
      <c r="E94" s="449">
        <v>94.6</v>
      </c>
      <c r="F94" s="449">
        <v>32</v>
      </c>
      <c r="G94" s="449">
        <v>36</v>
      </c>
      <c r="H94" s="450">
        <v>0</v>
      </c>
      <c r="I94" s="830">
        <v>1580</v>
      </c>
      <c r="J94" s="831">
        <f>36</f>
        <v>36</v>
      </c>
      <c r="K94" s="827"/>
      <c r="L94" s="831">
        <v>1580</v>
      </c>
      <c r="M94" s="831">
        <f>36</f>
        <v>36</v>
      </c>
      <c r="N94" s="827"/>
      <c r="O94" s="831">
        <v>1580</v>
      </c>
      <c r="P94" s="831">
        <f>36</f>
        <v>36</v>
      </c>
      <c r="Q94" s="827"/>
      <c r="R94" s="831">
        <v>1580</v>
      </c>
      <c r="S94" s="831">
        <f>36</f>
        <v>36</v>
      </c>
      <c r="T94" s="827"/>
      <c r="U94" s="831">
        <v>1580</v>
      </c>
      <c r="V94" s="831">
        <f>36</f>
        <v>36</v>
      </c>
      <c r="W94" s="827"/>
      <c r="X94" s="831">
        <v>1580</v>
      </c>
      <c r="Y94" s="831">
        <f>36</f>
        <v>36</v>
      </c>
      <c r="Z94" s="827"/>
      <c r="AA94" s="831">
        <v>1580</v>
      </c>
      <c r="AB94" s="831">
        <f>36</f>
        <v>36</v>
      </c>
      <c r="AC94" s="827"/>
      <c r="AD94" s="831">
        <v>1580</v>
      </c>
      <c r="AE94" s="831">
        <f>36</f>
        <v>36</v>
      </c>
      <c r="AF94" s="827"/>
      <c r="AG94" s="831">
        <v>1580</v>
      </c>
      <c r="AH94" s="831">
        <f>36</f>
        <v>36</v>
      </c>
      <c r="AI94" s="827"/>
      <c r="AJ94" s="831">
        <v>1580</v>
      </c>
      <c r="AK94" s="831">
        <f>36</f>
        <v>36</v>
      </c>
      <c r="AL94" s="827"/>
      <c r="AM94" s="831">
        <v>1580</v>
      </c>
      <c r="AN94" s="831">
        <f>36</f>
        <v>36</v>
      </c>
      <c r="AO94" s="827"/>
      <c r="AP94" s="831">
        <v>1580</v>
      </c>
      <c r="AQ94" s="831">
        <f>36</f>
        <v>36</v>
      </c>
      <c r="AR94" s="827"/>
      <c r="AS94" s="831">
        <v>1580</v>
      </c>
      <c r="AT94" s="831">
        <f>36</f>
        <v>36</v>
      </c>
      <c r="AU94" s="827"/>
      <c r="AV94" s="831">
        <v>1580</v>
      </c>
      <c r="AW94" s="831">
        <f>36</f>
        <v>36</v>
      </c>
      <c r="AX94" s="827"/>
      <c r="AY94" s="831">
        <v>1580</v>
      </c>
      <c r="AZ94" s="831">
        <f>36</f>
        <v>36</v>
      </c>
      <c r="BA94" s="358"/>
      <c r="BB94" s="385">
        <v>1580</v>
      </c>
      <c r="BC94" s="385">
        <f>36</f>
        <v>36</v>
      </c>
      <c r="BD94" s="358"/>
      <c r="BE94" s="385">
        <v>1580</v>
      </c>
      <c r="BF94" s="385">
        <f>36</f>
        <v>36</v>
      </c>
      <c r="BG94" s="358"/>
      <c r="BH94" s="385">
        <v>1580</v>
      </c>
      <c r="BI94" s="385">
        <f>36</f>
        <v>36</v>
      </c>
      <c r="BJ94" s="369"/>
      <c r="BK94" s="385">
        <v>1580</v>
      </c>
      <c r="BL94" s="385">
        <f>36</f>
        <v>36</v>
      </c>
      <c r="BM94" s="369"/>
      <c r="BN94" s="385">
        <v>1580</v>
      </c>
      <c r="BO94" s="385">
        <f>36</f>
        <v>36</v>
      </c>
      <c r="BP94" s="369"/>
      <c r="BQ94" s="385">
        <v>1580</v>
      </c>
      <c r="BR94" s="385">
        <f>36</f>
        <v>36</v>
      </c>
      <c r="BS94" s="369"/>
      <c r="BT94" s="385">
        <v>1580</v>
      </c>
      <c r="BU94" s="385">
        <f>36</f>
        <v>36</v>
      </c>
      <c r="BV94" s="369"/>
      <c r="BW94" s="385">
        <v>1580</v>
      </c>
      <c r="BX94" s="385">
        <f>36</f>
        <v>36</v>
      </c>
      <c r="BY94" s="369"/>
      <c r="BZ94" s="385">
        <v>1580</v>
      </c>
      <c r="CA94" s="385">
        <f>36</f>
        <v>36</v>
      </c>
      <c r="CB94" s="369"/>
      <c r="CC94" s="385">
        <v>1580</v>
      </c>
      <c r="CD94" s="385">
        <f>36</f>
        <v>36</v>
      </c>
      <c r="CE94" s="369"/>
      <c r="CF94" s="385">
        <v>1580</v>
      </c>
      <c r="CG94" s="385">
        <f>36</f>
        <v>36</v>
      </c>
      <c r="CH94" s="369"/>
      <c r="CI94" s="385">
        <v>1580</v>
      </c>
      <c r="CJ94" s="385">
        <f>36</f>
        <v>36</v>
      </c>
      <c r="CK94" s="369"/>
      <c r="CL94" s="385">
        <v>1580</v>
      </c>
      <c r="CM94" s="385">
        <f>36</f>
        <v>36</v>
      </c>
      <c r="CN94" s="369"/>
      <c r="CO94" s="385">
        <v>1580</v>
      </c>
      <c r="CP94" s="385">
        <f>36</f>
        <v>36</v>
      </c>
      <c r="CQ94" s="369"/>
      <c r="CR94" s="385">
        <v>1580</v>
      </c>
      <c r="CS94" s="385">
        <f>36</f>
        <v>36</v>
      </c>
      <c r="CT94" s="369"/>
      <c r="CU94" s="385">
        <v>1580</v>
      </c>
      <c r="CV94" s="385">
        <f>36</f>
        <v>36</v>
      </c>
      <c r="CW94" s="369"/>
      <c r="CX94" s="385">
        <v>1580</v>
      </c>
      <c r="CY94" s="385">
        <f>36</f>
        <v>36</v>
      </c>
      <c r="CZ94" s="369"/>
      <c r="DA94" s="385">
        <v>1580</v>
      </c>
      <c r="DB94" s="385">
        <f>36</f>
        <v>36</v>
      </c>
      <c r="DC94" s="369"/>
      <c r="DD94" s="386">
        <f>((1580-1738)/30.5)*26+1580</f>
        <v>1445.311475409836</v>
      </c>
      <c r="DE94" s="386">
        <f>36</f>
        <v>36</v>
      </c>
      <c r="DF94" s="370"/>
      <c r="DG94" s="385">
        <v>1738</v>
      </c>
      <c r="DH94" s="385">
        <f>36</f>
        <v>36</v>
      </c>
      <c r="DI94" s="369"/>
      <c r="DJ94" s="385">
        <v>1738</v>
      </c>
      <c r="DK94" s="385">
        <f>36</f>
        <v>36</v>
      </c>
      <c r="DL94" s="369"/>
      <c r="DM94" s="385">
        <v>1738</v>
      </c>
      <c r="DN94" s="385">
        <f>36</f>
        <v>36</v>
      </c>
      <c r="DO94" s="369"/>
      <c r="DP94" s="385">
        <v>1738</v>
      </c>
      <c r="DQ94" s="385">
        <f>36</f>
        <v>36</v>
      </c>
      <c r="DR94" s="369"/>
      <c r="DS94" s="385">
        <v>1738</v>
      </c>
      <c r="DT94" s="385">
        <f>36</f>
        <v>36</v>
      </c>
      <c r="DU94" s="369"/>
      <c r="DV94" s="386">
        <f>(((1738-1564)/30.5)*7+(1738-1564)*9+1738)</f>
        <v>3343.9344262295081</v>
      </c>
      <c r="DW94" s="386">
        <f>36</f>
        <v>36</v>
      </c>
      <c r="DX94" s="370"/>
      <c r="DY94" s="385">
        <v>1564.4564263010345</v>
      </c>
      <c r="DZ94" s="385">
        <f>36</f>
        <v>36</v>
      </c>
      <c r="EA94" s="358"/>
      <c r="EB94" s="385">
        <v>1564.4564263010345</v>
      </c>
      <c r="EC94" s="385">
        <f>36</f>
        <v>36</v>
      </c>
      <c r="ED94" s="358"/>
      <c r="EE94" s="385">
        <v>1564.4564263010345</v>
      </c>
      <c r="EF94" s="385">
        <f>36</f>
        <v>36</v>
      </c>
      <c r="EG94" s="358"/>
      <c r="EH94" s="385">
        <v>1564.4564263010345</v>
      </c>
      <c r="EI94" s="385">
        <f>36</f>
        <v>36</v>
      </c>
      <c r="EJ94" s="358"/>
      <c r="EK94" s="385">
        <v>1564.4564263010345</v>
      </c>
      <c r="EL94" s="385">
        <f>36</f>
        <v>36</v>
      </c>
      <c r="EM94" s="358"/>
      <c r="EN94" s="385">
        <v>1564.4564263010345</v>
      </c>
      <c r="EO94" s="385">
        <f>36</f>
        <v>36</v>
      </c>
      <c r="EP94" s="358"/>
      <c r="EQ94" s="385">
        <v>1564.4564263010345</v>
      </c>
      <c r="ER94" s="385">
        <f>36</f>
        <v>36</v>
      </c>
      <c r="ES94" s="358"/>
      <c r="ET94" s="385">
        <v>1564.4564263010345</v>
      </c>
      <c r="EU94" s="385">
        <f>36</f>
        <v>36</v>
      </c>
      <c r="EV94" s="358"/>
      <c r="EW94" s="385">
        <v>1564.4564263010345</v>
      </c>
      <c r="EX94" s="385">
        <f>36</f>
        <v>36</v>
      </c>
      <c r="EY94" s="358"/>
      <c r="EZ94" s="385">
        <v>1564.4564263010345</v>
      </c>
      <c r="FA94" s="385">
        <f>36</f>
        <v>36</v>
      </c>
      <c r="FB94" s="358"/>
      <c r="FC94" s="385">
        <v>1564.4564263010345</v>
      </c>
      <c r="FD94" s="385">
        <f>36</f>
        <v>36</v>
      </c>
      <c r="FE94" s="358"/>
      <c r="FF94" s="385">
        <v>1564.4564263010345</v>
      </c>
      <c r="FG94" s="385">
        <f>36</f>
        <v>36</v>
      </c>
      <c r="FH94" s="358"/>
      <c r="FI94" s="385">
        <v>1564.4564263010345</v>
      </c>
      <c r="FJ94" s="385">
        <f>36</f>
        <v>36</v>
      </c>
      <c r="FK94" s="358"/>
      <c r="FL94" s="385">
        <v>1564.4564263010345</v>
      </c>
      <c r="FM94" s="385">
        <f>36</f>
        <v>36</v>
      </c>
      <c r="FN94" s="358"/>
      <c r="FO94" s="385">
        <v>1564.4564263010345</v>
      </c>
      <c r="FP94" s="385">
        <f>36</f>
        <v>36</v>
      </c>
      <c r="FQ94" s="358"/>
      <c r="FR94" s="385">
        <v>1564.4564263010345</v>
      </c>
      <c r="FS94" s="385">
        <f>36</f>
        <v>36</v>
      </c>
      <c r="FT94" s="358"/>
      <c r="FU94" s="385">
        <v>1564.4564263010345</v>
      </c>
      <c r="FV94" s="385">
        <f>36</f>
        <v>36</v>
      </c>
      <c r="FW94" s="358"/>
      <c r="FX94" s="385">
        <v>1564.4564263010345</v>
      </c>
      <c r="FY94" s="385">
        <f>36</f>
        <v>36</v>
      </c>
      <c r="FZ94" s="358"/>
      <c r="GA94" s="385">
        <v>1564.4564263010345</v>
      </c>
      <c r="GB94" s="385">
        <f>36</f>
        <v>36</v>
      </c>
      <c r="GC94" s="358"/>
      <c r="GD94" s="385">
        <v>1564.4564263010345</v>
      </c>
      <c r="GE94" s="385">
        <f>36</f>
        <v>36</v>
      </c>
      <c r="GF94" s="358"/>
      <c r="GG94" s="385">
        <v>1564.4564263010345</v>
      </c>
      <c r="GH94" s="385">
        <f>36</f>
        <v>36</v>
      </c>
      <c r="GI94" s="358"/>
      <c r="GJ94" s="385">
        <v>1564.4564263010345</v>
      </c>
      <c r="GK94" s="385">
        <f>36</f>
        <v>36</v>
      </c>
      <c r="GL94" s="358"/>
      <c r="GM94" s="385">
        <v>1564.4564263010345</v>
      </c>
      <c r="GN94" s="385">
        <f>36</f>
        <v>36</v>
      </c>
      <c r="GO94" s="358"/>
      <c r="GP94" s="385">
        <v>1564.4564263010345</v>
      </c>
      <c r="GQ94" s="385">
        <f>36</f>
        <v>36</v>
      </c>
      <c r="GR94" s="358"/>
      <c r="GS94" s="385">
        <v>1564.4564263010345</v>
      </c>
      <c r="GT94" s="385">
        <f>36</f>
        <v>36</v>
      </c>
      <c r="GU94" s="358"/>
      <c r="GV94" s="385">
        <v>1564.4564263010345</v>
      </c>
      <c r="GW94" s="385">
        <f>36</f>
        <v>36</v>
      </c>
      <c r="GX94" s="358"/>
      <c r="GY94" s="385">
        <v>1564.4564263010345</v>
      </c>
      <c r="GZ94" s="385">
        <f>36</f>
        <v>36</v>
      </c>
      <c r="HA94" s="358"/>
      <c r="HB94" s="385">
        <v>1564.4564263010345</v>
      </c>
      <c r="HC94" s="385">
        <f>36</f>
        <v>36</v>
      </c>
      <c r="HD94" s="358"/>
      <c r="HE94" s="387">
        <v>1564.4564263010345</v>
      </c>
      <c r="HF94" s="386">
        <f>36*6</f>
        <v>216</v>
      </c>
      <c r="HG94" s="358"/>
      <c r="HH94" s="387">
        <v>1564.4564263010345</v>
      </c>
      <c r="HI94" s="358"/>
      <c r="HJ94" s="387">
        <v>1564.4564263010345</v>
      </c>
      <c r="HK94" s="358"/>
      <c r="HL94" s="387">
        <v>1564.4564263010345</v>
      </c>
      <c r="HM94" s="358"/>
      <c r="HN94" s="387">
        <v>1564.4564263010345</v>
      </c>
      <c r="HO94" s="358"/>
      <c r="HP94" s="387">
        <v>1564.4564263010345</v>
      </c>
      <c r="HQ94" s="358"/>
      <c r="HR94" s="387">
        <v>1564.4564263010345</v>
      </c>
      <c r="HS94" s="358"/>
      <c r="HT94" s="387">
        <v>1564.4564263010345</v>
      </c>
      <c r="HU94" s="358"/>
      <c r="HV94" s="388">
        <v>1564.4564263010345</v>
      </c>
      <c r="HW94" s="425"/>
      <c r="HX94" s="424">
        <v>1564.4564263010345</v>
      </c>
      <c r="HY94" s="425"/>
      <c r="HZ94" s="424">
        <v>1564.4564263010345</v>
      </c>
      <c r="IA94" s="425"/>
      <c r="IB94" s="424">
        <v>1564.4564263010345</v>
      </c>
      <c r="IC94" s="425"/>
      <c r="ID94" s="357">
        <f>VLOOKUP($C94,'[15]Prix accès'!A:D,4,FALSE)</f>
        <v>1564.4564263010345</v>
      </c>
      <c r="IE94" s="426"/>
      <c r="IF94" s="357">
        <f>VLOOKUP($C94,'[15]Prix accès'!$A:$D,4,FALSE)</f>
        <v>1564.4564263010345</v>
      </c>
      <c r="IG94" s="426"/>
      <c r="IH94" s="457">
        <v>1487.5159463190164</v>
      </c>
      <c r="II94" s="426"/>
      <c r="IJ94" s="458"/>
      <c r="IK94" s="426"/>
      <c r="IL94" s="458"/>
      <c r="IM94" s="426"/>
      <c r="IN94" s="496"/>
      <c r="IO94" s="427"/>
      <c r="IP94" s="496"/>
      <c r="IQ94" s="427"/>
      <c r="IR94" s="429" t="s">
        <v>2882</v>
      </c>
      <c r="IS94" s="364" t="s">
        <v>77</v>
      </c>
      <c r="IT94" s="365">
        <v>43557</v>
      </c>
      <c r="IU94" s="371">
        <v>43586</v>
      </c>
      <c r="IV94" s="464">
        <v>44586</v>
      </c>
      <c r="IW94" s="372">
        <f t="shared" si="16"/>
        <v>29</v>
      </c>
      <c r="IX94" s="373">
        <f t="shared" si="14"/>
        <v>51.293653321345396</v>
      </c>
      <c r="IY94" s="394">
        <f t="shared" si="17"/>
        <v>1487.5159463190164</v>
      </c>
      <c r="IZ94" s="394"/>
      <c r="JA94" s="394"/>
    </row>
    <row r="95" spans="1:261" s="367" customFormat="1" ht="16.5" customHeight="1" x14ac:dyDescent="0.3">
      <c r="A95" s="354" t="s">
        <v>2743</v>
      </c>
      <c r="B95" s="395" t="s">
        <v>2791</v>
      </c>
      <c r="C95" s="501" t="s">
        <v>1162</v>
      </c>
      <c r="D95" s="502">
        <v>1454</v>
      </c>
      <c r="E95" s="503">
        <v>84</v>
      </c>
      <c r="F95" s="503">
        <v>0</v>
      </c>
      <c r="G95" s="503">
        <v>36</v>
      </c>
      <c r="H95" s="504">
        <v>0</v>
      </c>
      <c r="I95" s="841">
        <v>1538</v>
      </c>
      <c r="J95" s="835">
        <v>36</v>
      </c>
      <c r="K95" s="835"/>
      <c r="L95" s="835">
        <v>1538</v>
      </c>
      <c r="M95" s="835">
        <v>36</v>
      </c>
      <c r="N95" s="835"/>
      <c r="O95" s="835">
        <v>1538</v>
      </c>
      <c r="P95" s="835">
        <v>36</v>
      </c>
      <c r="Q95" s="835"/>
      <c r="R95" s="835">
        <v>1538</v>
      </c>
      <c r="S95" s="835">
        <v>36</v>
      </c>
      <c r="T95" s="835"/>
      <c r="U95" s="835">
        <v>1538</v>
      </c>
      <c r="V95" s="835">
        <v>36</v>
      </c>
      <c r="W95" s="835"/>
      <c r="X95" s="835">
        <v>1538</v>
      </c>
      <c r="Y95" s="835">
        <v>36</v>
      </c>
      <c r="Z95" s="835"/>
      <c r="AA95" s="835">
        <v>1538</v>
      </c>
      <c r="AB95" s="835">
        <v>36</v>
      </c>
      <c r="AC95" s="835"/>
      <c r="AD95" s="835">
        <v>1538</v>
      </c>
      <c r="AE95" s="835">
        <v>36</v>
      </c>
      <c r="AF95" s="835"/>
      <c r="AG95" s="842">
        <f>((1538-1225)/30.5)*3+1538</f>
        <v>1568.7868852459017</v>
      </c>
      <c r="AH95" s="842">
        <f>(36/30.5)*3+36</f>
        <v>39.540983606557376</v>
      </c>
      <c r="AI95" s="842"/>
      <c r="AJ95" s="831">
        <v>1225.2564263010347</v>
      </c>
      <c r="AK95" s="831"/>
      <c r="AL95" s="827"/>
      <c r="AM95" s="831">
        <v>1225.2564263010347</v>
      </c>
      <c r="AN95" s="831"/>
      <c r="AO95" s="827"/>
      <c r="AP95" s="831">
        <v>1225.2564263010347</v>
      </c>
      <c r="AQ95" s="831"/>
      <c r="AR95" s="827"/>
      <c r="AS95" s="831">
        <v>1225.2564263010347</v>
      </c>
      <c r="AT95" s="831"/>
      <c r="AU95" s="827"/>
      <c r="AV95" s="831">
        <v>1225.2564263010347</v>
      </c>
      <c r="AW95" s="831"/>
      <c r="AX95" s="827"/>
      <c r="AY95" s="831">
        <v>1225.2564263010347</v>
      </c>
      <c r="AZ95" s="831"/>
      <c r="BA95" s="358"/>
      <c r="BB95" s="385">
        <v>1225.2564263010347</v>
      </c>
      <c r="BC95" s="385"/>
      <c r="BD95" s="358"/>
      <c r="BE95" s="385">
        <v>1225.2564263010347</v>
      </c>
      <c r="BF95" s="385"/>
      <c r="BG95" s="358"/>
      <c r="BH95" s="385">
        <v>1225.2564263010347</v>
      </c>
      <c r="BI95" s="385"/>
      <c r="BJ95" s="358"/>
      <c r="BK95" s="385">
        <v>1225.2564263010347</v>
      </c>
      <c r="BL95" s="385"/>
      <c r="BM95" s="358"/>
      <c r="BN95" s="385">
        <v>1225.2564263010347</v>
      </c>
      <c r="BO95" s="385"/>
      <c r="BP95" s="358"/>
      <c r="BQ95" s="385">
        <v>1225.2564263010347</v>
      </c>
      <c r="BR95" s="385"/>
      <c r="BS95" s="358"/>
      <c r="BT95" s="385">
        <v>1225.2564263010347</v>
      </c>
      <c r="BU95" s="385"/>
      <c r="BV95" s="358"/>
      <c r="BW95" s="385">
        <v>1225.2564263010347</v>
      </c>
      <c r="BX95" s="385"/>
      <c r="BY95" s="358"/>
      <c r="BZ95" s="385">
        <v>1225.2564263010347</v>
      </c>
      <c r="CA95" s="385"/>
      <c r="CB95" s="358"/>
      <c r="CC95" s="385">
        <v>1225.2564263010347</v>
      </c>
      <c r="CD95" s="385"/>
      <c r="CE95" s="358"/>
      <c r="CF95" s="385">
        <v>1225.2564263010347</v>
      </c>
      <c r="CG95" s="385"/>
      <c r="CH95" s="358"/>
      <c r="CI95" s="385">
        <v>1225.2564263010347</v>
      </c>
      <c r="CJ95" s="385"/>
      <c r="CK95" s="358"/>
      <c r="CL95" s="385">
        <v>1225.2564263010347</v>
      </c>
      <c r="CM95" s="385"/>
      <c r="CN95" s="358"/>
      <c r="CO95" s="385">
        <v>1225.2564263010347</v>
      </c>
      <c r="CP95" s="385"/>
      <c r="CQ95" s="358"/>
      <c r="CR95" s="385">
        <v>1225.2564263010347</v>
      </c>
      <c r="CS95" s="385"/>
      <c r="CT95" s="358"/>
      <c r="CU95" s="385">
        <v>1225.2564263010347</v>
      </c>
      <c r="CV95" s="385"/>
      <c r="CW95" s="358"/>
      <c r="CX95" s="385">
        <v>1225.2564263010347</v>
      </c>
      <c r="CY95" s="385"/>
      <c r="CZ95" s="358"/>
      <c r="DA95" s="385">
        <v>1225.2564263010347</v>
      </c>
      <c r="DB95" s="385"/>
      <c r="DC95" s="358"/>
      <c r="DD95" s="385">
        <v>1225.2564263010347</v>
      </c>
      <c r="DE95" s="385"/>
      <c r="DF95" s="358"/>
      <c r="DG95" s="385">
        <v>1225.2564263010347</v>
      </c>
      <c r="DH95" s="385"/>
      <c r="DI95" s="358"/>
      <c r="DJ95" s="385">
        <v>1225.2564263010347</v>
      </c>
      <c r="DK95" s="385"/>
      <c r="DL95" s="358"/>
      <c r="DM95" s="385">
        <v>1225.2564263010347</v>
      </c>
      <c r="DN95" s="385"/>
      <c r="DO95" s="358"/>
      <c r="DP95" s="385">
        <v>1225.2564263010347</v>
      </c>
      <c r="DQ95" s="385"/>
      <c r="DR95" s="358"/>
      <c r="DS95" s="385">
        <v>1225.2564263010347</v>
      </c>
      <c r="DT95" s="385"/>
      <c r="DU95" s="358"/>
      <c r="DV95" s="385">
        <v>1225.2564263010347</v>
      </c>
      <c r="DW95" s="385"/>
      <c r="DX95" s="358"/>
      <c r="DY95" s="385">
        <v>1225.2564263010347</v>
      </c>
      <c r="DZ95" s="385"/>
      <c r="EA95" s="358"/>
      <c r="EB95" s="385">
        <v>1225.2564263010347</v>
      </c>
      <c r="EC95" s="385"/>
      <c r="ED95" s="358"/>
      <c r="EE95" s="385">
        <v>1225.2564263010347</v>
      </c>
      <c r="EF95" s="385"/>
      <c r="EG95" s="358"/>
      <c r="EH95" s="385">
        <v>1225.2564263010347</v>
      </c>
      <c r="EI95" s="385"/>
      <c r="EJ95" s="358"/>
      <c r="EK95" s="385">
        <v>1225.2564263010347</v>
      </c>
      <c r="EL95" s="385"/>
      <c r="EM95" s="358"/>
      <c r="EN95" s="385">
        <v>1225.2564263010347</v>
      </c>
      <c r="EO95" s="385"/>
      <c r="EP95" s="358"/>
      <c r="EQ95" s="385">
        <v>1225.2564263010347</v>
      </c>
      <c r="ER95" s="385"/>
      <c r="ES95" s="358"/>
      <c r="ET95" s="385">
        <v>1225.2564263010347</v>
      </c>
      <c r="EU95" s="385"/>
      <c r="EV95" s="358"/>
      <c r="EW95" s="385">
        <v>1225.2564263010347</v>
      </c>
      <c r="EX95" s="385"/>
      <c r="EY95" s="358"/>
      <c r="EZ95" s="385">
        <v>1225.2564263010347</v>
      </c>
      <c r="FA95" s="385"/>
      <c r="FB95" s="358"/>
      <c r="FC95" s="385">
        <v>1225.2564263010347</v>
      </c>
      <c r="FD95" s="385"/>
      <c r="FE95" s="358"/>
      <c r="FF95" s="385">
        <v>1225.2564263010347</v>
      </c>
      <c r="FG95" s="385"/>
      <c r="FH95" s="358"/>
      <c r="FI95" s="385">
        <v>1225.2564263010347</v>
      </c>
      <c r="FJ95" s="385"/>
      <c r="FK95" s="358"/>
      <c r="FL95" s="385">
        <v>1225.2564263010347</v>
      </c>
      <c r="FM95" s="385"/>
      <c r="FN95" s="358"/>
      <c r="FO95" s="385">
        <v>1225.2564263010347</v>
      </c>
      <c r="FP95" s="385"/>
      <c r="FQ95" s="358"/>
      <c r="FR95" s="385">
        <v>1225.2564263010347</v>
      </c>
      <c r="FS95" s="385"/>
      <c r="FT95" s="358"/>
      <c r="FU95" s="385">
        <v>1225.2564263010347</v>
      </c>
      <c r="FV95" s="385"/>
      <c r="FW95" s="358"/>
      <c r="FX95" s="385">
        <v>1225.2564263010347</v>
      </c>
      <c r="FY95" s="385"/>
      <c r="FZ95" s="358"/>
      <c r="GA95" s="385">
        <v>1225.2564263010347</v>
      </c>
      <c r="GB95" s="385"/>
      <c r="GC95" s="358"/>
      <c r="GD95" s="385">
        <v>1225.2564263010347</v>
      </c>
      <c r="GE95" s="385"/>
      <c r="GF95" s="358"/>
      <c r="GG95" s="385">
        <v>1225.2564263010347</v>
      </c>
      <c r="GH95" s="385"/>
      <c r="GI95" s="358"/>
      <c r="GJ95" s="385">
        <v>1225.2564263010347</v>
      </c>
      <c r="GK95" s="385"/>
      <c r="GL95" s="358"/>
      <c r="GM95" s="385">
        <v>1225.2564263010347</v>
      </c>
      <c r="GN95" s="385"/>
      <c r="GO95" s="358"/>
      <c r="GP95" s="385">
        <v>1225.2564263010347</v>
      </c>
      <c r="GQ95" s="385"/>
      <c r="GR95" s="358"/>
      <c r="GS95" s="385">
        <v>1225.2564263010347</v>
      </c>
      <c r="GT95" s="385"/>
      <c r="GU95" s="358"/>
      <c r="GV95" s="385">
        <v>1225.2564263010347</v>
      </c>
      <c r="GW95" s="385"/>
      <c r="GX95" s="358"/>
      <c r="GY95" s="385">
        <v>1225.2564263010347</v>
      </c>
      <c r="GZ95" s="385"/>
      <c r="HA95" s="358"/>
      <c r="HB95" s="385">
        <v>1225.2564263010347</v>
      </c>
      <c r="HC95" s="385"/>
      <c r="HD95" s="358"/>
      <c r="HE95" s="387">
        <v>1225.2564263010347</v>
      </c>
      <c r="HF95" s="387"/>
      <c r="HG95" s="370">
        <v>0</v>
      </c>
      <c r="HH95" s="387">
        <v>1225.2564263010347</v>
      </c>
      <c r="HI95" s="369">
        <v>65.615106286748087</v>
      </c>
      <c r="HJ95" s="387">
        <v>1225.2564263010347</v>
      </c>
      <c r="HK95" s="369">
        <v>65.615106286748087</v>
      </c>
      <c r="HL95" s="387">
        <v>1225.2564263010347</v>
      </c>
      <c r="HM95" s="369">
        <v>65.615106286748087</v>
      </c>
      <c r="HN95" s="387">
        <v>1225.2564263010347</v>
      </c>
      <c r="HO95" s="369">
        <v>65.615106286748087</v>
      </c>
      <c r="HP95" s="387">
        <v>1225.2564263010347</v>
      </c>
      <c r="HQ95" s="369">
        <v>65.615106286748087</v>
      </c>
      <c r="HR95" s="387">
        <v>1225.2564263010347</v>
      </c>
      <c r="HS95" s="369">
        <v>65.615106286748087</v>
      </c>
      <c r="HT95" s="387">
        <v>1225.2564263010347</v>
      </c>
      <c r="HU95" s="369">
        <v>65.615106286748087</v>
      </c>
      <c r="HV95" s="388">
        <v>1225.2564263010347</v>
      </c>
      <c r="HW95" s="424">
        <v>65.615106286748087</v>
      </c>
      <c r="HX95" s="424">
        <v>1225.2564263010347</v>
      </c>
      <c r="HY95" s="424">
        <v>65.615106286748087</v>
      </c>
      <c r="HZ95" s="424">
        <v>1225.2564263010347</v>
      </c>
      <c r="IA95" s="424">
        <v>65.615106286748087</v>
      </c>
      <c r="IB95" s="424">
        <v>1225.2564263010347</v>
      </c>
      <c r="IC95" s="424">
        <v>65.615106286748087</v>
      </c>
      <c r="ID95" s="357">
        <f>VLOOKUP($C95,'[15]Prix accès'!A:D,4,FALSE)</f>
        <v>1225.2564263010347</v>
      </c>
      <c r="IE95" s="435">
        <v>65.615106286748087</v>
      </c>
      <c r="IF95" s="357">
        <f>VLOOKUP($C95,'[15]Prix accès'!$A:$D,4,FALSE)</f>
        <v>1225.2564263010347</v>
      </c>
      <c r="IG95" s="435">
        <v>65.615106286748087</v>
      </c>
      <c r="IH95" s="457">
        <v>1124.8255716861959</v>
      </c>
      <c r="II95" s="500">
        <v>60.590163934426236</v>
      </c>
      <c r="IJ95" s="458"/>
      <c r="IK95" s="426"/>
      <c r="IL95" s="458"/>
      <c r="IM95" s="426"/>
      <c r="IN95" s="496"/>
      <c r="IO95" s="427"/>
      <c r="IP95" s="496"/>
      <c r="IQ95" s="427"/>
      <c r="IR95" s="429" t="s">
        <v>2994</v>
      </c>
      <c r="IS95" s="364" t="s">
        <v>77</v>
      </c>
      <c r="IT95" s="365">
        <v>43558</v>
      </c>
      <c r="IU95" s="371">
        <v>43586</v>
      </c>
      <c r="IW95" s="372">
        <f t="shared" si="16"/>
        <v>28</v>
      </c>
      <c r="IX95" s="373">
        <f t="shared" si="14"/>
        <v>40.172341845935563</v>
      </c>
      <c r="IY95" s="394">
        <f t="shared" si="17"/>
        <v>1124.8255716861959</v>
      </c>
      <c r="IZ95" s="394"/>
      <c r="JA95" s="394"/>
    </row>
    <row r="96" spans="1:261" s="367" customFormat="1" ht="16.5" customHeight="1" x14ac:dyDescent="0.3">
      <c r="A96" s="354" t="s">
        <v>2743</v>
      </c>
      <c r="B96" s="415" t="s">
        <v>2748</v>
      </c>
      <c r="C96" s="378" t="s">
        <v>1191</v>
      </c>
      <c r="D96" s="846">
        <f>(-12*12)+1149</f>
        <v>1005</v>
      </c>
      <c r="E96" s="846">
        <v>71</v>
      </c>
      <c r="F96" s="846">
        <v>32</v>
      </c>
      <c r="G96" s="868">
        <v>5</v>
      </c>
      <c r="H96" s="449">
        <v>0</v>
      </c>
      <c r="I96" s="830">
        <v>1267</v>
      </c>
      <c r="J96" s="831">
        <v>5</v>
      </c>
      <c r="K96" s="827"/>
      <c r="L96" s="831">
        <v>1267</v>
      </c>
      <c r="M96" s="831">
        <v>5</v>
      </c>
      <c r="N96" s="827"/>
      <c r="O96" s="831">
        <v>1267</v>
      </c>
      <c r="P96" s="831">
        <v>5</v>
      </c>
      <c r="Q96" s="827"/>
      <c r="R96" s="831">
        <v>1267</v>
      </c>
      <c r="S96" s="831">
        <v>5</v>
      </c>
      <c r="T96" s="827"/>
      <c r="U96" s="831">
        <v>1267</v>
      </c>
      <c r="V96" s="831">
        <v>5</v>
      </c>
      <c r="W96" s="827"/>
      <c r="X96" s="831">
        <v>1267</v>
      </c>
      <c r="Y96" s="831">
        <v>5</v>
      </c>
      <c r="Z96" s="827"/>
      <c r="AA96" s="831">
        <v>1267</v>
      </c>
      <c r="AB96" s="831">
        <v>5</v>
      </c>
      <c r="AC96" s="827"/>
      <c r="AD96" s="831">
        <v>1267</v>
      </c>
      <c r="AE96" s="831">
        <v>5</v>
      </c>
      <c r="AF96" s="827"/>
      <c r="AG96" s="831">
        <v>1267</v>
      </c>
      <c r="AH96" s="831">
        <v>5</v>
      </c>
      <c r="AI96" s="827"/>
      <c r="AJ96" s="831">
        <v>1267</v>
      </c>
      <c r="AK96" s="831">
        <v>5</v>
      </c>
      <c r="AL96" s="827"/>
      <c r="AM96" s="831">
        <v>1267</v>
      </c>
      <c r="AN96" s="831">
        <v>5</v>
      </c>
      <c r="AO96" s="827"/>
      <c r="AP96" s="831">
        <v>1267</v>
      </c>
      <c r="AQ96" s="831">
        <v>5</v>
      </c>
      <c r="AR96" s="827"/>
      <c r="AS96" s="831">
        <v>1267</v>
      </c>
      <c r="AT96" s="831">
        <v>5</v>
      </c>
      <c r="AU96" s="827"/>
      <c r="AV96" s="831">
        <v>1267</v>
      </c>
      <c r="AW96" s="831">
        <v>5</v>
      </c>
      <c r="AX96" s="827"/>
      <c r="AY96" s="831">
        <v>1267</v>
      </c>
      <c r="AZ96" s="831">
        <v>5</v>
      </c>
      <c r="BA96" s="358"/>
      <c r="BB96" s="385">
        <v>1267</v>
      </c>
      <c r="BC96" s="385">
        <v>5</v>
      </c>
      <c r="BD96" s="358"/>
      <c r="BE96" s="385">
        <v>1267</v>
      </c>
      <c r="BF96" s="385">
        <v>5</v>
      </c>
      <c r="BG96" s="358"/>
      <c r="BH96" s="385">
        <v>1267</v>
      </c>
      <c r="BI96" s="385">
        <v>5</v>
      </c>
      <c r="BJ96" s="369"/>
      <c r="BK96" s="385">
        <v>1267</v>
      </c>
      <c r="BL96" s="385">
        <v>5</v>
      </c>
      <c r="BM96" s="369"/>
      <c r="BN96" s="385">
        <v>1267</v>
      </c>
      <c r="BO96" s="385">
        <v>5</v>
      </c>
      <c r="BP96" s="369"/>
      <c r="BQ96" s="385">
        <v>1267</v>
      </c>
      <c r="BR96" s="385">
        <v>5</v>
      </c>
      <c r="BS96" s="369"/>
      <c r="BT96" s="385">
        <v>1267</v>
      </c>
      <c r="BU96" s="385">
        <v>5</v>
      </c>
      <c r="BV96" s="369"/>
      <c r="BW96" s="385">
        <v>1267</v>
      </c>
      <c r="BX96" s="385">
        <v>5</v>
      </c>
      <c r="BY96" s="369"/>
      <c r="BZ96" s="386">
        <f>(((1267-1081)/30.5)*8)+1267</f>
        <v>1315.7868852459017</v>
      </c>
      <c r="CA96" s="386">
        <f>(5/30.5)*8+5</f>
        <v>6.3114754098360653</v>
      </c>
      <c r="CB96" s="370"/>
      <c r="CC96" s="387">
        <v>1081.2564263010345</v>
      </c>
      <c r="CD96" s="387"/>
      <c r="CE96" s="358"/>
      <c r="CF96" s="387">
        <v>1081.2564263010345</v>
      </c>
      <c r="CG96" s="387"/>
      <c r="CH96" s="358"/>
      <c r="CI96" s="387">
        <v>1081.2564263010345</v>
      </c>
      <c r="CJ96" s="387"/>
      <c r="CK96" s="358"/>
      <c r="CL96" s="387">
        <v>1081.2564263010345</v>
      </c>
      <c r="CM96" s="387"/>
      <c r="CN96" s="358"/>
      <c r="CO96" s="387">
        <v>1081.2564263010345</v>
      </c>
      <c r="CP96" s="387"/>
      <c r="CQ96" s="358"/>
      <c r="CR96" s="387">
        <v>1081.2564263010345</v>
      </c>
      <c r="CS96" s="387"/>
      <c r="CT96" s="358"/>
      <c r="CU96" s="387">
        <v>1081.2564263010345</v>
      </c>
      <c r="CV96" s="387"/>
      <c r="CW96" s="358"/>
      <c r="CX96" s="387">
        <v>1081.2564263010345</v>
      </c>
      <c r="CY96" s="387"/>
      <c r="CZ96" s="358"/>
      <c r="DA96" s="387">
        <v>1081.2564263010345</v>
      </c>
      <c r="DB96" s="387"/>
      <c r="DC96" s="358"/>
      <c r="DD96" s="387">
        <v>1081.2564263010345</v>
      </c>
      <c r="DE96" s="387"/>
      <c r="DF96" s="358"/>
      <c r="DG96" s="387">
        <v>1081.2564263010345</v>
      </c>
      <c r="DH96" s="387"/>
      <c r="DI96" s="358"/>
      <c r="DJ96" s="387">
        <v>1081.2564263010345</v>
      </c>
      <c r="DK96" s="387"/>
      <c r="DL96" s="358"/>
      <c r="DM96" s="387">
        <v>1081.2564263010345</v>
      </c>
      <c r="DN96" s="387"/>
      <c r="DO96" s="358"/>
      <c r="DP96" s="387">
        <v>1081.2564263010345</v>
      </c>
      <c r="DQ96" s="387"/>
      <c r="DR96" s="358"/>
      <c r="DS96" s="387">
        <v>1081.2564263010345</v>
      </c>
      <c r="DT96" s="387"/>
      <c r="DU96" s="358"/>
      <c r="DV96" s="387">
        <v>1081.2564263010345</v>
      </c>
      <c r="DW96" s="387"/>
      <c r="DX96" s="358"/>
      <c r="DY96" s="387">
        <v>1081.2564263010345</v>
      </c>
      <c r="DZ96" s="387"/>
      <c r="EA96" s="358"/>
      <c r="EB96" s="387">
        <v>1081.2564263010345</v>
      </c>
      <c r="EC96" s="387"/>
      <c r="ED96" s="358"/>
      <c r="EE96" s="387">
        <v>1081.2564263010345</v>
      </c>
      <c r="EF96" s="387"/>
      <c r="EG96" s="358"/>
      <c r="EH96" s="387">
        <v>1081.2564263010345</v>
      </c>
      <c r="EI96" s="387"/>
      <c r="EJ96" s="358"/>
      <c r="EK96" s="387">
        <v>1081.2564263010345</v>
      </c>
      <c r="EL96" s="387"/>
      <c r="EM96" s="358"/>
      <c r="EN96" s="387">
        <v>1081.2564263010345</v>
      </c>
      <c r="EO96" s="387"/>
      <c r="EP96" s="358"/>
      <c r="EQ96" s="387">
        <v>1081.2564263010345</v>
      </c>
      <c r="ER96" s="387"/>
      <c r="ES96" s="358"/>
      <c r="ET96" s="387">
        <v>1081.2564263010345</v>
      </c>
      <c r="EU96" s="387"/>
      <c r="EV96" s="358"/>
      <c r="EW96" s="387">
        <v>1081.2564263010345</v>
      </c>
      <c r="EX96" s="387"/>
      <c r="EY96" s="358"/>
      <c r="EZ96" s="387">
        <v>1081.2564263010345</v>
      </c>
      <c r="FA96" s="387"/>
      <c r="FB96" s="358"/>
      <c r="FC96" s="387">
        <v>1081.2564263010345</v>
      </c>
      <c r="FD96" s="387"/>
      <c r="FE96" s="358"/>
      <c r="FF96" s="387">
        <v>1081.2564263010345</v>
      </c>
      <c r="FG96" s="387"/>
      <c r="FH96" s="358"/>
      <c r="FI96" s="387">
        <v>1081.2564263010345</v>
      </c>
      <c r="FJ96" s="387"/>
      <c r="FK96" s="358"/>
      <c r="FL96" s="387">
        <v>1081.2564263010345</v>
      </c>
      <c r="FM96" s="387"/>
      <c r="FN96" s="358"/>
      <c r="FO96" s="387">
        <v>1081.2564263010345</v>
      </c>
      <c r="FP96" s="387"/>
      <c r="FQ96" s="358"/>
      <c r="FR96" s="387">
        <v>1081.2564263010345</v>
      </c>
      <c r="FS96" s="387"/>
      <c r="FT96" s="358"/>
      <c r="FU96" s="387">
        <v>1081.2564263010345</v>
      </c>
      <c r="FV96" s="387"/>
      <c r="FW96" s="358"/>
      <c r="FX96" s="387">
        <v>1081.2564263010345</v>
      </c>
      <c r="FY96" s="387"/>
      <c r="FZ96" s="358"/>
      <c r="GA96" s="387">
        <v>1081.2564263010345</v>
      </c>
      <c r="GB96" s="387"/>
      <c r="GC96" s="358"/>
      <c r="GD96" s="387">
        <v>1081.2564263010345</v>
      </c>
      <c r="GE96" s="387"/>
      <c r="GF96" s="358"/>
      <c r="GG96" s="387">
        <v>1081.2564263010345</v>
      </c>
      <c r="GH96" s="387"/>
      <c r="GI96" s="358"/>
      <c r="GJ96" s="387">
        <v>1081.2564263010345</v>
      </c>
      <c r="GK96" s="387"/>
      <c r="GL96" s="358"/>
      <c r="GM96" s="387">
        <v>1081.2564263010345</v>
      </c>
      <c r="GN96" s="387"/>
      <c r="GO96" s="358"/>
      <c r="GP96" s="387">
        <v>1081.2564263010345</v>
      </c>
      <c r="GQ96" s="387"/>
      <c r="GR96" s="358"/>
      <c r="GS96" s="387">
        <v>1081.2564263010345</v>
      </c>
      <c r="GT96" s="387"/>
      <c r="GU96" s="358"/>
      <c r="GV96" s="387">
        <v>1081.2564263010345</v>
      </c>
      <c r="GW96" s="387"/>
      <c r="GX96" s="358"/>
      <c r="GY96" s="387">
        <v>1081.2564263010345</v>
      </c>
      <c r="GZ96" s="387"/>
      <c r="HA96" s="358"/>
      <c r="HB96" s="387">
        <v>1081.2564263010345</v>
      </c>
      <c r="HC96" s="387"/>
      <c r="HD96" s="358"/>
      <c r="HE96" s="387">
        <v>1081.2564263010345</v>
      </c>
      <c r="HF96" s="387"/>
      <c r="HG96" s="358"/>
      <c r="HH96" s="387">
        <v>1081.2564263010345</v>
      </c>
      <c r="HI96" s="358"/>
      <c r="HJ96" s="387">
        <v>1081.2564263010345</v>
      </c>
      <c r="HK96" s="358"/>
      <c r="HL96" s="387">
        <v>1081.2564263010345</v>
      </c>
      <c r="HM96" s="358"/>
      <c r="HN96" s="387">
        <v>1081.2564263010345</v>
      </c>
      <c r="HO96" s="358"/>
      <c r="HP96" s="387">
        <v>1081.2564263010345</v>
      </c>
      <c r="HQ96" s="358"/>
      <c r="HR96" s="387">
        <v>1081.2564263010345</v>
      </c>
      <c r="HS96" s="358"/>
      <c r="HT96" s="387">
        <v>1081.2564263010345</v>
      </c>
      <c r="HU96" s="358"/>
      <c r="HV96" s="388">
        <v>1081.2564263010345</v>
      </c>
      <c r="HW96" s="425"/>
      <c r="HX96" s="424">
        <v>1081.2564263010345</v>
      </c>
      <c r="HY96" s="425"/>
      <c r="HZ96" s="424">
        <v>1081.2564263010345</v>
      </c>
      <c r="IA96" s="425"/>
      <c r="IB96" s="424">
        <v>1081.2564263010345</v>
      </c>
      <c r="IC96" s="425"/>
      <c r="ID96" s="357">
        <f>VLOOKUP($C96,'[15]Prix accès'!A:D,4,FALSE)</f>
        <v>1081.2564263010345</v>
      </c>
      <c r="IE96" s="426"/>
      <c r="IF96" s="357">
        <f>VLOOKUP($C96,'[15]Prix accès'!$A:$D,4,FALSE)</f>
        <v>1081.2564263010345</v>
      </c>
      <c r="IG96" s="426"/>
      <c r="IH96" s="457">
        <v>992.62885037472017</v>
      </c>
      <c r="II96" s="426"/>
      <c r="IJ96" s="458"/>
      <c r="IK96" s="426"/>
      <c r="IL96" s="458"/>
      <c r="IM96" s="426"/>
      <c r="IN96" s="496"/>
      <c r="IO96" s="427"/>
      <c r="IP96" s="496"/>
      <c r="IQ96" s="427"/>
      <c r="IR96" s="429" t="s">
        <v>2831</v>
      </c>
      <c r="IS96" s="364" t="s">
        <v>77</v>
      </c>
      <c r="IT96" s="365">
        <v>43558</v>
      </c>
      <c r="IU96" s="371">
        <v>43586</v>
      </c>
      <c r="IW96" s="372">
        <f t="shared" si="16"/>
        <v>28</v>
      </c>
      <c r="IX96" s="373">
        <f t="shared" si="14"/>
        <v>35.451030370525721</v>
      </c>
      <c r="IY96" s="394">
        <f t="shared" si="17"/>
        <v>992.62885037472017</v>
      </c>
      <c r="IZ96" s="394"/>
      <c r="JA96" s="394"/>
    </row>
    <row r="97" spans="1:261" s="367" customFormat="1" ht="16.5" customHeight="1" x14ac:dyDescent="0.3">
      <c r="A97" s="354" t="s">
        <v>2739</v>
      </c>
      <c r="B97" s="415" t="s">
        <v>2757</v>
      </c>
      <c r="C97" s="378" t="s">
        <v>911</v>
      </c>
      <c r="D97" s="832">
        <v>356</v>
      </c>
      <c r="E97" s="832">
        <v>12</v>
      </c>
      <c r="F97" s="832">
        <v>8</v>
      </c>
      <c r="G97" s="882">
        <f>(24*12)+27</f>
        <v>315</v>
      </c>
      <c r="H97" s="449">
        <v>0</v>
      </c>
      <c r="I97" s="830">
        <v>376</v>
      </c>
      <c r="J97" s="831">
        <f>3</f>
        <v>3</v>
      </c>
      <c r="K97" s="827"/>
      <c r="L97" s="831">
        <v>376</v>
      </c>
      <c r="M97" s="831">
        <f>3</f>
        <v>3</v>
      </c>
      <c r="N97" s="827"/>
      <c r="O97" s="831">
        <v>376</v>
      </c>
      <c r="P97" s="831">
        <f>3</f>
        <v>3</v>
      </c>
      <c r="Q97" s="827"/>
      <c r="R97" s="831">
        <v>376</v>
      </c>
      <c r="S97" s="831">
        <f>3</f>
        <v>3</v>
      </c>
      <c r="T97" s="827"/>
      <c r="U97" s="831">
        <v>376</v>
      </c>
      <c r="V97" s="831">
        <f>3</f>
        <v>3</v>
      </c>
      <c r="W97" s="827"/>
      <c r="X97" s="831">
        <v>376</v>
      </c>
      <c r="Y97" s="831">
        <f>3</f>
        <v>3</v>
      </c>
      <c r="Z97" s="827"/>
      <c r="AA97" s="831">
        <v>376</v>
      </c>
      <c r="AB97" s="831">
        <f>3</f>
        <v>3</v>
      </c>
      <c r="AC97" s="827"/>
      <c r="AD97" s="831">
        <v>376</v>
      </c>
      <c r="AE97" s="831">
        <f>3</f>
        <v>3</v>
      </c>
      <c r="AF97" s="827"/>
      <c r="AG97" s="831">
        <v>376</v>
      </c>
      <c r="AH97" s="831">
        <f>3</f>
        <v>3</v>
      </c>
      <c r="AI97" s="827"/>
      <c r="AJ97" s="831">
        <v>376</v>
      </c>
      <c r="AK97" s="831">
        <f>3</f>
        <v>3</v>
      </c>
      <c r="AL97" s="827"/>
      <c r="AM97" s="831">
        <v>376</v>
      </c>
      <c r="AN97" s="831">
        <f>3</f>
        <v>3</v>
      </c>
      <c r="AO97" s="827"/>
      <c r="AP97" s="831">
        <v>376</v>
      </c>
      <c r="AQ97" s="831">
        <f>3</f>
        <v>3</v>
      </c>
      <c r="AR97" s="827"/>
      <c r="AS97" s="831">
        <v>376</v>
      </c>
      <c r="AT97" s="831">
        <f>3</f>
        <v>3</v>
      </c>
      <c r="AU97" s="827"/>
      <c r="AV97" s="831">
        <v>376</v>
      </c>
      <c r="AW97" s="831">
        <f>3</f>
        <v>3</v>
      </c>
      <c r="AX97" s="827"/>
      <c r="AY97" s="831">
        <v>376</v>
      </c>
      <c r="AZ97" s="831">
        <f>3</f>
        <v>3</v>
      </c>
      <c r="BA97" s="358"/>
      <c r="BB97" s="385">
        <v>376</v>
      </c>
      <c r="BC97" s="385">
        <f>3</f>
        <v>3</v>
      </c>
      <c r="BD97" s="358"/>
      <c r="BE97" s="385">
        <v>376</v>
      </c>
      <c r="BF97" s="385">
        <f>3</f>
        <v>3</v>
      </c>
      <c r="BG97" s="358"/>
      <c r="BH97" s="385">
        <v>376</v>
      </c>
      <c r="BI97" s="385">
        <f>3</f>
        <v>3</v>
      </c>
      <c r="BJ97" s="358"/>
      <c r="BK97" s="385">
        <v>376</v>
      </c>
      <c r="BL97" s="385">
        <f>3</f>
        <v>3</v>
      </c>
      <c r="BM97" s="358"/>
      <c r="BN97" s="385">
        <v>376</v>
      </c>
      <c r="BO97" s="385">
        <f>3</f>
        <v>3</v>
      </c>
      <c r="BP97" s="358"/>
      <c r="BQ97" s="385">
        <v>376</v>
      </c>
      <c r="BR97" s="385">
        <f>3</f>
        <v>3</v>
      </c>
      <c r="BS97" s="358"/>
      <c r="BT97" s="385">
        <v>376</v>
      </c>
      <c r="BU97" s="385">
        <f>3</f>
        <v>3</v>
      </c>
      <c r="BV97" s="358"/>
      <c r="BW97" s="385">
        <v>376</v>
      </c>
      <c r="BX97" s="385">
        <f>3</f>
        <v>3</v>
      </c>
      <c r="BY97" s="358"/>
      <c r="BZ97" s="385">
        <v>376</v>
      </c>
      <c r="CA97" s="385">
        <f>3</f>
        <v>3</v>
      </c>
      <c r="CB97" s="358"/>
      <c r="CC97" s="385">
        <v>376</v>
      </c>
      <c r="CD97" s="385">
        <f>3</f>
        <v>3</v>
      </c>
      <c r="CE97" s="358"/>
      <c r="CF97" s="385">
        <v>376</v>
      </c>
      <c r="CG97" s="385">
        <f>3</f>
        <v>3</v>
      </c>
      <c r="CH97" s="358"/>
      <c r="CI97" s="385">
        <v>376</v>
      </c>
      <c r="CJ97" s="385">
        <f>3</f>
        <v>3</v>
      </c>
      <c r="CK97" s="358"/>
      <c r="CL97" s="385">
        <v>376</v>
      </c>
      <c r="CM97" s="385">
        <f>3</f>
        <v>3</v>
      </c>
      <c r="CN97" s="358"/>
      <c r="CO97" s="385">
        <v>376</v>
      </c>
      <c r="CP97" s="385">
        <f>3</f>
        <v>3</v>
      </c>
      <c r="CQ97" s="358"/>
      <c r="CR97" s="385">
        <v>376</v>
      </c>
      <c r="CS97" s="385">
        <f>3</f>
        <v>3</v>
      </c>
      <c r="CT97" s="358"/>
      <c r="CU97" s="385">
        <v>376</v>
      </c>
      <c r="CV97" s="385">
        <f>3</f>
        <v>3</v>
      </c>
      <c r="CW97" s="358"/>
      <c r="CX97" s="385">
        <v>376</v>
      </c>
      <c r="CY97" s="385">
        <f>3</f>
        <v>3</v>
      </c>
      <c r="CZ97" s="358"/>
      <c r="DA97" s="385">
        <v>376</v>
      </c>
      <c r="DB97" s="385">
        <f>3</f>
        <v>3</v>
      </c>
      <c r="DC97" s="358"/>
      <c r="DD97" s="385">
        <v>376</v>
      </c>
      <c r="DE97" s="385">
        <f>3</f>
        <v>3</v>
      </c>
      <c r="DF97" s="358"/>
      <c r="DG97" s="385">
        <v>376</v>
      </c>
      <c r="DH97" s="385">
        <f>3</f>
        <v>3</v>
      </c>
      <c r="DI97" s="358"/>
      <c r="DJ97" s="385">
        <v>376</v>
      </c>
      <c r="DK97" s="385">
        <f>3</f>
        <v>3</v>
      </c>
      <c r="DL97" s="358"/>
      <c r="DM97" s="385">
        <v>376</v>
      </c>
      <c r="DN97" s="385">
        <f>3</f>
        <v>3</v>
      </c>
      <c r="DO97" s="358"/>
      <c r="DP97" s="385">
        <v>376</v>
      </c>
      <c r="DQ97" s="385">
        <f>3</f>
        <v>3</v>
      </c>
      <c r="DR97" s="358"/>
      <c r="DS97" s="385">
        <v>376</v>
      </c>
      <c r="DT97" s="385">
        <f>3</f>
        <v>3</v>
      </c>
      <c r="DU97" s="358"/>
      <c r="DV97" s="385">
        <v>376</v>
      </c>
      <c r="DW97" s="385">
        <f>3</f>
        <v>3</v>
      </c>
      <c r="DX97" s="358"/>
      <c r="DY97" s="385">
        <v>376</v>
      </c>
      <c r="DZ97" s="385">
        <f>3</f>
        <v>3</v>
      </c>
      <c r="EA97" s="358"/>
      <c r="EB97" s="385">
        <v>376</v>
      </c>
      <c r="EC97" s="385">
        <f>3</f>
        <v>3</v>
      </c>
      <c r="ED97" s="358"/>
      <c r="EE97" s="385">
        <v>376</v>
      </c>
      <c r="EF97" s="385">
        <f>3</f>
        <v>3</v>
      </c>
      <c r="EG97" s="358"/>
      <c r="EH97" s="385">
        <v>376</v>
      </c>
      <c r="EI97" s="385">
        <f>3</f>
        <v>3</v>
      </c>
      <c r="EJ97" s="358"/>
      <c r="EK97" s="385">
        <v>376</v>
      </c>
      <c r="EL97" s="385">
        <f>3</f>
        <v>3</v>
      </c>
      <c r="EM97" s="358"/>
      <c r="EN97" s="385">
        <v>376</v>
      </c>
      <c r="EO97" s="385">
        <f>3</f>
        <v>3</v>
      </c>
      <c r="EP97" s="358"/>
      <c r="EQ97" s="385">
        <v>376</v>
      </c>
      <c r="ER97" s="385">
        <f>3</f>
        <v>3</v>
      </c>
      <c r="ES97" s="358"/>
      <c r="ET97" s="385">
        <v>376</v>
      </c>
      <c r="EU97" s="385">
        <f>3</f>
        <v>3</v>
      </c>
      <c r="EV97" s="358"/>
      <c r="EW97" s="385">
        <v>376</v>
      </c>
      <c r="EX97" s="385">
        <f>3</f>
        <v>3</v>
      </c>
      <c r="EY97" s="358"/>
      <c r="EZ97" s="385">
        <v>376</v>
      </c>
      <c r="FA97" s="385">
        <f>3</f>
        <v>3</v>
      </c>
      <c r="FB97" s="358"/>
      <c r="FC97" s="385">
        <v>376</v>
      </c>
      <c r="FD97" s="385">
        <f>3</f>
        <v>3</v>
      </c>
      <c r="FE97" s="358"/>
      <c r="FF97" s="385">
        <v>376</v>
      </c>
      <c r="FG97" s="385">
        <f>3</f>
        <v>3</v>
      </c>
      <c r="FH97" s="358"/>
      <c r="FI97" s="385">
        <v>376</v>
      </c>
      <c r="FJ97" s="385">
        <f>3</f>
        <v>3</v>
      </c>
      <c r="FK97" s="358"/>
      <c r="FL97" s="385">
        <v>376</v>
      </c>
      <c r="FM97" s="385">
        <f>3</f>
        <v>3</v>
      </c>
      <c r="FN97" s="358"/>
      <c r="FO97" s="385">
        <v>376</v>
      </c>
      <c r="FP97" s="385">
        <f>3</f>
        <v>3</v>
      </c>
      <c r="FQ97" s="358"/>
      <c r="FR97" s="385">
        <v>376</v>
      </c>
      <c r="FS97" s="385">
        <f>3</f>
        <v>3</v>
      </c>
      <c r="FT97" s="358"/>
      <c r="FU97" s="385">
        <v>376</v>
      </c>
      <c r="FV97" s="385">
        <f>3</f>
        <v>3</v>
      </c>
      <c r="FW97" s="358"/>
      <c r="FX97" s="385">
        <v>376</v>
      </c>
      <c r="FY97" s="385">
        <f>3</f>
        <v>3</v>
      </c>
      <c r="FZ97" s="358"/>
      <c r="GA97" s="385">
        <v>376</v>
      </c>
      <c r="GB97" s="385">
        <f>3</f>
        <v>3</v>
      </c>
      <c r="GC97" s="358"/>
      <c r="GD97" s="385">
        <v>376</v>
      </c>
      <c r="GE97" s="385">
        <f>3</f>
        <v>3</v>
      </c>
      <c r="GF97" s="358"/>
      <c r="GG97" s="385">
        <v>376</v>
      </c>
      <c r="GH97" s="385">
        <f>3</f>
        <v>3</v>
      </c>
      <c r="GI97" s="358"/>
      <c r="GJ97" s="385">
        <v>376</v>
      </c>
      <c r="GK97" s="385">
        <f>3</f>
        <v>3</v>
      </c>
      <c r="GL97" s="358"/>
      <c r="GM97" s="385">
        <v>376</v>
      </c>
      <c r="GN97" s="385">
        <f>3</f>
        <v>3</v>
      </c>
      <c r="GO97" s="358"/>
      <c r="GP97" s="385">
        <v>376</v>
      </c>
      <c r="GQ97" s="385">
        <f>3</f>
        <v>3</v>
      </c>
      <c r="GR97" s="358"/>
      <c r="GS97" s="385">
        <v>376</v>
      </c>
      <c r="GT97" s="385">
        <f>3</f>
        <v>3</v>
      </c>
      <c r="GU97" s="358"/>
      <c r="GV97" s="385">
        <v>376</v>
      </c>
      <c r="GW97" s="385">
        <f>3</f>
        <v>3</v>
      </c>
      <c r="GX97" s="358"/>
      <c r="GY97" s="385">
        <v>376</v>
      </c>
      <c r="GZ97" s="385">
        <f>3</f>
        <v>3</v>
      </c>
      <c r="HA97" s="358"/>
      <c r="HB97" s="385">
        <v>376</v>
      </c>
      <c r="HC97" s="385">
        <f>3</f>
        <v>3</v>
      </c>
      <c r="HD97" s="358"/>
      <c r="HE97" s="387">
        <v>376</v>
      </c>
      <c r="HF97" s="386">
        <f>3*6</f>
        <v>18</v>
      </c>
      <c r="HG97" s="358"/>
      <c r="HH97" s="387">
        <v>376</v>
      </c>
      <c r="HI97" s="358"/>
      <c r="HJ97" s="387">
        <v>376</v>
      </c>
      <c r="HK97" s="358"/>
      <c r="HL97" s="387">
        <v>376</v>
      </c>
      <c r="HM97" s="358"/>
      <c r="HN97" s="387">
        <v>376</v>
      </c>
      <c r="HO97" s="358"/>
      <c r="HP97" s="387">
        <v>376</v>
      </c>
      <c r="HQ97" s="358"/>
      <c r="HR97" s="387">
        <v>376</v>
      </c>
      <c r="HS97" s="358"/>
      <c r="HT97" s="387">
        <v>376</v>
      </c>
      <c r="HU97" s="358"/>
      <c r="HV97" s="388">
        <v>376</v>
      </c>
      <c r="HW97" s="425" t="s">
        <v>3310</v>
      </c>
      <c r="HX97" s="424">
        <v>376</v>
      </c>
      <c r="HY97" s="425" t="s">
        <v>3310</v>
      </c>
      <c r="HZ97" s="424">
        <v>376</v>
      </c>
      <c r="IA97" s="425" t="s">
        <v>3310</v>
      </c>
      <c r="IB97" s="424">
        <v>376</v>
      </c>
      <c r="IC97" s="425" t="s">
        <v>3310</v>
      </c>
      <c r="ID97" s="357">
        <f>VLOOKUP($C97,'[15]Prix accès'!A:D,4,FALSE)</f>
        <v>376</v>
      </c>
      <c r="IE97" s="426" t="s">
        <v>3310</v>
      </c>
      <c r="IF97" s="357">
        <f>VLOOKUP($C97,'[15]Prix accès'!$A:$D,4,FALSE)</f>
        <v>376</v>
      </c>
      <c r="IG97" s="426" t="s">
        <v>3310</v>
      </c>
      <c r="IH97" s="457">
        <v>332.85245901639342</v>
      </c>
      <c r="II97" s="361"/>
      <c r="IJ97" s="458"/>
      <c r="IK97" s="361"/>
      <c r="IL97" s="496"/>
      <c r="IM97" s="427"/>
      <c r="IN97" s="496"/>
      <c r="IO97" s="427"/>
      <c r="IP97" s="496"/>
      <c r="IQ97" s="427"/>
      <c r="IR97" s="429" t="s">
        <v>2855</v>
      </c>
      <c r="IS97" s="364" t="s">
        <v>77</v>
      </c>
      <c r="IT97" s="365">
        <v>43559</v>
      </c>
      <c r="IU97" s="371">
        <v>43586</v>
      </c>
      <c r="IW97" s="372">
        <f t="shared" si="16"/>
        <v>27</v>
      </c>
      <c r="IX97" s="373">
        <f t="shared" si="14"/>
        <v>12.327868852459016</v>
      </c>
      <c r="IY97" s="394">
        <f t="shared" si="17"/>
        <v>332.85245901639342</v>
      </c>
      <c r="IZ97" s="394"/>
      <c r="JA97" s="394"/>
    </row>
    <row r="98" spans="1:261" s="367" customFormat="1" ht="16.5" customHeight="1" x14ac:dyDescent="0.3">
      <c r="A98" s="354" t="s">
        <v>2743</v>
      </c>
      <c r="B98" s="246" t="s">
        <v>2791</v>
      </c>
      <c r="C98" s="519" t="s">
        <v>1171</v>
      </c>
      <c r="D98" s="520">
        <v>1453.8564263010346</v>
      </c>
      <c r="E98" s="508">
        <v>84</v>
      </c>
      <c r="F98" s="508">
        <v>0</v>
      </c>
      <c r="G98" s="508">
        <v>36</v>
      </c>
      <c r="H98" s="510">
        <v>0</v>
      </c>
      <c r="I98" s="841">
        <v>1538</v>
      </c>
      <c r="J98" s="835">
        <v>36</v>
      </c>
      <c r="K98" s="827"/>
      <c r="L98" s="842">
        <f>((1538-1225)/30.5)*12+1538</f>
        <v>1661.1475409836066</v>
      </c>
      <c r="M98" s="842">
        <f>(36/30.5)*12+36</f>
        <v>50.16393442622951</v>
      </c>
      <c r="N98" s="827"/>
      <c r="O98" s="829">
        <v>1225.2564263010347</v>
      </c>
      <c r="P98" s="829"/>
      <c r="Q98" s="827"/>
      <c r="R98" s="829">
        <v>1225.2564263010347</v>
      </c>
      <c r="S98" s="829"/>
      <c r="T98" s="827"/>
      <c r="U98" s="829">
        <v>1225.2564263010347</v>
      </c>
      <c r="V98" s="829"/>
      <c r="W98" s="827"/>
      <c r="X98" s="829">
        <v>1225.2564263010347</v>
      </c>
      <c r="Y98" s="829"/>
      <c r="Z98" s="827"/>
      <c r="AA98" s="829">
        <v>1225.2564263010347</v>
      </c>
      <c r="AB98" s="829"/>
      <c r="AC98" s="827"/>
      <c r="AD98" s="829">
        <v>1225.2564263010347</v>
      </c>
      <c r="AE98" s="829"/>
      <c r="AF98" s="827"/>
      <c r="AG98" s="829">
        <v>1225.2564263010347</v>
      </c>
      <c r="AH98" s="829"/>
      <c r="AI98" s="827"/>
      <c r="AJ98" s="829">
        <v>1225.2564263010347</v>
      </c>
      <c r="AK98" s="829"/>
      <c r="AL98" s="827"/>
      <c r="AM98" s="829">
        <v>1225.2564263010347</v>
      </c>
      <c r="AN98" s="829"/>
      <c r="AO98" s="827"/>
      <c r="AP98" s="829">
        <v>1225.2564263010347</v>
      </c>
      <c r="AQ98" s="829"/>
      <c r="AR98" s="827"/>
      <c r="AS98" s="829">
        <v>1225.2564263010347</v>
      </c>
      <c r="AT98" s="829"/>
      <c r="AU98" s="827"/>
      <c r="AV98" s="829">
        <v>1225.2564263010347</v>
      </c>
      <c r="AW98" s="829"/>
      <c r="AX98" s="827"/>
      <c r="AY98" s="829">
        <v>1225.2564263010347</v>
      </c>
      <c r="AZ98" s="829"/>
      <c r="BA98" s="358"/>
      <c r="BB98" s="387">
        <v>1225.2564263010347</v>
      </c>
      <c r="BC98" s="387"/>
      <c r="BD98" s="358"/>
      <c r="BE98" s="387">
        <v>1225.2564263010347</v>
      </c>
      <c r="BF98" s="387"/>
      <c r="BG98" s="358"/>
      <c r="BH98" s="387">
        <v>1225.2564263010347</v>
      </c>
      <c r="BI98" s="387"/>
      <c r="BJ98" s="358"/>
      <c r="BK98" s="387">
        <v>1225.2564263010347</v>
      </c>
      <c r="BL98" s="387"/>
      <c r="BM98" s="358"/>
      <c r="BN98" s="387">
        <v>1225.2564263010347</v>
      </c>
      <c r="BO98" s="387"/>
      <c r="BP98" s="358"/>
      <c r="BQ98" s="387">
        <v>1225.2564263010347</v>
      </c>
      <c r="BR98" s="387"/>
      <c r="BS98" s="358"/>
      <c r="BT98" s="387">
        <v>1225.2564263010347</v>
      </c>
      <c r="BU98" s="387"/>
      <c r="BV98" s="358"/>
      <c r="BW98" s="387">
        <v>1225.2564263010347</v>
      </c>
      <c r="BX98" s="387"/>
      <c r="BY98" s="358"/>
      <c r="BZ98" s="387">
        <v>1225.2564263010347</v>
      </c>
      <c r="CA98" s="387"/>
      <c r="CB98" s="358"/>
      <c r="CC98" s="387">
        <v>1225.2564263010347</v>
      </c>
      <c r="CD98" s="387"/>
      <c r="CE98" s="358"/>
      <c r="CF98" s="387">
        <v>1225.2564263010347</v>
      </c>
      <c r="CG98" s="387"/>
      <c r="CH98" s="358"/>
      <c r="CI98" s="387">
        <v>1225.2564263010347</v>
      </c>
      <c r="CJ98" s="387"/>
      <c r="CK98" s="358"/>
      <c r="CL98" s="387">
        <v>1225.2564263010347</v>
      </c>
      <c r="CM98" s="387"/>
      <c r="CN98" s="358"/>
      <c r="CO98" s="387">
        <v>1225.2564263010347</v>
      </c>
      <c r="CP98" s="387"/>
      <c r="CQ98" s="358"/>
      <c r="CR98" s="387">
        <v>1225.2564263010347</v>
      </c>
      <c r="CS98" s="387"/>
      <c r="CT98" s="358"/>
      <c r="CU98" s="387">
        <v>1225.2564263010347</v>
      </c>
      <c r="CV98" s="387"/>
      <c r="CW98" s="358"/>
      <c r="CX98" s="387">
        <v>1225.2564263010347</v>
      </c>
      <c r="CY98" s="387"/>
      <c r="CZ98" s="358"/>
      <c r="DA98" s="387">
        <v>1225.2564263010347</v>
      </c>
      <c r="DB98" s="387"/>
      <c r="DC98" s="358"/>
      <c r="DD98" s="387">
        <v>1225.2564263010347</v>
      </c>
      <c r="DE98" s="387"/>
      <c r="DF98" s="358"/>
      <c r="DG98" s="387">
        <v>1225.2564263010347</v>
      </c>
      <c r="DH98" s="387"/>
      <c r="DI98" s="358"/>
      <c r="DJ98" s="387">
        <v>1225.2564263010347</v>
      </c>
      <c r="DK98" s="387"/>
      <c r="DL98" s="358"/>
      <c r="DM98" s="387">
        <v>1225.2564263010347</v>
      </c>
      <c r="DN98" s="387"/>
      <c r="DO98" s="358"/>
      <c r="DP98" s="387">
        <v>1225.2564263010347</v>
      </c>
      <c r="DQ98" s="387"/>
      <c r="DR98" s="358"/>
      <c r="DS98" s="387">
        <v>1225.2564263010347</v>
      </c>
      <c r="DT98" s="387"/>
      <c r="DU98" s="358"/>
      <c r="DV98" s="387">
        <v>1225.2564263010347</v>
      </c>
      <c r="DW98" s="387"/>
      <c r="DX98" s="358"/>
      <c r="DY98" s="387">
        <v>1225.2564263010347</v>
      </c>
      <c r="DZ98" s="387"/>
      <c r="EA98" s="358"/>
      <c r="EB98" s="387">
        <v>1225.2564263010347</v>
      </c>
      <c r="EC98" s="387"/>
      <c r="ED98" s="358"/>
      <c r="EE98" s="387">
        <v>1225.2564263010347</v>
      </c>
      <c r="EF98" s="387"/>
      <c r="EG98" s="358"/>
      <c r="EH98" s="387">
        <v>1225.2564263010347</v>
      </c>
      <c r="EI98" s="387"/>
      <c r="EJ98" s="358"/>
      <c r="EK98" s="387">
        <v>1225.2564263010347</v>
      </c>
      <c r="EL98" s="387"/>
      <c r="EM98" s="358"/>
      <c r="EN98" s="387">
        <v>1225.2564263010347</v>
      </c>
      <c r="EO98" s="387"/>
      <c r="EP98" s="358"/>
      <c r="EQ98" s="387">
        <v>1225.2564263010347</v>
      </c>
      <c r="ER98" s="387"/>
      <c r="ES98" s="358"/>
      <c r="ET98" s="387">
        <v>1225.2564263010347</v>
      </c>
      <c r="EU98" s="387"/>
      <c r="EV98" s="358"/>
      <c r="EW98" s="387">
        <v>1225.2564263010347</v>
      </c>
      <c r="EX98" s="387"/>
      <c r="EY98" s="358"/>
      <c r="EZ98" s="387">
        <v>1225.2564263010347</v>
      </c>
      <c r="FA98" s="387"/>
      <c r="FB98" s="358"/>
      <c r="FC98" s="387">
        <v>1225.2564263010347</v>
      </c>
      <c r="FD98" s="387"/>
      <c r="FE98" s="358"/>
      <c r="FF98" s="387">
        <v>1225.2564263010347</v>
      </c>
      <c r="FG98" s="387"/>
      <c r="FH98" s="358"/>
      <c r="FI98" s="387">
        <v>1225.2564263010347</v>
      </c>
      <c r="FJ98" s="387"/>
      <c r="FK98" s="358"/>
      <c r="FL98" s="387">
        <v>1225.2564263010347</v>
      </c>
      <c r="FM98" s="387"/>
      <c r="FN98" s="358"/>
      <c r="FO98" s="387">
        <v>1225.2564263010347</v>
      </c>
      <c r="FP98" s="387"/>
      <c r="FQ98" s="358"/>
      <c r="FR98" s="387">
        <v>1225.2564263010347</v>
      </c>
      <c r="FS98" s="387"/>
      <c r="FT98" s="358"/>
      <c r="FU98" s="387">
        <v>1225.2564263010347</v>
      </c>
      <c r="FV98" s="387"/>
      <c r="FW98" s="358"/>
      <c r="FX98" s="387">
        <v>1225.2564263010347</v>
      </c>
      <c r="FY98" s="387"/>
      <c r="FZ98" s="358"/>
      <c r="GA98" s="387">
        <v>1225.2564263010347</v>
      </c>
      <c r="GB98" s="387"/>
      <c r="GC98" s="358"/>
      <c r="GD98" s="387">
        <v>1225.2564263010347</v>
      </c>
      <c r="GE98" s="387"/>
      <c r="GF98" s="358"/>
      <c r="GG98" s="387">
        <v>1225.2564263010347</v>
      </c>
      <c r="GH98" s="387"/>
      <c r="GI98" s="358"/>
      <c r="GJ98" s="387">
        <v>1225.2564263010347</v>
      </c>
      <c r="GK98" s="387"/>
      <c r="GL98" s="358"/>
      <c r="GM98" s="387">
        <v>1225.2564263010347</v>
      </c>
      <c r="GN98" s="387"/>
      <c r="GO98" s="358"/>
      <c r="GP98" s="387">
        <v>1225.2564263010347</v>
      </c>
      <c r="GQ98" s="387"/>
      <c r="GR98" s="358"/>
      <c r="GS98" s="387">
        <v>1225.2564263010347</v>
      </c>
      <c r="GT98" s="387"/>
      <c r="GU98" s="358"/>
      <c r="GV98" s="387">
        <v>1225.2564263010347</v>
      </c>
      <c r="GW98" s="387"/>
      <c r="GX98" s="358"/>
      <c r="GY98" s="387">
        <v>1225.2564263010347</v>
      </c>
      <c r="GZ98" s="387"/>
      <c r="HA98" s="358"/>
      <c r="HB98" s="387">
        <v>1225.2564263010347</v>
      </c>
      <c r="HC98" s="387"/>
      <c r="HD98" s="358"/>
      <c r="HE98" s="387">
        <v>1225.2564263010347</v>
      </c>
      <c r="HF98" s="387"/>
      <c r="HG98" s="358"/>
      <c r="HH98" s="387">
        <v>1225.2564263010347</v>
      </c>
      <c r="HI98" s="358"/>
      <c r="HJ98" s="387">
        <v>1225.2564263010347</v>
      </c>
      <c r="HK98" s="358"/>
      <c r="HL98" s="387">
        <v>1225.2564263010347</v>
      </c>
      <c r="HM98" s="358"/>
      <c r="HN98" s="387">
        <v>1225.2564263010347</v>
      </c>
      <c r="HO98" s="358"/>
      <c r="HP98" s="387">
        <v>1225.2564263010347</v>
      </c>
      <c r="HQ98" s="358"/>
      <c r="HR98" s="387">
        <v>1225.2564263010347</v>
      </c>
      <c r="HS98" s="358"/>
      <c r="HT98" s="387">
        <v>1225.2564263010347</v>
      </c>
      <c r="HU98" s="358"/>
      <c r="HV98" s="388">
        <v>1225.2564263010347</v>
      </c>
      <c r="HW98" s="425" t="s">
        <v>3310</v>
      </c>
      <c r="HX98" s="424">
        <v>1225.2564263010347</v>
      </c>
      <c r="HY98" s="425" t="s">
        <v>3310</v>
      </c>
      <c r="HZ98" s="424">
        <v>1225.2564263010347</v>
      </c>
      <c r="IA98" s="425" t="s">
        <v>3310</v>
      </c>
      <c r="IB98" s="424">
        <v>1225.2564263010347</v>
      </c>
      <c r="IC98" s="425" t="s">
        <v>3310</v>
      </c>
      <c r="ID98" s="357">
        <f>VLOOKUP($C98,'[15]Prix accès'!A:D,4,FALSE)</f>
        <v>1225.2564263010347</v>
      </c>
      <c r="IE98" s="426" t="s">
        <v>3310</v>
      </c>
      <c r="IF98" s="357">
        <f>VLOOKUP($C98,'[15]Prix accès'!$A:$D,4,FALSE)</f>
        <v>1225.2564263010347</v>
      </c>
      <c r="IG98" s="426" t="s">
        <v>3310</v>
      </c>
      <c r="IH98" s="426"/>
      <c r="II98" s="426"/>
      <c r="IJ98" s="426"/>
      <c r="IK98" s="426"/>
      <c r="IL98" s="496"/>
      <c r="IM98" s="427"/>
      <c r="IN98" s="496"/>
      <c r="IO98" s="427"/>
      <c r="IP98" s="496"/>
      <c r="IQ98" s="427"/>
      <c r="IR98" s="429" t="s">
        <v>2986</v>
      </c>
      <c r="IS98" s="364" t="s">
        <v>77</v>
      </c>
      <c r="IT98" s="365">
        <v>43564</v>
      </c>
      <c r="IU98" s="371">
        <v>43586</v>
      </c>
      <c r="IW98" s="372">
        <f t="shared" si="16"/>
        <v>22</v>
      </c>
      <c r="IX98" s="373">
        <f t="shared" si="14"/>
        <v>40.172341845935563</v>
      </c>
      <c r="IY98" s="531">
        <f>IX98*IW98</f>
        <v>883.79152061058244</v>
      </c>
      <c r="IZ98" s="531"/>
      <c r="JA98" s="531"/>
    </row>
    <row r="99" spans="1:261" s="367" customFormat="1" ht="16.5" customHeight="1" x14ac:dyDescent="0.3">
      <c r="A99" s="354" t="s">
        <v>2743</v>
      </c>
      <c r="B99" s="415" t="s">
        <v>2909</v>
      </c>
      <c r="C99" s="447" t="s">
        <v>2486</v>
      </c>
      <c r="D99" s="448">
        <v>1988</v>
      </c>
      <c r="E99" s="449">
        <v>44</v>
      </c>
      <c r="F99" s="449">
        <v>32</v>
      </c>
      <c r="G99" s="449">
        <v>0</v>
      </c>
      <c r="H99" s="450">
        <v>0</v>
      </c>
      <c r="I99" s="828">
        <v>2064.0564263010347</v>
      </c>
      <c r="J99" s="829"/>
      <c r="K99" s="827"/>
      <c r="L99" s="829">
        <v>2064.0564263010347</v>
      </c>
      <c r="M99" s="829"/>
      <c r="N99" s="827"/>
      <c r="O99" s="829">
        <v>2064.0564263010347</v>
      </c>
      <c r="P99" s="829"/>
      <c r="Q99" s="827"/>
      <c r="R99" s="829">
        <v>2064.0564263010347</v>
      </c>
      <c r="S99" s="829"/>
      <c r="T99" s="827"/>
      <c r="U99" s="829">
        <v>2064.0564263010347</v>
      </c>
      <c r="V99" s="829"/>
      <c r="W99" s="827"/>
      <c r="X99" s="829">
        <v>2064.0564263010347</v>
      </c>
      <c r="Y99" s="829"/>
      <c r="Z99" s="827"/>
      <c r="AA99" s="829">
        <v>2064.0564263010347</v>
      </c>
      <c r="AB99" s="829"/>
      <c r="AC99" s="827"/>
      <c r="AD99" s="829">
        <v>2064.0564263010347</v>
      </c>
      <c r="AE99" s="829"/>
      <c r="AF99" s="827"/>
      <c r="AG99" s="829">
        <v>2064.0564263010347</v>
      </c>
      <c r="AH99" s="829"/>
      <c r="AI99" s="827"/>
      <c r="AJ99" s="829">
        <v>2064.0564263010347</v>
      </c>
      <c r="AK99" s="829"/>
      <c r="AL99" s="827"/>
      <c r="AM99" s="829">
        <v>2064.0564263010347</v>
      </c>
      <c r="AN99" s="829"/>
      <c r="AO99" s="827"/>
      <c r="AP99" s="829">
        <v>2064.0564263010347</v>
      </c>
      <c r="AQ99" s="829"/>
      <c r="AR99" s="827"/>
      <c r="AS99" s="829">
        <v>2064.0564263010347</v>
      </c>
      <c r="AT99" s="829"/>
      <c r="AU99" s="827"/>
      <c r="AV99" s="829">
        <v>2064.0564263010347</v>
      </c>
      <c r="AW99" s="829"/>
      <c r="AX99" s="827"/>
      <c r="AY99" s="829">
        <v>2064.0564263010347</v>
      </c>
      <c r="AZ99" s="829"/>
      <c r="BA99" s="358"/>
      <c r="BB99" s="387">
        <v>2064.0564263010347</v>
      </c>
      <c r="BC99" s="387"/>
      <c r="BD99" s="358"/>
      <c r="BE99" s="387">
        <v>2064.0564263010347</v>
      </c>
      <c r="BF99" s="387"/>
      <c r="BG99" s="358"/>
      <c r="BH99" s="387">
        <v>2064.0564263010347</v>
      </c>
      <c r="BI99" s="387"/>
      <c r="BJ99" s="358"/>
      <c r="BK99" s="387">
        <v>2064.0564263010347</v>
      </c>
      <c r="BL99" s="387"/>
      <c r="BM99" s="358"/>
      <c r="BN99" s="387">
        <v>2064.0564263010347</v>
      </c>
      <c r="BO99" s="387"/>
      <c r="BP99" s="358"/>
      <c r="BQ99" s="387">
        <v>2064.0564263010347</v>
      </c>
      <c r="BR99" s="387"/>
      <c r="BS99" s="358"/>
      <c r="BT99" s="387">
        <v>2064.0564263010347</v>
      </c>
      <c r="BU99" s="387"/>
      <c r="BV99" s="358"/>
      <c r="BW99" s="387">
        <v>2064.0564263010347</v>
      </c>
      <c r="BX99" s="387"/>
      <c r="BY99" s="358"/>
      <c r="BZ99" s="387">
        <v>2064.0564263010347</v>
      </c>
      <c r="CA99" s="387"/>
      <c r="CB99" s="358"/>
      <c r="CC99" s="387">
        <v>2064.0564263010347</v>
      </c>
      <c r="CD99" s="387"/>
      <c r="CE99" s="358"/>
      <c r="CF99" s="387">
        <v>2064.0564263010347</v>
      </c>
      <c r="CG99" s="387"/>
      <c r="CH99" s="358"/>
      <c r="CI99" s="387">
        <v>2064.0564263010347</v>
      </c>
      <c r="CJ99" s="387"/>
      <c r="CK99" s="358"/>
      <c r="CL99" s="387">
        <v>2064.0564263010347</v>
      </c>
      <c r="CM99" s="387"/>
      <c r="CN99" s="358"/>
      <c r="CO99" s="387">
        <v>2064.0564263010347</v>
      </c>
      <c r="CP99" s="387"/>
      <c r="CQ99" s="358"/>
      <c r="CR99" s="387">
        <v>2064.0564263010347</v>
      </c>
      <c r="CS99" s="387"/>
      <c r="CT99" s="358"/>
      <c r="CU99" s="387">
        <v>2064.0564263010347</v>
      </c>
      <c r="CV99" s="387"/>
      <c r="CW99" s="358"/>
      <c r="CX99" s="387">
        <v>2064.0564263010347</v>
      </c>
      <c r="CY99" s="387"/>
      <c r="CZ99" s="358"/>
      <c r="DA99" s="387">
        <v>2064.0564263010347</v>
      </c>
      <c r="DB99" s="387"/>
      <c r="DC99" s="358"/>
      <c r="DD99" s="387">
        <v>2064.0564263010347</v>
      </c>
      <c r="DE99" s="387"/>
      <c r="DF99" s="358"/>
      <c r="DG99" s="387">
        <v>2064.0564263010347</v>
      </c>
      <c r="DH99" s="387"/>
      <c r="DI99" s="358"/>
      <c r="DJ99" s="387">
        <v>2064.0564263010347</v>
      </c>
      <c r="DK99" s="387"/>
      <c r="DL99" s="358"/>
      <c r="DM99" s="387">
        <v>2064.0564263010347</v>
      </c>
      <c r="DN99" s="387"/>
      <c r="DO99" s="358"/>
      <c r="DP99" s="387">
        <v>2064.0564263010347</v>
      </c>
      <c r="DQ99" s="387"/>
      <c r="DR99" s="358"/>
      <c r="DS99" s="387">
        <v>2064.0564263010347</v>
      </c>
      <c r="DT99" s="387"/>
      <c r="DU99" s="358"/>
      <c r="DV99" s="387">
        <v>2064.0564263010347</v>
      </c>
      <c r="DW99" s="387"/>
      <c r="DX99" s="358"/>
      <c r="DY99" s="387">
        <v>2064.0564263010347</v>
      </c>
      <c r="DZ99" s="387"/>
      <c r="EA99" s="358"/>
      <c r="EB99" s="387">
        <v>2064.0564263010347</v>
      </c>
      <c r="EC99" s="387"/>
      <c r="ED99" s="358"/>
      <c r="EE99" s="387">
        <v>2064.0564263010347</v>
      </c>
      <c r="EF99" s="387"/>
      <c r="EG99" s="358"/>
      <c r="EH99" s="387">
        <v>2064.0564263010347</v>
      </c>
      <c r="EI99" s="387"/>
      <c r="EJ99" s="358"/>
      <c r="EK99" s="387">
        <v>2064.0564263010347</v>
      </c>
      <c r="EL99" s="387"/>
      <c r="EM99" s="358"/>
      <c r="EN99" s="387">
        <v>2064.0564263010347</v>
      </c>
      <c r="EO99" s="387"/>
      <c r="EP99" s="358"/>
      <c r="EQ99" s="387">
        <v>2064.0564263010347</v>
      </c>
      <c r="ER99" s="387"/>
      <c r="ES99" s="358"/>
      <c r="ET99" s="387">
        <v>2064.0564263010347</v>
      </c>
      <c r="EU99" s="387"/>
      <c r="EV99" s="358"/>
      <c r="EW99" s="387">
        <v>2064.0564263010347</v>
      </c>
      <c r="EX99" s="387"/>
      <c r="EY99" s="358"/>
      <c r="EZ99" s="387">
        <v>2064.0564263010347</v>
      </c>
      <c r="FA99" s="387"/>
      <c r="FB99" s="358"/>
      <c r="FC99" s="387">
        <v>2064.0564263010347</v>
      </c>
      <c r="FD99" s="387"/>
      <c r="FE99" s="358"/>
      <c r="FF99" s="387">
        <v>2064.0564263010347</v>
      </c>
      <c r="FG99" s="387"/>
      <c r="FH99" s="358"/>
      <c r="FI99" s="387">
        <v>2064.0564263010347</v>
      </c>
      <c r="FJ99" s="387"/>
      <c r="FK99" s="358"/>
      <c r="FL99" s="387">
        <v>2064.0564263010347</v>
      </c>
      <c r="FM99" s="387"/>
      <c r="FN99" s="358"/>
      <c r="FO99" s="387">
        <v>2064.0564263010347</v>
      </c>
      <c r="FP99" s="387"/>
      <c r="FQ99" s="358"/>
      <c r="FR99" s="387">
        <v>2064.0564263010347</v>
      </c>
      <c r="FS99" s="387"/>
      <c r="FT99" s="358"/>
      <c r="FU99" s="387">
        <v>2064.0564263010347</v>
      </c>
      <c r="FV99" s="387"/>
      <c r="FW99" s="358"/>
      <c r="FX99" s="387">
        <v>2064.0564263010347</v>
      </c>
      <c r="FY99" s="387"/>
      <c r="FZ99" s="358"/>
      <c r="GA99" s="387">
        <v>2064.0564263010347</v>
      </c>
      <c r="GB99" s="387"/>
      <c r="GC99" s="358"/>
      <c r="GD99" s="387">
        <v>2064.0564263010347</v>
      </c>
      <c r="GE99" s="387"/>
      <c r="GF99" s="358"/>
      <c r="GG99" s="387">
        <v>2064.0564263010347</v>
      </c>
      <c r="GH99" s="387"/>
      <c r="GI99" s="358"/>
      <c r="GJ99" s="387">
        <v>2064.0564263010347</v>
      </c>
      <c r="GK99" s="387"/>
      <c r="GL99" s="358"/>
      <c r="GM99" s="387">
        <v>2064.0564263010347</v>
      </c>
      <c r="GN99" s="387"/>
      <c r="GO99" s="358"/>
      <c r="GP99" s="387">
        <v>2064.0564263010347</v>
      </c>
      <c r="GQ99" s="387"/>
      <c r="GR99" s="358"/>
      <c r="GS99" s="387">
        <v>2064.0564263010347</v>
      </c>
      <c r="GT99" s="387"/>
      <c r="GU99" s="358"/>
      <c r="GV99" s="387">
        <v>2064.0564263010347</v>
      </c>
      <c r="GW99" s="387"/>
      <c r="GX99" s="358"/>
      <c r="GY99" s="387">
        <v>2064.0564263010347</v>
      </c>
      <c r="GZ99" s="387"/>
      <c r="HA99" s="358"/>
      <c r="HB99" s="387">
        <v>2064.0564263010347</v>
      </c>
      <c r="HC99" s="387"/>
      <c r="HD99" s="358"/>
      <c r="HE99" s="387">
        <v>2064.0564263010347</v>
      </c>
      <c r="HF99" s="387"/>
      <c r="HG99" s="358"/>
      <c r="HH99" s="387">
        <v>2064.0564263010347</v>
      </c>
      <c r="HI99" s="358"/>
      <c r="HJ99" s="387">
        <v>2064.0564263010347</v>
      </c>
      <c r="HK99" s="358"/>
      <c r="HL99" s="387">
        <v>2064.0564263010347</v>
      </c>
      <c r="HM99" s="358"/>
      <c r="HN99" s="387">
        <v>2064.0564263010347</v>
      </c>
      <c r="HO99" s="358"/>
      <c r="HP99" s="387">
        <v>2064.0564263010347</v>
      </c>
      <c r="HQ99" s="358"/>
      <c r="HR99" s="387">
        <v>2064.0564263010347</v>
      </c>
      <c r="HS99" s="358"/>
      <c r="HT99" s="387">
        <v>2064.0564263010347</v>
      </c>
      <c r="HU99" s="358"/>
      <c r="HV99" s="388">
        <v>2064.0564263010347</v>
      </c>
      <c r="HW99" s="425" t="s">
        <v>3310</v>
      </c>
      <c r="HX99" s="424">
        <v>2064.0564263010347</v>
      </c>
      <c r="HY99" s="425" t="s">
        <v>3310</v>
      </c>
      <c r="HZ99" s="424">
        <v>2064.0564263010347</v>
      </c>
      <c r="IA99" s="425" t="s">
        <v>3310</v>
      </c>
      <c r="IB99" s="424">
        <v>2064.0564263010347</v>
      </c>
      <c r="IC99" s="425" t="s">
        <v>3310</v>
      </c>
      <c r="ID99" s="357">
        <f>VLOOKUP($C99,'[15]Prix accès'!A:D,4,FALSE)</f>
        <v>2064.0564263010347</v>
      </c>
      <c r="IE99" s="426" t="s">
        <v>3310</v>
      </c>
      <c r="IF99" s="357">
        <f>VLOOKUP($C99,'[15]Prix accès'!$A:$D,4,FALSE)</f>
        <v>2064.0564263010347</v>
      </c>
      <c r="IG99" s="426" t="s">
        <v>3310</v>
      </c>
      <c r="IH99" s="457">
        <v>1421.1536049941551</v>
      </c>
      <c r="II99" s="427"/>
      <c r="IJ99" s="496"/>
      <c r="IK99" s="427"/>
      <c r="IL99" s="496"/>
      <c r="IM99" s="427"/>
      <c r="IN99" s="496"/>
      <c r="IO99" s="427"/>
      <c r="IP99" s="496"/>
      <c r="IQ99" s="427"/>
      <c r="IR99" s="429" t="s">
        <v>3158</v>
      </c>
      <c r="IS99" s="364" t="s">
        <v>77</v>
      </c>
      <c r="IT99" s="365">
        <v>43565</v>
      </c>
      <c r="IU99" s="371">
        <v>43586</v>
      </c>
      <c r="IW99" s="372">
        <f t="shared" si="16"/>
        <v>21</v>
      </c>
      <c r="IX99" s="373">
        <f t="shared" si="14"/>
        <v>67.673981190197864</v>
      </c>
      <c r="IY99" s="531">
        <f>IX99*IW99</f>
        <v>1421.1536049941551</v>
      </c>
      <c r="IZ99" s="531"/>
      <c r="JA99" s="531"/>
    </row>
    <row r="100" spans="1:261" s="367" customFormat="1" ht="16.5" customHeight="1" x14ac:dyDescent="0.3">
      <c r="A100" s="354" t="s">
        <v>2743</v>
      </c>
      <c r="B100" s="395" t="s">
        <v>2748</v>
      </c>
      <c r="C100" s="466" t="s">
        <v>1200</v>
      </c>
      <c r="D100" s="467">
        <v>1149</v>
      </c>
      <c r="E100" s="468">
        <v>44</v>
      </c>
      <c r="F100" s="468">
        <v>32</v>
      </c>
      <c r="G100" s="468">
        <v>5</v>
      </c>
      <c r="H100" s="469">
        <v>0</v>
      </c>
      <c r="I100" s="841">
        <v>1225</v>
      </c>
      <c r="J100" s="835">
        <v>5</v>
      </c>
      <c r="K100" s="835"/>
      <c r="L100" s="835">
        <v>1225</v>
      </c>
      <c r="M100" s="835">
        <v>5</v>
      </c>
      <c r="N100" s="835"/>
      <c r="O100" s="835">
        <v>1225</v>
      </c>
      <c r="P100" s="835">
        <v>5</v>
      </c>
      <c r="Q100" s="835"/>
      <c r="R100" s="835">
        <v>1225</v>
      </c>
      <c r="S100" s="835">
        <v>5</v>
      </c>
      <c r="T100" s="835"/>
      <c r="U100" s="835">
        <v>1225</v>
      </c>
      <c r="V100" s="835">
        <v>5</v>
      </c>
      <c r="W100" s="835"/>
      <c r="X100" s="835">
        <v>1225</v>
      </c>
      <c r="Y100" s="835">
        <v>5</v>
      </c>
      <c r="Z100" s="835"/>
      <c r="AA100" s="835">
        <v>1225</v>
      </c>
      <c r="AB100" s="835">
        <v>5</v>
      </c>
      <c r="AC100" s="835"/>
      <c r="AD100" s="835">
        <v>1225</v>
      </c>
      <c r="AE100" s="835">
        <v>5</v>
      </c>
      <c r="AF100" s="835"/>
      <c r="AG100" s="835">
        <v>1225</v>
      </c>
      <c r="AH100" s="835">
        <v>5</v>
      </c>
      <c r="AI100" s="835"/>
      <c r="AJ100" s="835">
        <v>1225</v>
      </c>
      <c r="AK100" s="835">
        <v>5</v>
      </c>
      <c r="AL100" s="835"/>
      <c r="AM100" s="842">
        <f>((1225-1055)/30.5)*12+1225</f>
        <v>1291.8852459016393</v>
      </c>
      <c r="AN100" s="842">
        <f>((5/30.5)*12+5)</f>
        <v>6.9672131147540988</v>
      </c>
      <c r="AO100" s="835"/>
      <c r="AP100" s="829">
        <v>1055.0564263010344</v>
      </c>
      <c r="AQ100" s="829"/>
      <c r="AR100" s="827"/>
      <c r="AS100" s="829">
        <v>1055.0564263010344</v>
      </c>
      <c r="AT100" s="829"/>
      <c r="AU100" s="827"/>
      <c r="AV100" s="829">
        <v>1055.0564263010344</v>
      </c>
      <c r="AW100" s="829"/>
      <c r="AX100" s="827"/>
      <c r="AY100" s="829">
        <v>1055.0564263010344</v>
      </c>
      <c r="AZ100" s="829"/>
      <c r="BA100" s="358"/>
      <c r="BB100" s="387">
        <v>1055.0564263010344</v>
      </c>
      <c r="BC100" s="387"/>
      <c r="BD100" s="358"/>
      <c r="BE100" s="387">
        <v>1055.0564263010344</v>
      </c>
      <c r="BF100" s="387"/>
      <c r="BG100" s="358"/>
      <c r="BH100" s="387">
        <v>1055.0564263010344</v>
      </c>
      <c r="BI100" s="387"/>
      <c r="BJ100" s="358"/>
      <c r="BK100" s="387">
        <v>1055.0564263010344</v>
      </c>
      <c r="BL100" s="387"/>
      <c r="BM100" s="358"/>
      <c r="BN100" s="387">
        <v>1055.0564263010344</v>
      </c>
      <c r="BO100" s="387"/>
      <c r="BP100" s="358"/>
      <c r="BQ100" s="387">
        <v>1055.0564263010344</v>
      </c>
      <c r="BR100" s="387"/>
      <c r="BS100" s="358"/>
      <c r="BT100" s="387">
        <v>1055.0564263010344</v>
      </c>
      <c r="BU100" s="387"/>
      <c r="BV100" s="358"/>
      <c r="BW100" s="387">
        <v>1055.0564263010344</v>
      </c>
      <c r="BX100" s="387"/>
      <c r="BY100" s="358"/>
      <c r="BZ100" s="387">
        <v>1055.0564263010344</v>
      </c>
      <c r="CA100" s="387"/>
      <c r="CB100" s="358"/>
      <c r="CC100" s="387">
        <v>1055.0564263010344</v>
      </c>
      <c r="CD100" s="387"/>
      <c r="CE100" s="358"/>
      <c r="CF100" s="387">
        <v>1055.0564263010344</v>
      </c>
      <c r="CG100" s="387"/>
      <c r="CH100" s="358"/>
      <c r="CI100" s="387">
        <v>1055.0564263010344</v>
      </c>
      <c r="CJ100" s="387"/>
      <c r="CK100" s="358"/>
      <c r="CL100" s="387">
        <v>1055.0564263010344</v>
      </c>
      <c r="CM100" s="387"/>
      <c r="CN100" s="358"/>
      <c r="CO100" s="387">
        <v>1055.0564263010344</v>
      </c>
      <c r="CP100" s="387"/>
      <c r="CQ100" s="358"/>
      <c r="CR100" s="387">
        <v>1055.0564263010344</v>
      </c>
      <c r="CS100" s="387"/>
      <c r="CT100" s="358"/>
      <c r="CU100" s="387">
        <v>1055.0564263010344</v>
      </c>
      <c r="CV100" s="387"/>
      <c r="CW100" s="358"/>
      <c r="CX100" s="387">
        <v>1055.0564263010344</v>
      </c>
      <c r="CY100" s="387"/>
      <c r="CZ100" s="358"/>
      <c r="DA100" s="387">
        <v>1055.0564263010344</v>
      </c>
      <c r="DB100" s="387"/>
      <c r="DC100" s="358"/>
      <c r="DD100" s="387">
        <v>1055.0564263010344</v>
      </c>
      <c r="DE100" s="387"/>
      <c r="DF100" s="358"/>
      <c r="DG100" s="387">
        <v>1055.0564263010344</v>
      </c>
      <c r="DH100" s="387"/>
      <c r="DI100" s="358"/>
      <c r="DJ100" s="387">
        <v>1055.0564263010344</v>
      </c>
      <c r="DK100" s="387"/>
      <c r="DL100" s="358"/>
      <c r="DM100" s="387">
        <v>1055.0564263010344</v>
      </c>
      <c r="DN100" s="387"/>
      <c r="DO100" s="358"/>
      <c r="DP100" s="387">
        <v>1055.0564263010344</v>
      </c>
      <c r="DQ100" s="387"/>
      <c r="DR100" s="358"/>
      <c r="DS100" s="387">
        <v>1055.0564263010344</v>
      </c>
      <c r="DT100" s="387"/>
      <c r="DU100" s="358"/>
      <c r="DV100" s="387">
        <v>1055.0564263010344</v>
      </c>
      <c r="DW100" s="387"/>
      <c r="DX100" s="358"/>
      <c r="DY100" s="387">
        <v>1055.0564263010344</v>
      </c>
      <c r="DZ100" s="387"/>
      <c r="EA100" s="358"/>
      <c r="EB100" s="387">
        <v>1055.0564263010344</v>
      </c>
      <c r="EC100" s="387"/>
      <c r="ED100" s="358"/>
      <c r="EE100" s="387">
        <v>1055.0564263010344</v>
      </c>
      <c r="EF100" s="387"/>
      <c r="EG100" s="358"/>
      <c r="EH100" s="387">
        <v>1055.0564263010344</v>
      </c>
      <c r="EI100" s="387"/>
      <c r="EJ100" s="358"/>
      <c r="EK100" s="387">
        <v>1055.0564263010344</v>
      </c>
      <c r="EL100" s="387"/>
      <c r="EM100" s="358"/>
      <c r="EN100" s="387">
        <v>1055.0564263010344</v>
      </c>
      <c r="EO100" s="387"/>
      <c r="EP100" s="358"/>
      <c r="EQ100" s="387">
        <v>1055.0564263010344</v>
      </c>
      <c r="ER100" s="387"/>
      <c r="ES100" s="358"/>
      <c r="ET100" s="387">
        <v>1055.0564263010344</v>
      </c>
      <c r="EU100" s="387"/>
      <c r="EV100" s="358"/>
      <c r="EW100" s="387">
        <v>1055.0564263010344</v>
      </c>
      <c r="EX100" s="387"/>
      <c r="EY100" s="358"/>
      <c r="EZ100" s="387">
        <v>1055.0564263010344</v>
      </c>
      <c r="FA100" s="387"/>
      <c r="FB100" s="358"/>
      <c r="FC100" s="387">
        <v>1055.0564263010344</v>
      </c>
      <c r="FD100" s="387"/>
      <c r="FE100" s="358"/>
      <c r="FF100" s="387">
        <v>1055.0564263010344</v>
      </c>
      <c r="FG100" s="387"/>
      <c r="FH100" s="358"/>
      <c r="FI100" s="387">
        <v>1055.0564263010344</v>
      </c>
      <c r="FJ100" s="387"/>
      <c r="FK100" s="358"/>
      <c r="FL100" s="387">
        <v>1055.0564263010344</v>
      </c>
      <c r="FM100" s="387"/>
      <c r="FN100" s="358"/>
      <c r="FO100" s="387">
        <v>1055.0564263010344</v>
      </c>
      <c r="FP100" s="387"/>
      <c r="FQ100" s="358"/>
      <c r="FR100" s="387">
        <v>1055.0564263010344</v>
      </c>
      <c r="FS100" s="387"/>
      <c r="FT100" s="358"/>
      <c r="FU100" s="387">
        <v>1055.0564263010344</v>
      </c>
      <c r="FV100" s="387"/>
      <c r="FW100" s="358"/>
      <c r="FX100" s="387">
        <v>1055.0564263010344</v>
      </c>
      <c r="FY100" s="387"/>
      <c r="FZ100" s="358"/>
      <c r="GA100" s="387">
        <v>1055.0564263010344</v>
      </c>
      <c r="GB100" s="387"/>
      <c r="GC100" s="358"/>
      <c r="GD100" s="387">
        <v>1055.0564263010344</v>
      </c>
      <c r="GE100" s="387"/>
      <c r="GF100" s="358"/>
      <c r="GG100" s="387">
        <v>1055.0564263010344</v>
      </c>
      <c r="GH100" s="387"/>
      <c r="GI100" s="358"/>
      <c r="GJ100" s="387">
        <v>1055.0564263010344</v>
      </c>
      <c r="GK100" s="387"/>
      <c r="GL100" s="358"/>
      <c r="GM100" s="387">
        <v>1055.0564263010344</v>
      </c>
      <c r="GN100" s="387"/>
      <c r="GO100" s="358"/>
      <c r="GP100" s="387">
        <v>1055.0564263010344</v>
      </c>
      <c r="GQ100" s="387"/>
      <c r="GR100" s="358"/>
      <c r="GS100" s="387">
        <v>1055.0564263010344</v>
      </c>
      <c r="GT100" s="387"/>
      <c r="GU100" s="358"/>
      <c r="GV100" s="387">
        <v>1055.0564263010344</v>
      </c>
      <c r="GW100" s="387"/>
      <c r="GX100" s="358"/>
      <c r="GY100" s="387">
        <v>1055.0564263010344</v>
      </c>
      <c r="GZ100" s="387"/>
      <c r="HA100" s="358"/>
      <c r="HB100" s="387">
        <v>1055.0564263010344</v>
      </c>
      <c r="HC100" s="387"/>
      <c r="HD100" s="358"/>
      <c r="HE100" s="387">
        <v>1055.0564263010344</v>
      </c>
      <c r="HF100" s="387"/>
      <c r="HG100" s="358"/>
      <c r="HH100" s="387">
        <v>1055.0564263010344</v>
      </c>
      <c r="HI100" s="358"/>
      <c r="HJ100" s="387">
        <v>1055.0564263010344</v>
      </c>
      <c r="HK100" s="358"/>
      <c r="HL100" s="387">
        <v>1055.0564263010344</v>
      </c>
      <c r="HM100" s="358"/>
      <c r="HN100" s="387">
        <v>1055.0564263010344</v>
      </c>
      <c r="HO100" s="358"/>
      <c r="HP100" s="387">
        <v>1055.0564263010344</v>
      </c>
      <c r="HQ100" s="358"/>
      <c r="HR100" s="387">
        <v>1055.0564263010344</v>
      </c>
      <c r="HS100" s="358"/>
      <c r="HT100" s="387">
        <v>1055.0564263010344</v>
      </c>
      <c r="HU100" s="358"/>
      <c r="HV100" s="388">
        <v>1055.0564263010344</v>
      </c>
      <c r="HW100" s="425"/>
      <c r="HX100" s="424">
        <v>1055.0564263010344</v>
      </c>
      <c r="HY100" s="425"/>
      <c r="HZ100" s="424">
        <v>1055.0564263010344</v>
      </c>
      <c r="IA100" s="425"/>
      <c r="IB100" s="424">
        <v>1055.0564263010344</v>
      </c>
      <c r="IC100" s="425"/>
      <c r="ID100" s="357">
        <f>VLOOKUP($C100,'[15]Prix accès'!A:D,4,FALSE)</f>
        <v>1055.0564263010344</v>
      </c>
      <c r="IE100" s="426"/>
      <c r="IF100" s="357">
        <f>VLOOKUP($C100,'[15]Prix accès'!$A:$D,4,FALSE)</f>
        <v>1055.0564263010344</v>
      </c>
      <c r="IG100" s="426"/>
      <c r="IH100" s="457">
        <v>691.84027954166197</v>
      </c>
      <c r="II100" s="426"/>
      <c r="IJ100" s="458"/>
      <c r="IK100" s="426"/>
      <c r="IL100" s="458"/>
      <c r="IM100" s="426"/>
      <c r="IN100" s="496"/>
      <c r="IO100" s="427"/>
      <c r="IP100" s="496"/>
      <c r="IQ100" s="427"/>
      <c r="IR100" s="429" t="s">
        <v>2962</v>
      </c>
      <c r="IS100" s="364" t="s">
        <v>77</v>
      </c>
      <c r="IT100" s="365">
        <v>43566</v>
      </c>
      <c r="IU100" s="371">
        <v>43586</v>
      </c>
      <c r="IW100" s="372">
        <f t="shared" si="16"/>
        <v>20</v>
      </c>
      <c r="IX100" s="373">
        <f t="shared" ref="IX100:IX126" si="18">ID100/30.5</f>
        <v>34.592013977083099</v>
      </c>
      <c r="IY100" s="394">
        <f>IW100*IX100</f>
        <v>691.84027954166197</v>
      </c>
      <c r="IZ100" s="394"/>
      <c r="JA100" s="394"/>
    </row>
    <row r="101" spans="1:261" s="367" customFormat="1" ht="16.5" customHeight="1" x14ac:dyDescent="0.3">
      <c r="A101" s="354" t="s">
        <v>2743</v>
      </c>
      <c r="B101" s="395" t="s">
        <v>2748</v>
      </c>
      <c r="C101" s="466" t="s">
        <v>1242</v>
      </c>
      <c r="D101" s="467">
        <v>1149</v>
      </c>
      <c r="E101" s="468">
        <v>44</v>
      </c>
      <c r="F101" s="468">
        <v>32</v>
      </c>
      <c r="G101" s="468">
        <v>5</v>
      </c>
      <c r="H101" s="469">
        <v>0</v>
      </c>
      <c r="I101" s="841">
        <v>1225</v>
      </c>
      <c r="J101" s="835">
        <v>5</v>
      </c>
      <c r="K101" s="835"/>
      <c r="L101" s="835">
        <v>1225</v>
      </c>
      <c r="M101" s="835">
        <v>5</v>
      </c>
      <c r="N101" s="835"/>
      <c r="O101" s="835">
        <v>1225</v>
      </c>
      <c r="P101" s="835">
        <v>5</v>
      </c>
      <c r="Q101" s="835"/>
      <c r="R101" s="835">
        <v>1225</v>
      </c>
      <c r="S101" s="835">
        <v>5</v>
      </c>
      <c r="T101" s="835"/>
      <c r="U101" s="835">
        <v>1225</v>
      </c>
      <c r="V101" s="835">
        <v>5</v>
      </c>
      <c r="W101" s="835"/>
      <c r="X101" s="835">
        <v>1225</v>
      </c>
      <c r="Y101" s="835">
        <v>5</v>
      </c>
      <c r="Z101" s="835"/>
      <c r="AA101" s="835">
        <v>1225</v>
      </c>
      <c r="AB101" s="835">
        <v>5</v>
      </c>
      <c r="AC101" s="835"/>
      <c r="AD101" s="835">
        <v>1225</v>
      </c>
      <c r="AE101" s="835">
        <v>5</v>
      </c>
      <c r="AF101" s="835"/>
      <c r="AG101" s="835">
        <v>1225</v>
      </c>
      <c r="AH101" s="835">
        <v>5</v>
      </c>
      <c r="AI101" s="835"/>
      <c r="AJ101" s="835">
        <v>1225</v>
      </c>
      <c r="AK101" s="835">
        <v>5</v>
      </c>
      <c r="AL101" s="835"/>
      <c r="AM101" s="842">
        <f>((1225-1055)/30.5)*12+1225</f>
        <v>1291.8852459016393</v>
      </c>
      <c r="AN101" s="842">
        <f>((5/30.5)*12+5)</f>
        <v>6.9672131147540988</v>
      </c>
      <c r="AO101" s="835"/>
      <c r="AP101" s="829">
        <v>1055.0564263010344</v>
      </c>
      <c r="AQ101" s="829"/>
      <c r="AR101" s="827"/>
      <c r="AS101" s="829">
        <v>1055.0564263010344</v>
      </c>
      <c r="AT101" s="829"/>
      <c r="AU101" s="827"/>
      <c r="AV101" s="829">
        <v>1055.0564263010344</v>
      </c>
      <c r="AW101" s="829"/>
      <c r="AX101" s="827"/>
      <c r="AY101" s="829">
        <v>1055.0564263010344</v>
      </c>
      <c r="AZ101" s="829"/>
      <c r="BA101" s="358"/>
      <c r="BB101" s="387">
        <v>1055.0564263010344</v>
      </c>
      <c r="BC101" s="387"/>
      <c r="BD101" s="358"/>
      <c r="BE101" s="387">
        <v>1055.0564263010344</v>
      </c>
      <c r="BF101" s="387"/>
      <c r="BG101" s="358"/>
      <c r="BH101" s="387">
        <v>1055.0564263010344</v>
      </c>
      <c r="BI101" s="387"/>
      <c r="BJ101" s="358"/>
      <c r="BK101" s="387">
        <v>1055.0564263010344</v>
      </c>
      <c r="BL101" s="387"/>
      <c r="BM101" s="358"/>
      <c r="BN101" s="387">
        <v>1055.0564263010344</v>
      </c>
      <c r="BO101" s="387"/>
      <c r="BP101" s="358"/>
      <c r="BQ101" s="387">
        <v>1055.0564263010344</v>
      </c>
      <c r="BR101" s="387"/>
      <c r="BS101" s="358"/>
      <c r="BT101" s="387">
        <v>1055.0564263010344</v>
      </c>
      <c r="BU101" s="387"/>
      <c r="BV101" s="358"/>
      <c r="BW101" s="387">
        <v>1055.0564263010344</v>
      </c>
      <c r="BX101" s="387"/>
      <c r="BY101" s="358"/>
      <c r="BZ101" s="387">
        <v>1055.0564263010344</v>
      </c>
      <c r="CA101" s="387"/>
      <c r="CB101" s="358"/>
      <c r="CC101" s="387">
        <v>1055.0564263010344</v>
      </c>
      <c r="CD101" s="387"/>
      <c r="CE101" s="358"/>
      <c r="CF101" s="387">
        <v>1055.0564263010344</v>
      </c>
      <c r="CG101" s="387"/>
      <c r="CH101" s="358"/>
      <c r="CI101" s="387">
        <v>1055.0564263010344</v>
      </c>
      <c r="CJ101" s="387"/>
      <c r="CK101" s="358"/>
      <c r="CL101" s="387">
        <v>1055.0564263010344</v>
      </c>
      <c r="CM101" s="387"/>
      <c r="CN101" s="358"/>
      <c r="CO101" s="387">
        <v>1055.0564263010344</v>
      </c>
      <c r="CP101" s="387"/>
      <c r="CQ101" s="358"/>
      <c r="CR101" s="387">
        <v>1055.0564263010344</v>
      </c>
      <c r="CS101" s="387"/>
      <c r="CT101" s="358"/>
      <c r="CU101" s="387">
        <v>1055.0564263010344</v>
      </c>
      <c r="CV101" s="387"/>
      <c r="CW101" s="358"/>
      <c r="CX101" s="387">
        <v>1055.0564263010344</v>
      </c>
      <c r="CY101" s="387"/>
      <c r="CZ101" s="358"/>
      <c r="DA101" s="387">
        <v>1055.0564263010344</v>
      </c>
      <c r="DB101" s="387"/>
      <c r="DC101" s="358"/>
      <c r="DD101" s="387">
        <v>1055.0564263010344</v>
      </c>
      <c r="DE101" s="387"/>
      <c r="DF101" s="358"/>
      <c r="DG101" s="387">
        <v>1055.0564263010344</v>
      </c>
      <c r="DH101" s="387"/>
      <c r="DI101" s="358"/>
      <c r="DJ101" s="387">
        <v>1055.0564263010344</v>
      </c>
      <c r="DK101" s="387"/>
      <c r="DL101" s="358"/>
      <c r="DM101" s="387">
        <v>1055.0564263010344</v>
      </c>
      <c r="DN101" s="387"/>
      <c r="DO101" s="358"/>
      <c r="DP101" s="387">
        <v>1055.0564263010344</v>
      </c>
      <c r="DQ101" s="387"/>
      <c r="DR101" s="358"/>
      <c r="DS101" s="387">
        <v>1055.0564263010344</v>
      </c>
      <c r="DT101" s="387"/>
      <c r="DU101" s="358"/>
      <c r="DV101" s="387">
        <v>1055.0564263010344</v>
      </c>
      <c r="DW101" s="387"/>
      <c r="DX101" s="358"/>
      <c r="DY101" s="387">
        <v>1055.0564263010344</v>
      </c>
      <c r="DZ101" s="387"/>
      <c r="EA101" s="358"/>
      <c r="EB101" s="387">
        <v>1055.0564263010344</v>
      </c>
      <c r="EC101" s="387"/>
      <c r="ED101" s="358"/>
      <c r="EE101" s="387">
        <v>1055.0564263010344</v>
      </c>
      <c r="EF101" s="387"/>
      <c r="EG101" s="358"/>
      <c r="EH101" s="387">
        <v>1055.0564263010344</v>
      </c>
      <c r="EI101" s="387"/>
      <c r="EJ101" s="358"/>
      <c r="EK101" s="387">
        <v>1055.0564263010344</v>
      </c>
      <c r="EL101" s="387"/>
      <c r="EM101" s="358"/>
      <c r="EN101" s="387">
        <v>1055.0564263010344</v>
      </c>
      <c r="EO101" s="387"/>
      <c r="EP101" s="358"/>
      <c r="EQ101" s="387">
        <v>1055.0564263010344</v>
      </c>
      <c r="ER101" s="387"/>
      <c r="ES101" s="358"/>
      <c r="ET101" s="387">
        <v>1055.0564263010344</v>
      </c>
      <c r="EU101" s="387"/>
      <c r="EV101" s="358"/>
      <c r="EW101" s="387">
        <v>1055.0564263010344</v>
      </c>
      <c r="EX101" s="387"/>
      <c r="EY101" s="358"/>
      <c r="EZ101" s="387">
        <v>1055.0564263010344</v>
      </c>
      <c r="FA101" s="387"/>
      <c r="FB101" s="358"/>
      <c r="FC101" s="387">
        <v>1055.0564263010344</v>
      </c>
      <c r="FD101" s="387"/>
      <c r="FE101" s="358"/>
      <c r="FF101" s="387">
        <v>1055.0564263010344</v>
      </c>
      <c r="FG101" s="387"/>
      <c r="FH101" s="358"/>
      <c r="FI101" s="387">
        <v>1055.0564263010344</v>
      </c>
      <c r="FJ101" s="387"/>
      <c r="FK101" s="358"/>
      <c r="FL101" s="387">
        <v>1055.0564263010344</v>
      </c>
      <c r="FM101" s="387"/>
      <c r="FN101" s="358"/>
      <c r="FO101" s="387">
        <v>1055.0564263010344</v>
      </c>
      <c r="FP101" s="387"/>
      <c r="FQ101" s="358"/>
      <c r="FR101" s="387">
        <v>1055.0564263010344</v>
      </c>
      <c r="FS101" s="387"/>
      <c r="FT101" s="358"/>
      <c r="FU101" s="387">
        <v>1055.0564263010344</v>
      </c>
      <c r="FV101" s="387"/>
      <c r="FW101" s="358"/>
      <c r="FX101" s="387">
        <v>1055.0564263010344</v>
      </c>
      <c r="FY101" s="387"/>
      <c r="FZ101" s="358"/>
      <c r="GA101" s="387">
        <v>1055.0564263010344</v>
      </c>
      <c r="GB101" s="387"/>
      <c r="GC101" s="358"/>
      <c r="GD101" s="387">
        <v>1055.0564263010344</v>
      </c>
      <c r="GE101" s="387"/>
      <c r="GF101" s="358"/>
      <c r="GG101" s="387">
        <v>1055.0564263010344</v>
      </c>
      <c r="GH101" s="387"/>
      <c r="GI101" s="358"/>
      <c r="GJ101" s="387">
        <v>1055.0564263010344</v>
      </c>
      <c r="GK101" s="387"/>
      <c r="GL101" s="358"/>
      <c r="GM101" s="387">
        <v>1055.0564263010344</v>
      </c>
      <c r="GN101" s="387"/>
      <c r="GO101" s="358"/>
      <c r="GP101" s="387">
        <v>1055.0564263010344</v>
      </c>
      <c r="GQ101" s="387"/>
      <c r="GR101" s="358"/>
      <c r="GS101" s="387">
        <v>1055.0564263010344</v>
      </c>
      <c r="GT101" s="387"/>
      <c r="GU101" s="358"/>
      <c r="GV101" s="387">
        <v>1055.0564263010344</v>
      </c>
      <c r="GW101" s="387"/>
      <c r="GX101" s="358"/>
      <c r="GY101" s="387">
        <v>1055.0564263010344</v>
      </c>
      <c r="GZ101" s="387"/>
      <c r="HA101" s="358"/>
      <c r="HB101" s="387">
        <v>1055.0564263010344</v>
      </c>
      <c r="HC101" s="387"/>
      <c r="HD101" s="358"/>
      <c r="HE101" s="387">
        <v>1055.0564263010344</v>
      </c>
      <c r="HF101" s="387"/>
      <c r="HG101" s="358"/>
      <c r="HH101" s="387">
        <v>1055.0564263010344</v>
      </c>
      <c r="HI101" s="358"/>
      <c r="HJ101" s="387">
        <v>1055.0564263010344</v>
      </c>
      <c r="HK101" s="358"/>
      <c r="HL101" s="387">
        <v>1055.0564263010344</v>
      </c>
      <c r="HM101" s="358"/>
      <c r="HN101" s="387">
        <v>1055.0564263010344</v>
      </c>
      <c r="HO101" s="358"/>
      <c r="HP101" s="387">
        <v>1055.0564263010344</v>
      </c>
      <c r="HQ101" s="358"/>
      <c r="HR101" s="387">
        <v>1055.0564263010344</v>
      </c>
      <c r="HS101" s="358"/>
      <c r="HT101" s="387">
        <v>1055.0564263010344</v>
      </c>
      <c r="HU101" s="358"/>
      <c r="HV101" s="388">
        <v>1055.0564263010344</v>
      </c>
      <c r="HW101" s="425" t="s">
        <v>3310</v>
      </c>
      <c r="HX101" s="424">
        <v>1055.0564263010344</v>
      </c>
      <c r="HY101" s="425" t="s">
        <v>3310</v>
      </c>
      <c r="HZ101" s="424">
        <v>1055.0564263010344</v>
      </c>
      <c r="IA101" s="425" t="s">
        <v>3310</v>
      </c>
      <c r="IB101" s="424">
        <v>1055.0564263010344</v>
      </c>
      <c r="IC101" s="425" t="s">
        <v>3310</v>
      </c>
      <c r="ID101" s="357">
        <f>VLOOKUP($C101,'[15]Prix accès'!A:D,4,FALSE)</f>
        <v>1055.0564263010344</v>
      </c>
      <c r="IE101" s="426" t="s">
        <v>3310</v>
      </c>
      <c r="IF101" s="357">
        <f>VLOOKUP($C101,'[15]Prix accès'!$A:$D,4,FALSE)</f>
        <v>1055.0564263010344</v>
      </c>
      <c r="IG101" s="426" t="s">
        <v>3310</v>
      </c>
      <c r="IH101" s="462">
        <v>691.84027954166197</v>
      </c>
      <c r="II101" s="427"/>
      <c r="IJ101" s="499"/>
      <c r="IK101" s="427"/>
      <c r="IL101" s="499"/>
      <c r="IM101" s="427"/>
      <c r="IN101" s="499"/>
      <c r="IO101" s="427"/>
      <c r="IP101" s="496"/>
      <c r="IQ101" s="427"/>
      <c r="IR101" s="429" t="s">
        <v>3175</v>
      </c>
      <c r="IS101" s="364" t="s">
        <v>77</v>
      </c>
      <c r="IT101" s="365">
        <v>43566</v>
      </c>
      <c r="IU101" s="371">
        <v>43586</v>
      </c>
      <c r="IW101" s="372">
        <f t="shared" si="16"/>
        <v>20</v>
      </c>
      <c r="IX101" s="373">
        <f t="shared" si="18"/>
        <v>34.592013977083099</v>
      </c>
      <c r="IY101" s="531">
        <f>IX101*IW101</f>
        <v>691.84027954166197</v>
      </c>
      <c r="IZ101" s="531"/>
      <c r="JA101" s="531"/>
    </row>
    <row r="102" spans="1:261" s="367" customFormat="1" ht="16.5" customHeight="1" x14ac:dyDescent="0.3">
      <c r="A102" s="354" t="s">
        <v>2735</v>
      </c>
      <c r="B102" s="465" t="s">
        <v>2784</v>
      </c>
      <c r="C102" s="466" t="s">
        <v>330</v>
      </c>
      <c r="D102" s="467">
        <v>1454</v>
      </c>
      <c r="E102" s="468">
        <v>84</v>
      </c>
      <c r="F102" s="468">
        <v>0</v>
      </c>
      <c r="G102" s="468">
        <v>36</v>
      </c>
      <c r="H102" s="469">
        <v>0</v>
      </c>
      <c r="I102" s="841">
        <v>1538</v>
      </c>
      <c r="J102" s="870">
        <v>36</v>
      </c>
      <c r="K102" s="827"/>
      <c r="L102" s="835">
        <v>1538</v>
      </c>
      <c r="M102" s="870">
        <v>36</v>
      </c>
      <c r="N102" s="827"/>
      <c r="O102" s="835">
        <v>1538</v>
      </c>
      <c r="P102" s="870">
        <v>36</v>
      </c>
      <c r="Q102" s="827"/>
      <c r="R102" s="835">
        <v>1538</v>
      </c>
      <c r="S102" s="870">
        <v>36</v>
      </c>
      <c r="T102" s="827"/>
      <c r="U102" s="835">
        <v>1538</v>
      </c>
      <c r="V102" s="870">
        <v>36</v>
      </c>
      <c r="W102" s="827"/>
      <c r="X102" s="835">
        <v>1538</v>
      </c>
      <c r="Y102" s="870">
        <v>36</v>
      </c>
      <c r="Z102" s="827"/>
      <c r="AA102" s="835">
        <v>1538</v>
      </c>
      <c r="AB102" s="870">
        <v>36</v>
      </c>
      <c r="AC102" s="827"/>
      <c r="AD102" s="835">
        <v>1538</v>
      </c>
      <c r="AE102" s="870">
        <v>36</v>
      </c>
      <c r="AF102" s="827"/>
      <c r="AG102" s="835">
        <v>1538</v>
      </c>
      <c r="AH102" s="870">
        <v>36</v>
      </c>
      <c r="AI102" s="827"/>
      <c r="AJ102" s="835">
        <v>1538</v>
      </c>
      <c r="AK102" s="870">
        <v>36</v>
      </c>
      <c r="AL102" s="827"/>
      <c r="AM102" s="835">
        <v>1538</v>
      </c>
      <c r="AN102" s="870">
        <v>36</v>
      </c>
      <c r="AO102" s="827"/>
      <c r="AP102" s="835">
        <v>1538</v>
      </c>
      <c r="AQ102" s="870">
        <v>36</v>
      </c>
      <c r="AR102" s="827"/>
      <c r="AS102" s="835">
        <v>1538</v>
      </c>
      <c r="AT102" s="870">
        <v>36</v>
      </c>
      <c r="AU102" s="827"/>
      <c r="AV102" s="835">
        <v>1538</v>
      </c>
      <c r="AW102" s="870">
        <v>36</v>
      </c>
      <c r="AX102" s="827"/>
      <c r="AY102" s="835">
        <v>1538</v>
      </c>
      <c r="AZ102" s="870">
        <v>36</v>
      </c>
      <c r="BA102" s="358"/>
      <c r="BB102" s="384">
        <v>1538</v>
      </c>
      <c r="BC102" s="477">
        <v>36</v>
      </c>
      <c r="BD102" s="358"/>
      <c r="BE102" s="386">
        <f>((1538-1712)/30.5)*3+1538</f>
        <v>1520.8852459016393</v>
      </c>
      <c r="BF102" s="478">
        <f>((36-108)/30.5)*3+36</f>
        <v>28.918032786885245</v>
      </c>
      <c r="BG102" s="358"/>
      <c r="BH102" s="384">
        <v>1712</v>
      </c>
      <c r="BI102" s="384">
        <v>108</v>
      </c>
      <c r="BJ102" s="472"/>
      <c r="BK102" s="386">
        <f>((1712-1225)/30.5*13)+1712</f>
        <v>1919.5737704918033</v>
      </c>
      <c r="BL102" s="386">
        <f>((108-5)/30.5)*13+108</f>
        <v>151.90163934426229</v>
      </c>
      <c r="BM102" s="370"/>
      <c r="BN102" s="385">
        <v>1225.2564263010347</v>
      </c>
      <c r="BO102" s="385">
        <f>5</f>
        <v>5</v>
      </c>
      <c r="BP102" s="358"/>
      <c r="BQ102" s="385">
        <v>1225.2564263010347</v>
      </c>
      <c r="BR102" s="385">
        <f>5</f>
        <v>5</v>
      </c>
      <c r="BS102" s="358"/>
      <c r="BT102" s="385">
        <v>1225.2564263010347</v>
      </c>
      <c r="BU102" s="385">
        <f>5</f>
        <v>5</v>
      </c>
      <c r="BV102" s="358"/>
      <c r="BW102" s="385">
        <v>1225.2564263010347</v>
      </c>
      <c r="BX102" s="385">
        <f>5</f>
        <v>5</v>
      </c>
      <c r="BY102" s="358"/>
      <c r="BZ102" s="385">
        <v>1225.2564263010347</v>
      </c>
      <c r="CA102" s="385">
        <f>5</f>
        <v>5</v>
      </c>
      <c r="CB102" s="358"/>
      <c r="CC102" s="385">
        <v>1225.2564263010347</v>
      </c>
      <c r="CD102" s="385">
        <f>5</f>
        <v>5</v>
      </c>
      <c r="CE102" s="358"/>
      <c r="CF102" s="385">
        <v>1225.2564263010347</v>
      </c>
      <c r="CG102" s="385">
        <f>5</f>
        <v>5</v>
      </c>
      <c r="CH102" s="358"/>
      <c r="CI102" s="385">
        <v>1225.2564263010347</v>
      </c>
      <c r="CJ102" s="385">
        <f>5</f>
        <v>5</v>
      </c>
      <c r="CK102" s="358"/>
      <c r="CL102" s="385">
        <v>1225.2564263010347</v>
      </c>
      <c r="CM102" s="385">
        <f>5</f>
        <v>5</v>
      </c>
      <c r="CN102" s="358"/>
      <c r="CO102" s="385">
        <v>1225.2564263010347</v>
      </c>
      <c r="CP102" s="385">
        <f>5</f>
        <v>5</v>
      </c>
      <c r="CQ102" s="358"/>
      <c r="CR102" s="385">
        <v>1225.2564263010347</v>
      </c>
      <c r="CS102" s="385">
        <f>5</f>
        <v>5</v>
      </c>
      <c r="CT102" s="358"/>
      <c r="CU102" s="385">
        <v>1225.2564263010347</v>
      </c>
      <c r="CV102" s="385">
        <f>5</f>
        <v>5</v>
      </c>
      <c r="CW102" s="358"/>
      <c r="CX102" s="385">
        <v>1225.2564263010347</v>
      </c>
      <c r="CY102" s="385">
        <f>5</f>
        <v>5</v>
      </c>
      <c r="CZ102" s="358"/>
      <c r="DA102" s="385">
        <v>1225.2564263010347</v>
      </c>
      <c r="DB102" s="385">
        <f>5</f>
        <v>5</v>
      </c>
      <c r="DC102" s="358"/>
      <c r="DD102" s="385">
        <v>1225.2564263010347</v>
      </c>
      <c r="DE102" s="385">
        <f>5</f>
        <v>5</v>
      </c>
      <c r="DF102" s="358"/>
      <c r="DG102" s="385">
        <v>1225.2564263010347</v>
      </c>
      <c r="DH102" s="385">
        <f>5</f>
        <v>5</v>
      </c>
      <c r="DI102" s="358"/>
      <c r="DJ102" s="385">
        <v>1225.2564263010347</v>
      </c>
      <c r="DK102" s="385">
        <f>5</f>
        <v>5</v>
      </c>
      <c r="DL102" s="358"/>
      <c r="DM102" s="385">
        <v>1225.2564263010347</v>
      </c>
      <c r="DN102" s="385">
        <f>5</f>
        <v>5</v>
      </c>
      <c r="DO102" s="358"/>
      <c r="DP102" s="385">
        <v>1225.2564263010347</v>
      </c>
      <c r="DQ102" s="385">
        <f>5</f>
        <v>5</v>
      </c>
      <c r="DR102" s="358"/>
      <c r="DS102" s="385">
        <v>1225.2564263010347</v>
      </c>
      <c r="DT102" s="385">
        <f>5</f>
        <v>5</v>
      </c>
      <c r="DU102" s="358"/>
      <c r="DV102" s="385">
        <v>1225.2564263010347</v>
      </c>
      <c r="DW102" s="385">
        <f>5</f>
        <v>5</v>
      </c>
      <c r="DX102" s="358"/>
      <c r="DY102" s="385">
        <v>1225.2564263010347</v>
      </c>
      <c r="DZ102" s="385">
        <f>5</f>
        <v>5</v>
      </c>
      <c r="EA102" s="358"/>
      <c r="EB102" s="385">
        <v>1225.2564263010347</v>
      </c>
      <c r="EC102" s="385">
        <f>5</f>
        <v>5</v>
      </c>
      <c r="ED102" s="358"/>
      <c r="EE102" s="385">
        <v>1225.2564263010347</v>
      </c>
      <c r="EF102" s="385">
        <f>5</f>
        <v>5</v>
      </c>
      <c r="EG102" s="358"/>
      <c r="EH102" s="385">
        <v>1225.2564263010347</v>
      </c>
      <c r="EI102" s="385">
        <f>5</f>
        <v>5</v>
      </c>
      <c r="EJ102" s="358"/>
      <c r="EK102" s="385">
        <v>1225.2564263010347</v>
      </c>
      <c r="EL102" s="385">
        <f>5</f>
        <v>5</v>
      </c>
      <c r="EM102" s="358"/>
      <c r="EN102" s="385">
        <v>1225.2564263010347</v>
      </c>
      <c r="EO102" s="385">
        <f>5</f>
        <v>5</v>
      </c>
      <c r="EP102" s="358"/>
      <c r="EQ102" s="385">
        <v>1225.2564263010347</v>
      </c>
      <c r="ER102" s="385">
        <f>5</f>
        <v>5</v>
      </c>
      <c r="ES102" s="358"/>
      <c r="ET102" s="385">
        <v>1225.2564263010347</v>
      </c>
      <c r="EU102" s="385">
        <f>5</f>
        <v>5</v>
      </c>
      <c r="EV102" s="358"/>
      <c r="EW102" s="385">
        <v>1225.2564263010347</v>
      </c>
      <c r="EX102" s="385">
        <f>5</f>
        <v>5</v>
      </c>
      <c r="EY102" s="358"/>
      <c r="EZ102" s="385">
        <v>1225.2564263010347</v>
      </c>
      <c r="FA102" s="385">
        <f>5</f>
        <v>5</v>
      </c>
      <c r="FB102" s="358"/>
      <c r="FC102" s="385">
        <v>1225.2564263010347</v>
      </c>
      <c r="FD102" s="385">
        <f>5</f>
        <v>5</v>
      </c>
      <c r="FE102" s="358"/>
      <c r="FF102" s="385">
        <v>1225.2564263010347</v>
      </c>
      <c r="FG102" s="385">
        <f>5</f>
        <v>5</v>
      </c>
      <c r="FH102" s="358"/>
      <c r="FI102" s="385">
        <v>1225.2564263010347</v>
      </c>
      <c r="FJ102" s="385">
        <f>5</f>
        <v>5</v>
      </c>
      <c r="FK102" s="358"/>
      <c r="FL102" s="385">
        <v>1225.2564263010347</v>
      </c>
      <c r="FM102" s="385">
        <f>5</f>
        <v>5</v>
      </c>
      <c r="FN102" s="358"/>
      <c r="FO102" s="385">
        <v>1225.2564263010347</v>
      </c>
      <c r="FP102" s="385">
        <f>5</f>
        <v>5</v>
      </c>
      <c r="FQ102" s="358"/>
      <c r="FR102" s="385">
        <v>1225.2564263010347</v>
      </c>
      <c r="FS102" s="385">
        <f>5</f>
        <v>5</v>
      </c>
      <c r="FT102" s="358"/>
      <c r="FU102" s="385">
        <v>1225.2564263010347</v>
      </c>
      <c r="FV102" s="385">
        <f>5</f>
        <v>5</v>
      </c>
      <c r="FW102" s="358"/>
      <c r="FX102" s="385">
        <v>1225.2564263010347</v>
      </c>
      <c r="FY102" s="385">
        <f>5</f>
        <v>5</v>
      </c>
      <c r="FZ102" s="358"/>
      <c r="GA102" s="385">
        <v>1225.2564263010347</v>
      </c>
      <c r="GB102" s="385">
        <f>5</f>
        <v>5</v>
      </c>
      <c r="GC102" s="358"/>
      <c r="GD102" s="385">
        <v>1225.2564263010347</v>
      </c>
      <c r="GE102" s="385">
        <f>5</f>
        <v>5</v>
      </c>
      <c r="GF102" s="358"/>
      <c r="GG102" s="385">
        <v>1225.2564263010347</v>
      </c>
      <c r="GH102" s="385">
        <f>5</f>
        <v>5</v>
      </c>
      <c r="GI102" s="358"/>
      <c r="GJ102" s="385">
        <v>1225.2564263010347</v>
      </c>
      <c r="GK102" s="385">
        <f>5</f>
        <v>5</v>
      </c>
      <c r="GL102" s="358"/>
      <c r="GM102" s="385">
        <v>1225.2564263010347</v>
      </c>
      <c r="GN102" s="385">
        <f>5</f>
        <v>5</v>
      </c>
      <c r="GO102" s="358"/>
      <c r="GP102" s="385">
        <v>1225.2564263010347</v>
      </c>
      <c r="GQ102" s="385">
        <f>5</f>
        <v>5</v>
      </c>
      <c r="GR102" s="358"/>
      <c r="GS102" s="385">
        <v>1225.2564263010347</v>
      </c>
      <c r="GT102" s="385">
        <f>5</f>
        <v>5</v>
      </c>
      <c r="GU102" s="358"/>
      <c r="GV102" s="385">
        <v>1225.2564263010347</v>
      </c>
      <c r="GW102" s="385">
        <f>5</f>
        <v>5</v>
      </c>
      <c r="GX102" s="358"/>
      <c r="GY102" s="385">
        <v>1225.2564263010347</v>
      </c>
      <c r="GZ102" s="385">
        <f>5</f>
        <v>5</v>
      </c>
      <c r="HA102" s="358"/>
      <c r="HB102" s="385">
        <v>1225.2564263010347</v>
      </c>
      <c r="HC102" s="385">
        <f>5</f>
        <v>5</v>
      </c>
      <c r="HD102" s="358"/>
      <c r="HE102" s="387">
        <v>1225.2564263010347</v>
      </c>
      <c r="HF102" s="386">
        <f>5*6</f>
        <v>30</v>
      </c>
      <c r="HG102" s="358"/>
      <c r="HH102" s="387">
        <v>1225.2564263010347</v>
      </c>
      <c r="HI102" s="358"/>
      <c r="HJ102" s="387">
        <v>1225.2564263010347</v>
      </c>
      <c r="HK102" s="358"/>
      <c r="HL102" s="387">
        <v>1225.2564263010347</v>
      </c>
      <c r="HM102" s="358"/>
      <c r="HN102" s="387">
        <v>1225.2564263010347</v>
      </c>
      <c r="HO102" s="358"/>
      <c r="HP102" s="387">
        <v>1225.2564263010347</v>
      </c>
      <c r="HQ102" s="358"/>
      <c r="HR102" s="387">
        <v>1225.2564263010347</v>
      </c>
      <c r="HS102" s="358"/>
      <c r="HT102" s="387">
        <v>1225.2564263010347</v>
      </c>
      <c r="HU102" s="358"/>
      <c r="HV102" s="388">
        <v>1225.2564263010347</v>
      </c>
      <c r="HW102" s="425"/>
      <c r="HX102" s="424">
        <v>1225.2564263010347</v>
      </c>
      <c r="HY102" s="425"/>
      <c r="HZ102" s="424">
        <v>1225.2564263010347</v>
      </c>
      <c r="IA102" s="425"/>
      <c r="IB102" s="424">
        <v>1225.2564263010347</v>
      </c>
      <c r="IC102" s="425"/>
      <c r="ID102" s="357">
        <f>VLOOKUP($C102,'[15]Prix accès'!A:D,4,FALSE)</f>
        <v>1225.2564263010347</v>
      </c>
      <c r="IE102" s="426"/>
      <c r="IF102" s="357">
        <f>VLOOKUP($C102,'[15]Prix accès'!$A:$D,4,FALSE)</f>
        <v>1225.2564263010347</v>
      </c>
      <c r="IG102" s="426"/>
      <c r="IH102" s="426"/>
      <c r="II102" s="426"/>
      <c r="IJ102" s="426"/>
      <c r="IK102" s="426"/>
      <c r="IL102" s="496"/>
      <c r="IM102" s="427"/>
      <c r="IN102" s="496"/>
      <c r="IO102" s="427"/>
      <c r="IP102" s="496"/>
      <c r="IQ102" s="427"/>
      <c r="IR102" s="429" t="s">
        <v>3078</v>
      </c>
      <c r="IS102" s="364" t="s">
        <v>77</v>
      </c>
      <c r="IT102" s="365">
        <v>43566</v>
      </c>
      <c r="IU102" s="371">
        <v>43586</v>
      </c>
      <c r="IW102" s="372">
        <f t="shared" si="16"/>
        <v>20</v>
      </c>
      <c r="IX102" s="373">
        <f t="shared" si="18"/>
        <v>40.172341845935563</v>
      </c>
      <c r="IY102" s="394">
        <f>IW102*IX102</f>
        <v>803.44683691871126</v>
      </c>
      <c r="IZ102" s="394"/>
      <c r="JA102" s="394"/>
    </row>
    <row r="103" spans="1:261" s="367" customFormat="1" ht="16.5" customHeight="1" x14ac:dyDescent="0.3">
      <c r="A103" s="401" t="s">
        <v>3315</v>
      </c>
      <c r="B103" s="402" t="s">
        <v>3315</v>
      </c>
      <c r="C103" s="434" t="s">
        <v>2747</v>
      </c>
      <c r="D103" s="856"/>
      <c r="E103" s="751"/>
      <c r="F103" s="751"/>
      <c r="G103" s="751"/>
      <c r="H103" s="857"/>
      <c r="I103" s="853">
        <v>0</v>
      </c>
      <c r="J103" s="833">
        <v>0</v>
      </c>
      <c r="K103" s="833">
        <v>0</v>
      </c>
      <c r="L103" s="833">
        <v>0</v>
      </c>
      <c r="M103" s="833">
        <v>0</v>
      </c>
      <c r="N103" s="833">
        <v>0</v>
      </c>
      <c r="O103" s="833">
        <v>0</v>
      </c>
      <c r="P103" s="833">
        <v>0</v>
      </c>
      <c r="Q103" s="833">
        <v>0</v>
      </c>
      <c r="R103" s="833">
        <v>0</v>
      </c>
      <c r="S103" s="833">
        <v>0</v>
      </c>
      <c r="T103" s="833">
        <v>0</v>
      </c>
      <c r="U103" s="833">
        <v>0</v>
      </c>
      <c r="V103" s="833">
        <v>0</v>
      </c>
      <c r="W103" s="833">
        <v>0</v>
      </c>
      <c r="X103" s="833">
        <v>0</v>
      </c>
      <c r="Y103" s="833">
        <v>0</v>
      </c>
      <c r="Z103" s="833">
        <v>0</v>
      </c>
      <c r="AA103" s="833">
        <v>0</v>
      </c>
      <c r="AB103" s="833">
        <v>0</v>
      </c>
      <c r="AC103" s="833">
        <v>0</v>
      </c>
      <c r="AD103" s="833">
        <v>0</v>
      </c>
      <c r="AE103" s="833">
        <v>0</v>
      </c>
      <c r="AF103" s="833">
        <v>0</v>
      </c>
      <c r="AG103" s="833">
        <v>0</v>
      </c>
      <c r="AH103" s="833">
        <v>0</v>
      </c>
      <c r="AI103" s="833">
        <v>0</v>
      </c>
      <c r="AJ103" s="833">
        <v>0</v>
      </c>
      <c r="AK103" s="833">
        <v>0</v>
      </c>
      <c r="AL103" s="833">
        <v>0</v>
      </c>
      <c r="AM103" s="833">
        <v>0</v>
      </c>
      <c r="AN103" s="833">
        <v>0</v>
      </c>
      <c r="AO103" s="833">
        <v>0</v>
      </c>
      <c r="AP103" s="833">
        <v>0</v>
      </c>
      <c r="AQ103" s="833">
        <v>0</v>
      </c>
      <c r="AR103" s="833">
        <v>0</v>
      </c>
      <c r="AS103" s="833">
        <v>0</v>
      </c>
      <c r="AT103" s="833">
        <v>0</v>
      </c>
      <c r="AU103" s="833">
        <v>0</v>
      </c>
      <c r="AV103" s="833"/>
      <c r="AW103" s="833"/>
      <c r="AX103" s="833"/>
      <c r="AY103" s="833"/>
      <c r="AZ103" s="833"/>
      <c r="BA103" s="455"/>
      <c r="BB103" s="404"/>
      <c r="BC103" s="404"/>
      <c r="BD103" s="455"/>
      <c r="BE103" s="404"/>
      <c r="BF103" s="404"/>
      <c r="BG103" s="455"/>
      <c r="BH103" s="404"/>
      <c r="BI103" s="404"/>
      <c r="BJ103" s="455"/>
      <c r="BK103" s="404"/>
      <c r="BL103" s="404"/>
      <c r="BM103" s="455"/>
      <c r="BN103" s="404"/>
      <c r="BO103" s="404"/>
      <c r="BP103" s="455"/>
      <c r="BQ103" s="404"/>
      <c r="BR103" s="404"/>
      <c r="BS103" s="455"/>
      <c r="BT103" s="404"/>
      <c r="BU103" s="404"/>
      <c r="BV103" s="455"/>
      <c r="BW103" s="404"/>
      <c r="BX103" s="404"/>
      <c r="BY103" s="455"/>
      <c r="BZ103" s="404"/>
      <c r="CA103" s="404"/>
      <c r="CB103" s="455"/>
      <c r="CC103" s="404"/>
      <c r="CD103" s="404"/>
      <c r="CE103" s="455"/>
      <c r="CF103" s="385">
        <v>1055</v>
      </c>
      <c r="CG103" s="385">
        <f>5</f>
        <v>5</v>
      </c>
      <c r="CH103" s="369"/>
      <c r="CI103" s="385">
        <v>1055</v>
      </c>
      <c r="CJ103" s="385">
        <f>5</f>
        <v>5</v>
      </c>
      <c r="CK103" s="369"/>
      <c r="CL103" s="385">
        <v>1055</v>
      </c>
      <c r="CM103" s="385">
        <f>5</f>
        <v>5</v>
      </c>
      <c r="CN103" s="369"/>
      <c r="CO103" s="385">
        <v>1055</v>
      </c>
      <c r="CP103" s="385">
        <f>5</f>
        <v>5</v>
      </c>
      <c r="CQ103" s="369"/>
      <c r="CR103" s="385">
        <v>1055</v>
      </c>
      <c r="CS103" s="385">
        <f>5</f>
        <v>5</v>
      </c>
      <c r="CT103" s="369"/>
      <c r="CU103" s="385">
        <v>1055</v>
      </c>
      <c r="CV103" s="385">
        <f>5</f>
        <v>5</v>
      </c>
      <c r="CW103" s="369"/>
      <c r="CX103" s="385">
        <v>1055</v>
      </c>
      <c r="CY103" s="385">
        <f>5</f>
        <v>5</v>
      </c>
      <c r="CZ103" s="369"/>
      <c r="DA103" s="385">
        <v>1055</v>
      </c>
      <c r="DB103" s="385">
        <f>5</f>
        <v>5</v>
      </c>
      <c r="DC103" s="369"/>
      <c r="DD103" s="385">
        <v>1055</v>
      </c>
      <c r="DE103" s="385">
        <f>5</f>
        <v>5</v>
      </c>
      <c r="DF103" s="369"/>
      <c r="DG103" s="385">
        <v>1055</v>
      </c>
      <c r="DH103" s="385">
        <f>5</f>
        <v>5</v>
      </c>
      <c r="DI103" s="369"/>
      <c r="DJ103" s="385">
        <v>1055</v>
      </c>
      <c r="DK103" s="385">
        <f>5</f>
        <v>5</v>
      </c>
      <c r="DL103" s="369"/>
      <c r="DM103" s="385">
        <v>1055</v>
      </c>
      <c r="DN103" s="385">
        <f>5</f>
        <v>5</v>
      </c>
      <c r="DO103" s="369"/>
      <c r="DP103" s="385">
        <v>1055</v>
      </c>
      <c r="DQ103" s="385">
        <f>5</f>
        <v>5</v>
      </c>
      <c r="DR103" s="369"/>
      <c r="DS103" s="386">
        <f>((1055-1225)/30.5)*16+1055</f>
        <v>965.81967213114751</v>
      </c>
      <c r="DT103" s="386">
        <f>5</f>
        <v>5</v>
      </c>
      <c r="DU103" s="370"/>
      <c r="DV103" s="385">
        <v>1225.2564263010347</v>
      </c>
      <c r="DW103" s="385">
        <f>5</f>
        <v>5</v>
      </c>
      <c r="DX103" s="358"/>
      <c r="DY103" s="385">
        <v>1225.2564263010347</v>
      </c>
      <c r="DZ103" s="385">
        <f>5</f>
        <v>5</v>
      </c>
      <c r="EA103" s="358"/>
      <c r="EB103" s="385">
        <v>1225.2564263010347</v>
      </c>
      <c r="EC103" s="385">
        <f>5</f>
        <v>5</v>
      </c>
      <c r="ED103" s="358"/>
      <c r="EE103" s="385">
        <v>1225.2564263010347</v>
      </c>
      <c r="EF103" s="385">
        <f>5</f>
        <v>5</v>
      </c>
      <c r="EG103" s="358"/>
      <c r="EH103" s="385">
        <v>1225.2564263010347</v>
      </c>
      <c r="EI103" s="385">
        <f>5</f>
        <v>5</v>
      </c>
      <c r="EJ103" s="358"/>
      <c r="EK103" s="385">
        <v>1225.2564263010347</v>
      </c>
      <c r="EL103" s="385">
        <f>5</f>
        <v>5</v>
      </c>
      <c r="EM103" s="358"/>
      <c r="EN103" s="385">
        <v>1225.2564263010347</v>
      </c>
      <c r="EO103" s="385">
        <f>5</f>
        <v>5</v>
      </c>
      <c r="EP103" s="358"/>
      <c r="EQ103" s="385">
        <v>1225.2564263010347</v>
      </c>
      <c r="ER103" s="385">
        <f>5</f>
        <v>5</v>
      </c>
      <c r="ES103" s="358"/>
      <c r="ET103" s="385">
        <v>1225.2564263010347</v>
      </c>
      <c r="EU103" s="385">
        <f>5</f>
        <v>5</v>
      </c>
      <c r="EV103" s="358"/>
      <c r="EW103" s="385">
        <v>1225.2564263010347</v>
      </c>
      <c r="EX103" s="385">
        <f>5</f>
        <v>5</v>
      </c>
      <c r="EY103" s="358"/>
      <c r="EZ103" s="385">
        <v>1225.2564263010347</v>
      </c>
      <c r="FA103" s="385">
        <f>5</f>
        <v>5</v>
      </c>
      <c r="FB103" s="358"/>
      <c r="FC103" s="385">
        <v>1225.2564263010347</v>
      </c>
      <c r="FD103" s="385">
        <f>5</f>
        <v>5</v>
      </c>
      <c r="FE103" s="358"/>
      <c r="FF103" s="385">
        <v>1225.2564263010347</v>
      </c>
      <c r="FG103" s="385">
        <f>5</f>
        <v>5</v>
      </c>
      <c r="FH103" s="358"/>
      <c r="FI103" s="385">
        <v>1225.2564263010347</v>
      </c>
      <c r="FJ103" s="385">
        <f>5</f>
        <v>5</v>
      </c>
      <c r="FK103" s="358"/>
      <c r="FL103" s="385">
        <v>1225.2564263010347</v>
      </c>
      <c r="FM103" s="385">
        <f>5</f>
        <v>5</v>
      </c>
      <c r="FN103" s="358"/>
      <c r="FO103" s="385">
        <v>1225.2564263010347</v>
      </c>
      <c r="FP103" s="385">
        <f>5</f>
        <v>5</v>
      </c>
      <c r="FQ103" s="358"/>
      <c r="FR103" s="385">
        <v>1225.2564263010347</v>
      </c>
      <c r="FS103" s="385">
        <f>5</f>
        <v>5</v>
      </c>
      <c r="FT103" s="358"/>
      <c r="FU103" s="385">
        <v>1225.2564263010347</v>
      </c>
      <c r="FV103" s="385">
        <f>5</f>
        <v>5</v>
      </c>
      <c r="FW103" s="358"/>
      <c r="FX103" s="385">
        <v>1225.2564263010347</v>
      </c>
      <c r="FY103" s="385">
        <f>5</f>
        <v>5</v>
      </c>
      <c r="FZ103" s="358"/>
      <c r="GA103" s="385">
        <v>1225.2564263010347</v>
      </c>
      <c r="GB103" s="385">
        <f>5</f>
        <v>5</v>
      </c>
      <c r="GC103" s="358"/>
      <c r="GD103" s="385">
        <v>1225.2564263010347</v>
      </c>
      <c r="GE103" s="385">
        <f>5</f>
        <v>5</v>
      </c>
      <c r="GF103" s="358"/>
      <c r="GG103" s="385">
        <v>1225.2564263010347</v>
      </c>
      <c r="GH103" s="385">
        <f>5</f>
        <v>5</v>
      </c>
      <c r="GI103" s="358"/>
      <c r="GJ103" s="385">
        <v>1225.2564263010347</v>
      </c>
      <c r="GK103" s="385">
        <f>5</f>
        <v>5</v>
      </c>
      <c r="GL103" s="358"/>
      <c r="GM103" s="385">
        <v>1225.2564263010347</v>
      </c>
      <c r="GN103" s="385">
        <f>5</f>
        <v>5</v>
      </c>
      <c r="GO103" s="358"/>
      <c r="GP103" s="385">
        <v>1225.2564263010347</v>
      </c>
      <c r="GQ103" s="385">
        <f>5</f>
        <v>5</v>
      </c>
      <c r="GR103" s="358"/>
      <c r="GS103" s="385">
        <v>1225.2564263010347</v>
      </c>
      <c r="GT103" s="385">
        <f>5</f>
        <v>5</v>
      </c>
      <c r="GU103" s="358"/>
      <c r="GV103" s="385">
        <v>1225.2564263010347</v>
      </c>
      <c r="GW103" s="385">
        <f>5</f>
        <v>5</v>
      </c>
      <c r="GX103" s="358"/>
      <c r="GY103" s="385">
        <v>1225.2564263010347</v>
      </c>
      <c r="GZ103" s="385">
        <f>5</f>
        <v>5</v>
      </c>
      <c r="HA103" s="358"/>
      <c r="HB103" s="385">
        <v>1225.2564263010347</v>
      </c>
      <c r="HC103" s="385">
        <f>5</f>
        <v>5</v>
      </c>
      <c r="HD103" s="358"/>
      <c r="HE103" s="387">
        <v>1225.2564263010347</v>
      </c>
      <c r="HF103" s="386">
        <f>5*6</f>
        <v>30</v>
      </c>
      <c r="HG103" s="358"/>
      <c r="HH103" s="387">
        <v>1225.2564263010347</v>
      </c>
      <c r="HI103" s="358"/>
      <c r="HJ103" s="387">
        <v>1225.2564263010347</v>
      </c>
      <c r="HK103" s="358"/>
      <c r="HL103" s="387">
        <v>1225.2564263010347</v>
      </c>
      <c r="HM103" s="358"/>
      <c r="HN103" s="387">
        <v>1225.2564263010347</v>
      </c>
      <c r="HO103" s="358"/>
      <c r="HP103" s="387">
        <v>1225.2564263010347</v>
      </c>
      <c r="HQ103" s="358"/>
      <c r="HR103" s="387">
        <v>1225.2564263010347</v>
      </c>
      <c r="HS103" s="358"/>
      <c r="HT103" s="387">
        <v>1225.2564263010347</v>
      </c>
      <c r="HU103" s="358"/>
      <c r="HV103" s="388">
        <v>1225.2564263010347</v>
      </c>
      <c r="HW103" s="425"/>
      <c r="HX103" s="424">
        <v>1225.2564263010347</v>
      </c>
      <c r="HY103" s="425"/>
      <c r="HZ103" s="424">
        <v>1225.2564263010347</v>
      </c>
      <c r="IA103" s="425"/>
      <c r="IB103" s="424">
        <v>1225.2564263010347</v>
      </c>
      <c r="IC103" s="425"/>
      <c r="ID103" s="357">
        <f>VLOOKUP($C103,'[15]Prix accès'!A:D,4,FALSE)</f>
        <v>1225.2564263010347</v>
      </c>
      <c r="IE103" s="426"/>
      <c r="IF103" s="357">
        <f>VLOOKUP($C103,'[15]Prix accès'!$A:$D,4,FALSE)</f>
        <v>1225.2564263010347</v>
      </c>
      <c r="IG103" s="426"/>
      <c r="IH103" s="457">
        <v>803.44683691871126</v>
      </c>
      <c r="II103" s="361"/>
      <c r="IJ103" s="458"/>
      <c r="IK103" s="361"/>
      <c r="IL103" s="499"/>
      <c r="IM103" s="427"/>
      <c r="IN103" s="499"/>
      <c r="IO103" s="427"/>
      <c r="IP103" s="496"/>
      <c r="IQ103" s="427"/>
      <c r="IR103" s="429" t="s">
        <v>2746</v>
      </c>
      <c r="IS103" s="364" t="s">
        <v>77</v>
      </c>
      <c r="IT103" s="365">
        <v>43566</v>
      </c>
      <c r="IU103" s="371">
        <v>43586</v>
      </c>
      <c r="IW103" s="372">
        <f t="shared" si="16"/>
        <v>20</v>
      </c>
      <c r="IX103" s="373">
        <f t="shared" si="18"/>
        <v>40.172341845935563</v>
      </c>
      <c r="IY103" s="394">
        <f>IW103*IX103</f>
        <v>803.44683691871126</v>
      </c>
      <c r="IZ103" s="394"/>
      <c r="JA103" s="394"/>
    </row>
    <row r="104" spans="1:261" s="367" customFormat="1" ht="16.5" customHeight="1" x14ac:dyDescent="0.3">
      <c r="A104" s="354" t="s">
        <v>2743</v>
      </c>
      <c r="B104" s="415" t="s">
        <v>2884</v>
      </c>
      <c r="C104" s="447" t="s">
        <v>942</v>
      </c>
      <c r="D104" s="448">
        <v>1027</v>
      </c>
      <c r="E104" s="449">
        <v>44</v>
      </c>
      <c r="F104" s="449">
        <v>32</v>
      </c>
      <c r="G104" s="449">
        <v>5</v>
      </c>
      <c r="H104" s="450">
        <v>0</v>
      </c>
      <c r="I104" s="830">
        <v>1103</v>
      </c>
      <c r="J104" s="831">
        <v>5</v>
      </c>
      <c r="K104" s="831">
        <v>0</v>
      </c>
      <c r="L104" s="831">
        <v>1103</v>
      </c>
      <c r="M104" s="831">
        <v>5</v>
      </c>
      <c r="N104" s="831">
        <v>0</v>
      </c>
      <c r="O104" s="831">
        <v>1103</v>
      </c>
      <c r="P104" s="831">
        <v>5</v>
      </c>
      <c r="Q104" s="831">
        <v>0</v>
      </c>
      <c r="R104" s="831">
        <v>1103</v>
      </c>
      <c r="S104" s="831">
        <v>5</v>
      </c>
      <c r="T104" s="831">
        <v>0</v>
      </c>
      <c r="U104" s="831">
        <v>1103</v>
      </c>
      <c r="V104" s="831">
        <v>5</v>
      </c>
      <c r="W104" s="831">
        <v>0</v>
      </c>
      <c r="X104" s="831">
        <v>1103</v>
      </c>
      <c r="Y104" s="831">
        <v>5</v>
      </c>
      <c r="Z104" s="831">
        <v>0</v>
      </c>
      <c r="AA104" s="831">
        <v>1103</v>
      </c>
      <c r="AB104" s="831">
        <v>5</v>
      </c>
      <c r="AC104" s="831">
        <v>0</v>
      </c>
      <c r="AD104" s="831">
        <v>1103</v>
      </c>
      <c r="AE104" s="831">
        <v>5</v>
      </c>
      <c r="AF104" s="831">
        <v>0</v>
      </c>
      <c r="AG104" s="831">
        <v>1103</v>
      </c>
      <c r="AH104" s="831">
        <v>5</v>
      </c>
      <c r="AI104" s="831">
        <v>0</v>
      </c>
      <c r="AJ104" s="831">
        <v>1103</v>
      </c>
      <c r="AK104" s="831">
        <v>5</v>
      </c>
      <c r="AL104" s="831">
        <v>0</v>
      </c>
      <c r="AM104" s="831">
        <v>1103</v>
      </c>
      <c r="AN104" s="831">
        <v>5</v>
      </c>
      <c r="AO104" s="831">
        <v>0</v>
      </c>
      <c r="AP104" s="831">
        <v>1103</v>
      </c>
      <c r="AQ104" s="831">
        <v>5</v>
      </c>
      <c r="AR104" s="831">
        <v>0</v>
      </c>
      <c r="AS104" s="831">
        <v>1103</v>
      </c>
      <c r="AT104" s="831">
        <v>5</v>
      </c>
      <c r="AU104" s="831">
        <v>0</v>
      </c>
      <c r="AV104" s="831">
        <v>1103</v>
      </c>
      <c r="AW104" s="831">
        <v>5</v>
      </c>
      <c r="AX104" s="831">
        <v>0</v>
      </c>
      <c r="AY104" s="831">
        <v>1103</v>
      </c>
      <c r="AZ104" s="831">
        <v>5</v>
      </c>
      <c r="BA104" s="369">
        <v>0</v>
      </c>
      <c r="BB104" s="385">
        <v>1103</v>
      </c>
      <c r="BC104" s="385">
        <v>5</v>
      </c>
      <c r="BD104" s="369">
        <v>0</v>
      </c>
      <c r="BE104" s="385">
        <v>1103</v>
      </c>
      <c r="BF104" s="385">
        <v>5</v>
      </c>
      <c r="BG104" s="369">
        <v>0</v>
      </c>
      <c r="BH104" s="385">
        <v>1103</v>
      </c>
      <c r="BI104" s="385">
        <v>5</v>
      </c>
      <c r="BJ104" s="369">
        <v>0</v>
      </c>
      <c r="BK104" s="385">
        <v>1103</v>
      </c>
      <c r="BL104" s="385">
        <v>5</v>
      </c>
      <c r="BM104" s="369">
        <v>0</v>
      </c>
      <c r="BN104" s="385">
        <v>1103</v>
      </c>
      <c r="BO104" s="385">
        <v>5</v>
      </c>
      <c r="BP104" s="369">
        <v>0</v>
      </c>
      <c r="BQ104" s="385">
        <v>1103</v>
      </c>
      <c r="BR104" s="385">
        <v>5</v>
      </c>
      <c r="BS104" s="369">
        <v>0</v>
      </c>
      <c r="BT104" s="385">
        <v>1103</v>
      </c>
      <c r="BU104" s="385">
        <v>5</v>
      </c>
      <c r="BV104" s="369">
        <v>0</v>
      </c>
      <c r="BW104" s="385">
        <v>1103</v>
      </c>
      <c r="BX104" s="385">
        <v>5</v>
      </c>
      <c r="BY104" s="369">
        <v>0</v>
      </c>
      <c r="BZ104" s="385">
        <v>1103</v>
      </c>
      <c r="CA104" s="385">
        <v>5</v>
      </c>
      <c r="CB104" s="369">
        <v>0</v>
      </c>
      <c r="CC104" s="386">
        <v>1103</v>
      </c>
      <c r="CD104" s="386">
        <v>5</v>
      </c>
      <c r="CE104" s="370">
        <v>0</v>
      </c>
      <c r="CF104" s="387">
        <v>1055.0564263010344</v>
      </c>
      <c r="CG104" s="387"/>
      <c r="CH104" s="358"/>
      <c r="CI104" s="387">
        <v>1055.0564263010344</v>
      </c>
      <c r="CJ104" s="387"/>
      <c r="CK104" s="358"/>
      <c r="CL104" s="387">
        <v>1055.0564263010344</v>
      </c>
      <c r="CM104" s="387"/>
      <c r="CN104" s="358"/>
      <c r="CO104" s="387">
        <v>1055.0564263010344</v>
      </c>
      <c r="CP104" s="387"/>
      <c r="CQ104" s="358"/>
      <c r="CR104" s="387">
        <v>1055.0564263010344</v>
      </c>
      <c r="CS104" s="387"/>
      <c r="CT104" s="358"/>
      <c r="CU104" s="387">
        <v>1055.0564263010344</v>
      </c>
      <c r="CV104" s="387"/>
      <c r="CW104" s="358"/>
      <c r="CX104" s="387">
        <v>1055.0564263010344</v>
      </c>
      <c r="CY104" s="387"/>
      <c r="CZ104" s="358"/>
      <c r="DA104" s="387">
        <v>1055.0564263010344</v>
      </c>
      <c r="DB104" s="387"/>
      <c r="DC104" s="358"/>
      <c r="DD104" s="387">
        <v>1055.0564263010344</v>
      </c>
      <c r="DE104" s="387"/>
      <c r="DF104" s="358"/>
      <c r="DG104" s="387">
        <v>1055.0564263010344</v>
      </c>
      <c r="DH104" s="387"/>
      <c r="DI104" s="358"/>
      <c r="DJ104" s="387">
        <v>1055.0564263010344</v>
      </c>
      <c r="DK104" s="387"/>
      <c r="DL104" s="358"/>
      <c r="DM104" s="387">
        <v>1055.0564263010344</v>
      </c>
      <c r="DN104" s="387"/>
      <c r="DO104" s="358"/>
      <c r="DP104" s="387">
        <v>1055.0564263010344</v>
      </c>
      <c r="DQ104" s="387"/>
      <c r="DR104" s="358"/>
      <c r="DS104" s="387">
        <v>1055.0564263010344</v>
      </c>
      <c r="DT104" s="387"/>
      <c r="DU104" s="358"/>
      <c r="DV104" s="387">
        <v>1055.0564263010344</v>
      </c>
      <c r="DW104" s="387"/>
      <c r="DX104" s="358"/>
      <c r="DY104" s="387">
        <v>1055.0564263010344</v>
      </c>
      <c r="DZ104" s="387"/>
      <c r="EA104" s="358"/>
      <c r="EB104" s="387">
        <v>1055.0564263010344</v>
      </c>
      <c r="EC104" s="387"/>
      <c r="ED104" s="358"/>
      <c r="EE104" s="387">
        <v>1055.0564263010344</v>
      </c>
      <c r="EF104" s="387"/>
      <c r="EG104" s="358"/>
      <c r="EH104" s="387">
        <v>1055.0564263010344</v>
      </c>
      <c r="EI104" s="387"/>
      <c r="EJ104" s="358"/>
      <c r="EK104" s="387">
        <v>1055.0564263010344</v>
      </c>
      <c r="EL104" s="387"/>
      <c r="EM104" s="358"/>
      <c r="EN104" s="387">
        <v>1055.0564263010344</v>
      </c>
      <c r="EO104" s="387"/>
      <c r="EP104" s="358"/>
      <c r="EQ104" s="387">
        <v>1055.0564263010344</v>
      </c>
      <c r="ER104" s="387"/>
      <c r="ES104" s="358"/>
      <c r="ET104" s="387">
        <v>1055.0564263010344</v>
      </c>
      <c r="EU104" s="387"/>
      <c r="EV104" s="358"/>
      <c r="EW104" s="387">
        <v>1055.0564263010344</v>
      </c>
      <c r="EX104" s="387"/>
      <c r="EY104" s="358"/>
      <c r="EZ104" s="387">
        <v>1055.0564263010344</v>
      </c>
      <c r="FA104" s="387"/>
      <c r="FB104" s="358"/>
      <c r="FC104" s="387">
        <v>1055.0564263010344</v>
      </c>
      <c r="FD104" s="387"/>
      <c r="FE104" s="358"/>
      <c r="FF104" s="387">
        <v>1055.0564263010344</v>
      </c>
      <c r="FG104" s="387"/>
      <c r="FH104" s="358"/>
      <c r="FI104" s="387">
        <v>1055.0564263010344</v>
      </c>
      <c r="FJ104" s="387"/>
      <c r="FK104" s="358"/>
      <c r="FL104" s="387">
        <v>1055.0564263010344</v>
      </c>
      <c r="FM104" s="387"/>
      <c r="FN104" s="358"/>
      <c r="FO104" s="387">
        <v>1055.0564263010344</v>
      </c>
      <c r="FP104" s="387"/>
      <c r="FQ104" s="358"/>
      <c r="FR104" s="387">
        <v>1055.0564263010344</v>
      </c>
      <c r="FS104" s="387"/>
      <c r="FT104" s="358"/>
      <c r="FU104" s="387">
        <v>1055.0564263010344</v>
      </c>
      <c r="FV104" s="387"/>
      <c r="FW104" s="358"/>
      <c r="FX104" s="387">
        <v>1055.0564263010344</v>
      </c>
      <c r="FY104" s="387"/>
      <c r="FZ104" s="358"/>
      <c r="GA104" s="387">
        <v>1055.0564263010344</v>
      </c>
      <c r="GB104" s="387"/>
      <c r="GC104" s="358"/>
      <c r="GD104" s="387">
        <v>1055.0564263010344</v>
      </c>
      <c r="GE104" s="387"/>
      <c r="GF104" s="358"/>
      <c r="GG104" s="387">
        <v>1055.0564263010344</v>
      </c>
      <c r="GH104" s="387"/>
      <c r="GI104" s="358"/>
      <c r="GJ104" s="387">
        <v>1055.0564263010344</v>
      </c>
      <c r="GK104" s="387"/>
      <c r="GL104" s="358"/>
      <c r="GM104" s="387">
        <v>1055.0564263010344</v>
      </c>
      <c r="GN104" s="387"/>
      <c r="GO104" s="358"/>
      <c r="GP104" s="387">
        <v>1055.0564263010344</v>
      </c>
      <c r="GQ104" s="387"/>
      <c r="GR104" s="358"/>
      <c r="GS104" s="387">
        <v>1055.0564263010344</v>
      </c>
      <c r="GT104" s="387"/>
      <c r="GU104" s="358"/>
      <c r="GV104" s="387">
        <v>1055.0564263010344</v>
      </c>
      <c r="GW104" s="387"/>
      <c r="GX104" s="358"/>
      <c r="GY104" s="387">
        <v>1055.0564263010344</v>
      </c>
      <c r="GZ104" s="387"/>
      <c r="HA104" s="358"/>
      <c r="HB104" s="387">
        <v>1055.0564263010344</v>
      </c>
      <c r="HC104" s="387"/>
      <c r="HD104" s="358"/>
      <c r="HE104" s="387">
        <v>1055.0564263010344</v>
      </c>
      <c r="HF104" s="387"/>
      <c r="HG104" s="358"/>
      <c r="HH104" s="387">
        <v>1055.0564263010344</v>
      </c>
      <c r="HI104" s="358"/>
      <c r="HJ104" s="387">
        <v>1055.0564263010344</v>
      </c>
      <c r="HK104" s="358"/>
      <c r="HL104" s="387">
        <v>1055.0564263010344</v>
      </c>
      <c r="HM104" s="358"/>
      <c r="HN104" s="387">
        <v>1055.0564263010344</v>
      </c>
      <c r="HO104" s="358"/>
      <c r="HP104" s="387">
        <v>1055.0564263010344</v>
      </c>
      <c r="HQ104" s="358"/>
      <c r="HR104" s="387">
        <v>1055.0564263010344</v>
      </c>
      <c r="HS104" s="358"/>
      <c r="HT104" s="387">
        <v>1055.0564263010344</v>
      </c>
      <c r="HU104" s="358"/>
      <c r="HV104" s="388">
        <v>1055.0564263010344</v>
      </c>
      <c r="HW104" s="425" t="s">
        <v>3310</v>
      </c>
      <c r="HX104" s="424">
        <v>1055.0564263010344</v>
      </c>
      <c r="HY104" s="425" t="s">
        <v>3310</v>
      </c>
      <c r="HZ104" s="424">
        <v>1055.0564263010344</v>
      </c>
      <c r="IA104" s="425" t="s">
        <v>3310</v>
      </c>
      <c r="IB104" s="424">
        <v>1055.0564263010344</v>
      </c>
      <c r="IC104" s="425" t="s">
        <v>3310</v>
      </c>
      <c r="ID104" s="357">
        <f>VLOOKUP($C104,'[15]Prix accès'!A:D,4,FALSE)</f>
        <v>1055.0564263010344</v>
      </c>
      <c r="IE104" s="426" t="s">
        <v>3310</v>
      </c>
      <c r="IF104" s="357">
        <f>VLOOKUP($C104,'[15]Prix accès'!$A:$D,4,FALSE)</f>
        <v>1055.0564263010344</v>
      </c>
      <c r="IG104" s="426" t="s">
        <v>3310</v>
      </c>
      <c r="IH104" s="462">
        <v>553.47222363332958</v>
      </c>
      <c r="II104" s="427"/>
      <c r="IJ104" s="499"/>
      <c r="IK104" s="427"/>
      <c r="IL104" s="499"/>
      <c r="IM104" s="427"/>
      <c r="IN104" s="499"/>
      <c r="IO104" s="427"/>
      <c r="IP104" s="496"/>
      <c r="IQ104" s="427"/>
      <c r="IR104" s="429" t="s">
        <v>3325</v>
      </c>
      <c r="IS104" s="364" t="s">
        <v>77</v>
      </c>
      <c r="IT104" s="365">
        <v>43570</v>
      </c>
      <c r="IU104" s="371">
        <v>43586</v>
      </c>
      <c r="IW104" s="372">
        <f t="shared" si="16"/>
        <v>16</v>
      </c>
      <c r="IX104" s="373">
        <f t="shared" si="18"/>
        <v>34.592013977083099</v>
      </c>
      <c r="IY104" s="531">
        <f>IX104*IW104</f>
        <v>553.47222363332958</v>
      </c>
      <c r="IZ104" s="531"/>
      <c r="JA104" s="531"/>
    </row>
    <row r="105" spans="1:261" s="367" customFormat="1" ht="16.5" customHeight="1" x14ac:dyDescent="0.3">
      <c r="A105" s="354" t="s">
        <v>2743</v>
      </c>
      <c r="B105" s="395" t="s">
        <v>2748</v>
      </c>
      <c r="C105" s="466" t="s">
        <v>1035</v>
      </c>
      <c r="D105" s="467">
        <v>1249</v>
      </c>
      <c r="E105" s="468">
        <v>71</v>
      </c>
      <c r="F105" s="468">
        <v>32</v>
      </c>
      <c r="G105" s="468">
        <v>14</v>
      </c>
      <c r="H105" s="469">
        <v>0</v>
      </c>
      <c r="I105" s="841">
        <v>1351</v>
      </c>
      <c r="J105" s="835">
        <v>14</v>
      </c>
      <c r="K105" s="827"/>
      <c r="L105" s="835">
        <v>1351</v>
      </c>
      <c r="M105" s="835">
        <v>14</v>
      </c>
      <c r="N105" s="827"/>
      <c r="O105" s="835">
        <v>1351</v>
      </c>
      <c r="P105" s="835">
        <v>14</v>
      </c>
      <c r="Q105" s="827"/>
      <c r="R105" s="835">
        <v>1351</v>
      </c>
      <c r="S105" s="835">
        <v>14</v>
      </c>
      <c r="T105" s="827"/>
      <c r="U105" s="835">
        <v>1351</v>
      </c>
      <c r="V105" s="835">
        <v>14</v>
      </c>
      <c r="W105" s="827"/>
      <c r="X105" s="835">
        <v>1351</v>
      </c>
      <c r="Y105" s="835">
        <v>14</v>
      </c>
      <c r="Z105" s="827"/>
      <c r="AA105" s="835">
        <v>1351</v>
      </c>
      <c r="AB105" s="835">
        <v>14</v>
      </c>
      <c r="AC105" s="827"/>
      <c r="AD105" s="835">
        <v>1351</v>
      </c>
      <c r="AE105" s="835">
        <v>14</v>
      </c>
      <c r="AF105" s="827"/>
      <c r="AG105" s="835">
        <v>1351</v>
      </c>
      <c r="AH105" s="835">
        <v>14</v>
      </c>
      <c r="AI105" s="827"/>
      <c r="AJ105" s="835">
        <v>1351</v>
      </c>
      <c r="AK105" s="835">
        <v>14</v>
      </c>
      <c r="AL105" s="827"/>
      <c r="AM105" s="835">
        <v>1351</v>
      </c>
      <c r="AN105" s="835">
        <v>14</v>
      </c>
      <c r="AO105" s="827"/>
      <c r="AP105" s="842">
        <f>((1351-1251)/30.5)+1351</f>
        <v>1354.2786885245901</v>
      </c>
      <c r="AQ105" s="842">
        <v>14</v>
      </c>
      <c r="AR105" s="827"/>
      <c r="AS105" s="829">
        <v>1251.4564263010345</v>
      </c>
      <c r="AT105" s="829"/>
      <c r="AU105" s="827"/>
      <c r="AV105" s="829">
        <v>1251.4564263010345</v>
      </c>
      <c r="AW105" s="829"/>
      <c r="AX105" s="827"/>
      <c r="AY105" s="829">
        <v>1251.4564263010345</v>
      </c>
      <c r="AZ105" s="829"/>
      <c r="BA105" s="358"/>
      <c r="BB105" s="387">
        <v>1251.4564263010345</v>
      </c>
      <c r="BC105" s="387"/>
      <c r="BD105" s="358"/>
      <c r="BE105" s="387">
        <v>1251.4564263010345</v>
      </c>
      <c r="BF105" s="387"/>
      <c r="BG105" s="358"/>
      <c r="BH105" s="387">
        <v>1251.4564263010345</v>
      </c>
      <c r="BI105" s="387"/>
      <c r="BJ105" s="358"/>
      <c r="BK105" s="387">
        <v>1251.4564263010345</v>
      </c>
      <c r="BL105" s="387"/>
      <c r="BM105" s="358"/>
      <c r="BN105" s="387">
        <v>1251.4564263010345</v>
      </c>
      <c r="BO105" s="387"/>
      <c r="BP105" s="358"/>
      <c r="BQ105" s="387">
        <v>1251.4564263010345</v>
      </c>
      <c r="BR105" s="387"/>
      <c r="BS105" s="358"/>
      <c r="BT105" s="387">
        <v>1251.4564263010345</v>
      </c>
      <c r="BU105" s="387"/>
      <c r="BV105" s="358"/>
      <c r="BW105" s="387">
        <v>1251.4564263010345</v>
      </c>
      <c r="BX105" s="387"/>
      <c r="BY105" s="358"/>
      <c r="BZ105" s="387">
        <v>1251.4564263010345</v>
      </c>
      <c r="CA105" s="387"/>
      <c r="CB105" s="358"/>
      <c r="CC105" s="387">
        <v>1251.4564263010345</v>
      </c>
      <c r="CD105" s="387"/>
      <c r="CE105" s="358"/>
      <c r="CF105" s="387">
        <v>1251.4564263010345</v>
      </c>
      <c r="CG105" s="387"/>
      <c r="CH105" s="358"/>
      <c r="CI105" s="387">
        <v>1251.4564263010345</v>
      </c>
      <c r="CJ105" s="387"/>
      <c r="CK105" s="358"/>
      <c r="CL105" s="387">
        <v>1251.4564263010345</v>
      </c>
      <c r="CM105" s="387"/>
      <c r="CN105" s="358"/>
      <c r="CO105" s="387">
        <v>1251.4564263010345</v>
      </c>
      <c r="CP105" s="387"/>
      <c r="CQ105" s="358"/>
      <c r="CR105" s="387">
        <v>1251.4564263010345</v>
      </c>
      <c r="CS105" s="387"/>
      <c r="CT105" s="358"/>
      <c r="CU105" s="387">
        <v>1251.4564263010345</v>
      </c>
      <c r="CV105" s="387"/>
      <c r="CW105" s="358"/>
      <c r="CX105" s="387">
        <v>1251.4564263010345</v>
      </c>
      <c r="CY105" s="387"/>
      <c r="CZ105" s="358"/>
      <c r="DA105" s="387">
        <v>1251.4564263010345</v>
      </c>
      <c r="DB105" s="387"/>
      <c r="DC105" s="358"/>
      <c r="DD105" s="387">
        <v>1251.4564263010345</v>
      </c>
      <c r="DE105" s="387"/>
      <c r="DF105" s="358"/>
      <c r="DG105" s="387">
        <v>1251.4564263010345</v>
      </c>
      <c r="DH105" s="387"/>
      <c r="DI105" s="358"/>
      <c r="DJ105" s="387">
        <v>1251.4564263010345</v>
      </c>
      <c r="DK105" s="387"/>
      <c r="DL105" s="358"/>
      <c r="DM105" s="387">
        <v>1251.4564263010345</v>
      </c>
      <c r="DN105" s="387"/>
      <c r="DO105" s="358"/>
      <c r="DP105" s="387">
        <v>1251.4564263010345</v>
      </c>
      <c r="DQ105" s="387"/>
      <c r="DR105" s="358"/>
      <c r="DS105" s="387">
        <v>1251.4564263010345</v>
      </c>
      <c r="DT105" s="387"/>
      <c r="DU105" s="358"/>
      <c r="DV105" s="387">
        <v>1251.4564263010345</v>
      </c>
      <c r="DW105" s="387"/>
      <c r="DX105" s="358"/>
      <c r="DY105" s="387">
        <v>1251.4564263010345</v>
      </c>
      <c r="DZ105" s="387"/>
      <c r="EA105" s="358"/>
      <c r="EB105" s="387">
        <v>1251.4564263010345</v>
      </c>
      <c r="EC105" s="387"/>
      <c r="ED105" s="358"/>
      <c r="EE105" s="387">
        <v>1251.4564263010345</v>
      </c>
      <c r="EF105" s="387"/>
      <c r="EG105" s="358"/>
      <c r="EH105" s="387">
        <v>1251.4564263010345</v>
      </c>
      <c r="EI105" s="387"/>
      <c r="EJ105" s="358"/>
      <c r="EK105" s="387">
        <v>1251.4564263010345</v>
      </c>
      <c r="EL105" s="387"/>
      <c r="EM105" s="358"/>
      <c r="EN105" s="387">
        <v>1251.4564263010345</v>
      </c>
      <c r="EO105" s="387"/>
      <c r="EP105" s="358"/>
      <c r="EQ105" s="387">
        <v>1251.4564263010345</v>
      </c>
      <c r="ER105" s="387"/>
      <c r="ES105" s="358"/>
      <c r="ET105" s="387">
        <v>1251.4564263010345</v>
      </c>
      <c r="EU105" s="387"/>
      <c r="EV105" s="358"/>
      <c r="EW105" s="387">
        <v>1251.4564263010345</v>
      </c>
      <c r="EX105" s="387"/>
      <c r="EY105" s="358"/>
      <c r="EZ105" s="387">
        <v>1251.4564263010345</v>
      </c>
      <c r="FA105" s="387"/>
      <c r="FB105" s="358"/>
      <c r="FC105" s="387">
        <v>1251.4564263010345</v>
      </c>
      <c r="FD105" s="387"/>
      <c r="FE105" s="358"/>
      <c r="FF105" s="387">
        <v>1251.4564263010345</v>
      </c>
      <c r="FG105" s="387"/>
      <c r="FH105" s="358"/>
      <c r="FI105" s="387">
        <v>1251.4564263010345</v>
      </c>
      <c r="FJ105" s="387"/>
      <c r="FK105" s="358"/>
      <c r="FL105" s="387">
        <v>1251.4564263010345</v>
      </c>
      <c r="FM105" s="387"/>
      <c r="FN105" s="358"/>
      <c r="FO105" s="387">
        <v>1251.4564263010345</v>
      </c>
      <c r="FP105" s="387"/>
      <c r="FQ105" s="358"/>
      <c r="FR105" s="387">
        <v>1251.4564263010345</v>
      </c>
      <c r="FS105" s="387"/>
      <c r="FT105" s="358"/>
      <c r="FU105" s="387">
        <v>1251.4564263010345</v>
      </c>
      <c r="FV105" s="387"/>
      <c r="FW105" s="358"/>
      <c r="FX105" s="387">
        <v>1251.4564263010345</v>
      </c>
      <c r="FY105" s="387"/>
      <c r="FZ105" s="358"/>
      <c r="GA105" s="387">
        <v>1251.4564263010345</v>
      </c>
      <c r="GB105" s="387"/>
      <c r="GC105" s="358"/>
      <c r="GD105" s="387">
        <v>1251.4564263010345</v>
      </c>
      <c r="GE105" s="387"/>
      <c r="GF105" s="358"/>
      <c r="GG105" s="387">
        <v>1251.4564263010345</v>
      </c>
      <c r="GH105" s="387"/>
      <c r="GI105" s="358"/>
      <c r="GJ105" s="387">
        <v>1251.4564263010345</v>
      </c>
      <c r="GK105" s="387"/>
      <c r="GL105" s="358"/>
      <c r="GM105" s="387">
        <v>1251.4564263010345</v>
      </c>
      <c r="GN105" s="387"/>
      <c r="GO105" s="358"/>
      <c r="GP105" s="387">
        <v>1251.4564263010345</v>
      </c>
      <c r="GQ105" s="387"/>
      <c r="GR105" s="358"/>
      <c r="GS105" s="387">
        <v>1251.4564263010345</v>
      </c>
      <c r="GT105" s="387"/>
      <c r="GU105" s="358"/>
      <c r="GV105" s="387">
        <v>1251.4564263010345</v>
      </c>
      <c r="GW105" s="387"/>
      <c r="GX105" s="358"/>
      <c r="GY105" s="387">
        <v>1251.4564263010345</v>
      </c>
      <c r="GZ105" s="387"/>
      <c r="HA105" s="358"/>
      <c r="HB105" s="387">
        <v>1251.4564263010345</v>
      </c>
      <c r="HC105" s="387"/>
      <c r="HD105" s="358"/>
      <c r="HE105" s="387">
        <v>1251.4564263010345</v>
      </c>
      <c r="HF105" s="387"/>
      <c r="HG105" s="358"/>
      <c r="HH105" s="387">
        <v>1251.4564263010345</v>
      </c>
      <c r="HI105" s="358"/>
      <c r="HJ105" s="387">
        <v>1251.4564263010345</v>
      </c>
      <c r="HK105" s="358"/>
      <c r="HL105" s="387">
        <v>1251.4564263010345</v>
      </c>
      <c r="HM105" s="358"/>
      <c r="HN105" s="387">
        <v>1251.4564263010345</v>
      </c>
      <c r="HO105" s="358"/>
      <c r="HP105" s="387">
        <v>1251.4564263010345</v>
      </c>
      <c r="HQ105" s="358"/>
      <c r="HR105" s="387">
        <v>1251.4564263010345</v>
      </c>
      <c r="HS105" s="358"/>
      <c r="HT105" s="387">
        <v>1251.4564263010345</v>
      </c>
      <c r="HU105" s="358"/>
      <c r="HV105" s="388">
        <v>1251.4564263010345</v>
      </c>
      <c r="HW105" s="425"/>
      <c r="HX105" s="424">
        <v>1251.4564263010345</v>
      </c>
      <c r="HY105" s="425"/>
      <c r="HZ105" s="424">
        <v>1251.4564263010345</v>
      </c>
      <c r="IA105" s="425"/>
      <c r="IB105" s="424">
        <v>1251.4564263010345</v>
      </c>
      <c r="IC105" s="425"/>
      <c r="ID105" s="357">
        <f>VLOOKUP($C105,'[15]Prix accès'!A:D,4,FALSE)</f>
        <v>1251.4564263010345</v>
      </c>
      <c r="IE105" s="426"/>
      <c r="IF105" s="357">
        <f>VLOOKUP($C105,'[15]Prix accès'!$A:$D,4,FALSE)</f>
        <v>1251.4564263010345</v>
      </c>
      <c r="IG105" s="426"/>
      <c r="IH105" s="462">
        <v>574.43901535129453</v>
      </c>
      <c r="II105" s="361"/>
      <c r="IJ105" s="425"/>
      <c r="IK105" s="361"/>
      <c r="IL105" s="499"/>
      <c r="IM105" s="427"/>
      <c r="IN105" s="499"/>
      <c r="IO105" s="427"/>
      <c r="IP105" s="496"/>
      <c r="IQ105" s="427"/>
      <c r="IR105" s="429" t="s">
        <v>3090</v>
      </c>
      <c r="IS105" s="364" t="s">
        <v>77</v>
      </c>
      <c r="IT105" s="365">
        <v>43572</v>
      </c>
      <c r="IU105" s="371">
        <v>43586</v>
      </c>
      <c r="IW105" s="372">
        <f t="shared" si="16"/>
        <v>14</v>
      </c>
      <c r="IX105" s="373">
        <f t="shared" si="18"/>
        <v>41.031358239378179</v>
      </c>
      <c r="IY105" s="394">
        <f>IW105*IX105</f>
        <v>574.43901535129453</v>
      </c>
      <c r="IZ105" s="394"/>
      <c r="JA105" s="394"/>
    </row>
    <row r="106" spans="1:261" s="367" customFormat="1" ht="16.5" customHeight="1" x14ac:dyDescent="0.3">
      <c r="A106" s="354" t="s">
        <v>2743</v>
      </c>
      <c r="B106" s="465" t="s">
        <v>2748</v>
      </c>
      <c r="C106" s="466" t="s">
        <v>1026</v>
      </c>
      <c r="D106" s="467">
        <v>1149</v>
      </c>
      <c r="E106" s="468">
        <v>44</v>
      </c>
      <c r="F106" s="468">
        <v>32</v>
      </c>
      <c r="G106" s="468">
        <v>0</v>
      </c>
      <c r="H106" s="469">
        <v>0</v>
      </c>
      <c r="I106" s="830">
        <v>1225</v>
      </c>
      <c r="J106" s="831"/>
      <c r="K106" s="827"/>
      <c r="L106" s="831">
        <v>1225</v>
      </c>
      <c r="M106" s="831"/>
      <c r="N106" s="827"/>
      <c r="O106" s="831">
        <v>1225</v>
      </c>
      <c r="P106" s="831"/>
      <c r="Q106" s="827"/>
      <c r="R106" s="831">
        <v>1225</v>
      </c>
      <c r="S106" s="831"/>
      <c r="T106" s="827"/>
      <c r="U106" s="831">
        <v>1225</v>
      </c>
      <c r="V106" s="831"/>
      <c r="W106" s="827"/>
      <c r="X106" s="831">
        <v>1225</v>
      </c>
      <c r="Y106" s="831"/>
      <c r="Z106" s="827"/>
      <c r="AA106" s="831">
        <v>1225</v>
      </c>
      <c r="AB106" s="831"/>
      <c r="AC106" s="827"/>
      <c r="AD106" s="831">
        <v>1225</v>
      </c>
      <c r="AE106" s="831"/>
      <c r="AF106" s="827"/>
      <c r="AG106" s="831">
        <v>1225</v>
      </c>
      <c r="AH106" s="831"/>
      <c r="AI106" s="827"/>
      <c r="AJ106" s="831">
        <v>1225</v>
      </c>
      <c r="AK106" s="831"/>
      <c r="AL106" s="827"/>
      <c r="AM106" s="831">
        <v>1225</v>
      </c>
      <c r="AN106" s="831"/>
      <c r="AO106" s="827"/>
      <c r="AP106" s="831">
        <v>1225</v>
      </c>
      <c r="AQ106" s="831"/>
      <c r="AR106" s="827"/>
      <c r="AS106" s="831">
        <v>1225</v>
      </c>
      <c r="AT106" s="831"/>
      <c r="AU106" s="827"/>
      <c r="AV106" s="831">
        <v>1225</v>
      </c>
      <c r="AW106" s="831"/>
      <c r="AX106" s="827"/>
      <c r="AY106" s="831">
        <v>1225</v>
      </c>
      <c r="AZ106" s="831"/>
      <c r="BA106" s="358"/>
      <c r="BB106" s="385">
        <v>1225</v>
      </c>
      <c r="BC106" s="385"/>
      <c r="BD106" s="358"/>
      <c r="BE106" s="385">
        <v>1225</v>
      </c>
      <c r="BF106" s="385"/>
      <c r="BG106" s="358"/>
      <c r="BH106" s="385">
        <v>1225</v>
      </c>
      <c r="BI106" s="385"/>
      <c r="BJ106" s="358"/>
      <c r="BK106" s="385">
        <v>1225</v>
      </c>
      <c r="BL106" s="385"/>
      <c r="BM106" s="358"/>
      <c r="BN106" s="385">
        <v>1225</v>
      </c>
      <c r="BO106" s="385"/>
      <c r="BP106" s="358"/>
      <c r="BQ106" s="385">
        <v>1225</v>
      </c>
      <c r="BR106" s="385"/>
      <c r="BS106" s="358"/>
      <c r="BT106" s="385">
        <v>1225</v>
      </c>
      <c r="BU106" s="385"/>
      <c r="BV106" s="358"/>
      <c r="BW106" s="385">
        <v>1225</v>
      </c>
      <c r="BX106" s="385"/>
      <c r="BY106" s="358"/>
      <c r="BZ106" s="385">
        <v>1225</v>
      </c>
      <c r="CA106" s="385"/>
      <c r="CB106" s="358"/>
      <c r="CC106" s="385">
        <v>1225</v>
      </c>
      <c r="CD106" s="385"/>
      <c r="CE106" s="358"/>
      <c r="CF106" s="385">
        <v>1225</v>
      </c>
      <c r="CG106" s="385"/>
      <c r="CH106" s="358"/>
      <c r="CI106" s="385">
        <v>1225</v>
      </c>
      <c r="CJ106" s="385"/>
      <c r="CK106" s="358"/>
      <c r="CL106" s="385">
        <v>1225</v>
      </c>
      <c r="CM106" s="385"/>
      <c r="CN106" s="358"/>
      <c r="CO106" s="385">
        <v>1225</v>
      </c>
      <c r="CP106" s="385"/>
      <c r="CQ106" s="358"/>
      <c r="CR106" s="385">
        <v>1225</v>
      </c>
      <c r="CS106" s="385"/>
      <c r="CT106" s="358"/>
      <c r="CU106" s="385">
        <v>1225</v>
      </c>
      <c r="CV106" s="385"/>
      <c r="CW106" s="358"/>
      <c r="CX106" s="385">
        <v>1225</v>
      </c>
      <c r="CY106" s="385"/>
      <c r="CZ106" s="358"/>
      <c r="DA106" s="385">
        <v>1225</v>
      </c>
      <c r="DB106" s="385"/>
      <c r="DC106" s="358"/>
      <c r="DD106" s="385">
        <v>1225</v>
      </c>
      <c r="DE106" s="385"/>
      <c r="DF106" s="358"/>
      <c r="DG106" s="385">
        <v>1225</v>
      </c>
      <c r="DH106" s="385"/>
      <c r="DI106" s="358"/>
      <c r="DJ106" s="385">
        <v>1225</v>
      </c>
      <c r="DK106" s="385"/>
      <c r="DL106" s="358"/>
      <c r="DM106" s="385">
        <v>1225</v>
      </c>
      <c r="DN106" s="385"/>
      <c r="DO106" s="358"/>
      <c r="DP106" s="385">
        <v>1225</v>
      </c>
      <c r="DQ106" s="385"/>
      <c r="DR106" s="358"/>
      <c r="DS106" s="385">
        <v>1225</v>
      </c>
      <c r="DT106" s="385"/>
      <c r="DU106" s="358"/>
      <c r="DV106" s="385">
        <v>1225</v>
      </c>
      <c r="DW106" s="385"/>
      <c r="DX106" s="358"/>
      <c r="DY106" s="385">
        <v>1225</v>
      </c>
      <c r="DZ106" s="385"/>
      <c r="EA106" s="358"/>
      <c r="EB106" s="385">
        <v>1225</v>
      </c>
      <c r="EC106" s="385"/>
      <c r="ED106" s="358"/>
      <c r="EE106" s="385">
        <v>1225</v>
      </c>
      <c r="EF106" s="385"/>
      <c r="EG106" s="358"/>
      <c r="EH106" s="385">
        <v>1225</v>
      </c>
      <c r="EI106" s="385"/>
      <c r="EJ106" s="358"/>
      <c r="EK106" s="385">
        <v>1225</v>
      </c>
      <c r="EL106" s="385"/>
      <c r="EM106" s="358"/>
      <c r="EN106" s="385">
        <v>1225</v>
      </c>
      <c r="EO106" s="385"/>
      <c r="EP106" s="358"/>
      <c r="EQ106" s="385">
        <v>1225</v>
      </c>
      <c r="ER106" s="385"/>
      <c r="ES106" s="358"/>
      <c r="ET106" s="385">
        <v>1225</v>
      </c>
      <c r="EU106" s="385"/>
      <c r="EV106" s="358"/>
      <c r="EW106" s="385">
        <v>1225</v>
      </c>
      <c r="EX106" s="385"/>
      <c r="EY106" s="358"/>
      <c r="EZ106" s="385">
        <v>1225</v>
      </c>
      <c r="FA106" s="385"/>
      <c r="FB106" s="358"/>
      <c r="FC106" s="385">
        <v>1225</v>
      </c>
      <c r="FD106" s="385"/>
      <c r="FE106" s="358"/>
      <c r="FF106" s="385">
        <v>1225</v>
      </c>
      <c r="FG106" s="385"/>
      <c r="FH106" s="358"/>
      <c r="FI106" s="385">
        <v>1225</v>
      </c>
      <c r="FJ106" s="385"/>
      <c r="FK106" s="358"/>
      <c r="FL106" s="385">
        <v>1225</v>
      </c>
      <c r="FM106" s="385"/>
      <c r="FN106" s="358"/>
      <c r="FO106" s="385">
        <v>1225</v>
      </c>
      <c r="FP106" s="385"/>
      <c r="FQ106" s="358"/>
      <c r="FR106" s="385">
        <v>1225</v>
      </c>
      <c r="FS106" s="385"/>
      <c r="FT106" s="358"/>
      <c r="FU106" s="385">
        <v>1225</v>
      </c>
      <c r="FV106" s="385"/>
      <c r="FW106" s="358"/>
      <c r="FX106" s="385">
        <v>1225</v>
      </c>
      <c r="FY106" s="385"/>
      <c r="FZ106" s="358"/>
      <c r="GA106" s="385">
        <v>1225</v>
      </c>
      <c r="GB106" s="385"/>
      <c r="GC106" s="358"/>
      <c r="GD106" s="385">
        <v>1225</v>
      </c>
      <c r="GE106" s="385"/>
      <c r="GF106" s="358"/>
      <c r="GG106" s="385">
        <v>1225</v>
      </c>
      <c r="GH106" s="385"/>
      <c r="GI106" s="358"/>
      <c r="GJ106" s="385">
        <v>1225</v>
      </c>
      <c r="GK106" s="385"/>
      <c r="GL106" s="358"/>
      <c r="GM106" s="385">
        <v>1225</v>
      </c>
      <c r="GN106" s="385"/>
      <c r="GO106" s="358"/>
      <c r="GP106" s="385">
        <v>1225</v>
      </c>
      <c r="GQ106" s="385"/>
      <c r="GR106" s="358"/>
      <c r="GS106" s="385">
        <v>1225</v>
      </c>
      <c r="GT106" s="385"/>
      <c r="GU106" s="358"/>
      <c r="GV106" s="385">
        <v>1225</v>
      </c>
      <c r="GW106" s="385"/>
      <c r="GX106" s="358"/>
      <c r="GY106" s="385">
        <v>1225</v>
      </c>
      <c r="GZ106" s="385"/>
      <c r="HA106" s="358"/>
      <c r="HB106" s="385">
        <v>1225</v>
      </c>
      <c r="HC106" s="385"/>
      <c r="HD106" s="358"/>
      <c r="HE106" s="385">
        <v>1225</v>
      </c>
      <c r="HF106" s="385"/>
      <c r="HG106" s="358"/>
      <c r="HH106" s="385">
        <v>1225</v>
      </c>
      <c r="HI106" s="358"/>
      <c r="HJ106" s="385">
        <v>1225</v>
      </c>
      <c r="HK106" s="358"/>
      <c r="HL106" s="385">
        <v>1225</v>
      </c>
      <c r="HM106" s="358"/>
      <c r="HN106" s="385">
        <v>1225</v>
      </c>
      <c r="HO106" s="358"/>
      <c r="HP106" s="385">
        <v>1225</v>
      </c>
      <c r="HQ106" s="358"/>
      <c r="HR106" s="385">
        <v>1225</v>
      </c>
      <c r="HS106" s="358"/>
      <c r="HT106" s="386">
        <f>1055+295.41</f>
        <v>1350.41</v>
      </c>
      <c r="HU106" s="358"/>
      <c r="HV106" s="388">
        <v>1055</v>
      </c>
      <c r="HW106" s="425" t="s">
        <v>3310</v>
      </c>
      <c r="HX106" s="424">
        <v>1055.0564263010344</v>
      </c>
      <c r="HY106" s="425" t="s">
        <v>3310</v>
      </c>
      <c r="HZ106" s="424">
        <v>1055.0564263010344</v>
      </c>
      <c r="IA106" s="425" t="s">
        <v>3310</v>
      </c>
      <c r="IB106" s="424">
        <v>1055.0564263010344</v>
      </c>
      <c r="IC106" s="425" t="s">
        <v>3310</v>
      </c>
      <c r="ID106" s="357">
        <f>VLOOKUP($C106,'[15]Prix accès'!A:D,4,FALSE)</f>
        <v>1225</v>
      </c>
      <c r="IE106" s="426" t="s">
        <v>3310</v>
      </c>
      <c r="IF106" s="357">
        <f>VLOOKUP($C106,'[15]Prix accès'!$A:$D,4,FALSE)</f>
        <v>1225</v>
      </c>
      <c r="IG106" s="426" t="s">
        <v>3310</v>
      </c>
      <c r="IH106" s="457">
        <v>449.69618170208025</v>
      </c>
      <c r="II106" s="427"/>
      <c r="IJ106" s="496"/>
      <c r="IK106" s="427"/>
      <c r="IL106" s="496"/>
      <c r="IM106" s="427"/>
      <c r="IN106" s="496"/>
      <c r="IO106" s="427"/>
      <c r="IP106" s="496"/>
      <c r="IQ106" s="427"/>
      <c r="IR106" s="429" t="s">
        <v>3095</v>
      </c>
      <c r="IS106" s="364" t="s">
        <v>77</v>
      </c>
      <c r="IT106" s="365">
        <v>43573</v>
      </c>
      <c r="IU106" s="371">
        <v>43586</v>
      </c>
      <c r="IW106" s="372">
        <f t="shared" si="16"/>
        <v>13</v>
      </c>
      <c r="IX106" s="373">
        <f t="shared" si="18"/>
        <v>40.16393442622951</v>
      </c>
      <c r="IY106" s="531">
        <f>IX106*IW106</f>
        <v>522.13114754098365</v>
      </c>
      <c r="IZ106" s="531"/>
      <c r="JA106" s="531"/>
    </row>
    <row r="107" spans="1:261" s="367" customFormat="1" ht="16.5" customHeight="1" x14ac:dyDescent="0.3">
      <c r="A107" s="354" t="s">
        <v>2743</v>
      </c>
      <c r="B107" s="465" t="s">
        <v>2784</v>
      </c>
      <c r="C107" s="993" t="s">
        <v>1378</v>
      </c>
      <c r="D107" s="467">
        <v>1453.8564263010346</v>
      </c>
      <c r="E107" s="468">
        <v>70.599999999999994</v>
      </c>
      <c r="F107" s="468">
        <v>32</v>
      </c>
      <c r="G107" s="468">
        <v>36</v>
      </c>
      <c r="H107" s="469">
        <v>0</v>
      </c>
      <c r="I107" s="889">
        <f>((1556-1335)/30.5)*15+1556</f>
        <v>1664.688524590164</v>
      </c>
      <c r="J107" s="842">
        <f>((36-14)/30.5)*15+36</f>
        <v>46.819672131147541</v>
      </c>
      <c r="K107" s="827"/>
      <c r="L107" s="831">
        <v>1335.4564263010345</v>
      </c>
      <c r="M107" s="831">
        <f>14</f>
        <v>14</v>
      </c>
      <c r="N107" s="827"/>
      <c r="O107" s="831">
        <v>1335.4564263010345</v>
      </c>
      <c r="P107" s="831">
        <f>14</f>
        <v>14</v>
      </c>
      <c r="Q107" s="827"/>
      <c r="R107" s="831">
        <v>1335.4564263010345</v>
      </c>
      <c r="S107" s="831">
        <f>14</f>
        <v>14</v>
      </c>
      <c r="T107" s="827"/>
      <c r="U107" s="831">
        <v>1335.4564263010345</v>
      </c>
      <c r="V107" s="831">
        <f>14</f>
        <v>14</v>
      </c>
      <c r="W107" s="827"/>
      <c r="X107" s="831">
        <v>1335.4564263010345</v>
      </c>
      <c r="Y107" s="831">
        <f>14</f>
        <v>14</v>
      </c>
      <c r="Z107" s="827"/>
      <c r="AA107" s="831">
        <v>1335.4564263010345</v>
      </c>
      <c r="AB107" s="831">
        <f>14</f>
        <v>14</v>
      </c>
      <c r="AC107" s="827"/>
      <c r="AD107" s="831">
        <v>1335.4564263010345</v>
      </c>
      <c r="AE107" s="831">
        <f>14</f>
        <v>14</v>
      </c>
      <c r="AF107" s="827"/>
      <c r="AG107" s="831">
        <v>1335.4564263010345</v>
      </c>
      <c r="AH107" s="831">
        <f>14</f>
        <v>14</v>
      </c>
      <c r="AI107" s="827"/>
      <c r="AJ107" s="831">
        <v>1335.4564263010345</v>
      </c>
      <c r="AK107" s="831">
        <f>14</f>
        <v>14</v>
      </c>
      <c r="AL107" s="827"/>
      <c r="AM107" s="831">
        <v>1335.4564263010345</v>
      </c>
      <c r="AN107" s="831">
        <f>14</f>
        <v>14</v>
      </c>
      <c r="AO107" s="827"/>
      <c r="AP107" s="831">
        <v>1335.4564263010345</v>
      </c>
      <c r="AQ107" s="831">
        <f>14</f>
        <v>14</v>
      </c>
      <c r="AR107" s="827"/>
      <c r="AS107" s="831">
        <v>1335.4564263010345</v>
      </c>
      <c r="AT107" s="831">
        <f>14</f>
        <v>14</v>
      </c>
      <c r="AU107" s="827"/>
      <c r="AV107" s="831">
        <v>1335.4564263010345</v>
      </c>
      <c r="AW107" s="831">
        <f>14</f>
        <v>14</v>
      </c>
      <c r="AX107" s="827"/>
      <c r="AY107" s="831">
        <v>1335.4564263010345</v>
      </c>
      <c r="AZ107" s="831">
        <f>14</f>
        <v>14</v>
      </c>
      <c r="BA107" s="358"/>
      <c r="BB107" s="385">
        <v>1335.4564263010345</v>
      </c>
      <c r="BC107" s="385">
        <f>14</f>
        <v>14</v>
      </c>
      <c r="BD107" s="358"/>
      <c r="BE107" s="385">
        <v>1335.4564263010345</v>
      </c>
      <c r="BF107" s="385">
        <f>14</f>
        <v>14</v>
      </c>
      <c r="BG107" s="358"/>
      <c r="BH107" s="385">
        <v>1335.4564263010345</v>
      </c>
      <c r="BI107" s="385">
        <f>14</f>
        <v>14</v>
      </c>
      <c r="BJ107" s="358"/>
      <c r="BK107" s="385">
        <v>1335.4564263010345</v>
      </c>
      <c r="BL107" s="385">
        <f>14</f>
        <v>14</v>
      </c>
      <c r="BM107" s="358"/>
      <c r="BN107" s="385">
        <v>1335.4564263010345</v>
      </c>
      <c r="BO107" s="385">
        <f>14</f>
        <v>14</v>
      </c>
      <c r="BP107" s="358"/>
      <c r="BQ107" s="385">
        <v>1335.4564263010345</v>
      </c>
      <c r="BR107" s="385">
        <f>14</f>
        <v>14</v>
      </c>
      <c r="BS107" s="358"/>
      <c r="BT107" s="385">
        <v>1335.4564263010345</v>
      </c>
      <c r="BU107" s="385">
        <f>14</f>
        <v>14</v>
      </c>
      <c r="BV107" s="358"/>
      <c r="BW107" s="385">
        <v>1335.4564263010345</v>
      </c>
      <c r="BX107" s="385">
        <f>14</f>
        <v>14</v>
      </c>
      <c r="BY107" s="358"/>
      <c r="BZ107" s="385">
        <v>1335.4564263010345</v>
      </c>
      <c r="CA107" s="385">
        <f>14</f>
        <v>14</v>
      </c>
      <c r="CB107" s="358"/>
      <c r="CC107" s="385">
        <v>1335.4564263010345</v>
      </c>
      <c r="CD107" s="385">
        <f>14</f>
        <v>14</v>
      </c>
      <c r="CE107" s="358"/>
      <c r="CF107" s="385">
        <v>1335.4564263010345</v>
      </c>
      <c r="CG107" s="385">
        <f>14</f>
        <v>14</v>
      </c>
      <c r="CH107" s="358"/>
      <c r="CI107" s="385">
        <v>1335.4564263010345</v>
      </c>
      <c r="CJ107" s="385">
        <f>14</f>
        <v>14</v>
      </c>
      <c r="CK107" s="358"/>
      <c r="CL107" s="385">
        <v>1335.4564263010345</v>
      </c>
      <c r="CM107" s="385">
        <f>14</f>
        <v>14</v>
      </c>
      <c r="CN107" s="358"/>
      <c r="CO107" s="385">
        <v>1335.4564263010345</v>
      </c>
      <c r="CP107" s="385">
        <f>14</f>
        <v>14</v>
      </c>
      <c r="CQ107" s="358"/>
      <c r="CR107" s="385">
        <v>1335.4564263010345</v>
      </c>
      <c r="CS107" s="385">
        <f>14</f>
        <v>14</v>
      </c>
      <c r="CT107" s="358"/>
      <c r="CU107" s="385">
        <v>1335.4564263010345</v>
      </c>
      <c r="CV107" s="385">
        <f>14</f>
        <v>14</v>
      </c>
      <c r="CW107" s="358"/>
      <c r="CX107" s="385">
        <v>1335.4564263010345</v>
      </c>
      <c r="CY107" s="385">
        <f>14</f>
        <v>14</v>
      </c>
      <c r="CZ107" s="358"/>
      <c r="DA107" s="385">
        <v>1335.4564263010345</v>
      </c>
      <c r="DB107" s="385">
        <f>14</f>
        <v>14</v>
      </c>
      <c r="DC107" s="358"/>
      <c r="DD107" s="385">
        <v>1335.4564263010345</v>
      </c>
      <c r="DE107" s="385">
        <f>14</f>
        <v>14</v>
      </c>
      <c r="DF107" s="358"/>
      <c r="DG107" s="385">
        <v>1335.4564263010345</v>
      </c>
      <c r="DH107" s="385">
        <f>14</f>
        <v>14</v>
      </c>
      <c r="DI107" s="358"/>
      <c r="DJ107" s="385">
        <v>1335.4564263010345</v>
      </c>
      <c r="DK107" s="385">
        <f>14</f>
        <v>14</v>
      </c>
      <c r="DL107" s="358"/>
      <c r="DM107" s="385">
        <v>1335.4564263010345</v>
      </c>
      <c r="DN107" s="385">
        <f>14</f>
        <v>14</v>
      </c>
      <c r="DO107" s="358"/>
      <c r="DP107" s="385">
        <v>1335.4564263010345</v>
      </c>
      <c r="DQ107" s="385">
        <f>14</f>
        <v>14</v>
      </c>
      <c r="DR107" s="358"/>
      <c r="DS107" s="385">
        <v>1335.4564263010345</v>
      </c>
      <c r="DT107" s="385">
        <f>14</f>
        <v>14</v>
      </c>
      <c r="DU107" s="358"/>
      <c r="DV107" s="385">
        <v>1335.4564263010345</v>
      </c>
      <c r="DW107" s="385">
        <f>14</f>
        <v>14</v>
      </c>
      <c r="DX107" s="358"/>
      <c r="DY107" s="385">
        <v>1335.4564263010345</v>
      </c>
      <c r="DZ107" s="385">
        <f>14</f>
        <v>14</v>
      </c>
      <c r="EA107" s="358"/>
      <c r="EB107" s="385">
        <v>1335.4564263010345</v>
      </c>
      <c r="EC107" s="385">
        <f>14</f>
        <v>14</v>
      </c>
      <c r="ED107" s="358"/>
      <c r="EE107" s="385">
        <v>1335.4564263010345</v>
      </c>
      <c r="EF107" s="385">
        <f>14</f>
        <v>14</v>
      </c>
      <c r="EG107" s="358"/>
      <c r="EH107" s="385">
        <v>1335.4564263010345</v>
      </c>
      <c r="EI107" s="385">
        <f>14</f>
        <v>14</v>
      </c>
      <c r="EJ107" s="358"/>
      <c r="EK107" s="385">
        <v>1335.4564263010345</v>
      </c>
      <c r="EL107" s="385">
        <f>14</f>
        <v>14</v>
      </c>
      <c r="EM107" s="358"/>
      <c r="EN107" s="385">
        <v>1335.4564263010345</v>
      </c>
      <c r="EO107" s="385">
        <f>14</f>
        <v>14</v>
      </c>
      <c r="EP107" s="358"/>
      <c r="EQ107" s="385">
        <v>1335.4564263010345</v>
      </c>
      <c r="ER107" s="385">
        <f>14</f>
        <v>14</v>
      </c>
      <c r="ES107" s="358"/>
      <c r="ET107" s="385">
        <v>1335.4564263010345</v>
      </c>
      <c r="EU107" s="385">
        <f>14</f>
        <v>14</v>
      </c>
      <c r="EV107" s="358"/>
      <c r="EW107" s="385">
        <v>1335.4564263010345</v>
      </c>
      <c r="EX107" s="385">
        <f>14</f>
        <v>14</v>
      </c>
      <c r="EY107" s="358"/>
      <c r="EZ107" s="385">
        <v>1335.4564263010345</v>
      </c>
      <c r="FA107" s="385">
        <f>14</f>
        <v>14</v>
      </c>
      <c r="FB107" s="358"/>
      <c r="FC107" s="385">
        <v>1335.4564263010345</v>
      </c>
      <c r="FD107" s="385">
        <f>14</f>
        <v>14</v>
      </c>
      <c r="FE107" s="358"/>
      <c r="FF107" s="385">
        <v>1335.4564263010345</v>
      </c>
      <c r="FG107" s="385">
        <f>14</f>
        <v>14</v>
      </c>
      <c r="FH107" s="358"/>
      <c r="FI107" s="385">
        <v>1335.4564263010345</v>
      </c>
      <c r="FJ107" s="385">
        <f>14</f>
        <v>14</v>
      </c>
      <c r="FK107" s="358"/>
      <c r="FL107" s="385">
        <v>1335.4564263010345</v>
      </c>
      <c r="FM107" s="385">
        <f>14</f>
        <v>14</v>
      </c>
      <c r="FN107" s="358"/>
      <c r="FO107" s="385">
        <v>1335.4564263010345</v>
      </c>
      <c r="FP107" s="385">
        <f>14</f>
        <v>14</v>
      </c>
      <c r="FQ107" s="358"/>
      <c r="FR107" s="385">
        <v>1335.4564263010345</v>
      </c>
      <c r="FS107" s="385">
        <f>14</f>
        <v>14</v>
      </c>
      <c r="FT107" s="358"/>
      <c r="FU107" s="385">
        <v>1335.4564263010345</v>
      </c>
      <c r="FV107" s="385">
        <f>14</f>
        <v>14</v>
      </c>
      <c r="FW107" s="358"/>
      <c r="FX107" s="385">
        <v>1335.4564263010345</v>
      </c>
      <c r="FY107" s="385">
        <f>14</f>
        <v>14</v>
      </c>
      <c r="FZ107" s="358"/>
      <c r="GA107" s="385">
        <v>1335.4564263010345</v>
      </c>
      <c r="GB107" s="385">
        <f>14</f>
        <v>14</v>
      </c>
      <c r="GC107" s="358"/>
      <c r="GD107" s="385">
        <v>1335.4564263010345</v>
      </c>
      <c r="GE107" s="385">
        <f>14</f>
        <v>14</v>
      </c>
      <c r="GF107" s="358"/>
      <c r="GG107" s="385">
        <v>1335.4564263010345</v>
      </c>
      <c r="GH107" s="385">
        <f>14</f>
        <v>14</v>
      </c>
      <c r="GI107" s="358"/>
      <c r="GJ107" s="385">
        <v>1335.4564263010345</v>
      </c>
      <c r="GK107" s="385">
        <f>14</f>
        <v>14</v>
      </c>
      <c r="GL107" s="358"/>
      <c r="GM107" s="385">
        <v>1335.4564263010345</v>
      </c>
      <c r="GN107" s="385">
        <f>14</f>
        <v>14</v>
      </c>
      <c r="GO107" s="358"/>
      <c r="GP107" s="385">
        <v>1335.4564263010345</v>
      </c>
      <c r="GQ107" s="385">
        <f>14</f>
        <v>14</v>
      </c>
      <c r="GR107" s="358"/>
      <c r="GS107" s="385">
        <v>1335.4564263010345</v>
      </c>
      <c r="GT107" s="385">
        <f>14</f>
        <v>14</v>
      </c>
      <c r="GU107" s="358"/>
      <c r="GV107" s="385">
        <v>1335.4564263010345</v>
      </c>
      <c r="GW107" s="385">
        <f>14</f>
        <v>14</v>
      </c>
      <c r="GX107" s="358"/>
      <c r="GY107" s="385">
        <v>1335.4564263010345</v>
      </c>
      <c r="GZ107" s="385">
        <f>14</f>
        <v>14</v>
      </c>
      <c r="HA107" s="358"/>
      <c r="HB107" s="385">
        <v>1335.4564263010345</v>
      </c>
      <c r="HC107" s="385">
        <f>14</f>
        <v>14</v>
      </c>
      <c r="HD107" s="358"/>
      <c r="HE107" s="387">
        <v>1335.4564263010345</v>
      </c>
      <c r="HF107" s="386">
        <f>14*6</f>
        <v>84</v>
      </c>
      <c r="HG107" s="358"/>
      <c r="HH107" s="387">
        <v>1335.4564263010345</v>
      </c>
      <c r="HI107" s="358"/>
      <c r="HJ107" s="387">
        <v>1335.4564263010345</v>
      </c>
      <c r="HK107" s="358"/>
      <c r="HL107" s="387">
        <v>1335.4564263010345</v>
      </c>
      <c r="HM107" s="358"/>
      <c r="HN107" s="387">
        <v>1335.4564263010345</v>
      </c>
      <c r="HO107" s="358"/>
      <c r="HP107" s="387">
        <v>1335.4564263010345</v>
      </c>
      <c r="HQ107" s="358"/>
      <c r="HR107" s="387">
        <v>1335.4564263010345</v>
      </c>
      <c r="HS107" s="358"/>
      <c r="HT107" s="387">
        <v>1335.4564263010345</v>
      </c>
      <c r="HU107" s="358"/>
      <c r="HV107" s="388">
        <v>1335.4564263010345</v>
      </c>
      <c r="HW107" s="425"/>
      <c r="HX107" s="424">
        <v>1335.4564263010345</v>
      </c>
      <c r="HY107" s="425"/>
      <c r="HZ107" s="424">
        <v>1335.4564263010345</v>
      </c>
      <c r="IA107" s="425"/>
      <c r="IB107" s="424">
        <v>1335.4564263010345</v>
      </c>
      <c r="IC107" s="425"/>
      <c r="ID107" s="357">
        <f>VLOOKUP($C107,'[15]Prix accès'!A:D,4,FALSE)</f>
        <v>1335.4564263010345</v>
      </c>
      <c r="IE107" s="426"/>
      <c r="IF107" s="357">
        <f>VLOOKUP($C107,'[15]Prix accès'!$A:$D,4,FALSE)</f>
        <v>1335.4564263010345</v>
      </c>
      <c r="IG107" s="426"/>
      <c r="IH107" s="426"/>
      <c r="II107" s="426"/>
      <c r="IJ107" s="426"/>
      <c r="IK107" s="426"/>
      <c r="IL107" s="496"/>
      <c r="IM107" s="427"/>
      <c r="IN107" s="496"/>
      <c r="IO107" s="427"/>
      <c r="IP107" s="496"/>
      <c r="IQ107" s="427"/>
      <c r="IR107" s="429" t="s">
        <v>2891</v>
      </c>
      <c r="IS107" s="364" t="s">
        <v>77</v>
      </c>
      <c r="IT107" s="365">
        <v>43585</v>
      </c>
      <c r="IU107" s="371">
        <v>43586</v>
      </c>
      <c r="IW107" s="372">
        <f t="shared" si="16"/>
        <v>1</v>
      </c>
      <c r="IX107" s="373">
        <f t="shared" si="18"/>
        <v>43.785456600033918</v>
      </c>
      <c r="IY107" s="394">
        <f>IW107*IX107</f>
        <v>43.785456600033918</v>
      </c>
      <c r="IZ107" s="394"/>
      <c r="JA107" s="394"/>
    </row>
    <row r="108" spans="1:261" s="367" customFormat="1" ht="16.5" customHeight="1" x14ac:dyDescent="0.3">
      <c r="A108" s="354" t="s">
        <v>2743</v>
      </c>
      <c r="B108" s="465" t="s">
        <v>2791</v>
      </c>
      <c r="C108" s="447" t="s">
        <v>1071</v>
      </c>
      <c r="D108" s="467">
        <v>1454</v>
      </c>
      <c r="E108" s="468">
        <v>84</v>
      </c>
      <c r="F108" s="468">
        <v>0</v>
      </c>
      <c r="G108" s="468">
        <v>36</v>
      </c>
      <c r="H108" s="469">
        <v>0</v>
      </c>
      <c r="I108" s="841">
        <v>1538</v>
      </c>
      <c r="J108" s="835">
        <v>36</v>
      </c>
      <c r="K108" s="827"/>
      <c r="L108" s="835">
        <v>1538</v>
      </c>
      <c r="M108" s="835">
        <v>36</v>
      </c>
      <c r="N108" s="827"/>
      <c r="O108" s="835">
        <v>1538</v>
      </c>
      <c r="P108" s="835">
        <v>36</v>
      </c>
      <c r="Q108" s="827"/>
      <c r="R108" s="835">
        <v>1538</v>
      </c>
      <c r="S108" s="835">
        <v>36</v>
      </c>
      <c r="T108" s="827"/>
      <c r="U108" s="835">
        <v>1538</v>
      </c>
      <c r="V108" s="835">
        <v>36</v>
      </c>
      <c r="W108" s="827"/>
      <c r="X108" s="835">
        <v>1538</v>
      </c>
      <c r="Y108" s="835">
        <v>36</v>
      </c>
      <c r="Z108" s="827"/>
      <c r="AA108" s="835">
        <v>1538</v>
      </c>
      <c r="AB108" s="835">
        <v>36</v>
      </c>
      <c r="AC108" s="827"/>
      <c r="AD108" s="835">
        <v>1538</v>
      </c>
      <c r="AE108" s="835">
        <v>36</v>
      </c>
      <c r="AF108" s="827"/>
      <c r="AG108" s="835">
        <v>1538</v>
      </c>
      <c r="AH108" s="835">
        <v>36</v>
      </c>
      <c r="AI108" s="827"/>
      <c r="AJ108" s="835">
        <v>1538</v>
      </c>
      <c r="AK108" s="835">
        <v>36</v>
      </c>
      <c r="AL108" s="827"/>
      <c r="AM108" s="835">
        <v>1538</v>
      </c>
      <c r="AN108" s="835">
        <v>36</v>
      </c>
      <c r="AO108" s="827"/>
      <c r="AP108" s="835">
        <v>1538</v>
      </c>
      <c r="AQ108" s="835">
        <v>36</v>
      </c>
      <c r="AR108" s="827"/>
      <c r="AS108" s="835">
        <v>1538</v>
      </c>
      <c r="AT108" s="835">
        <v>36</v>
      </c>
      <c r="AU108" s="827"/>
      <c r="AV108" s="835">
        <v>1538</v>
      </c>
      <c r="AW108" s="835">
        <v>36</v>
      </c>
      <c r="AX108" s="827"/>
      <c r="AY108" s="835">
        <v>1538</v>
      </c>
      <c r="AZ108" s="835">
        <v>36</v>
      </c>
      <c r="BA108" s="358"/>
      <c r="BB108" s="384">
        <v>1538</v>
      </c>
      <c r="BC108" s="384">
        <v>36</v>
      </c>
      <c r="BD108" s="358"/>
      <c r="BE108" s="384">
        <v>1538</v>
      </c>
      <c r="BF108" s="384">
        <v>36</v>
      </c>
      <c r="BG108" s="358"/>
      <c r="BH108" s="384">
        <v>1538</v>
      </c>
      <c r="BI108" s="384">
        <v>36</v>
      </c>
      <c r="BJ108" s="472"/>
      <c r="BK108" s="386">
        <f>((1538-1341)/30.5)*25+1538</f>
        <v>1699.4754098360656</v>
      </c>
      <c r="BL108" s="386">
        <f>((36-14)/30.5)*25+36</f>
        <v>54.032786885245898</v>
      </c>
      <c r="BM108" s="370"/>
      <c r="BN108" s="386">
        <v>1538</v>
      </c>
      <c r="BO108" s="386">
        <v>36</v>
      </c>
      <c r="BP108" s="370"/>
      <c r="BQ108" s="384">
        <v>1341</v>
      </c>
      <c r="BR108" s="384">
        <v>14</v>
      </c>
      <c r="BS108" s="472"/>
      <c r="BT108" s="384">
        <v>1341</v>
      </c>
      <c r="BU108" s="384">
        <v>14</v>
      </c>
      <c r="BV108" s="472"/>
      <c r="BW108" s="384">
        <v>1341</v>
      </c>
      <c r="BX108" s="384">
        <v>14</v>
      </c>
      <c r="BY108" s="472"/>
      <c r="BZ108" s="384">
        <v>1341</v>
      </c>
      <c r="CA108" s="384">
        <v>14</v>
      </c>
      <c r="CB108" s="472"/>
      <c r="CC108" s="384">
        <v>1341</v>
      </c>
      <c r="CD108" s="384">
        <v>14</v>
      </c>
      <c r="CE108" s="472"/>
      <c r="CF108" s="384">
        <v>1341</v>
      </c>
      <c r="CG108" s="384">
        <v>14</v>
      </c>
      <c r="CH108" s="472"/>
      <c r="CI108" s="384">
        <v>1341</v>
      </c>
      <c r="CJ108" s="384">
        <v>14</v>
      </c>
      <c r="CK108" s="472"/>
      <c r="CL108" s="384">
        <v>1341</v>
      </c>
      <c r="CM108" s="384">
        <v>14</v>
      </c>
      <c r="CN108" s="472"/>
      <c r="CO108" s="384">
        <v>1341</v>
      </c>
      <c r="CP108" s="384">
        <v>14</v>
      </c>
      <c r="CQ108" s="472"/>
      <c r="CR108" s="384">
        <v>1341</v>
      </c>
      <c r="CS108" s="384">
        <v>14</v>
      </c>
      <c r="CT108" s="472"/>
      <c r="CU108" s="384">
        <v>1341</v>
      </c>
      <c r="CV108" s="384">
        <v>14</v>
      </c>
      <c r="CW108" s="472"/>
      <c r="CX108" s="384">
        <v>1341</v>
      </c>
      <c r="CY108" s="384">
        <v>14</v>
      </c>
      <c r="CZ108" s="472"/>
      <c r="DA108" s="384">
        <v>1225.2564263010347</v>
      </c>
      <c r="DB108" s="384"/>
      <c r="DC108" s="472"/>
      <c r="DD108" s="384">
        <v>1225.2564263010347</v>
      </c>
      <c r="DE108" s="384"/>
      <c r="DF108" s="472"/>
      <c r="DG108" s="384">
        <v>1225.2564263010347</v>
      </c>
      <c r="DH108" s="384"/>
      <c r="DI108" s="472"/>
      <c r="DJ108" s="384">
        <v>1225.2564263010347</v>
      </c>
      <c r="DK108" s="384"/>
      <c r="DL108" s="472"/>
      <c r="DM108" s="384">
        <v>1225.2564263010347</v>
      </c>
      <c r="DN108" s="384"/>
      <c r="DO108" s="472"/>
      <c r="DP108" s="384">
        <v>1225.2564263010347</v>
      </c>
      <c r="DQ108" s="384"/>
      <c r="DR108" s="472"/>
      <c r="DS108" s="384">
        <v>1225.2564263010347</v>
      </c>
      <c r="DT108" s="384"/>
      <c r="DU108" s="472"/>
      <c r="DV108" s="384">
        <v>1225.2564263010347</v>
      </c>
      <c r="DW108" s="384"/>
      <c r="DX108" s="472"/>
      <c r="DY108" s="384">
        <v>1225.2564263010347</v>
      </c>
      <c r="DZ108" s="384"/>
      <c r="EA108" s="472"/>
      <c r="EB108" s="384">
        <v>1225.2564263010347</v>
      </c>
      <c r="EC108" s="384"/>
      <c r="ED108" s="472"/>
      <c r="EE108" s="384">
        <v>1225.2564263010347</v>
      </c>
      <c r="EF108" s="384"/>
      <c r="EG108" s="472"/>
      <c r="EH108" s="384">
        <v>1225.2564263010347</v>
      </c>
      <c r="EI108" s="384"/>
      <c r="EJ108" s="472"/>
      <c r="EK108" s="384">
        <v>1225.2564263010347</v>
      </c>
      <c r="EL108" s="384"/>
      <c r="EM108" s="472"/>
      <c r="EN108" s="384">
        <v>1225.2564263010347</v>
      </c>
      <c r="EO108" s="384"/>
      <c r="EP108" s="472"/>
      <c r="EQ108" s="384">
        <v>1225.2564263010347</v>
      </c>
      <c r="ER108" s="384"/>
      <c r="ES108" s="472"/>
      <c r="ET108" s="384">
        <v>1225.2564263010347</v>
      </c>
      <c r="EU108" s="384"/>
      <c r="EV108" s="472"/>
      <c r="EW108" s="384">
        <v>1225.2564263010347</v>
      </c>
      <c r="EX108" s="384"/>
      <c r="EY108" s="472"/>
      <c r="EZ108" s="384">
        <v>1225.2564263010347</v>
      </c>
      <c r="FA108" s="384"/>
      <c r="FB108" s="472"/>
      <c r="FC108" s="384">
        <v>1225.2564263010347</v>
      </c>
      <c r="FD108" s="384"/>
      <c r="FE108" s="472"/>
      <c r="FF108" s="384">
        <v>1225.2564263010347</v>
      </c>
      <c r="FG108" s="384"/>
      <c r="FH108" s="472"/>
      <c r="FI108" s="384">
        <v>1225.2564263010347</v>
      </c>
      <c r="FJ108" s="384"/>
      <c r="FK108" s="472"/>
      <c r="FL108" s="384">
        <v>1225.2564263010347</v>
      </c>
      <c r="FM108" s="384"/>
      <c r="FN108" s="472"/>
      <c r="FO108" s="384">
        <v>1225.2564263010347</v>
      </c>
      <c r="FP108" s="384"/>
      <c r="FQ108" s="472"/>
      <c r="FR108" s="384">
        <v>1225.2564263010347</v>
      </c>
      <c r="FS108" s="384"/>
      <c r="FT108" s="472"/>
      <c r="FU108" s="387">
        <v>1225.2564263010347</v>
      </c>
      <c r="FV108" s="387"/>
      <c r="FW108" s="358"/>
      <c r="FX108" s="387">
        <v>1225.2564263010347</v>
      </c>
      <c r="FY108" s="387"/>
      <c r="FZ108" s="358"/>
      <c r="GA108" s="387">
        <v>1225.2564263010347</v>
      </c>
      <c r="GB108" s="387"/>
      <c r="GC108" s="358"/>
      <c r="GD108" s="387">
        <v>1225.2564263010347</v>
      </c>
      <c r="GE108" s="387"/>
      <c r="GF108" s="358"/>
      <c r="GG108" s="387">
        <v>1225.2564263010347</v>
      </c>
      <c r="GH108" s="387"/>
      <c r="GI108" s="358"/>
      <c r="GJ108" s="387">
        <v>1225.2564263010347</v>
      </c>
      <c r="GK108" s="387"/>
      <c r="GL108" s="358"/>
      <c r="GM108" s="387">
        <v>1225.2564263010347</v>
      </c>
      <c r="GN108" s="387"/>
      <c r="GO108" s="358"/>
      <c r="GP108" s="387">
        <v>1225.2564263010347</v>
      </c>
      <c r="GQ108" s="387"/>
      <c r="GR108" s="358"/>
      <c r="GS108" s="387">
        <v>1225.2564263010347</v>
      </c>
      <c r="GT108" s="387"/>
      <c r="GU108" s="358"/>
      <c r="GV108" s="387">
        <v>1225.2564263010347</v>
      </c>
      <c r="GW108" s="387"/>
      <c r="GX108" s="358"/>
      <c r="GY108" s="387">
        <v>1225.2564263010347</v>
      </c>
      <c r="GZ108" s="387"/>
      <c r="HA108" s="358"/>
      <c r="HB108" s="387">
        <v>1225.2564263010347</v>
      </c>
      <c r="HC108" s="387"/>
      <c r="HD108" s="358"/>
      <c r="HE108" s="387">
        <v>1225.2564263010347</v>
      </c>
      <c r="HF108" s="387"/>
      <c r="HG108" s="358"/>
      <c r="HH108" s="387">
        <v>1225.2564263010347</v>
      </c>
      <c r="HI108" s="358"/>
      <c r="HJ108" s="387">
        <v>1225.2564263010347</v>
      </c>
      <c r="HK108" s="358"/>
      <c r="HL108" s="387">
        <v>1225.2564263010347</v>
      </c>
      <c r="HM108" s="358"/>
      <c r="HN108" s="387">
        <v>1225.2564263010347</v>
      </c>
      <c r="HO108" s="358"/>
      <c r="HP108" s="387">
        <v>1225.2564263010347</v>
      </c>
      <c r="HQ108" s="358"/>
      <c r="HR108" s="387">
        <v>1225.2564263010347</v>
      </c>
      <c r="HS108" s="358"/>
      <c r="HT108" s="387">
        <v>1225.2564263010347</v>
      </c>
      <c r="HU108" s="358"/>
      <c r="HV108" s="388">
        <v>1225.2564263010347</v>
      </c>
      <c r="HW108" s="425"/>
      <c r="HX108" s="424">
        <v>1225.2564263010347</v>
      </c>
      <c r="HY108" s="425"/>
      <c r="HZ108" s="424">
        <v>1225.2564263010347</v>
      </c>
      <c r="IA108" s="425"/>
      <c r="IB108" s="424">
        <v>1225.2564263010347</v>
      </c>
      <c r="IC108" s="425"/>
      <c r="ID108" s="357">
        <f>VLOOKUP($C108,'[15]Prix accès'!A:D,4,FALSE)</f>
        <v>1225.2564263010347</v>
      </c>
      <c r="IE108" s="426"/>
      <c r="IF108" s="357">
        <f>VLOOKUP($C108,'[15]Prix accès'!$A:$D,4,FALSE)</f>
        <v>1225.2564263010347</v>
      </c>
      <c r="IG108" s="426"/>
      <c r="IH108" s="426"/>
      <c r="II108" s="426"/>
      <c r="IJ108" s="426"/>
      <c r="IK108" s="426"/>
      <c r="IL108" s="496"/>
      <c r="IM108" s="427"/>
      <c r="IN108" s="496"/>
      <c r="IO108" s="427"/>
      <c r="IP108" s="496"/>
      <c r="IQ108" s="427"/>
      <c r="IR108" s="429" t="s">
        <v>3072</v>
      </c>
      <c r="IS108" s="364" t="s">
        <v>77</v>
      </c>
      <c r="IT108" s="365">
        <v>43585</v>
      </c>
      <c r="IU108" s="371">
        <v>43586</v>
      </c>
      <c r="IW108" s="372">
        <f t="shared" si="16"/>
        <v>1</v>
      </c>
      <c r="IX108" s="373">
        <f t="shared" si="18"/>
        <v>40.172341845935563</v>
      </c>
      <c r="IY108" s="394">
        <f>IW108*IX108</f>
        <v>40.172341845935563</v>
      </c>
      <c r="IZ108" s="394"/>
      <c r="JA108" s="394"/>
    </row>
    <row r="109" spans="1:261" s="367" customFormat="1" ht="16.5" customHeight="1" x14ac:dyDescent="0.3">
      <c r="A109" s="354" t="s">
        <v>2743</v>
      </c>
      <c r="B109" s="415" t="s">
        <v>2748</v>
      </c>
      <c r="C109" s="447" t="s">
        <v>1012</v>
      </c>
      <c r="D109" s="448">
        <v>1149</v>
      </c>
      <c r="E109" s="449">
        <v>71</v>
      </c>
      <c r="F109" s="449">
        <v>16</v>
      </c>
      <c r="G109" s="449">
        <v>5</v>
      </c>
      <c r="H109" s="450">
        <v>0</v>
      </c>
      <c r="I109" s="830">
        <v>1235</v>
      </c>
      <c r="J109" s="831">
        <v>5</v>
      </c>
      <c r="K109" s="827"/>
      <c r="L109" s="831">
        <v>1235</v>
      </c>
      <c r="M109" s="831">
        <v>5</v>
      </c>
      <c r="N109" s="827"/>
      <c r="O109" s="831">
        <v>1235</v>
      </c>
      <c r="P109" s="831">
        <v>5</v>
      </c>
      <c r="Q109" s="827"/>
      <c r="R109" s="831">
        <v>1235</v>
      </c>
      <c r="S109" s="831">
        <v>5</v>
      </c>
      <c r="T109" s="827"/>
      <c r="U109" s="831">
        <v>1235</v>
      </c>
      <c r="V109" s="831">
        <v>5</v>
      </c>
      <c r="W109" s="827"/>
      <c r="X109" s="831">
        <v>1235</v>
      </c>
      <c r="Y109" s="831">
        <v>5</v>
      </c>
      <c r="Z109" s="827"/>
      <c r="AA109" s="831">
        <v>1235</v>
      </c>
      <c r="AB109" s="831">
        <v>5</v>
      </c>
      <c r="AC109" s="827"/>
      <c r="AD109" s="831">
        <v>1235</v>
      </c>
      <c r="AE109" s="831">
        <v>5</v>
      </c>
      <c r="AF109" s="827"/>
      <c r="AG109" s="831">
        <v>1235</v>
      </c>
      <c r="AH109" s="831">
        <v>5</v>
      </c>
      <c r="AI109" s="827"/>
      <c r="AJ109" s="831">
        <v>1235</v>
      </c>
      <c r="AK109" s="831">
        <v>5</v>
      </c>
      <c r="AL109" s="827"/>
      <c r="AM109" s="831">
        <v>1235</v>
      </c>
      <c r="AN109" s="831">
        <v>5</v>
      </c>
      <c r="AO109" s="827"/>
      <c r="AP109" s="831">
        <v>1235</v>
      </c>
      <c r="AQ109" s="831">
        <v>5</v>
      </c>
      <c r="AR109" s="827"/>
      <c r="AS109" s="831">
        <v>1235</v>
      </c>
      <c r="AT109" s="831">
        <v>5</v>
      </c>
      <c r="AU109" s="827"/>
      <c r="AV109" s="831">
        <v>1235</v>
      </c>
      <c r="AW109" s="831">
        <v>5</v>
      </c>
      <c r="AX109" s="827"/>
      <c r="AY109" s="831">
        <v>1235</v>
      </c>
      <c r="AZ109" s="831">
        <v>5</v>
      </c>
      <c r="BA109" s="358"/>
      <c r="BB109" s="385">
        <v>1235</v>
      </c>
      <c r="BC109" s="385">
        <v>5</v>
      </c>
      <c r="BD109" s="358"/>
      <c r="BE109" s="385">
        <v>1235</v>
      </c>
      <c r="BF109" s="385">
        <v>5</v>
      </c>
      <c r="BG109" s="358"/>
      <c r="BH109" s="385">
        <v>1235</v>
      </c>
      <c r="BI109" s="385">
        <v>5</v>
      </c>
      <c r="BJ109" s="369"/>
      <c r="BK109" s="385">
        <v>1235</v>
      </c>
      <c r="BL109" s="385">
        <v>5</v>
      </c>
      <c r="BM109" s="369"/>
      <c r="BN109" s="385">
        <v>1235</v>
      </c>
      <c r="BO109" s="385">
        <v>5</v>
      </c>
      <c r="BP109" s="369"/>
      <c r="BQ109" s="385">
        <v>1235</v>
      </c>
      <c r="BR109" s="385">
        <v>5</v>
      </c>
      <c r="BS109" s="369"/>
      <c r="BT109" s="385">
        <v>1235</v>
      </c>
      <c r="BU109" s="385">
        <v>5</v>
      </c>
      <c r="BV109" s="369"/>
      <c r="BW109" s="385">
        <v>1235</v>
      </c>
      <c r="BX109" s="385">
        <v>5</v>
      </c>
      <c r="BY109" s="369"/>
      <c r="BZ109" s="385">
        <v>1235</v>
      </c>
      <c r="CA109" s="385">
        <v>5</v>
      </c>
      <c r="CB109" s="369"/>
      <c r="CC109" s="385">
        <v>1235</v>
      </c>
      <c r="CD109" s="385">
        <v>5</v>
      </c>
      <c r="CE109" s="369"/>
      <c r="CF109" s="385">
        <v>1235</v>
      </c>
      <c r="CG109" s="385">
        <v>5</v>
      </c>
      <c r="CH109" s="369"/>
      <c r="CI109" s="385">
        <v>1235</v>
      </c>
      <c r="CJ109" s="385">
        <v>5</v>
      </c>
      <c r="CK109" s="369"/>
      <c r="CL109" s="385">
        <v>1235</v>
      </c>
      <c r="CM109" s="385">
        <v>5</v>
      </c>
      <c r="CN109" s="369"/>
      <c r="CO109" s="385">
        <v>1235</v>
      </c>
      <c r="CP109" s="385">
        <v>5</v>
      </c>
      <c r="CQ109" s="369"/>
      <c r="CR109" s="385">
        <v>1235</v>
      </c>
      <c r="CS109" s="385">
        <v>5</v>
      </c>
      <c r="CT109" s="369"/>
      <c r="CU109" s="385">
        <v>1235</v>
      </c>
      <c r="CV109" s="385">
        <v>5</v>
      </c>
      <c r="CW109" s="369"/>
      <c r="CX109" s="385">
        <v>1235</v>
      </c>
      <c r="CY109" s="385">
        <v>5</v>
      </c>
      <c r="CZ109" s="369"/>
      <c r="DA109" s="385">
        <v>1235</v>
      </c>
      <c r="DB109" s="385">
        <v>5</v>
      </c>
      <c r="DC109" s="369"/>
      <c r="DD109" s="385">
        <v>1235</v>
      </c>
      <c r="DE109" s="385">
        <v>5</v>
      </c>
      <c r="DF109" s="369"/>
      <c r="DG109" s="385">
        <v>1235</v>
      </c>
      <c r="DH109" s="385">
        <v>5</v>
      </c>
      <c r="DI109" s="369"/>
      <c r="DJ109" s="385">
        <v>1235</v>
      </c>
      <c r="DK109" s="385">
        <v>5</v>
      </c>
      <c r="DL109" s="369"/>
      <c r="DM109" s="385">
        <v>1235</v>
      </c>
      <c r="DN109" s="385">
        <v>5</v>
      </c>
      <c r="DO109" s="369"/>
      <c r="DP109" s="385">
        <v>1235</v>
      </c>
      <c r="DQ109" s="385">
        <v>5</v>
      </c>
      <c r="DR109" s="369"/>
      <c r="DS109" s="385">
        <v>1235</v>
      </c>
      <c r="DT109" s="385">
        <v>5</v>
      </c>
      <c r="DU109" s="369"/>
      <c r="DV109" s="386">
        <f>((1235-1335)/30.5)*8+(1235-1335)+1235</f>
        <v>1108.7704918032787</v>
      </c>
      <c r="DW109" s="386">
        <f>((5-14)/30.5)*8+(5-14)+5</f>
        <v>-6.3606557377049171</v>
      </c>
      <c r="DX109" s="370"/>
      <c r="DY109" s="385">
        <v>1335.4564263010345</v>
      </c>
      <c r="DZ109" s="385">
        <f>14</f>
        <v>14</v>
      </c>
      <c r="EA109" s="358"/>
      <c r="EB109" s="385">
        <v>1335.4564263010345</v>
      </c>
      <c r="EC109" s="385">
        <f>14</f>
        <v>14</v>
      </c>
      <c r="ED109" s="358"/>
      <c r="EE109" s="385">
        <v>1335.4564263010345</v>
      </c>
      <c r="EF109" s="385">
        <f>14</f>
        <v>14</v>
      </c>
      <c r="EG109" s="358"/>
      <c r="EH109" s="385">
        <v>1335.4564263010345</v>
      </c>
      <c r="EI109" s="385">
        <f>14</f>
        <v>14</v>
      </c>
      <c r="EJ109" s="358"/>
      <c r="EK109" s="385">
        <v>1335.4564263010345</v>
      </c>
      <c r="EL109" s="385">
        <f>14</f>
        <v>14</v>
      </c>
      <c r="EM109" s="358"/>
      <c r="EN109" s="385">
        <v>1335.4564263010345</v>
      </c>
      <c r="EO109" s="385">
        <f>14</f>
        <v>14</v>
      </c>
      <c r="EP109" s="358"/>
      <c r="EQ109" s="385">
        <v>1335.4564263010345</v>
      </c>
      <c r="ER109" s="385">
        <f>14</f>
        <v>14</v>
      </c>
      <c r="ES109" s="358"/>
      <c r="ET109" s="385">
        <v>1335.4564263010345</v>
      </c>
      <c r="EU109" s="385">
        <f>14</f>
        <v>14</v>
      </c>
      <c r="EV109" s="358"/>
      <c r="EW109" s="385">
        <v>1335.4564263010345</v>
      </c>
      <c r="EX109" s="385">
        <f>14</f>
        <v>14</v>
      </c>
      <c r="EY109" s="358"/>
      <c r="EZ109" s="385">
        <v>1335.4564263010345</v>
      </c>
      <c r="FA109" s="385">
        <f>14</f>
        <v>14</v>
      </c>
      <c r="FB109" s="358"/>
      <c r="FC109" s="385">
        <v>1335.4564263010345</v>
      </c>
      <c r="FD109" s="385">
        <f>14</f>
        <v>14</v>
      </c>
      <c r="FE109" s="358"/>
      <c r="FF109" s="385">
        <v>1335.4564263010345</v>
      </c>
      <c r="FG109" s="385">
        <f>14</f>
        <v>14</v>
      </c>
      <c r="FH109" s="358"/>
      <c r="FI109" s="385">
        <v>1335.4564263010345</v>
      </c>
      <c r="FJ109" s="385">
        <f>14</f>
        <v>14</v>
      </c>
      <c r="FK109" s="358"/>
      <c r="FL109" s="385">
        <v>1335.4564263010345</v>
      </c>
      <c r="FM109" s="385">
        <f>14</f>
        <v>14</v>
      </c>
      <c r="FN109" s="358"/>
      <c r="FO109" s="385">
        <v>1335.4564263010345</v>
      </c>
      <c r="FP109" s="385">
        <f>14</f>
        <v>14</v>
      </c>
      <c r="FQ109" s="358"/>
      <c r="FR109" s="385">
        <v>1335.4564263010345</v>
      </c>
      <c r="FS109" s="385">
        <f>14</f>
        <v>14</v>
      </c>
      <c r="FT109" s="358"/>
      <c r="FU109" s="385">
        <v>1335.4564263010345</v>
      </c>
      <c r="FV109" s="385">
        <f>14</f>
        <v>14</v>
      </c>
      <c r="FW109" s="358"/>
      <c r="FX109" s="385">
        <v>1335.4564263010345</v>
      </c>
      <c r="FY109" s="385">
        <f>14</f>
        <v>14</v>
      </c>
      <c r="FZ109" s="358"/>
      <c r="GA109" s="385">
        <v>1335.4564263010345</v>
      </c>
      <c r="GB109" s="385">
        <f>14</f>
        <v>14</v>
      </c>
      <c r="GC109" s="358"/>
      <c r="GD109" s="385">
        <v>1335.4564263010345</v>
      </c>
      <c r="GE109" s="385">
        <f>14</f>
        <v>14</v>
      </c>
      <c r="GF109" s="358"/>
      <c r="GG109" s="385">
        <v>1335.4564263010345</v>
      </c>
      <c r="GH109" s="385">
        <f>14</f>
        <v>14</v>
      </c>
      <c r="GI109" s="358"/>
      <c r="GJ109" s="385">
        <v>1335.4564263010345</v>
      </c>
      <c r="GK109" s="385">
        <f>14</f>
        <v>14</v>
      </c>
      <c r="GL109" s="358"/>
      <c r="GM109" s="385">
        <v>1335.4564263010345</v>
      </c>
      <c r="GN109" s="385">
        <f>14</f>
        <v>14</v>
      </c>
      <c r="GO109" s="358"/>
      <c r="GP109" s="385">
        <v>1335.4564263010345</v>
      </c>
      <c r="GQ109" s="385">
        <f>14</f>
        <v>14</v>
      </c>
      <c r="GR109" s="358"/>
      <c r="GS109" s="385">
        <v>1335.4564263010345</v>
      </c>
      <c r="GT109" s="385">
        <f>14</f>
        <v>14</v>
      </c>
      <c r="GU109" s="358"/>
      <c r="GV109" s="385">
        <v>1335.4564263010345</v>
      </c>
      <c r="GW109" s="385">
        <f>14</f>
        <v>14</v>
      </c>
      <c r="GX109" s="358"/>
      <c r="GY109" s="385">
        <v>1335.4564263010345</v>
      </c>
      <c r="GZ109" s="385">
        <f>14</f>
        <v>14</v>
      </c>
      <c r="HA109" s="358"/>
      <c r="HB109" s="385">
        <v>1335.4564263010345</v>
      </c>
      <c r="HC109" s="385">
        <f>14</f>
        <v>14</v>
      </c>
      <c r="HD109" s="358"/>
      <c r="HE109" s="387">
        <v>1335.4564263010345</v>
      </c>
      <c r="HF109" s="386">
        <f>14*6</f>
        <v>84</v>
      </c>
      <c r="HG109" s="358"/>
      <c r="HH109" s="387">
        <v>1335.4564263010345</v>
      </c>
      <c r="HI109" s="358"/>
      <c r="HJ109" s="387">
        <v>1335.4564263010345</v>
      </c>
      <c r="HK109" s="358"/>
      <c r="HL109" s="387">
        <v>1335.4564263010345</v>
      </c>
      <c r="HM109" s="358"/>
      <c r="HN109" s="387">
        <v>1335.4564263010345</v>
      </c>
      <c r="HO109" s="358"/>
      <c r="HP109" s="387">
        <v>1335.4564263010345</v>
      </c>
      <c r="HQ109" s="358"/>
      <c r="HR109" s="387">
        <v>1335.4564263010345</v>
      </c>
      <c r="HS109" s="358"/>
      <c r="HT109" s="387">
        <v>1335.4564263010345</v>
      </c>
      <c r="HU109" s="358"/>
      <c r="HV109" s="388">
        <v>1335.4564263010345</v>
      </c>
      <c r="HW109" s="425"/>
      <c r="HX109" s="424">
        <v>1335.4564263010345</v>
      </c>
      <c r="HY109" s="425"/>
      <c r="HZ109" s="424">
        <v>1335.4564263010345</v>
      </c>
      <c r="IA109" s="425"/>
      <c r="IB109" s="424">
        <v>1335.4564263010345</v>
      </c>
      <c r="IC109" s="425"/>
      <c r="ID109" s="357">
        <f>VLOOKUP($C109,'[15]Prix accès'!A:D,4,FALSE)</f>
        <v>1335.4564263010345</v>
      </c>
      <c r="IE109" s="361"/>
      <c r="IF109" s="408">
        <v>1269.7782414009837</v>
      </c>
      <c r="IG109" s="426"/>
      <c r="IH109" s="426"/>
      <c r="II109" s="426"/>
      <c r="IJ109" s="426"/>
      <c r="IK109" s="426"/>
      <c r="IL109" s="496"/>
      <c r="IM109" s="427"/>
      <c r="IN109" s="496"/>
      <c r="IO109" s="427"/>
      <c r="IP109" s="496"/>
      <c r="IQ109" s="427"/>
      <c r="IR109" s="429" t="s">
        <v>3138</v>
      </c>
      <c r="IS109" s="364" t="s">
        <v>77</v>
      </c>
      <c r="IT109" s="365">
        <v>43588</v>
      </c>
      <c r="IU109" s="371">
        <v>43617</v>
      </c>
      <c r="IV109" s="464">
        <v>44827</v>
      </c>
      <c r="IW109" s="372">
        <f t="shared" si="16"/>
        <v>29</v>
      </c>
      <c r="IX109" s="373">
        <f t="shared" si="18"/>
        <v>43.785456600033918</v>
      </c>
      <c r="IY109" s="531">
        <f>IX109*IW109</f>
        <v>1269.7782414009837</v>
      </c>
      <c r="IZ109" s="531"/>
      <c r="JA109" s="531"/>
    </row>
    <row r="110" spans="1:261" s="367" customFormat="1" ht="16.5" customHeight="1" x14ac:dyDescent="0.3">
      <c r="A110" s="354" t="s">
        <v>2735</v>
      </c>
      <c r="B110" s="355" t="s">
        <v>2940</v>
      </c>
      <c r="C110" s="443" t="s">
        <v>293</v>
      </c>
      <c r="D110" s="444">
        <v>2623</v>
      </c>
      <c r="E110" s="445">
        <v>60</v>
      </c>
      <c r="F110" s="445">
        <v>48</v>
      </c>
      <c r="G110" s="445">
        <v>14</v>
      </c>
      <c r="H110" s="446">
        <v>0</v>
      </c>
      <c r="I110" s="841">
        <v>2731</v>
      </c>
      <c r="J110" s="835">
        <v>14</v>
      </c>
      <c r="K110" s="835"/>
      <c r="L110" s="835">
        <v>2731</v>
      </c>
      <c r="M110" s="835">
        <v>14</v>
      </c>
      <c r="N110" s="835"/>
      <c r="O110" s="835">
        <v>2731</v>
      </c>
      <c r="P110" s="835">
        <v>14</v>
      </c>
      <c r="Q110" s="835"/>
      <c r="R110" s="842">
        <f>((2731-2111)/30.5)*22+2731</f>
        <v>3178.2131147540986</v>
      </c>
      <c r="S110" s="842">
        <f>((14-5)/30.5)*22+14</f>
        <v>20.491803278688526</v>
      </c>
      <c r="T110" s="827"/>
      <c r="U110" s="831">
        <v>2111</v>
      </c>
      <c r="V110" s="831">
        <f>5</f>
        <v>5</v>
      </c>
      <c r="W110" s="827"/>
      <c r="X110" s="831">
        <v>2111</v>
      </c>
      <c r="Y110" s="831">
        <f>5</f>
        <v>5</v>
      </c>
      <c r="Z110" s="827"/>
      <c r="AA110" s="831">
        <v>2111</v>
      </c>
      <c r="AB110" s="831">
        <f>5</f>
        <v>5</v>
      </c>
      <c r="AC110" s="827"/>
      <c r="AD110" s="831">
        <v>2111</v>
      </c>
      <c r="AE110" s="831">
        <f>5</f>
        <v>5</v>
      </c>
      <c r="AF110" s="827"/>
      <c r="AG110" s="831">
        <v>2111</v>
      </c>
      <c r="AH110" s="831">
        <f>5</f>
        <v>5</v>
      </c>
      <c r="AI110" s="827"/>
      <c r="AJ110" s="831">
        <v>2111</v>
      </c>
      <c r="AK110" s="831">
        <f>5</f>
        <v>5</v>
      </c>
      <c r="AL110" s="827"/>
      <c r="AM110" s="831">
        <v>2111</v>
      </c>
      <c r="AN110" s="831">
        <f>5</f>
        <v>5</v>
      </c>
      <c r="AO110" s="827"/>
      <c r="AP110" s="831">
        <v>2111</v>
      </c>
      <c r="AQ110" s="831">
        <f>5</f>
        <v>5</v>
      </c>
      <c r="AR110" s="827"/>
      <c r="AS110" s="831">
        <v>2111</v>
      </c>
      <c r="AT110" s="831">
        <f>5</f>
        <v>5</v>
      </c>
      <c r="AU110" s="827"/>
      <c r="AV110" s="831">
        <v>2111</v>
      </c>
      <c r="AW110" s="831">
        <f>5</f>
        <v>5</v>
      </c>
      <c r="AX110" s="827"/>
      <c r="AY110" s="831">
        <v>2111</v>
      </c>
      <c r="AZ110" s="831">
        <f>5</f>
        <v>5</v>
      </c>
      <c r="BA110" s="358"/>
      <c r="BB110" s="385">
        <v>2111</v>
      </c>
      <c r="BC110" s="385">
        <f>5</f>
        <v>5</v>
      </c>
      <c r="BD110" s="358"/>
      <c r="BE110" s="385">
        <v>2111</v>
      </c>
      <c r="BF110" s="385">
        <f>5</f>
        <v>5</v>
      </c>
      <c r="BG110" s="358"/>
      <c r="BH110" s="385">
        <v>2111</v>
      </c>
      <c r="BI110" s="385">
        <f>5</f>
        <v>5</v>
      </c>
      <c r="BJ110" s="369"/>
      <c r="BK110" s="385">
        <v>2111</v>
      </c>
      <c r="BL110" s="385">
        <f>5</f>
        <v>5</v>
      </c>
      <c r="BM110" s="369"/>
      <c r="BN110" s="385">
        <v>2111</v>
      </c>
      <c r="BO110" s="385">
        <f>5</f>
        <v>5</v>
      </c>
      <c r="BP110" s="369"/>
      <c r="BQ110" s="385">
        <v>2111</v>
      </c>
      <c r="BR110" s="385">
        <f>5</f>
        <v>5</v>
      </c>
      <c r="BS110" s="369"/>
      <c r="BT110" s="385">
        <v>2111</v>
      </c>
      <c r="BU110" s="385">
        <f>5</f>
        <v>5</v>
      </c>
      <c r="BV110" s="369"/>
      <c r="BW110" s="385">
        <v>2111</v>
      </c>
      <c r="BX110" s="385">
        <f>5</f>
        <v>5</v>
      </c>
      <c r="BY110" s="369"/>
      <c r="BZ110" s="385">
        <v>2111</v>
      </c>
      <c r="CA110" s="385">
        <f>5</f>
        <v>5</v>
      </c>
      <c r="CB110" s="369"/>
      <c r="CC110" s="385">
        <v>2111</v>
      </c>
      <c r="CD110" s="385">
        <f>5</f>
        <v>5</v>
      </c>
      <c r="CE110" s="369"/>
      <c r="CF110" s="385">
        <v>2111</v>
      </c>
      <c r="CG110" s="385">
        <f>5</f>
        <v>5</v>
      </c>
      <c r="CH110" s="369"/>
      <c r="CI110" s="385">
        <v>2111</v>
      </c>
      <c r="CJ110" s="385">
        <f>5</f>
        <v>5</v>
      </c>
      <c r="CK110" s="369"/>
      <c r="CL110" s="385">
        <v>2111</v>
      </c>
      <c r="CM110" s="385">
        <f>5</f>
        <v>5</v>
      </c>
      <c r="CN110" s="369"/>
      <c r="CO110" s="385">
        <v>2111</v>
      </c>
      <c r="CP110" s="385">
        <f>5</f>
        <v>5</v>
      </c>
      <c r="CQ110" s="369"/>
      <c r="CR110" s="385">
        <v>2111</v>
      </c>
      <c r="CS110" s="385">
        <f>5</f>
        <v>5</v>
      </c>
      <c r="CT110" s="369"/>
      <c r="CU110" s="385">
        <v>2111</v>
      </c>
      <c r="CV110" s="385">
        <f>5</f>
        <v>5</v>
      </c>
      <c r="CW110" s="369"/>
      <c r="CX110" s="386">
        <f>((2111-2064)/30.5)*16+2111</f>
        <v>2135.655737704918</v>
      </c>
      <c r="CY110" s="386">
        <f>5</f>
        <v>5</v>
      </c>
      <c r="CZ110" s="370"/>
      <c r="DA110" s="385">
        <v>2064.0564263010347</v>
      </c>
      <c r="DB110" s="385">
        <f>5</f>
        <v>5</v>
      </c>
      <c r="DC110" s="358"/>
      <c r="DD110" s="385">
        <v>2064.0564263010347</v>
      </c>
      <c r="DE110" s="385">
        <f>5</f>
        <v>5</v>
      </c>
      <c r="DF110" s="358"/>
      <c r="DG110" s="385">
        <v>2064.0564263010347</v>
      </c>
      <c r="DH110" s="385">
        <f>5</f>
        <v>5</v>
      </c>
      <c r="DI110" s="358"/>
      <c r="DJ110" s="385">
        <v>2064.0564263010347</v>
      </c>
      <c r="DK110" s="385">
        <f>5</f>
        <v>5</v>
      </c>
      <c r="DL110" s="358"/>
      <c r="DM110" s="385">
        <v>2064.0564263010347</v>
      </c>
      <c r="DN110" s="385">
        <f>5</f>
        <v>5</v>
      </c>
      <c r="DO110" s="358"/>
      <c r="DP110" s="385">
        <v>2064.0564263010347</v>
      </c>
      <c r="DQ110" s="385">
        <f>5</f>
        <v>5</v>
      </c>
      <c r="DR110" s="358"/>
      <c r="DS110" s="385">
        <v>2064.0564263010347</v>
      </c>
      <c r="DT110" s="385">
        <f>5</f>
        <v>5</v>
      </c>
      <c r="DU110" s="358"/>
      <c r="DV110" s="385">
        <v>2064.0564263010347</v>
      </c>
      <c r="DW110" s="385">
        <f>5</f>
        <v>5</v>
      </c>
      <c r="DX110" s="358"/>
      <c r="DY110" s="385">
        <v>2064.0564263010347</v>
      </c>
      <c r="DZ110" s="385">
        <f>5</f>
        <v>5</v>
      </c>
      <c r="EA110" s="358"/>
      <c r="EB110" s="385">
        <v>2064.0564263010347</v>
      </c>
      <c r="EC110" s="385">
        <f>5</f>
        <v>5</v>
      </c>
      <c r="ED110" s="358"/>
      <c r="EE110" s="385">
        <v>2064.0564263010347</v>
      </c>
      <c r="EF110" s="385">
        <f>5</f>
        <v>5</v>
      </c>
      <c r="EG110" s="358"/>
      <c r="EH110" s="385">
        <v>2064.0564263010347</v>
      </c>
      <c r="EI110" s="385">
        <f>5</f>
        <v>5</v>
      </c>
      <c r="EJ110" s="358"/>
      <c r="EK110" s="385">
        <v>2064.0564263010347</v>
      </c>
      <c r="EL110" s="385">
        <f>5</f>
        <v>5</v>
      </c>
      <c r="EM110" s="358"/>
      <c r="EN110" s="385">
        <v>2064.0564263010347</v>
      </c>
      <c r="EO110" s="385">
        <f>5</f>
        <v>5</v>
      </c>
      <c r="EP110" s="358"/>
      <c r="EQ110" s="385">
        <v>2064.0564263010347</v>
      </c>
      <c r="ER110" s="385">
        <f>5</f>
        <v>5</v>
      </c>
      <c r="ES110" s="358"/>
      <c r="ET110" s="385">
        <v>2064.0564263010347</v>
      </c>
      <c r="EU110" s="385">
        <f>5</f>
        <v>5</v>
      </c>
      <c r="EV110" s="358"/>
      <c r="EW110" s="385">
        <v>2064.0564263010347</v>
      </c>
      <c r="EX110" s="385">
        <f>5</f>
        <v>5</v>
      </c>
      <c r="EY110" s="358"/>
      <c r="EZ110" s="385">
        <v>2064.0564263010347</v>
      </c>
      <c r="FA110" s="385">
        <f>5</f>
        <v>5</v>
      </c>
      <c r="FB110" s="358"/>
      <c r="FC110" s="385">
        <v>2064.0564263010347</v>
      </c>
      <c r="FD110" s="385">
        <f>5</f>
        <v>5</v>
      </c>
      <c r="FE110" s="358"/>
      <c r="FF110" s="385">
        <v>2064.0564263010347</v>
      </c>
      <c r="FG110" s="385">
        <f>5</f>
        <v>5</v>
      </c>
      <c r="FH110" s="358"/>
      <c r="FI110" s="385">
        <v>2064.0564263010347</v>
      </c>
      <c r="FJ110" s="385">
        <f>5</f>
        <v>5</v>
      </c>
      <c r="FK110" s="358"/>
      <c r="FL110" s="385">
        <v>2064.0564263010347</v>
      </c>
      <c r="FM110" s="385">
        <f>5</f>
        <v>5</v>
      </c>
      <c r="FN110" s="358"/>
      <c r="FO110" s="385">
        <v>2064.0564263010347</v>
      </c>
      <c r="FP110" s="385">
        <f>5</f>
        <v>5</v>
      </c>
      <c r="FQ110" s="358"/>
      <c r="FR110" s="385">
        <v>2064.0564263010347</v>
      </c>
      <c r="FS110" s="385">
        <f>5</f>
        <v>5</v>
      </c>
      <c r="FT110" s="358"/>
      <c r="FU110" s="385">
        <v>2064.0564263010347</v>
      </c>
      <c r="FV110" s="385">
        <f>5</f>
        <v>5</v>
      </c>
      <c r="FW110" s="358"/>
      <c r="FX110" s="385">
        <v>2064.0564263010347</v>
      </c>
      <c r="FY110" s="385">
        <f>5</f>
        <v>5</v>
      </c>
      <c r="FZ110" s="358"/>
      <c r="GA110" s="385">
        <v>2064.0564263010347</v>
      </c>
      <c r="GB110" s="385">
        <f>5</f>
        <v>5</v>
      </c>
      <c r="GC110" s="358"/>
      <c r="GD110" s="385">
        <v>2064.0564263010347</v>
      </c>
      <c r="GE110" s="385">
        <f>5</f>
        <v>5</v>
      </c>
      <c r="GF110" s="358"/>
      <c r="GG110" s="385">
        <v>2064.0564263010347</v>
      </c>
      <c r="GH110" s="385">
        <f>5</f>
        <v>5</v>
      </c>
      <c r="GI110" s="358"/>
      <c r="GJ110" s="385">
        <v>2064.0564263010347</v>
      </c>
      <c r="GK110" s="385">
        <f>5</f>
        <v>5</v>
      </c>
      <c r="GL110" s="358"/>
      <c r="GM110" s="385">
        <v>2064.0564263010347</v>
      </c>
      <c r="GN110" s="385">
        <f>5</f>
        <v>5</v>
      </c>
      <c r="GO110" s="358"/>
      <c r="GP110" s="385">
        <v>2064.0564263010347</v>
      </c>
      <c r="GQ110" s="385">
        <f>5</f>
        <v>5</v>
      </c>
      <c r="GR110" s="358"/>
      <c r="GS110" s="385">
        <v>2064.0564263010347</v>
      </c>
      <c r="GT110" s="385">
        <f>5</f>
        <v>5</v>
      </c>
      <c r="GU110" s="358"/>
      <c r="GV110" s="385">
        <v>2064.0564263010347</v>
      </c>
      <c r="GW110" s="385">
        <f>5</f>
        <v>5</v>
      </c>
      <c r="GX110" s="358"/>
      <c r="GY110" s="385">
        <v>2064.0564263010347</v>
      </c>
      <c r="GZ110" s="385">
        <f>5</f>
        <v>5</v>
      </c>
      <c r="HA110" s="358"/>
      <c r="HB110" s="385">
        <v>2064.0564263010347</v>
      </c>
      <c r="HC110" s="385">
        <f>5</f>
        <v>5</v>
      </c>
      <c r="HD110" s="358"/>
      <c r="HE110" s="387">
        <v>2064.0564263010347</v>
      </c>
      <c r="HF110" s="386">
        <f>5*6</f>
        <v>30</v>
      </c>
      <c r="HG110" s="358"/>
      <c r="HH110" s="387">
        <v>2064.0564263010347</v>
      </c>
      <c r="HI110" s="358"/>
      <c r="HJ110" s="387">
        <v>2064.0564263010347</v>
      </c>
      <c r="HK110" s="358"/>
      <c r="HL110" s="387">
        <v>2064.0564263010347</v>
      </c>
      <c r="HM110" s="358"/>
      <c r="HN110" s="387">
        <v>2064.0564263010347</v>
      </c>
      <c r="HO110" s="358"/>
      <c r="HP110" s="387">
        <v>2064.0564263010347</v>
      </c>
      <c r="HQ110" s="358"/>
      <c r="HR110" s="387">
        <v>2064.0564263010347</v>
      </c>
      <c r="HS110" s="358"/>
      <c r="HT110" s="387">
        <v>2064.0564263010347</v>
      </c>
      <c r="HU110" s="358"/>
      <c r="HV110" s="388">
        <v>2064.0564263010347</v>
      </c>
      <c r="HW110" s="532"/>
      <c r="HX110" s="479">
        <v>2064.0564263010347</v>
      </c>
      <c r="HY110" s="532"/>
      <c r="HZ110" s="479">
        <v>2064.0564263010347</v>
      </c>
      <c r="IA110" s="532"/>
      <c r="IB110" s="479">
        <v>2064.0564263010347</v>
      </c>
      <c r="IC110" s="532"/>
      <c r="ID110" s="357">
        <v>2064.0564263010347</v>
      </c>
      <c r="IE110" s="361"/>
      <c r="IF110" s="408">
        <v>1894.8714733255401</v>
      </c>
      <c r="IG110" s="426" t="s">
        <v>3310</v>
      </c>
      <c r="IH110" s="426"/>
      <c r="II110" s="426"/>
      <c r="IJ110" s="426"/>
      <c r="IK110" s="426"/>
      <c r="IL110" s="426"/>
      <c r="IM110" s="426"/>
      <c r="IN110" s="426"/>
      <c r="IO110" s="426"/>
      <c r="IP110" s="426"/>
      <c r="IQ110" s="426"/>
      <c r="IR110" s="429" t="s">
        <v>3103</v>
      </c>
      <c r="IS110" s="364" t="s">
        <v>77</v>
      </c>
      <c r="IT110" s="365">
        <v>43589</v>
      </c>
      <c r="IU110" s="371">
        <v>43617</v>
      </c>
      <c r="IW110" s="372">
        <f t="shared" si="16"/>
        <v>28</v>
      </c>
      <c r="IX110" s="373">
        <f t="shared" si="18"/>
        <v>67.673981190197864</v>
      </c>
      <c r="IY110" s="394">
        <f>IW110*IX110</f>
        <v>1894.8714733255401</v>
      </c>
      <c r="IZ110" s="394"/>
      <c r="JA110" s="394"/>
    </row>
    <row r="111" spans="1:261" s="367" customFormat="1" ht="16.5" customHeight="1" x14ac:dyDescent="0.3">
      <c r="A111" s="354" t="s">
        <v>2743</v>
      </c>
      <c r="B111" s="415" t="s">
        <v>2784</v>
      </c>
      <c r="C111" s="533" t="s">
        <v>1235</v>
      </c>
      <c r="D111" s="534">
        <v>1454</v>
      </c>
      <c r="E111" s="535">
        <v>84</v>
      </c>
      <c r="F111" s="535">
        <v>0</v>
      </c>
      <c r="G111" s="535">
        <v>36</v>
      </c>
      <c r="H111" s="536">
        <v>0</v>
      </c>
      <c r="I111" s="873">
        <v>1538</v>
      </c>
      <c r="J111" s="874">
        <v>36</v>
      </c>
      <c r="K111" s="827"/>
      <c r="L111" s="874">
        <v>1538</v>
      </c>
      <c r="M111" s="874">
        <v>36</v>
      </c>
      <c r="N111" s="827"/>
      <c r="O111" s="874">
        <v>1538</v>
      </c>
      <c r="P111" s="874">
        <v>36</v>
      </c>
      <c r="Q111" s="827"/>
      <c r="R111" s="874">
        <v>1538</v>
      </c>
      <c r="S111" s="874">
        <v>36</v>
      </c>
      <c r="T111" s="827"/>
      <c r="U111" s="874">
        <v>1538</v>
      </c>
      <c r="V111" s="874">
        <v>36</v>
      </c>
      <c r="W111" s="827"/>
      <c r="X111" s="874">
        <v>1538</v>
      </c>
      <c r="Y111" s="874">
        <v>36</v>
      </c>
      <c r="Z111" s="827"/>
      <c r="AA111" s="874">
        <v>1538</v>
      </c>
      <c r="AB111" s="874">
        <v>36</v>
      </c>
      <c r="AC111" s="827"/>
      <c r="AD111" s="871">
        <f>((1538-1055)/30.5)*18+1538</f>
        <v>1823.0491803278687</v>
      </c>
      <c r="AE111" s="871">
        <f>(36/30.5)*18+36</f>
        <v>57.245901639344261</v>
      </c>
      <c r="AF111" s="827"/>
      <c r="AG111" s="831">
        <v>1055.0564263010344</v>
      </c>
      <c r="AH111" s="831"/>
      <c r="AI111" s="827"/>
      <c r="AJ111" s="831">
        <v>1055.0564263010344</v>
      </c>
      <c r="AK111" s="831"/>
      <c r="AL111" s="827"/>
      <c r="AM111" s="831">
        <v>1055.0564263010344</v>
      </c>
      <c r="AN111" s="831"/>
      <c r="AO111" s="827"/>
      <c r="AP111" s="831">
        <v>1055.0564263010344</v>
      </c>
      <c r="AQ111" s="831"/>
      <c r="AR111" s="827"/>
      <c r="AS111" s="831">
        <v>1055.0564263010344</v>
      </c>
      <c r="AT111" s="831"/>
      <c r="AU111" s="827"/>
      <c r="AV111" s="831">
        <v>1055.0564263010344</v>
      </c>
      <c r="AW111" s="831"/>
      <c r="AX111" s="827"/>
      <c r="AY111" s="831">
        <v>1055.0564263010344</v>
      </c>
      <c r="AZ111" s="831"/>
      <c r="BA111" s="358"/>
      <c r="BB111" s="385">
        <v>1055.0564263010344</v>
      </c>
      <c r="BC111" s="385"/>
      <c r="BD111" s="358"/>
      <c r="BE111" s="385">
        <v>1055.0564263010344</v>
      </c>
      <c r="BF111" s="385"/>
      <c r="BG111" s="358"/>
      <c r="BH111" s="385">
        <v>1055.0564263010344</v>
      </c>
      <c r="BI111" s="385"/>
      <c r="BJ111" s="358"/>
      <c r="BK111" s="385">
        <v>1055.0564263010344</v>
      </c>
      <c r="BL111" s="385"/>
      <c r="BM111" s="358"/>
      <c r="BN111" s="385">
        <v>1055.0564263010344</v>
      </c>
      <c r="BO111" s="385"/>
      <c r="BP111" s="358"/>
      <c r="BQ111" s="385">
        <v>1055.0564263010344</v>
      </c>
      <c r="BR111" s="385"/>
      <c r="BS111" s="358"/>
      <c r="BT111" s="385">
        <v>1055.0564263010344</v>
      </c>
      <c r="BU111" s="385"/>
      <c r="BV111" s="358"/>
      <c r="BW111" s="385">
        <v>1055.0564263010344</v>
      </c>
      <c r="BX111" s="385"/>
      <c r="BY111" s="358"/>
      <c r="BZ111" s="385">
        <v>1055.0564263010344</v>
      </c>
      <c r="CA111" s="385"/>
      <c r="CB111" s="358"/>
      <c r="CC111" s="385">
        <v>1055.0564263010344</v>
      </c>
      <c r="CD111" s="385"/>
      <c r="CE111" s="358"/>
      <c r="CF111" s="385">
        <v>1055.0564263010344</v>
      </c>
      <c r="CG111" s="385"/>
      <c r="CH111" s="358"/>
      <c r="CI111" s="385">
        <v>1055.0564263010344</v>
      </c>
      <c r="CJ111" s="385"/>
      <c r="CK111" s="358"/>
      <c r="CL111" s="385">
        <v>1055.0564263010344</v>
      </c>
      <c r="CM111" s="385"/>
      <c r="CN111" s="358"/>
      <c r="CO111" s="385">
        <v>1055.0564263010344</v>
      </c>
      <c r="CP111" s="385"/>
      <c r="CQ111" s="358"/>
      <c r="CR111" s="385">
        <v>1055.0564263010344</v>
      </c>
      <c r="CS111" s="385"/>
      <c r="CT111" s="358"/>
      <c r="CU111" s="385">
        <v>1055.0564263010344</v>
      </c>
      <c r="CV111" s="385"/>
      <c r="CW111" s="358"/>
      <c r="CX111" s="385">
        <v>1055.0564263010344</v>
      </c>
      <c r="CY111" s="385"/>
      <c r="CZ111" s="358"/>
      <c r="DA111" s="385">
        <v>1055.0564263010344</v>
      </c>
      <c r="DB111" s="385"/>
      <c r="DC111" s="358"/>
      <c r="DD111" s="385">
        <v>1055.0564263010344</v>
      </c>
      <c r="DE111" s="385"/>
      <c r="DF111" s="358"/>
      <c r="DG111" s="385">
        <v>1055.0564263010344</v>
      </c>
      <c r="DH111" s="385"/>
      <c r="DI111" s="358"/>
      <c r="DJ111" s="385">
        <v>1055.0564263010344</v>
      </c>
      <c r="DK111" s="385"/>
      <c r="DL111" s="358"/>
      <c r="DM111" s="385">
        <v>1055.0564263010344</v>
      </c>
      <c r="DN111" s="385"/>
      <c r="DO111" s="358"/>
      <c r="DP111" s="385">
        <v>1055.0564263010344</v>
      </c>
      <c r="DQ111" s="385"/>
      <c r="DR111" s="358"/>
      <c r="DS111" s="385">
        <v>1055.0564263010344</v>
      </c>
      <c r="DT111" s="385"/>
      <c r="DU111" s="358"/>
      <c r="DV111" s="385">
        <v>1055.0564263010344</v>
      </c>
      <c r="DW111" s="385"/>
      <c r="DX111" s="358"/>
      <c r="DY111" s="385">
        <v>1055.0564263010344</v>
      </c>
      <c r="DZ111" s="385"/>
      <c r="EA111" s="358"/>
      <c r="EB111" s="385">
        <v>1055.0564263010344</v>
      </c>
      <c r="EC111" s="385"/>
      <c r="ED111" s="358"/>
      <c r="EE111" s="385">
        <v>1055.0564263010344</v>
      </c>
      <c r="EF111" s="385"/>
      <c r="EG111" s="358"/>
      <c r="EH111" s="385">
        <v>1055.0564263010344</v>
      </c>
      <c r="EI111" s="385"/>
      <c r="EJ111" s="358"/>
      <c r="EK111" s="385">
        <v>1055.0564263010344</v>
      </c>
      <c r="EL111" s="385"/>
      <c r="EM111" s="358"/>
      <c r="EN111" s="385">
        <v>1055.0564263010344</v>
      </c>
      <c r="EO111" s="385"/>
      <c r="EP111" s="358"/>
      <c r="EQ111" s="385">
        <v>1055.0564263010344</v>
      </c>
      <c r="ER111" s="385"/>
      <c r="ES111" s="358"/>
      <c r="ET111" s="385">
        <v>1055.0564263010344</v>
      </c>
      <c r="EU111" s="385"/>
      <c r="EV111" s="358"/>
      <c r="EW111" s="385">
        <v>1055.0564263010344</v>
      </c>
      <c r="EX111" s="385"/>
      <c r="EY111" s="358"/>
      <c r="EZ111" s="385">
        <v>1055.0564263010344</v>
      </c>
      <c r="FA111" s="385"/>
      <c r="FB111" s="358"/>
      <c r="FC111" s="385">
        <v>1055.0564263010344</v>
      </c>
      <c r="FD111" s="385"/>
      <c r="FE111" s="358"/>
      <c r="FF111" s="385">
        <v>1055.0564263010344</v>
      </c>
      <c r="FG111" s="385"/>
      <c r="FH111" s="358"/>
      <c r="FI111" s="385">
        <v>1055.0564263010344</v>
      </c>
      <c r="FJ111" s="385"/>
      <c r="FK111" s="358"/>
      <c r="FL111" s="385">
        <v>1055.0564263010344</v>
      </c>
      <c r="FM111" s="385"/>
      <c r="FN111" s="358"/>
      <c r="FO111" s="385">
        <v>1055.0564263010344</v>
      </c>
      <c r="FP111" s="385"/>
      <c r="FQ111" s="358"/>
      <c r="FR111" s="385">
        <v>1055.0564263010344</v>
      </c>
      <c r="FS111" s="385"/>
      <c r="FT111" s="358"/>
      <c r="FU111" s="385">
        <v>1055.0564263010344</v>
      </c>
      <c r="FV111" s="385"/>
      <c r="FW111" s="358"/>
      <c r="FX111" s="385">
        <v>1055.0564263010344</v>
      </c>
      <c r="FY111" s="385"/>
      <c r="FZ111" s="358"/>
      <c r="GA111" s="385">
        <v>1055.0564263010344</v>
      </c>
      <c r="GB111" s="385"/>
      <c r="GC111" s="358"/>
      <c r="GD111" s="385">
        <v>1055.0564263010344</v>
      </c>
      <c r="GE111" s="385"/>
      <c r="GF111" s="358"/>
      <c r="GG111" s="385">
        <v>1055.0564263010344</v>
      </c>
      <c r="GH111" s="385"/>
      <c r="GI111" s="358"/>
      <c r="GJ111" s="385">
        <v>1055.0564263010344</v>
      </c>
      <c r="GK111" s="385"/>
      <c r="GL111" s="358"/>
      <c r="GM111" s="385">
        <v>1055.0564263010344</v>
      </c>
      <c r="GN111" s="385"/>
      <c r="GO111" s="358"/>
      <c r="GP111" s="385">
        <v>1055.0564263010344</v>
      </c>
      <c r="GQ111" s="385"/>
      <c r="GR111" s="358"/>
      <c r="GS111" s="385">
        <v>1055.0564263010344</v>
      </c>
      <c r="GT111" s="385"/>
      <c r="GU111" s="358"/>
      <c r="GV111" s="385">
        <v>1055.0564263010344</v>
      </c>
      <c r="GW111" s="385"/>
      <c r="GX111" s="358"/>
      <c r="GY111" s="385">
        <v>1055.0564263010344</v>
      </c>
      <c r="GZ111" s="385"/>
      <c r="HA111" s="358"/>
      <c r="HB111" s="385">
        <v>1055.0564263010344</v>
      </c>
      <c r="HC111" s="385"/>
      <c r="HD111" s="358"/>
      <c r="HE111" s="387">
        <v>1055.0564263010344</v>
      </c>
      <c r="HF111" s="387"/>
      <c r="HG111" s="370">
        <v>0</v>
      </c>
      <c r="HH111" s="387">
        <v>1055.0564263010344</v>
      </c>
      <c r="HI111" s="369">
        <v>65.615106286748087</v>
      </c>
      <c r="HJ111" s="387">
        <v>1055.0564263010344</v>
      </c>
      <c r="HK111" s="369">
        <v>65.615106286748087</v>
      </c>
      <c r="HL111" s="387">
        <v>1055.0564263010344</v>
      </c>
      <c r="HM111" s="369">
        <v>65.615106286748087</v>
      </c>
      <c r="HN111" s="387">
        <v>1055.0564263010344</v>
      </c>
      <c r="HO111" s="369">
        <v>65.615106286748087</v>
      </c>
      <c r="HP111" s="387">
        <v>1055.0564263010344</v>
      </c>
      <c r="HQ111" s="369">
        <v>65.615106286748087</v>
      </c>
      <c r="HR111" s="387">
        <v>1055.0564263010344</v>
      </c>
      <c r="HS111" s="369">
        <v>65.615106286748087</v>
      </c>
      <c r="HT111" s="387">
        <v>1055.0564263010344</v>
      </c>
      <c r="HU111" s="369">
        <v>65.615106286748087</v>
      </c>
      <c r="HV111" s="388">
        <v>1055.0564263010344</v>
      </c>
      <c r="HW111" s="424">
        <v>65.615106286748087</v>
      </c>
      <c r="HX111" s="424">
        <v>1055.0564263010344</v>
      </c>
      <c r="HY111" s="424">
        <v>65.615106286748087</v>
      </c>
      <c r="HZ111" s="424">
        <v>1055.0564263010344</v>
      </c>
      <c r="IA111" s="424">
        <v>65.615106286748087</v>
      </c>
      <c r="IB111" s="424">
        <v>1055.0564263010344</v>
      </c>
      <c r="IC111" s="424">
        <v>65.615106286748087</v>
      </c>
      <c r="ID111" s="357">
        <f>VLOOKUP($C111,'[15]Prix accès'!A:D,4,FALSE)</f>
        <v>1055.0564263010344</v>
      </c>
      <c r="IE111" s="407">
        <v>65.615106286748087</v>
      </c>
      <c r="IF111" s="408">
        <v>795.6163214729113</v>
      </c>
      <c r="IG111" s="500">
        <v>49.770491803278695</v>
      </c>
      <c r="IH111" s="426"/>
      <c r="II111" s="426"/>
      <c r="IJ111" s="426"/>
      <c r="IK111" s="426"/>
      <c r="IL111" s="496"/>
      <c r="IM111" s="427"/>
      <c r="IN111" s="496"/>
      <c r="IO111" s="427"/>
      <c r="IP111" s="496"/>
      <c r="IQ111" s="427"/>
      <c r="IR111" s="429" t="s">
        <v>3188</v>
      </c>
      <c r="IS111" s="364" t="s">
        <v>77</v>
      </c>
      <c r="IT111" s="365">
        <v>43594</v>
      </c>
      <c r="IU111" s="371">
        <v>43617</v>
      </c>
      <c r="IW111" s="372">
        <f t="shared" si="16"/>
        <v>23</v>
      </c>
      <c r="IX111" s="373">
        <f t="shared" si="18"/>
        <v>34.592013977083099</v>
      </c>
      <c r="IY111" s="531">
        <f t="shared" ref="IY111:IY124" si="19">IX111*IW111</f>
        <v>795.6163214729113</v>
      </c>
      <c r="IZ111" s="531"/>
      <c r="JA111" s="531"/>
    </row>
    <row r="112" spans="1:261" s="367" customFormat="1" ht="16.5" customHeight="1" x14ac:dyDescent="0.3">
      <c r="A112" s="354" t="s">
        <v>2743</v>
      </c>
      <c r="B112" s="470" t="s">
        <v>2940</v>
      </c>
      <c r="C112" s="466" t="s">
        <v>1061</v>
      </c>
      <c r="D112" s="467">
        <v>1249</v>
      </c>
      <c r="E112" s="468">
        <v>71</v>
      </c>
      <c r="F112" s="468">
        <v>48</v>
      </c>
      <c r="G112" s="468">
        <v>14</v>
      </c>
      <c r="H112" s="469">
        <v>0</v>
      </c>
      <c r="I112" s="841">
        <v>1367</v>
      </c>
      <c r="J112" s="835">
        <v>14</v>
      </c>
      <c r="K112" s="827"/>
      <c r="L112" s="835">
        <v>1367</v>
      </c>
      <c r="M112" s="835">
        <v>14</v>
      </c>
      <c r="N112" s="827"/>
      <c r="O112" s="835">
        <v>1367</v>
      </c>
      <c r="P112" s="835">
        <v>14</v>
      </c>
      <c r="Q112" s="827"/>
      <c r="R112" s="835">
        <v>1367</v>
      </c>
      <c r="S112" s="835">
        <v>14</v>
      </c>
      <c r="T112" s="827"/>
      <c r="U112" s="835">
        <v>1367</v>
      </c>
      <c r="V112" s="835">
        <v>14</v>
      </c>
      <c r="W112" s="827"/>
      <c r="X112" s="842">
        <f>((1367-1251)/30.5*32)+1367</f>
        <v>1488.704918032787</v>
      </c>
      <c r="Y112" s="842">
        <f>((14-5)/30.5)*32+14</f>
        <v>23.442622950819672</v>
      </c>
      <c r="Z112" s="827"/>
      <c r="AA112" s="831">
        <v>1251</v>
      </c>
      <c r="AB112" s="831">
        <v>5</v>
      </c>
      <c r="AC112" s="827"/>
      <c r="AD112" s="831">
        <v>1251</v>
      </c>
      <c r="AE112" s="831">
        <v>5</v>
      </c>
      <c r="AF112" s="827"/>
      <c r="AG112" s="831">
        <v>1251</v>
      </c>
      <c r="AH112" s="831">
        <v>5</v>
      </c>
      <c r="AI112" s="827"/>
      <c r="AJ112" s="831">
        <v>1251</v>
      </c>
      <c r="AK112" s="831">
        <v>5</v>
      </c>
      <c r="AL112" s="827"/>
      <c r="AM112" s="831">
        <v>1251</v>
      </c>
      <c r="AN112" s="831">
        <v>5</v>
      </c>
      <c r="AO112" s="827"/>
      <c r="AP112" s="831">
        <v>1251</v>
      </c>
      <c r="AQ112" s="831">
        <v>5</v>
      </c>
      <c r="AR112" s="827"/>
      <c r="AS112" s="831">
        <v>1251</v>
      </c>
      <c r="AT112" s="831">
        <v>5</v>
      </c>
      <c r="AU112" s="827"/>
      <c r="AV112" s="831">
        <v>1251</v>
      </c>
      <c r="AW112" s="831">
        <v>5</v>
      </c>
      <c r="AX112" s="827"/>
      <c r="AY112" s="831">
        <v>1251</v>
      </c>
      <c r="AZ112" s="831">
        <v>5</v>
      </c>
      <c r="BA112" s="358"/>
      <c r="BB112" s="385">
        <v>1251</v>
      </c>
      <c r="BC112" s="385">
        <v>5</v>
      </c>
      <c r="BD112" s="358"/>
      <c r="BE112" s="385">
        <v>1251</v>
      </c>
      <c r="BF112" s="385">
        <v>5</v>
      </c>
      <c r="BG112" s="358"/>
      <c r="BH112" s="385">
        <v>1251</v>
      </c>
      <c r="BI112" s="385">
        <v>5</v>
      </c>
      <c r="BJ112" s="369"/>
      <c r="BK112" s="385">
        <v>1251</v>
      </c>
      <c r="BL112" s="385">
        <v>5</v>
      </c>
      <c r="BM112" s="369"/>
      <c r="BN112" s="385">
        <v>1251</v>
      </c>
      <c r="BO112" s="385">
        <v>5</v>
      </c>
      <c r="BP112" s="369"/>
      <c r="BQ112" s="385">
        <v>1251</v>
      </c>
      <c r="BR112" s="385">
        <v>5</v>
      </c>
      <c r="BS112" s="369"/>
      <c r="BT112" s="385">
        <v>1251</v>
      </c>
      <c r="BU112" s="385">
        <v>5</v>
      </c>
      <c r="BV112" s="369"/>
      <c r="BW112" s="385">
        <v>1251</v>
      </c>
      <c r="BX112" s="385">
        <v>5</v>
      </c>
      <c r="BY112" s="369"/>
      <c r="BZ112" s="385">
        <v>1251</v>
      </c>
      <c r="CA112" s="385">
        <v>5</v>
      </c>
      <c r="CB112" s="369"/>
      <c r="CC112" s="385">
        <v>1251</v>
      </c>
      <c r="CD112" s="385">
        <v>5</v>
      </c>
      <c r="CE112" s="369"/>
      <c r="CF112" s="385">
        <v>1251</v>
      </c>
      <c r="CG112" s="385">
        <v>5</v>
      </c>
      <c r="CH112" s="369"/>
      <c r="CI112" s="385">
        <v>1251</v>
      </c>
      <c r="CJ112" s="385">
        <v>5</v>
      </c>
      <c r="CK112" s="369"/>
      <c r="CL112" s="385">
        <v>1251</v>
      </c>
      <c r="CM112" s="385">
        <v>5</v>
      </c>
      <c r="CN112" s="369"/>
      <c r="CO112" s="385">
        <v>1251</v>
      </c>
      <c r="CP112" s="385">
        <v>5</v>
      </c>
      <c r="CQ112" s="369"/>
      <c r="CR112" s="385">
        <v>1251</v>
      </c>
      <c r="CS112" s="385">
        <v>5</v>
      </c>
      <c r="CT112" s="369"/>
      <c r="CU112" s="385">
        <v>1251</v>
      </c>
      <c r="CV112" s="385">
        <v>5</v>
      </c>
      <c r="CW112" s="369"/>
      <c r="CX112" s="386">
        <f>((1251-1081)/30.5)*25+(1251-1081)*2+1251</f>
        <v>1730.344262295082</v>
      </c>
      <c r="CY112" s="386">
        <f>(5/30.5)*25+(5*2)+5</f>
        <v>19.098360655737704</v>
      </c>
      <c r="CZ112" s="370"/>
      <c r="DA112" s="387">
        <v>1081.2564263010345</v>
      </c>
      <c r="DB112" s="387"/>
      <c r="DC112" s="358"/>
      <c r="DD112" s="387">
        <v>1081.2564263010345</v>
      </c>
      <c r="DE112" s="387"/>
      <c r="DF112" s="358"/>
      <c r="DG112" s="387">
        <v>1081.2564263010345</v>
      </c>
      <c r="DH112" s="387"/>
      <c r="DI112" s="358"/>
      <c r="DJ112" s="387">
        <v>1081.2564263010345</v>
      </c>
      <c r="DK112" s="387"/>
      <c r="DL112" s="358"/>
      <c r="DM112" s="387">
        <v>1081.2564263010345</v>
      </c>
      <c r="DN112" s="387"/>
      <c r="DO112" s="358"/>
      <c r="DP112" s="387">
        <v>1081.2564263010345</v>
      </c>
      <c r="DQ112" s="387"/>
      <c r="DR112" s="358"/>
      <c r="DS112" s="387">
        <v>1081.2564263010345</v>
      </c>
      <c r="DT112" s="387"/>
      <c r="DU112" s="358"/>
      <c r="DV112" s="387">
        <v>1081.2564263010345</v>
      </c>
      <c r="DW112" s="387"/>
      <c r="DX112" s="358"/>
      <c r="DY112" s="387">
        <v>1081.2564263010345</v>
      </c>
      <c r="DZ112" s="387"/>
      <c r="EA112" s="358"/>
      <c r="EB112" s="387">
        <v>1081.2564263010345</v>
      </c>
      <c r="EC112" s="387"/>
      <c r="ED112" s="358"/>
      <c r="EE112" s="387">
        <v>1081.2564263010345</v>
      </c>
      <c r="EF112" s="387"/>
      <c r="EG112" s="358"/>
      <c r="EH112" s="387">
        <v>1081.2564263010345</v>
      </c>
      <c r="EI112" s="387"/>
      <c r="EJ112" s="358"/>
      <c r="EK112" s="387">
        <v>1081.2564263010345</v>
      </c>
      <c r="EL112" s="387"/>
      <c r="EM112" s="358"/>
      <c r="EN112" s="387">
        <v>1081.2564263010345</v>
      </c>
      <c r="EO112" s="387"/>
      <c r="EP112" s="358"/>
      <c r="EQ112" s="387">
        <v>1081.2564263010345</v>
      </c>
      <c r="ER112" s="387"/>
      <c r="ES112" s="358"/>
      <c r="ET112" s="387">
        <v>1081.2564263010345</v>
      </c>
      <c r="EU112" s="387"/>
      <c r="EV112" s="358"/>
      <c r="EW112" s="387">
        <v>1081.2564263010345</v>
      </c>
      <c r="EX112" s="387"/>
      <c r="EY112" s="358"/>
      <c r="EZ112" s="387">
        <v>1081.2564263010345</v>
      </c>
      <c r="FA112" s="387"/>
      <c r="FB112" s="358"/>
      <c r="FC112" s="387">
        <v>1081.2564263010345</v>
      </c>
      <c r="FD112" s="387"/>
      <c r="FE112" s="358"/>
      <c r="FF112" s="387">
        <v>1081.2564263010345</v>
      </c>
      <c r="FG112" s="387"/>
      <c r="FH112" s="358"/>
      <c r="FI112" s="387">
        <v>1081.2564263010345</v>
      </c>
      <c r="FJ112" s="387"/>
      <c r="FK112" s="358"/>
      <c r="FL112" s="387">
        <v>1081.2564263010345</v>
      </c>
      <c r="FM112" s="387"/>
      <c r="FN112" s="358"/>
      <c r="FO112" s="387">
        <v>1081.2564263010345</v>
      </c>
      <c r="FP112" s="387"/>
      <c r="FQ112" s="358"/>
      <c r="FR112" s="387">
        <v>1081.2564263010345</v>
      </c>
      <c r="FS112" s="387"/>
      <c r="FT112" s="358"/>
      <c r="FU112" s="387">
        <v>1081.2564263010345</v>
      </c>
      <c r="FV112" s="387"/>
      <c r="FW112" s="358"/>
      <c r="FX112" s="387">
        <v>1081.2564263010345</v>
      </c>
      <c r="FY112" s="387"/>
      <c r="FZ112" s="358"/>
      <c r="GA112" s="387">
        <v>1081.2564263010345</v>
      </c>
      <c r="GB112" s="387"/>
      <c r="GC112" s="358"/>
      <c r="GD112" s="387">
        <v>1081.2564263010345</v>
      </c>
      <c r="GE112" s="387"/>
      <c r="GF112" s="358"/>
      <c r="GG112" s="387">
        <v>1081.2564263010345</v>
      </c>
      <c r="GH112" s="387"/>
      <c r="GI112" s="358"/>
      <c r="GJ112" s="387">
        <v>1081.2564263010345</v>
      </c>
      <c r="GK112" s="387"/>
      <c r="GL112" s="358"/>
      <c r="GM112" s="387">
        <v>1081.2564263010345</v>
      </c>
      <c r="GN112" s="387"/>
      <c r="GO112" s="358"/>
      <c r="GP112" s="387">
        <v>1081.2564263010345</v>
      </c>
      <c r="GQ112" s="387"/>
      <c r="GR112" s="358"/>
      <c r="GS112" s="387">
        <v>1081.2564263010345</v>
      </c>
      <c r="GT112" s="387"/>
      <c r="GU112" s="358"/>
      <c r="GV112" s="387">
        <v>1081.2564263010345</v>
      </c>
      <c r="GW112" s="387"/>
      <c r="GX112" s="358"/>
      <c r="GY112" s="387">
        <v>1081.2564263010345</v>
      </c>
      <c r="GZ112" s="387"/>
      <c r="HA112" s="358"/>
      <c r="HB112" s="387">
        <v>1081.2564263010345</v>
      </c>
      <c r="HC112" s="387"/>
      <c r="HD112" s="358"/>
      <c r="HE112" s="387">
        <v>1081.2564263010345</v>
      </c>
      <c r="HF112" s="387"/>
      <c r="HG112" s="358"/>
      <c r="HH112" s="387">
        <v>1081.2564263010345</v>
      </c>
      <c r="HI112" s="358"/>
      <c r="HJ112" s="387">
        <v>1081.2564263010345</v>
      </c>
      <c r="HK112" s="358"/>
      <c r="HL112" s="387">
        <v>1081.2564263010345</v>
      </c>
      <c r="HM112" s="358"/>
      <c r="HN112" s="387">
        <v>1081.2564263010345</v>
      </c>
      <c r="HO112" s="358"/>
      <c r="HP112" s="387">
        <v>1081.2564263010345</v>
      </c>
      <c r="HQ112" s="358"/>
      <c r="HR112" s="387">
        <v>1081.2564263010345</v>
      </c>
      <c r="HS112" s="358"/>
      <c r="HT112" s="387">
        <v>1081.2564263010345</v>
      </c>
      <c r="HU112" s="358"/>
      <c r="HV112" s="388">
        <v>1081.2564263010345</v>
      </c>
      <c r="HW112" s="425"/>
      <c r="HX112" s="424">
        <v>1081.2564263010345</v>
      </c>
      <c r="HY112" s="425"/>
      <c r="HZ112" s="424">
        <v>1081.2564263010345</v>
      </c>
      <c r="IA112" s="425"/>
      <c r="IB112" s="424">
        <v>1081.2564263010345</v>
      </c>
      <c r="IC112" s="425"/>
      <c r="ID112" s="357">
        <f>VLOOKUP($C112,'[15]Prix accès'!A:D,4,FALSE)</f>
        <v>1081.2564263010345</v>
      </c>
      <c r="IE112" s="361"/>
      <c r="IF112" s="408">
        <v>815.37369852209156</v>
      </c>
      <c r="IG112" s="426"/>
      <c r="IH112" s="537"/>
      <c r="II112" s="426"/>
      <c r="IJ112" s="537"/>
      <c r="IK112" s="426"/>
      <c r="IL112" s="499"/>
      <c r="IM112" s="427"/>
      <c r="IN112" s="499"/>
      <c r="IO112" s="427"/>
      <c r="IP112" s="496"/>
      <c r="IQ112" s="427"/>
      <c r="IR112" s="429" t="s">
        <v>3074</v>
      </c>
      <c r="IS112" s="364" t="s">
        <v>77</v>
      </c>
      <c r="IT112" s="365">
        <v>43594</v>
      </c>
      <c r="IU112" s="371">
        <v>43617</v>
      </c>
      <c r="IW112" s="372">
        <f t="shared" si="16"/>
        <v>23</v>
      </c>
      <c r="IX112" s="373">
        <f t="shared" si="18"/>
        <v>35.451030370525721</v>
      </c>
      <c r="IY112" s="531">
        <f t="shared" si="19"/>
        <v>815.37369852209156</v>
      </c>
      <c r="IZ112" s="531"/>
      <c r="JA112" s="531"/>
    </row>
    <row r="113" spans="1:263" s="367" customFormat="1" ht="16.5" customHeight="1" x14ac:dyDescent="0.3">
      <c r="A113" s="354" t="s">
        <v>2743</v>
      </c>
      <c r="B113" s="415" t="s">
        <v>2784</v>
      </c>
      <c r="C113" s="447" t="s">
        <v>1395</v>
      </c>
      <c r="D113" s="448">
        <v>1454</v>
      </c>
      <c r="E113" s="449">
        <v>95</v>
      </c>
      <c r="F113" s="449">
        <v>16</v>
      </c>
      <c r="G113" s="449">
        <v>36</v>
      </c>
      <c r="H113" s="450">
        <v>0</v>
      </c>
      <c r="I113" s="830">
        <v>1564.4564263010345</v>
      </c>
      <c r="J113" s="831">
        <f>36</f>
        <v>36</v>
      </c>
      <c r="K113" s="827"/>
      <c r="L113" s="831">
        <v>1564.4564263010345</v>
      </c>
      <c r="M113" s="831">
        <f>36</f>
        <v>36</v>
      </c>
      <c r="N113" s="827"/>
      <c r="O113" s="831">
        <v>1564.4564263010345</v>
      </c>
      <c r="P113" s="831">
        <f>36</f>
        <v>36</v>
      </c>
      <c r="Q113" s="827"/>
      <c r="R113" s="831">
        <v>1564.4564263010345</v>
      </c>
      <c r="S113" s="831">
        <f>36</f>
        <v>36</v>
      </c>
      <c r="T113" s="827"/>
      <c r="U113" s="831">
        <v>1564.4564263010345</v>
      </c>
      <c r="V113" s="831">
        <f>36</f>
        <v>36</v>
      </c>
      <c r="W113" s="827"/>
      <c r="X113" s="831">
        <v>1564.4564263010345</v>
      </c>
      <c r="Y113" s="831">
        <f>36</f>
        <v>36</v>
      </c>
      <c r="Z113" s="827"/>
      <c r="AA113" s="831">
        <v>1564.4564263010345</v>
      </c>
      <c r="AB113" s="831">
        <f>36</f>
        <v>36</v>
      </c>
      <c r="AC113" s="827"/>
      <c r="AD113" s="831">
        <v>1564.4564263010345</v>
      </c>
      <c r="AE113" s="831">
        <f>36</f>
        <v>36</v>
      </c>
      <c r="AF113" s="827"/>
      <c r="AG113" s="831">
        <v>1564.4564263010345</v>
      </c>
      <c r="AH113" s="831">
        <f>36</f>
        <v>36</v>
      </c>
      <c r="AI113" s="827"/>
      <c r="AJ113" s="831">
        <v>1564.4564263010345</v>
      </c>
      <c r="AK113" s="831">
        <f>36</f>
        <v>36</v>
      </c>
      <c r="AL113" s="827"/>
      <c r="AM113" s="831">
        <v>1564.4564263010345</v>
      </c>
      <c r="AN113" s="831">
        <f>36</f>
        <v>36</v>
      </c>
      <c r="AO113" s="827"/>
      <c r="AP113" s="831">
        <v>1564.4564263010345</v>
      </c>
      <c r="AQ113" s="831">
        <f>36</f>
        <v>36</v>
      </c>
      <c r="AR113" s="827"/>
      <c r="AS113" s="831">
        <v>1564.4564263010345</v>
      </c>
      <c r="AT113" s="831">
        <f>36</f>
        <v>36</v>
      </c>
      <c r="AU113" s="827"/>
      <c r="AV113" s="831">
        <v>1564.4564263010345</v>
      </c>
      <c r="AW113" s="831">
        <f>36</f>
        <v>36</v>
      </c>
      <c r="AX113" s="827"/>
      <c r="AY113" s="831">
        <v>1564.4564263010345</v>
      </c>
      <c r="AZ113" s="831">
        <f>36</f>
        <v>36</v>
      </c>
      <c r="BA113" s="358"/>
      <c r="BB113" s="385">
        <v>1564.4564263010345</v>
      </c>
      <c r="BC113" s="385">
        <f>36</f>
        <v>36</v>
      </c>
      <c r="BD113" s="358"/>
      <c r="BE113" s="385">
        <v>1564.4564263010345</v>
      </c>
      <c r="BF113" s="385">
        <f>36</f>
        <v>36</v>
      </c>
      <c r="BG113" s="358"/>
      <c r="BH113" s="385">
        <v>1564.4564263010345</v>
      </c>
      <c r="BI113" s="385">
        <f>36</f>
        <v>36</v>
      </c>
      <c r="BJ113" s="358"/>
      <c r="BK113" s="385">
        <v>1564.4564263010345</v>
      </c>
      <c r="BL113" s="385">
        <f>36</f>
        <v>36</v>
      </c>
      <c r="BM113" s="358"/>
      <c r="BN113" s="385">
        <v>1564.4564263010345</v>
      </c>
      <c r="BO113" s="385">
        <f>36</f>
        <v>36</v>
      </c>
      <c r="BP113" s="358"/>
      <c r="BQ113" s="385">
        <v>1564.4564263010345</v>
      </c>
      <c r="BR113" s="385">
        <f>36</f>
        <v>36</v>
      </c>
      <c r="BS113" s="358"/>
      <c r="BT113" s="385">
        <v>1564.4564263010345</v>
      </c>
      <c r="BU113" s="385">
        <f>36</f>
        <v>36</v>
      </c>
      <c r="BV113" s="358"/>
      <c r="BW113" s="385">
        <v>1564.4564263010345</v>
      </c>
      <c r="BX113" s="385">
        <f>36</f>
        <v>36</v>
      </c>
      <c r="BY113" s="358"/>
      <c r="BZ113" s="385">
        <v>1564.4564263010345</v>
      </c>
      <c r="CA113" s="385">
        <f>36</f>
        <v>36</v>
      </c>
      <c r="CB113" s="358"/>
      <c r="CC113" s="385">
        <v>1564.4564263010345</v>
      </c>
      <c r="CD113" s="385">
        <f>36</f>
        <v>36</v>
      </c>
      <c r="CE113" s="358"/>
      <c r="CF113" s="385">
        <v>1564.4564263010345</v>
      </c>
      <c r="CG113" s="385">
        <f>36</f>
        <v>36</v>
      </c>
      <c r="CH113" s="358"/>
      <c r="CI113" s="385">
        <v>1564.4564263010345</v>
      </c>
      <c r="CJ113" s="385">
        <f>36</f>
        <v>36</v>
      </c>
      <c r="CK113" s="358"/>
      <c r="CL113" s="385">
        <v>1564.4564263010345</v>
      </c>
      <c r="CM113" s="385">
        <f>36</f>
        <v>36</v>
      </c>
      <c r="CN113" s="358"/>
      <c r="CO113" s="385">
        <v>1564.4564263010345</v>
      </c>
      <c r="CP113" s="385">
        <f>36</f>
        <v>36</v>
      </c>
      <c r="CQ113" s="358"/>
      <c r="CR113" s="385">
        <v>1564.4564263010345</v>
      </c>
      <c r="CS113" s="385">
        <f>36</f>
        <v>36</v>
      </c>
      <c r="CT113" s="358"/>
      <c r="CU113" s="385">
        <v>1564.4564263010345</v>
      </c>
      <c r="CV113" s="385">
        <f>36</f>
        <v>36</v>
      </c>
      <c r="CW113" s="358"/>
      <c r="CX113" s="385">
        <v>1564.4564263010345</v>
      </c>
      <c r="CY113" s="385">
        <f>36</f>
        <v>36</v>
      </c>
      <c r="CZ113" s="358"/>
      <c r="DA113" s="385">
        <v>1564.4564263010345</v>
      </c>
      <c r="DB113" s="385">
        <f>36</f>
        <v>36</v>
      </c>
      <c r="DC113" s="358"/>
      <c r="DD113" s="385">
        <v>1564.4564263010345</v>
      </c>
      <c r="DE113" s="385">
        <f>36</f>
        <v>36</v>
      </c>
      <c r="DF113" s="358"/>
      <c r="DG113" s="385">
        <v>1564.4564263010345</v>
      </c>
      <c r="DH113" s="385">
        <f>36</f>
        <v>36</v>
      </c>
      <c r="DI113" s="358"/>
      <c r="DJ113" s="385">
        <v>1564.4564263010345</v>
      </c>
      <c r="DK113" s="385">
        <f>36</f>
        <v>36</v>
      </c>
      <c r="DL113" s="358"/>
      <c r="DM113" s="385">
        <v>1564.4564263010345</v>
      </c>
      <c r="DN113" s="385">
        <f>36</f>
        <v>36</v>
      </c>
      <c r="DO113" s="358"/>
      <c r="DP113" s="385">
        <v>1564.4564263010345</v>
      </c>
      <c r="DQ113" s="385">
        <f>36</f>
        <v>36</v>
      </c>
      <c r="DR113" s="358"/>
      <c r="DS113" s="385">
        <v>1564.4564263010345</v>
      </c>
      <c r="DT113" s="385">
        <f>36</f>
        <v>36</v>
      </c>
      <c r="DU113" s="358"/>
      <c r="DV113" s="385">
        <v>1564.4564263010345</v>
      </c>
      <c r="DW113" s="385">
        <f>36</f>
        <v>36</v>
      </c>
      <c r="DX113" s="358"/>
      <c r="DY113" s="385">
        <v>1564.4564263010345</v>
      </c>
      <c r="DZ113" s="385">
        <f>36</f>
        <v>36</v>
      </c>
      <c r="EA113" s="358"/>
      <c r="EB113" s="385">
        <v>1564.4564263010345</v>
      </c>
      <c r="EC113" s="385">
        <f>36</f>
        <v>36</v>
      </c>
      <c r="ED113" s="358"/>
      <c r="EE113" s="385">
        <v>1564.4564263010345</v>
      </c>
      <c r="EF113" s="385">
        <f>36</f>
        <v>36</v>
      </c>
      <c r="EG113" s="358"/>
      <c r="EH113" s="385">
        <v>1564.4564263010345</v>
      </c>
      <c r="EI113" s="385">
        <f>36</f>
        <v>36</v>
      </c>
      <c r="EJ113" s="358"/>
      <c r="EK113" s="385">
        <v>1564.4564263010345</v>
      </c>
      <c r="EL113" s="385">
        <f>36</f>
        <v>36</v>
      </c>
      <c r="EM113" s="358"/>
      <c r="EN113" s="385">
        <v>1564.4564263010345</v>
      </c>
      <c r="EO113" s="385">
        <f>36</f>
        <v>36</v>
      </c>
      <c r="EP113" s="358"/>
      <c r="EQ113" s="385">
        <v>1564.4564263010345</v>
      </c>
      <c r="ER113" s="385">
        <f>36</f>
        <v>36</v>
      </c>
      <c r="ES113" s="358"/>
      <c r="ET113" s="385">
        <v>1564.4564263010345</v>
      </c>
      <c r="EU113" s="385">
        <f>36</f>
        <v>36</v>
      </c>
      <c r="EV113" s="358"/>
      <c r="EW113" s="385">
        <v>1564.4564263010345</v>
      </c>
      <c r="EX113" s="385">
        <f>36</f>
        <v>36</v>
      </c>
      <c r="EY113" s="358"/>
      <c r="EZ113" s="385">
        <v>1564.4564263010345</v>
      </c>
      <c r="FA113" s="385">
        <f>36</f>
        <v>36</v>
      </c>
      <c r="FB113" s="358"/>
      <c r="FC113" s="385">
        <v>1564.4564263010345</v>
      </c>
      <c r="FD113" s="385">
        <f>36</f>
        <v>36</v>
      </c>
      <c r="FE113" s="358"/>
      <c r="FF113" s="385">
        <v>1564.4564263010345</v>
      </c>
      <c r="FG113" s="385">
        <f>36</f>
        <v>36</v>
      </c>
      <c r="FH113" s="358"/>
      <c r="FI113" s="385">
        <v>1564.4564263010345</v>
      </c>
      <c r="FJ113" s="385">
        <f>36</f>
        <v>36</v>
      </c>
      <c r="FK113" s="358"/>
      <c r="FL113" s="385">
        <v>1564.4564263010345</v>
      </c>
      <c r="FM113" s="385">
        <f>36</f>
        <v>36</v>
      </c>
      <c r="FN113" s="358"/>
      <c r="FO113" s="385">
        <v>1564.4564263010345</v>
      </c>
      <c r="FP113" s="385">
        <f>36</f>
        <v>36</v>
      </c>
      <c r="FQ113" s="358"/>
      <c r="FR113" s="385">
        <v>1564.4564263010345</v>
      </c>
      <c r="FS113" s="385">
        <f>36</f>
        <v>36</v>
      </c>
      <c r="FT113" s="358"/>
      <c r="FU113" s="385">
        <v>1564.4564263010345</v>
      </c>
      <c r="FV113" s="385">
        <f>36</f>
        <v>36</v>
      </c>
      <c r="FW113" s="358"/>
      <c r="FX113" s="385">
        <v>1564.4564263010345</v>
      </c>
      <c r="FY113" s="385">
        <f>36</f>
        <v>36</v>
      </c>
      <c r="FZ113" s="358"/>
      <c r="GA113" s="385">
        <v>1564.4564263010345</v>
      </c>
      <c r="GB113" s="385">
        <f>36</f>
        <v>36</v>
      </c>
      <c r="GC113" s="358"/>
      <c r="GD113" s="385">
        <v>1564.4564263010345</v>
      </c>
      <c r="GE113" s="385">
        <f>36</f>
        <v>36</v>
      </c>
      <c r="GF113" s="358"/>
      <c r="GG113" s="385">
        <v>1564.4564263010345</v>
      </c>
      <c r="GH113" s="385">
        <f>36</f>
        <v>36</v>
      </c>
      <c r="GI113" s="358"/>
      <c r="GJ113" s="385">
        <v>1564.4564263010345</v>
      </c>
      <c r="GK113" s="385">
        <f>36</f>
        <v>36</v>
      </c>
      <c r="GL113" s="358"/>
      <c r="GM113" s="385">
        <v>1564.4564263010345</v>
      </c>
      <c r="GN113" s="385">
        <f>36</f>
        <v>36</v>
      </c>
      <c r="GO113" s="358"/>
      <c r="GP113" s="385">
        <v>1564.4564263010345</v>
      </c>
      <c r="GQ113" s="385">
        <f>36</f>
        <v>36</v>
      </c>
      <c r="GR113" s="358"/>
      <c r="GS113" s="385">
        <v>1564.4564263010345</v>
      </c>
      <c r="GT113" s="385">
        <f>36</f>
        <v>36</v>
      </c>
      <c r="GU113" s="358"/>
      <c r="GV113" s="385">
        <v>1564.4564263010345</v>
      </c>
      <c r="GW113" s="385">
        <f>36</f>
        <v>36</v>
      </c>
      <c r="GX113" s="358"/>
      <c r="GY113" s="385">
        <v>1564.4564263010345</v>
      </c>
      <c r="GZ113" s="385">
        <f>36</f>
        <v>36</v>
      </c>
      <c r="HA113" s="358"/>
      <c r="HB113" s="385">
        <v>1564.4564263010345</v>
      </c>
      <c r="HC113" s="385">
        <f>36</f>
        <v>36</v>
      </c>
      <c r="HD113" s="358"/>
      <c r="HE113" s="387">
        <v>1564.4564263010345</v>
      </c>
      <c r="HF113" s="386">
        <f>36*6</f>
        <v>216</v>
      </c>
      <c r="HG113" s="370">
        <v>0</v>
      </c>
      <c r="HH113" s="387">
        <v>1564.4564263010345</v>
      </c>
      <c r="HI113" s="369">
        <v>65.615106286748087</v>
      </c>
      <c r="HJ113" s="387">
        <v>1564.4564263010345</v>
      </c>
      <c r="HK113" s="369">
        <v>65.615106286748087</v>
      </c>
      <c r="HL113" s="387">
        <v>1564.4564263010345</v>
      </c>
      <c r="HM113" s="369">
        <v>65.615106286748087</v>
      </c>
      <c r="HN113" s="387">
        <v>1564.4564263010345</v>
      </c>
      <c r="HO113" s="369">
        <v>65.615106286748087</v>
      </c>
      <c r="HP113" s="387">
        <v>1564.4564263010345</v>
      </c>
      <c r="HQ113" s="369">
        <v>65.615106286748087</v>
      </c>
      <c r="HR113" s="387">
        <v>1564.4564263010345</v>
      </c>
      <c r="HS113" s="369">
        <v>65.615106286748087</v>
      </c>
      <c r="HT113" s="387">
        <v>1564.4564263010345</v>
      </c>
      <c r="HU113" s="369">
        <v>65.615106286748087</v>
      </c>
      <c r="HV113" s="388">
        <v>1564.4564263010345</v>
      </c>
      <c r="HW113" s="424">
        <v>65.615106286748087</v>
      </c>
      <c r="HX113" s="424">
        <v>1564.4564263010345</v>
      </c>
      <c r="HY113" s="424">
        <v>65.615106286748087</v>
      </c>
      <c r="HZ113" s="424">
        <v>1564.4564263010345</v>
      </c>
      <c r="IA113" s="424">
        <v>65.615106286748087</v>
      </c>
      <c r="IB113" s="424">
        <v>1564.4564263010345</v>
      </c>
      <c r="IC113" s="424">
        <v>65.615106286748087</v>
      </c>
      <c r="ID113" s="357">
        <f>VLOOKUP($C113,'[15]Prix accès'!A:D,4,FALSE)</f>
        <v>1564.4564263010345</v>
      </c>
      <c r="IE113" s="407">
        <v>65.615106286748087</v>
      </c>
      <c r="IF113" s="428">
        <v>1128.4603730695987</v>
      </c>
      <c r="IG113" s="500">
        <v>47.606557377049185</v>
      </c>
      <c r="IH113" s="426"/>
      <c r="II113" s="426"/>
      <c r="IJ113" s="426"/>
      <c r="IK113" s="426"/>
      <c r="IL113" s="496"/>
      <c r="IM113" s="427"/>
      <c r="IN113" s="496"/>
      <c r="IO113" s="427"/>
      <c r="IP113" s="496"/>
      <c r="IQ113" s="427"/>
      <c r="IR113" s="429" t="s">
        <v>3123</v>
      </c>
      <c r="IS113" s="364" t="s">
        <v>77</v>
      </c>
      <c r="IT113" s="365">
        <v>43595</v>
      </c>
      <c r="IU113" s="371">
        <v>43617</v>
      </c>
      <c r="IW113" s="372">
        <f t="shared" si="16"/>
        <v>22</v>
      </c>
      <c r="IX113" s="373">
        <f t="shared" si="18"/>
        <v>51.293653321345396</v>
      </c>
      <c r="IY113" s="531">
        <f t="shared" si="19"/>
        <v>1128.4603730695987</v>
      </c>
      <c r="IZ113" s="531"/>
      <c r="JA113" s="531"/>
    </row>
    <row r="114" spans="1:263" s="367" customFormat="1" ht="16.5" customHeight="1" x14ac:dyDescent="0.3">
      <c r="A114" s="354" t="s">
        <v>2743</v>
      </c>
      <c r="B114" s="415" t="s">
        <v>2813</v>
      </c>
      <c r="C114" s="538" t="s">
        <v>1044</v>
      </c>
      <c r="D114" s="539">
        <v>1149</v>
      </c>
      <c r="E114" s="540">
        <v>44</v>
      </c>
      <c r="F114" s="540">
        <v>32</v>
      </c>
      <c r="G114" s="540">
        <v>0</v>
      </c>
      <c r="H114" s="541">
        <v>0</v>
      </c>
      <c r="I114" s="830">
        <v>1225</v>
      </c>
      <c r="J114" s="831"/>
      <c r="K114" s="827"/>
      <c r="L114" s="831">
        <v>1225</v>
      </c>
      <c r="M114" s="831"/>
      <c r="N114" s="827"/>
      <c r="O114" s="831">
        <v>1225</v>
      </c>
      <c r="P114" s="831"/>
      <c r="Q114" s="827"/>
      <c r="R114" s="831">
        <v>1225</v>
      </c>
      <c r="S114" s="831"/>
      <c r="T114" s="827"/>
      <c r="U114" s="831">
        <v>1225</v>
      </c>
      <c r="V114" s="831"/>
      <c r="W114" s="827"/>
      <c r="X114" s="831">
        <v>1225</v>
      </c>
      <c r="Y114" s="831"/>
      <c r="Z114" s="827"/>
      <c r="AA114" s="831">
        <v>1225</v>
      </c>
      <c r="AB114" s="831"/>
      <c r="AC114" s="827"/>
      <c r="AD114" s="831">
        <v>1225</v>
      </c>
      <c r="AE114" s="831"/>
      <c r="AF114" s="827"/>
      <c r="AG114" s="831">
        <v>1225</v>
      </c>
      <c r="AH114" s="831"/>
      <c r="AI114" s="827"/>
      <c r="AJ114" s="831">
        <v>1225</v>
      </c>
      <c r="AK114" s="831"/>
      <c r="AL114" s="827"/>
      <c r="AM114" s="831">
        <v>1225</v>
      </c>
      <c r="AN114" s="831"/>
      <c r="AO114" s="827"/>
      <c r="AP114" s="831">
        <v>1225</v>
      </c>
      <c r="AQ114" s="831"/>
      <c r="AR114" s="827"/>
      <c r="AS114" s="831">
        <v>1225</v>
      </c>
      <c r="AT114" s="831"/>
      <c r="AU114" s="827"/>
      <c r="AV114" s="831">
        <v>1225</v>
      </c>
      <c r="AW114" s="831"/>
      <c r="AX114" s="827"/>
      <c r="AY114" s="831">
        <v>1225</v>
      </c>
      <c r="AZ114" s="831"/>
      <c r="BA114" s="358"/>
      <c r="BB114" s="385">
        <v>1225</v>
      </c>
      <c r="BC114" s="385"/>
      <c r="BD114" s="358"/>
      <c r="BE114" s="385">
        <v>1225</v>
      </c>
      <c r="BF114" s="385"/>
      <c r="BG114" s="358"/>
      <c r="BH114" s="385">
        <v>1225</v>
      </c>
      <c r="BI114" s="385"/>
      <c r="BJ114" s="358"/>
      <c r="BK114" s="385">
        <v>1225</v>
      </c>
      <c r="BL114" s="385"/>
      <c r="BM114" s="358"/>
      <c r="BN114" s="385">
        <v>1225</v>
      </c>
      <c r="BO114" s="385"/>
      <c r="BP114" s="358"/>
      <c r="BQ114" s="385">
        <v>1225</v>
      </c>
      <c r="BR114" s="385"/>
      <c r="BS114" s="358"/>
      <c r="BT114" s="385">
        <v>1225</v>
      </c>
      <c r="BU114" s="385"/>
      <c r="BV114" s="358"/>
      <c r="BW114" s="385">
        <v>1225</v>
      </c>
      <c r="BX114" s="385"/>
      <c r="BY114" s="358"/>
      <c r="BZ114" s="385">
        <v>1225</v>
      </c>
      <c r="CA114" s="385"/>
      <c r="CB114" s="358"/>
      <c r="CC114" s="385">
        <v>1225</v>
      </c>
      <c r="CD114" s="385"/>
      <c r="CE114" s="358"/>
      <c r="CF114" s="385">
        <v>1225</v>
      </c>
      <c r="CG114" s="385"/>
      <c r="CH114" s="358"/>
      <c r="CI114" s="385">
        <v>1225</v>
      </c>
      <c r="CJ114" s="385"/>
      <c r="CK114" s="358"/>
      <c r="CL114" s="385">
        <v>1225</v>
      </c>
      <c r="CM114" s="385"/>
      <c r="CN114" s="358"/>
      <c r="CO114" s="385">
        <v>1225</v>
      </c>
      <c r="CP114" s="385"/>
      <c r="CQ114" s="358"/>
      <c r="CR114" s="385">
        <v>1225</v>
      </c>
      <c r="CS114" s="385"/>
      <c r="CT114" s="358"/>
      <c r="CU114" s="385">
        <v>1225</v>
      </c>
      <c r="CV114" s="385"/>
      <c r="CW114" s="358"/>
      <c r="CX114" s="385">
        <v>1225</v>
      </c>
      <c r="CY114" s="385"/>
      <c r="CZ114" s="358"/>
      <c r="DA114" s="385">
        <v>1225</v>
      </c>
      <c r="DB114" s="385"/>
      <c r="DC114" s="358"/>
      <c r="DD114" s="385">
        <v>1225</v>
      </c>
      <c r="DE114" s="385"/>
      <c r="DF114" s="358"/>
      <c r="DG114" s="385">
        <v>1225</v>
      </c>
      <c r="DH114" s="385"/>
      <c r="DI114" s="358"/>
      <c r="DJ114" s="385">
        <v>1225</v>
      </c>
      <c r="DK114" s="385"/>
      <c r="DL114" s="358"/>
      <c r="DM114" s="385">
        <v>1225</v>
      </c>
      <c r="DN114" s="385"/>
      <c r="DO114" s="358"/>
      <c r="DP114" s="385">
        <v>1225</v>
      </c>
      <c r="DQ114" s="385"/>
      <c r="DR114" s="358"/>
      <c r="DS114" s="385">
        <v>1225</v>
      </c>
      <c r="DT114" s="385"/>
      <c r="DU114" s="358"/>
      <c r="DV114" s="385">
        <v>1225</v>
      </c>
      <c r="DW114" s="385"/>
      <c r="DX114" s="358"/>
      <c r="DY114" s="385">
        <v>1225</v>
      </c>
      <c r="DZ114" s="385"/>
      <c r="EA114" s="358"/>
      <c r="EB114" s="385">
        <v>1225</v>
      </c>
      <c r="EC114" s="385"/>
      <c r="ED114" s="358"/>
      <c r="EE114" s="385">
        <v>1225</v>
      </c>
      <c r="EF114" s="385"/>
      <c r="EG114" s="358"/>
      <c r="EH114" s="385">
        <v>1225</v>
      </c>
      <c r="EI114" s="385"/>
      <c r="EJ114" s="358"/>
      <c r="EK114" s="385">
        <v>1225</v>
      </c>
      <c r="EL114" s="385"/>
      <c r="EM114" s="358"/>
      <c r="EN114" s="385">
        <v>1225</v>
      </c>
      <c r="EO114" s="385"/>
      <c r="EP114" s="358"/>
      <c r="EQ114" s="385">
        <v>1225</v>
      </c>
      <c r="ER114" s="385"/>
      <c r="ES114" s="358"/>
      <c r="ET114" s="385">
        <v>1225</v>
      </c>
      <c r="EU114" s="385"/>
      <c r="EV114" s="358"/>
      <c r="EW114" s="385">
        <v>1225</v>
      </c>
      <c r="EX114" s="385"/>
      <c r="EY114" s="358"/>
      <c r="EZ114" s="385">
        <v>1225</v>
      </c>
      <c r="FA114" s="385"/>
      <c r="FB114" s="358"/>
      <c r="FC114" s="385">
        <v>1225</v>
      </c>
      <c r="FD114" s="385"/>
      <c r="FE114" s="358"/>
      <c r="FF114" s="385">
        <v>1225</v>
      </c>
      <c r="FG114" s="385"/>
      <c r="FH114" s="358"/>
      <c r="FI114" s="385">
        <v>1225</v>
      </c>
      <c r="FJ114" s="385"/>
      <c r="FK114" s="358"/>
      <c r="FL114" s="385">
        <v>1225</v>
      </c>
      <c r="FM114" s="385"/>
      <c r="FN114" s="358"/>
      <c r="FO114" s="385">
        <v>1225</v>
      </c>
      <c r="FP114" s="385"/>
      <c r="FQ114" s="358"/>
      <c r="FR114" s="385">
        <v>1225</v>
      </c>
      <c r="FS114" s="385"/>
      <c r="FT114" s="358"/>
      <c r="FU114" s="385">
        <v>1225</v>
      </c>
      <c r="FV114" s="385"/>
      <c r="FW114" s="358"/>
      <c r="FX114" s="385">
        <v>1225</v>
      </c>
      <c r="FY114" s="385"/>
      <c r="FZ114" s="358"/>
      <c r="GA114" s="385">
        <v>1225</v>
      </c>
      <c r="GB114" s="385"/>
      <c r="GC114" s="358"/>
      <c r="GD114" s="385">
        <v>1225</v>
      </c>
      <c r="GE114" s="385"/>
      <c r="GF114" s="358"/>
      <c r="GG114" s="385">
        <v>1225</v>
      </c>
      <c r="GH114" s="385"/>
      <c r="GI114" s="358"/>
      <c r="GJ114" s="385">
        <v>1225</v>
      </c>
      <c r="GK114" s="385"/>
      <c r="GL114" s="358"/>
      <c r="GM114" s="385">
        <v>1225</v>
      </c>
      <c r="GN114" s="385"/>
      <c r="GO114" s="358"/>
      <c r="GP114" s="385">
        <v>1225</v>
      </c>
      <c r="GQ114" s="385"/>
      <c r="GR114" s="358"/>
      <c r="GS114" s="385">
        <v>1225</v>
      </c>
      <c r="GT114" s="385"/>
      <c r="GU114" s="358"/>
      <c r="GV114" s="385">
        <v>1225</v>
      </c>
      <c r="GW114" s="385"/>
      <c r="GX114" s="358"/>
      <c r="GY114" s="385">
        <v>1225</v>
      </c>
      <c r="GZ114" s="385"/>
      <c r="HA114" s="358"/>
      <c r="HB114" s="385">
        <v>1225</v>
      </c>
      <c r="HC114" s="385"/>
      <c r="HD114" s="358"/>
      <c r="HE114" s="385">
        <v>1225</v>
      </c>
      <c r="HF114" s="385"/>
      <c r="HG114" s="358"/>
      <c r="HH114" s="385">
        <v>1225</v>
      </c>
      <c r="HI114" s="358"/>
      <c r="HJ114" s="385">
        <v>1225</v>
      </c>
      <c r="HK114" s="358"/>
      <c r="HL114" s="385">
        <v>1225</v>
      </c>
      <c r="HM114" s="358"/>
      <c r="HN114" s="385">
        <v>1225</v>
      </c>
      <c r="HO114" s="358"/>
      <c r="HP114" s="385">
        <v>1225</v>
      </c>
      <c r="HQ114" s="358"/>
      <c r="HR114" s="385">
        <v>1225</v>
      </c>
      <c r="HS114" s="358"/>
      <c r="HT114" s="386">
        <f>1055+300.98</f>
        <v>1355.98</v>
      </c>
      <c r="HU114" s="358"/>
      <c r="HV114" s="388">
        <v>1055</v>
      </c>
      <c r="HW114" s="425"/>
      <c r="HX114" s="424">
        <v>1055.0564263010344</v>
      </c>
      <c r="HY114" s="425"/>
      <c r="HZ114" s="424">
        <v>1055.0564263010344</v>
      </c>
      <c r="IA114" s="425"/>
      <c r="IB114" s="424">
        <v>1055.0564263010344</v>
      </c>
      <c r="IC114" s="425"/>
      <c r="ID114" s="357">
        <f>VLOOKUP($C114,'[15]Prix accès'!A:D,4,FALSE)</f>
        <v>1225</v>
      </c>
      <c r="IE114" s="361"/>
      <c r="IF114" s="408">
        <v>588.06423761041265</v>
      </c>
      <c r="IG114" s="426"/>
      <c r="IH114" s="426"/>
      <c r="II114" s="426"/>
      <c r="IJ114" s="426"/>
      <c r="IK114" s="426"/>
      <c r="IL114" s="496"/>
      <c r="IM114" s="427"/>
      <c r="IN114" s="496"/>
      <c r="IO114" s="427"/>
      <c r="IP114" s="496"/>
      <c r="IQ114" s="427"/>
      <c r="IR114" s="429" t="s">
        <v>3089</v>
      </c>
      <c r="IS114" s="364" t="s">
        <v>77</v>
      </c>
      <c r="IT114" s="365">
        <v>43600</v>
      </c>
      <c r="IU114" s="371">
        <v>43617</v>
      </c>
      <c r="IW114" s="372">
        <f t="shared" si="16"/>
        <v>17</v>
      </c>
      <c r="IX114" s="373">
        <f t="shared" si="18"/>
        <v>40.16393442622951</v>
      </c>
      <c r="IY114" s="531">
        <f t="shared" si="19"/>
        <v>682.78688524590166</v>
      </c>
      <c r="IZ114" s="531"/>
      <c r="JA114" s="531"/>
    </row>
    <row r="115" spans="1:263" s="367" customFormat="1" ht="16.5" customHeight="1" x14ac:dyDescent="0.3">
      <c r="A115" s="354" t="s">
        <v>2743</v>
      </c>
      <c r="B115" s="377" t="s">
        <v>2877</v>
      </c>
      <c r="C115" s="542" t="s">
        <v>934</v>
      </c>
      <c r="D115" s="890">
        <f>(177*12)+738</f>
        <v>2862</v>
      </c>
      <c r="E115" s="880">
        <v>30.2</v>
      </c>
      <c r="F115" s="880">
        <v>8</v>
      </c>
      <c r="G115" s="890">
        <f>(14*12)+14</f>
        <v>182</v>
      </c>
      <c r="H115" s="543">
        <f>(66*12)+66</f>
        <v>858</v>
      </c>
      <c r="I115" s="828">
        <v>598.61198185659009</v>
      </c>
      <c r="J115" s="829"/>
      <c r="K115" s="827"/>
      <c r="L115" s="829">
        <v>598.61198185659009</v>
      </c>
      <c r="M115" s="829"/>
      <c r="N115" s="827"/>
      <c r="O115" s="829">
        <v>598.61198185659009</v>
      </c>
      <c r="P115" s="829"/>
      <c r="Q115" s="827"/>
      <c r="R115" s="829">
        <v>598.61198185659009</v>
      </c>
      <c r="S115" s="829"/>
      <c r="T115" s="827"/>
      <c r="U115" s="829">
        <v>598.61198185659009</v>
      </c>
      <c r="V115" s="829"/>
      <c r="W115" s="827"/>
      <c r="X115" s="829">
        <v>598.61198185659009</v>
      </c>
      <c r="Y115" s="829"/>
      <c r="Z115" s="827"/>
      <c r="AA115" s="829">
        <v>598.61198185659009</v>
      </c>
      <c r="AB115" s="829"/>
      <c r="AC115" s="827"/>
      <c r="AD115" s="829">
        <v>598.61198185659009</v>
      </c>
      <c r="AE115" s="829"/>
      <c r="AF115" s="827"/>
      <c r="AG115" s="829">
        <v>598.61198185659009</v>
      </c>
      <c r="AH115" s="829"/>
      <c r="AI115" s="827"/>
      <c r="AJ115" s="829">
        <v>598.61198185659009</v>
      </c>
      <c r="AK115" s="829"/>
      <c r="AL115" s="827"/>
      <c r="AM115" s="829">
        <v>598.61198185659009</v>
      </c>
      <c r="AN115" s="829"/>
      <c r="AO115" s="827"/>
      <c r="AP115" s="829">
        <v>598.61198185659009</v>
      </c>
      <c r="AQ115" s="829"/>
      <c r="AR115" s="827"/>
      <c r="AS115" s="829">
        <v>598.61198185659009</v>
      </c>
      <c r="AT115" s="829"/>
      <c r="AU115" s="827"/>
      <c r="AV115" s="829">
        <v>598.61198185659009</v>
      </c>
      <c r="AW115" s="829"/>
      <c r="AX115" s="827"/>
      <c r="AY115" s="829">
        <v>598.61198185659009</v>
      </c>
      <c r="AZ115" s="829"/>
      <c r="BA115" s="358"/>
      <c r="BB115" s="387">
        <v>598.61198185659009</v>
      </c>
      <c r="BC115" s="387"/>
      <c r="BD115" s="358"/>
      <c r="BE115" s="387">
        <v>598.61198185659009</v>
      </c>
      <c r="BF115" s="387"/>
      <c r="BG115" s="358"/>
      <c r="BH115" s="387">
        <v>598.61198185659009</v>
      </c>
      <c r="BI115" s="387"/>
      <c r="BJ115" s="358"/>
      <c r="BK115" s="387">
        <v>598.61198185659009</v>
      </c>
      <c r="BL115" s="387"/>
      <c r="BM115" s="358"/>
      <c r="BN115" s="387">
        <v>598.61198185659009</v>
      </c>
      <c r="BO115" s="387"/>
      <c r="BP115" s="358"/>
      <c r="BQ115" s="387">
        <v>598.61198185659009</v>
      </c>
      <c r="BR115" s="387"/>
      <c r="BS115" s="358"/>
      <c r="BT115" s="387">
        <v>598.61198185659009</v>
      </c>
      <c r="BU115" s="387"/>
      <c r="BV115" s="358"/>
      <c r="BW115" s="387">
        <v>598.61198185659009</v>
      </c>
      <c r="BX115" s="387"/>
      <c r="BY115" s="358"/>
      <c r="BZ115" s="387">
        <v>598.61198185659009</v>
      </c>
      <c r="CA115" s="387"/>
      <c r="CB115" s="358"/>
      <c r="CC115" s="387">
        <v>598.61198185659009</v>
      </c>
      <c r="CD115" s="387"/>
      <c r="CE115" s="358"/>
      <c r="CF115" s="387">
        <v>598.61198185659009</v>
      </c>
      <c r="CG115" s="387"/>
      <c r="CH115" s="358"/>
      <c r="CI115" s="387">
        <v>598.61198185659009</v>
      </c>
      <c r="CJ115" s="387"/>
      <c r="CK115" s="358"/>
      <c r="CL115" s="387">
        <v>598.61198185659009</v>
      </c>
      <c r="CM115" s="387"/>
      <c r="CN115" s="358"/>
      <c r="CO115" s="387">
        <v>598.61198185659009</v>
      </c>
      <c r="CP115" s="387"/>
      <c r="CQ115" s="358"/>
      <c r="CR115" s="387">
        <v>598.61198185659009</v>
      </c>
      <c r="CS115" s="387"/>
      <c r="CT115" s="358"/>
      <c r="CU115" s="387">
        <v>598.61198185659009</v>
      </c>
      <c r="CV115" s="387"/>
      <c r="CW115" s="358"/>
      <c r="CX115" s="387">
        <v>598.61198185659009</v>
      </c>
      <c r="CY115" s="387"/>
      <c r="CZ115" s="358"/>
      <c r="DA115" s="387">
        <v>598.61198185659009</v>
      </c>
      <c r="DB115" s="387"/>
      <c r="DC115" s="358"/>
      <c r="DD115" s="387">
        <v>598.61198185659009</v>
      </c>
      <c r="DE115" s="387"/>
      <c r="DF115" s="358"/>
      <c r="DG115" s="387">
        <v>598.61198185659009</v>
      </c>
      <c r="DH115" s="387"/>
      <c r="DI115" s="358"/>
      <c r="DJ115" s="387">
        <v>598.61198185659009</v>
      </c>
      <c r="DK115" s="387"/>
      <c r="DL115" s="358"/>
      <c r="DM115" s="387">
        <v>598.61198185659009</v>
      </c>
      <c r="DN115" s="387"/>
      <c r="DO115" s="358"/>
      <c r="DP115" s="387">
        <v>598.61198185659009</v>
      </c>
      <c r="DQ115" s="387"/>
      <c r="DR115" s="358"/>
      <c r="DS115" s="387">
        <v>598.61198185659009</v>
      </c>
      <c r="DT115" s="387"/>
      <c r="DU115" s="358"/>
      <c r="DV115" s="387">
        <v>598.61198185659009</v>
      </c>
      <c r="DW115" s="387"/>
      <c r="DX115" s="358"/>
      <c r="DY115" s="387">
        <v>598.61198185659009</v>
      </c>
      <c r="DZ115" s="387"/>
      <c r="EA115" s="358"/>
      <c r="EB115" s="387">
        <v>598.61198185659009</v>
      </c>
      <c r="EC115" s="387"/>
      <c r="ED115" s="358"/>
      <c r="EE115" s="387">
        <v>598.61198185659009</v>
      </c>
      <c r="EF115" s="387"/>
      <c r="EG115" s="358"/>
      <c r="EH115" s="387">
        <v>598.61198185659009</v>
      </c>
      <c r="EI115" s="387"/>
      <c r="EJ115" s="358"/>
      <c r="EK115" s="387">
        <v>598.61198185659009</v>
      </c>
      <c r="EL115" s="387"/>
      <c r="EM115" s="358"/>
      <c r="EN115" s="387">
        <v>598.61198185659009</v>
      </c>
      <c r="EO115" s="387"/>
      <c r="EP115" s="358"/>
      <c r="EQ115" s="387">
        <v>598.61198185659009</v>
      </c>
      <c r="ER115" s="387"/>
      <c r="ES115" s="358"/>
      <c r="ET115" s="387">
        <v>598.61198185659009</v>
      </c>
      <c r="EU115" s="387"/>
      <c r="EV115" s="358"/>
      <c r="EW115" s="387">
        <v>598.61198185659009</v>
      </c>
      <c r="EX115" s="387"/>
      <c r="EY115" s="358"/>
      <c r="EZ115" s="387">
        <v>598.61198185659009</v>
      </c>
      <c r="FA115" s="387"/>
      <c r="FB115" s="358"/>
      <c r="FC115" s="387">
        <v>598.61198185659009</v>
      </c>
      <c r="FD115" s="387"/>
      <c r="FE115" s="358"/>
      <c r="FF115" s="387">
        <v>598.61198185659009</v>
      </c>
      <c r="FG115" s="387"/>
      <c r="FH115" s="358"/>
      <c r="FI115" s="387">
        <v>598.61198185659009</v>
      </c>
      <c r="FJ115" s="387"/>
      <c r="FK115" s="358"/>
      <c r="FL115" s="387">
        <v>598.61198185659009</v>
      </c>
      <c r="FM115" s="387"/>
      <c r="FN115" s="358"/>
      <c r="FO115" s="387">
        <v>598.61198185659009</v>
      </c>
      <c r="FP115" s="387"/>
      <c r="FQ115" s="358"/>
      <c r="FR115" s="387">
        <v>598.61198185659009</v>
      </c>
      <c r="FS115" s="387"/>
      <c r="FT115" s="358"/>
      <c r="FU115" s="387">
        <v>598.61198185659009</v>
      </c>
      <c r="FV115" s="387"/>
      <c r="FW115" s="358"/>
      <c r="FX115" s="387">
        <v>598.61198185659009</v>
      </c>
      <c r="FY115" s="387"/>
      <c r="FZ115" s="358"/>
      <c r="GA115" s="387">
        <v>598.61198185659009</v>
      </c>
      <c r="GB115" s="387"/>
      <c r="GC115" s="358"/>
      <c r="GD115" s="387">
        <v>598.61198185659009</v>
      </c>
      <c r="GE115" s="387"/>
      <c r="GF115" s="358"/>
      <c r="GG115" s="387">
        <v>598.61198185659009</v>
      </c>
      <c r="GH115" s="387"/>
      <c r="GI115" s="358"/>
      <c r="GJ115" s="387">
        <v>598.61198185659009</v>
      </c>
      <c r="GK115" s="387"/>
      <c r="GL115" s="358"/>
      <c r="GM115" s="387">
        <v>598.61198185659009</v>
      </c>
      <c r="GN115" s="387"/>
      <c r="GO115" s="358"/>
      <c r="GP115" s="387">
        <v>598.61198185659009</v>
      </c>
      <c r="GQ115" s="387"/>
      <c r="GR115" s="358"/>
      <c r="GS115" s="387">
        <v>598.61198185659009</v>
      </c>
      <c r="GT115" s="387"/>
      <c r="GU115" s="358"/>
      <c r="GV115" s="387">
        <v>598.61198185659009</v>
      </c>
      <c r="GW115" s="387"/>
      <c r="GX115" s="358"/>
      <c r="GY115" s="387">
        <v>598.61198185659009</v>
      </c>
      <c r="GZ115" s="387"/>
      <c r="HA115" s="358"/>
      <c r="HB115" s="387">
        <v>598.61198185659009</v>
      </c>
      <c r="HC115" s="387"/>
      <c r="HD115" s="358"/>
      <c r="HE115" s="387">
        <v>598.61198185659009</v>
      </c>
      <c r="HF115" s="387"/>
      <c r="HG115" s="358"/>
      <c r="HH115" s="387">
        <v>598.61198185659009</v>
      </c>
      <c r="HI115" s="358"/>
      <c r="HJ115" s="387">
        <v>598.61198185659009</v>
      </c>
      <c r="HK115" s="358"/>
      <c r="HL115" s="387">
        <v>598.61198185659009</v>
      </c>
      <c r="HM115" s="358"/>
      <c r="HN115" s="387">
        <v>598.61198185659009</v>
      </c>
      <c r="HO115" s="358"/>
      <c r="HP115" s="387">
        <v>598.61198185659009</v>
      </c>
      <c r="HQ115" s="358"/>
      <c r="HR115" s="387">
        <v>598.61198185659009</v>
      </c>
      <c r="HS115" s="358"/>
      <c r="HT115" s="387">
        <v>598.61198185659009</v>
      </c>
      <c r="HU115" s="358"/>
      <c r="HV115" s="388">
        <v>598.61198185659009</v>
      </c>
      <c r="HW115" s="425"/>
      <c r="HX115" s="424">
        <v>598.61198185659009</v>
      </c>
      <c r="HY115" s="425"/>
      <c r="HZ115" s="424">
        <v>598.61198185659009</v>
      </c>
      <c r="IA115" s="425"/>
      <c r="IB115" s="424">
        <v>598.61198185659009</v>
      </c>
      <c r="IC115" s="425"/>
      <c r="ID115" s="357">
        <f>VLOOKUP($C115,'[15]Prix accès'!A:D,4,FALSE)</f>
        <v>598.61198185659009</v>
      </c>
      <c r="IE115" s="361"/>
      <c r="IF115" s="428">
        <v>314.02595769526039</v>
      </c>
      <c r="IG115" s="426"/>
      <c r="IH115" s="426"/>
      <c r="II115" s="426"/>
      <c r="IJ115" s="426"/>
      <c r="IK115" s="426"/>
      <c r="IL115" s="496"/>
      <c r="IM115" s="427"/>
      <c r="IN115" s="496"/>
      <c r="IO115" s="427"/>
      <c r="IP115" s="496"/>
      <c r="IQ115" s="427"/>
      <c r="IR115" s="429" t="s">
        <v>2876</v>
      </c>
      <c r="IS115" s="364" t="s">
        <v>77</v>
      </c>
      <c r="IT115" s="365">
        <v>43601</v>
      </c>
      <c r="IU115" s="371">
        <v>43617</v>
      </c>
      <c r="IW115" s="372">
        <f t="shared" si="16"/>
        <v>16</v>
      </c>
      <c r="IX115" s="373">
        <f t="shared" si="18"/>
        <v>19.626622355953774</v>
      </c>
      <c r="IY115" s="531">
        <f t="shared" si="19"/>
        <v>314.02595769526039</v>
      </c>
      <c r="IZ115" s="531"/>
      <c r="JA115" s="531"/>
    </row>
    <row r="116" spans="1:263" s="367" customFormat="1" ht="16.5" customHeight="1" x14ac:dyDescent="0.3">
      <c r="A116" s="354" t="s">
        <v>2743</v>
      </c>
      <c r="B116" s="415" t="s">
        <v>2784</v>
      </c>
      <c r="C116" s="544" t="s">
        <v>1135</v>
      </c>
      <c r="D116" s="545">
        <v>1454</v>
      </c>
      <c r="E116" s="546">
        <v>95</v>
      </c>
      <c r="F116" s="546">
        <v>16</v>
      </c>
      <c r="G116" s="546">
        <v>36</v>
      </c>
      <c r="H116" s="547">
        <v>0</v>
      </c>
      <c r="I116" s="830">
        <v>1564.4564263010345</v>
      </c>
      <c r="J116" s="831">
        <f>36</f>
        <v>36</v>
      </c>
      <c r="K116" s="827"/>
      <c r="L116" s="831">
        <v>1564.4564263010345</v>
      </c>
      <c r="M116" s="831">
        <f>36</f>
        <v>36</v>
      </c>
      <c r="N116" s="827"/>
      <c r="O116" s="831">
        <v>1564.4564263010345</v>
      </c>
      <c r="P116" s="831">
        <f>36</f>
        <v>36</v>
      </c>
      <c r="Q116" s="827"/>
      <c r="R116" s="831">
        <v>1564.4564263010345</v>
      </c>
      <c r="S116" s="831">
        <f>36</f>
        <v>36</v>
      </c>
      <c r="T116" s="827"/>
      <c r="U116" s="831">
        <v>1564.4564263010345</v>
      </c>
      <c r="V116" s="831">
        <f>36</f>
        <v>36</v>
      </c>
      <c r="W116" s="827"/>
      <c r="X116" s="831">
        <v>1564.4564263010345</v>
      </c>
      <c r="Y116" s="831">
        <f>36</f>
        <v>36</v>
      </c>
      <c r="Z116" s="827"/>
      <c r="AA116" s="831">
        <v>1564.4564263010345</v>
      </c>
      <c r="AB116" s="831">
        <f>36</f>
        <v>36</v>
      </c>
      <c r="AC116" s="827"/>
      <c r="AD116" s="831">
        <v>1564.4564263010345</v>
      </c>
      <c r="AE116" s="831">
        <f>36</f>
        <v>36</v>
      </c>
      <c r="AF116" s="827"/>
      <c r="AG116" s="831">
        <v>1564.4564263010345</v>
      </c>
      <c r="AH116" s="831">
        <f>36</f>
        <v>36</v>
      </c>
      <c r="AI116" s="827"/>
      <c r="AJ116" s="831">
        <v>1564.4564263010345</v>
      </c>
      <c r="AK116" s="831">
        <f>36</f>
        <v>36</v>
      </c>
      <c r="AL116" s="827"/>
      <c r="AM116" s="831">
        <v>1564.4564263010345</v>
      </c>
      <c r="AN116" s="831">
        <f>36</f>
        <v>36</v>
      </c>
      <c r="AO116" s="827"/>
      <c r="AP116" s="831">
        <v>1564.4564263010345</v>
      </c>
      <c r="AQ116" s="831">
        <f>36</f>
        <v>36</v>
      </c>
      <c r="AR116" s="827"/>
      <c r="AS116" s="831">
        <v>1564.4564263010345</v>
      </c>
      <c r="AT116" s="831">
        <f>36</f>
        <v>36</v>
      </c>
      <c r="AU116" s="827"/>
      <c r="AV116" s="831">
        <v>1564.4564263010345</v>
      </c>
      <c r="AW116" s="831">
        <f>36</f>
        <v>36</v>
      </c>
      <c r="AX116" s="827"/>
      <c r="AY116" s="831">
        <v>1564.4564263010345</v>
      </c>
      <c r="AZ116" s="831">
        <f>36</f>
        <v>36</v>
      </c>
      <c r="BA116" s="358"/>
      <c r="BB116" s="385">
        <v>1564.4564263010345</v>
      </c>
      <c r="BC116" s="385">
        <f>36</f>
        <v>36</v>
      </c>
      <c r="BD116" s="358"/>
      <c r="BE116" s="385">
        <v>1564.4564263010345</v>
      </c>
      <c r="BF116" s="385">
        <f>36</f>
        <v>36</v>
      </c>
      <c r="BG116" s="358"/>
      <c r="BH116" s="385">
        <v>1564.4564263010345</v>
      </c>
      <c r="BI116" s="385">
        <f>36</f>
        <v>36</v>
      </c>
      <c r="BJ116" s="358"/>
      <c r="BK116" s="385">
        <v>1564.4564263010345</v>
      </c>
      <c r="BL116" s="385">
        <f>36</f>
        <v>36</v>
      </c>
      <c r="BM116" s="358"/>
      <c r="BN116" s="385">
        <v>1564.4564263010345</v>
      </c>
      <c r="BO116" s="385">
        <f>36</f>
        <v>36</v>
      </c>
      <c r="BP116" s="358"/>
      <c r="BQ116" s="385">
        <v>1564.4564263010345</v>
      </c>
      <c r="BR116" s="385">
        <f>36</f>
        <v>36</v>
      </c>
      <c r="BS116" s="358"/>
      <c r="BT116" s="385">
        <v>1564.4564263010345</v>
      </c>
      <c r="BU116" s="385">
        <f>36</f>
        <v>36</v>
      </c>
      <c r="BV116" s="358"/>
      <c r="BW116" s="385">
        <v>1564.4564263010345</v>
      </c>
      <c r="BX116" s="385">
        <f>36</f>
        <v>36</v>
      </c>
      <c r="BY116" s="358"/>
      <c r="BZ116" s="385">
        <v>1564.4564263010345</v>
      </c>
      <c r="CA116" s="385">
        <f>36</f>
        <v>36</v>
      </c>
      <c r="CB116" s="358"/>
      <c r="CC116" s="385">
        <v>1564.4564263010345</v>
      </c>
      <c r="CD116" s="385">
        <f>36</f>
        <v>36</v>
      </c>
      <c r="CE116" s="358"/>
      <c r="CF116" s="385">
        <v>1564.4564263010345</v>
      </c>
      <c r="CG116" s="385">
        <f>36</f>
        <v>36</v>
      </c>
      <c r="CH116" s="358"/>
      <c r="CI116" s="385">
        <v>1564.4564263010345</v>
      </c>
      <c r="CJ116" s="385">
        <f>36</f>
        <v>36</v>
      </c>
      <c r="CK116" s="358"/>
      <c r="CL116" s="385">
        <v>1564.4564263010345</v>
      </c>
      <c r="CM116" s="385">
        <f>36</f>
        <v>36</v>
      </c>
      <c r="CN116" s="358"/>
      <c r="CO116" s="385">
        <v>1564.4564263010345</v>
      </c>
      <c r="CP116" s="385">
        <f>36</f>
        <v>36</v>
      </c>
      <c r="CQ116" s="358"/>
      <c r="CR116" s="385">
        <v>1564.4564263010345</v>
      </c>
      <c r="CS116" s="385">
        <f>36</f>
        <v>36</v>
      </c>
      <c r="CT116" s="358"/>
      <c r="CU116" s="385">
        <v>1564.4564263010345</v>
      </c>
      <c r="CV116" s="385">
        <f>36</f>
        <v>36</v>
      </c>
      <c r="CW116" s="358"/>
      <c r="CX116" s="385">
        <v>1564.4564263010345</v>
      </c>
      <c r="CY116" s="385">
        <f>36</f>
        <v>36</v>
      </c>
      <c r="CZ116" s="358"/>
      <c r="DA116" s="385">
        <v>1564.4564263010345</v>
      </c>
      <c r="DB116" s="385">
        <f>36</f>
        <v>36</v>
      </c>
      <c r="DC116" s="358"/>
      <c r="DD116" s="385">
        <v>1564.4564263010345</v>
      </c>
      <c r="DE116" s="385">
        <f>36</f>
        <v>36</v>
      </c>
      <c r="DF116" s="358"/>
      <c r="DG116" s="385">
        <v>1564.4564263010345</v>
      </c>
      <c r="DH116" s="385">
        <f>36</f>
        <v>36</v>
      </c>
      <c r="DI116" s="358"/>
      <c r="DJ116" s="385">
        <v>1564.4564263010345</v>
      </c>
      <c r="DK116" s="385">
        <f>36</f>
        <v>36</v>
      </c>
      <c r="DL116" s="358"/>
      <c r="DM116" s="385">
        <v>1564.4564263010345</v>
      </c>
      <c r="DN116" s="385">
        <f>36</f>
        <v>36</v>
      </c>
      <c r="DO116" s="358"/>
      <c r="DP116" s="385">
        <v>1564.4564263010345</v>
      </c>
      <c r="DQ116" s="385">
        <f>36</f>
        <v>36</v>
      </c>
      <c r="DR116" s="358"/>
      <c r="DS116" s="385">
        <v>1564.4564263010345</v>
      </c>
      <c r="DT116" s="385">
        <f>36</f>
        <v>36</v>
      </c>
      <c r="DU116" s="358"/>
      <c r="DV116" s="385">
        <v>1564.4564263010345</v>
      </c>
      <c r="DW116" s="385">
        <f>36</f>
        <v>36</v>
      </c>
      <c r="DX116" s="358"/>
      <c r="DY116" s="385">
        <v>1564.4564263010345</v>
      </c>
      <c r="DZ116" s="385">
        <f>36</f>
        <v>36</v>
      </c>
      <c r="EA116" s="358"/>
      <c r="EB116" s="385">
        <v>1564.4564263010345</v>
      </c>
      <c r="EC116" s="385">
        <f>36</f>
        <v>36</v>
      </c>
      <c r="ED116" s="358"/>
      <c r="EE116" s="385">
        <v>1564.4564263010345</v>
      </c>
      <c r="EF116" s="385">
        <f>36</f>
        <v>36</v>
      </c>
      <c r="EG116" s="358"/>
      <c r="EH116" s="385">
        <v>1564.4564263010345</v>
      </c>
      <c r="EI116" s="385">
        <f>36</f>
        <v>36</v>
      </c>
      <c r="EJ116" s="358"/>
      <c r="EK116" s="385">
        <v>1564.4564263010345</v>
      </c>
      <c r="EL116" s="385">
        <f>36</f>
        <v>36</v>
      </c>
      <c r="EM116" s="358"/>
      <c r="EN116" s="385">
        <v>1564.4564263010345</v>
      </c>
      <c r="EO116" s="385">
        <f>36</f>
        <v>36</v>
      </c>
      <c r="EP116" s="358"/>
      <c r="EQ116" s="385">
        <v>1564.4564263010345</v>
      </c>
      <c r="ER116" s="385">
        <f>36</f>
        <v>36</v>
      </c>
      <c r="ES116" s="358"/>
      <c r="ET116" s="385">
        <v>1564.4564263010345</v>
      </c>
      <c r="EU116" s="385">
        <f>36</f>
        <v>36</v>
      </c>
      <c r="EV116" s="358"/>
      <c r="EW116" s="385">
        <v>1564.4564263010345</v>
      </c>
      <c r="EX116" s="385">
        <f>36</f>
        <v>36</v>
      </c>
      <c r="EY116" s="358"/>
      <c r="EZ116" s="385">
        <v>1564.4564263010345</v>
      </c>
      <c r="FA116" s="385">
        <f>36</f>
        <v>36</v>
      </c>
      <c r="FB116" s="358"/>
      <c r="FC116" s="385">
        <v>1564.4564263010345</v>
      </c>
      <c r="FD116" s="385">
        <f>36</f>
        <v>36</v>
      </c>
      <c r="FE116" s="358"/>
      <c r="FF116" s="385">
        <v>1564.4564263010345</v>
      </c>
      <c r="FG116" s="385">
        <f>36</f>
        <v>36</v>
      </c>
      <c r="FH116" s="358"/>
      <c r="FI116" s="385">
        <v>1564.4564263010345</v>
      </c>
      <c r="FJ116" s="385">
        <f>36</f>
        <v>36</v>
      </c>
      <c r="FK116" s="358"/>
      <c r="FL116" s="385">
        <v>1564.4564263010345</v>
      </c>
      <c r="FM116" s="385">
        <f>36</f>
        <v>36</v>
      </c>
      <c r="FN116" s="358"/>
      <c r="FO116" s="385">
        <v>1564.4564263010345</v>
      </c>
      <c r="FP116" s="385">
        <f>36</f>
        <v>36</v>
      </c>
      <c r="FQ116" s="358"/>
      <c r="FR116" s="385">
        <v>1564.4564263010345</v>
      </c>
      <c r="FS116" s="385">
        <f>36</f>
        <v>36</v>
      </c>
      <c r="FT116" s="358"/>
      <c r="FU116" s="385">
        <v>1564.4564263010345</v>
      </c>
      <c r="FV116" s="385">
        <f>36</f>
        <v>36</v>
      </c>
      <c r="FW116" s="358"/>
      <c r="FX116" s="385">
        <v>1564.4564263010345</v>
      </c>
      <c r="FY116" s="385">
        <f>36</f>
        <v>36</v>
      </c>
      <c r="FZ116" s="358"/>
      <c r="GA116" s="385">
        <v>1564.4564263010345</v>
      </c>
      <c r="GB116" s="385">
        <f>36</f>
        <v>36</v>
      </c>
      <c r="GC116" s="358"/>
      <c r="GD116" s="385">
        <v>1564.4564263010345</v>
      </c>
      <c r="GE116" s="385">
        <f>36</f>
        <v>36</v>
      </c>
      <c r="GF116" s="358"/>
      <c r="GG116" s="385">
        <v>1564.4564263010345</v>
      </c>
      <c r="GH116" s="385">
        <f>36</f>
        <v>36</v>
      </c>
      <c r="GI116" s="358"/>
      <c r="GJ116" s="385">
        <v>1564.4564263010345</v>
      </c>
      <c r="GK116" s="385">
        <f>36</f>
        <v>36</v>
      </c>
      <c r="GL116" s="358"/>
      <c r="GM116" s="385">
        <v>1564.4564263010345</v>
      </c>
      <c r="GN116" s="385">
        <f>36</f>
        <v>36</v>
      </c>
      <c r="GO116" s="358"/>
      <c r="GP116" s="385">
        <v>1564.4564263010345</v>
      </c>
      <c r="GQ116" s="385">
        <f>36</f>
        <v>36</v>
      </c>
      <c r="GR116" s="358"/>
      <c r="GS116" s="385">
        <v>1564.4564263010345</v>
      </c>
      <c r="GT116" s="385">
        <f>36</f>
        <v>36</v>
      </c>
      <c r="GU116" s="358"/>
      <c r="GV116" s="385">
        <v>1564.4564263010345</v>
      </c>
      <c r="GW116" s="385">
        <f>36</f>
        <v>36</v>
      </c>
      <c r="GX116" s="358"/>
      <c r="GY116" s="385">
        <v>1564.4564263010345</v>
      </c>
      <c r="GZ116" s="385">
        <f>36</f>
        <v>36</v>
      </c>
      <c r="HA116" s="358"/>
      <c r="HB116" s="385">
        <v>1564.4564263010345</v>
      </c>
      <c r="HC116" s="385">
        <f>36</f>
        <v>36</v>
      </c>
      <c r="HD116" s="358"/>
      <c r="HE116" s="387">
        <v>1564.4564263010345</v>
      </c>
      <c r="HF116" s="386">
        <f>36*6</f>
        <v>216</v>
      </c>
      <c r="HG116" s="370">
        <v>0</v>
      </c>
      <c r="HH116" s="387">
        <v>1564.4564263010345</v>
      </c>
      <c r="HI116" s="369">
        <v>65.615106286748087</v>
      </c>
      <c r="HJ116" s="387">
        <v>1564.4564263010345</v>
      </c>
      <c r="HK116" s="369">
        <v>65.615106286748087</v>
      </c>
      <c r="HL116" s="387">
        <v>1564.4564263010345</v>
      </c>
      <c r="HM116" s="369">
        <v>65.615106286748087</v>
      </c>
      <c r="HN116" s="387">
        <v>1564.4564263010345</v>
      </c>
      <c r="HO116" s="369">
        <v>65.615106286748087</v>
      </c>
      <c r="HP116" s="387">
        <v>1564.4564263010345</v>
      </c>
      <c r="HQ116" s="369">
        <v>65.615106286748087</v>
      </c>
      <c r="HR116" s="387">
        <v>1564.4564263010345</v>
      </c>
      <c r="HS116" s="369">
        <v>65.615106286748087</v>
      </c>
      <c r="HT116" s="387">
        <v>1564.4564263010345</v>
      </c>
      <c r="HU116" s="369">
        <v>65.615106286748087</v>
      </c>
      <c r="HV116" s="388">
        <v>1564.4564263010345</v>
      </c>
      <c r="HW116" s="424">
        <v>65.615106286748087</v>
      </c>
      <c r="HX116" s="424">
        <v>1564.4564263010345</v>
      </c>
      <c r="HY116" s="424">
        <v>65.615106286748087</v>
      </c>
      <c r="HZ116" s="424">
        <v>1564.4564263010345</v>
      </c>
      <c r="IA116" s="424">
        <v>65.615106286748087</v>
      </c>
      <c r="IB116" s="424">
        <v>1564.4564263010345</v>
      </c>
      <c r="IC116" s="424">
        <v>65.615106286748087</v>
      </c>
      <c r="ID116" s="357">
        <f>VLOOKUP($C116,'[15]Prix accès'!A:D,4,FALSE)</f>
        <v>1564.4564263010345</v>
      </c>
      <c r="IE116" s="407">
        <v>65.615106286748087</v>
      </c>
      <c r="IF116" s="408">
        <v>820.69845314152633</v>
      </c>
      <c r="IG116" s="500">
        <v>34.622950819672134</v>
      </c>
      <c r="IH116" s="426"/>
      <c r="II116" s="426"/>
      <c r="IJ116" s="426"/>
      <c r="IK116" s="426"/>
      <c r="IL116" s="496"/>
      <c r="IM116" s="427"/>
      <c r="IN116" s="496"/>
      <c r="IO116" s="427"/>
      <c r="IP116" s="496"/>
      <c r="IQ116" s="427"/>
      <c r="IR116" s="429" t="s">
        <v>3018</v>
      </c>
      <c r="IS116" s="364" t="s">
        <v>77</v>
      </c>
      <c r="IT116" s="365">
        <v>43601</v>
      </c>
      <c r="IU116" s="371">
        <v>43617</v>
      </c>
      <c r="IW116" s="372">
        <f t="shared" si="16"/>
        <v>16</v>
      </c>
      <c r="IX116" s="373">
        <f t="shared" si="18"/>
        <v>51.293653321345396</v>
      </c>
      <c r="IY116" s="531">
        <f t="shared" si="19"/>
        <v>820.69845314152633</v>
      </c>
      <c r="IZ116" s="531"/>
      <c r="JA116" s="531"/>
    </row>
    <row r="117" spans="1:263" s="367" customFormat="1" ht="16.5" customHeight="1" x14ac:dyDescent="0.3">
      <c r="A117" s="354" t="s">
        <v>2735</v>
      </c>
      <c r="B117" s="415" t="s">
        <v>2784</v>
      </c>
      <c r="C117" s="378" t="s">
        <v>321</v>
      </c>
      <c r="D117" s="543">
        <f>(-377*12)+1454</f>
        <v>-3070</v>
      </c>
      <c r="E117" s="449">
        <v>165</v>
      </c>
      <c r="F117" s="449">
        <v>32</v>
      </c>
      <c r="G117" s="543">
        <f>(36*12)+36</f>
        <v>468</v>
      </c>
      <c r="H117" s="449">
        <v>0</v>
      </c>
      <c r="I117" s="830">
        <v>2018.0564263010347</v>
      </c>
      <c r="J117" s="831"/>
      <c r="K117" s="827"/>
      <c r="L117" s="831">
        <v>2018.0564263010347</v>
      </c>
      <c r="M117" s="831"/>
      <c r="N117" s="827"/>
      <c r="O117" s="831">
        <v>2018.0564263010347</v>
      </c>
      <c r="P117" s="831"/>
      <c r="Q117" s="827"/>
      <c r="R117" s="831">
        <v>2018.0564263010347</v>
      </c>
      <c r="S117" s="831"/>
      <c r="T117" s="827"/>
      <c r="U117" s="831">
        <v>2018.0564263010347</v>
      </c>
      <c r="V117" s="831"/>
      <c r="W117" s="827"/>
      <c r="X117" s="831">
        <v>2018.0564263010347</v>
      </c>
      <c r="Y117" s="831"/>
      <c r="Z117" s="827"/>
      <c r="AA117" s="831">
        <v>2018.0564263010347</v>
      </c>
      <c r="AB117" s="831"/>
      <c r="AC117" s="827"/>
      <c r="AD117" s="831">
        <v>2018.0564263010347</v>
      </c>
      <c r="AE117" s="831"/>
      <c r="AF117" s="827"/>
      <c r="AG117" s="831">
        <v>2018.0564263010347</v>
      </c>
      <c r="AH117" s="831"/>
      <c r="AI117" s="827"/>
      <c r="AJ117" s="831">
        <v>2018.0564263010347</v>
      </c>
      <c r="AK117" s="831"/>
      <c r="AL117" s="827"/>
      <c r="AM117" s="831">
        <v>2018.0564263010347</v>
      </c>
      <c r="AN117" s="831"/>
      <c r="AO117" s="827"/>
      <c r="AP117" s="831">
        <v>2018.0564263010347</v>
      </c>
      <c r="AQ117" s="831"/>
      <c r="AR117" s="827"/>
      <c r="AS117" s="831">
        <v>2018.0564263010347</v>
      </c>
      <c r="AT117" s="831"/>
      <c r="AU117" s="827"/>
      <c r="AV117" s="831">
        <v>2018.0564263010347</v>
      </c>
      <c r="AW117" s="831"/>
      <c r="AX117" s="827"/>
      <c r="AY117" s="831">
        <v>2018.0564263010347</v>
      </c>
      <c r="AZ117" s="831"/>
      <c r="BA117" s="358"/>
      <c r="BB117" s="385">
        <v>2018.0564263010347</v>
      </c>
      <c r="BC117" s="385"/>
      <c r="BD117" s="358"/>
      <c r="BE117" s="385">
        <v>2018.0564263010347</v>
      </c>
      <c r="BF117" s="385"/>
      <c r="BG117" s="358"/>
      <c r="BH117" s="385">
        <v>2018.0564263010347</v>
      </c>
      <c r="BI117" s="385"/>
      <c r="BJ117" s="358"/>
      <c r="BK117" s="385">
        <v>2018.0564263010347</v>
      </c>
      <c r="BL117" s="385"/>
      <c r="BM117" s="358"/>
      <c r="BN117" s="385">
        <v>2018.0564263010347</v>
      </c>
      <c r="BO117" s="385"/>
      <c r="BP117" s="358"/>
      <c r="BQ117" s="385">
        <v>2018.0564263010347</v>
      </c>
      <c r="BR117" s="385"/>
      <c r="BS117" s="358"/>
      <c r="BT117" s="385">
        <v>2018.0564263010347</v>
      </c>
      <c r="BU117" s="385"/>
      <c r="BV117" s="358"/>
      <c r="BW117" s="385">
        <v>2018.0564263010347</v>
      </c>
      <c r="BX117" s="385"/>
      <c r="BY117" s="358"/>
      <c r="BZ117" s="385">
        <v>2018.0564263010347</v>
      </c>
      <c r="CA117" s="385"/>
      <c r="CB117" s="358"/>
      <c r="CC117" s="385">
        <v>2018.0564263010347</v>
      </c>
      <c r="CD117" s="385"/>
      <c r="CE117" s="358"/>
      <c r="CF117" s="385">
        <v>2018.0564263010347</v>
      </c>
      <c r="CG117" s="385"/>
      <c r="CH117" s="358"/>
      <c r="CI117" s="385">
        <v>2018.0564263010347</v>
      </c>
      <c r="CJ117" s="385"/>
      <c r="CK117" s="358"/>
      <c r="CL117" s="385">
        <v>2018.0564263010347</v>
      </c>
      <c r="CM117" s="385"/>
      <c r="CN117" s="358"/>
      <c r="CO117" s="385">
        <v>2018.0564263010347</v>
      </c>
      <c r="CP117" s="385"/>
      <c r="CQ117" s="358"/>
      <c r="CR117" s="385">
        <v>2018.0564263010347</v>
      </c>
      <c r="CS117" s="385"/>
      <c r="CT117" s="358"/>
      <c r="CU117" s="385">
        <v>2018.0564263010347</v>
      </c>
      <c r="CV117" s="385"/>
      <c r="CW117" s="358"/>
      <c r="CX117" s="385">
        <v>2018.0564263010347</v>
      </c>
      <c r="CY117" s="385"/>
      <c r="CZ117" s="358"/>
      <c r="DA117" s="385">
        <v>2018.0564263010347</v>
      </c>
      <c r="DB117" s="385"/>
      <c r="DC117" s="358"/>
      <c r="DD117" s="385">
        <v>2018.0564263010347</v>
      </c>
      <c r="DE117" s="385"/>
      <c r="DF117" s="358"/>
      <c r="DG117" s="385">
        <v>2018.0564263010347</v>
      </c>
      <c r="DH117" s="385"/>
      <c r="DI117" s="358"/>
      <c r="DJ117" s="385">
        <v>2018.0564263010347</v>
      </c>
      <c r="DK117" s="385"/>
      <c r="DL117" s="358"/>
      <c r="DM117" s="385">
        <v>2018.0564263010347</v>
      </c>
      <c r="DN117" s="385"/>
      <c r="DO117" s="358"/>
      <c r="DP117" s="385">
        <v>2018.0564263010347</v>
      </c>
      <c r="DQ117" s="385"/>
      <c r="DR117" s="358"/>
      <c r="DS117" s="385">
        <v>2018.0564263010347</v>
      </c>
      <c r="DT117" s="385"/>
      <c r="DU117" s="358"/>
      <c r="DV117" s="385">
        <v>2018.0564263010347</v>
      </c>
      <c r="DW117" s="385"/>
      <c r="DX117" s="358"/>
      <c r="DY117" s="385">
        <v>2018.0564263010347</v>
      </c>
      <c r="DZ117" s="385"/>
      <c r="EA117" s="358"/>
      <c r="EB117" s="385">
        <v>2018.0564263010347</v>
      </c>
      <c r="EC117" s="385"/>
      <c r="ED117" s="358"/>
      <c r="EE117" s="385">
        <v>2018.0564263010347</v>
      </c>
      <c r="EF117" s="385"/>
      <c r="EG117" s="358"/>
      <c r="EH117" s="385">
        <v>2018.0564263010347</v>
      </c>
      <c r="EI117" s="385"/>
      <c r="EJ117" s="358"/>
      <c r="EK117" s="385">
        <v>2018.0564263010347</v>
      </c>
      <c r="EL117" s="385"/>
      <c r="EM117" s="358"/>
      <c r="EN117" s="385">
        <v>2018.0564263010347</v>
      </c>
      <c r="EO117" s="385"/>
      <c r="EP117" s="358"/>
      <c r="EQ117" s="385">
        <v>2018.0564263010347</v>
      </c>
      <c r="ER117" s="385"/>
      <c r="ES117" s="358"/>
      <c r="ET117" s="385">
        <v>2018.0564263010347</v>
      </c>
      <c r="EU117" s="385"/>
      <c r="EV117" s="358"/>
      <c r="EW117" s="385">
        <v>2018.0564263010347</v>
      </c>
      <c r="EX117" s="385"/>
      <c r="EY117" s="358"/>
      <c r="EZ117" s="385">
        <v>2018.0564263010347</v>
      </c>
      <c r="FA117" s="385"/>
      <c r="FB117" s="358"/>
      <c r="FC117" s="385">
        <v>2018.0564263010347</v>
      </c>
      <c r="FD117" s="385"/>
      <c r="FE117" s="358"/>
      <c r="FF117" s="385">
        <v>2018.0564263010347</v>
      </c>
      <c r="FG117" s="385"/>
      <c r="FH117" s="358"/>
      <c r="FI117" s="385">
        <v>2018.0564263010347</v>
      </c>
      <c r="FJ117" s="385"/>
      <c r="FK117" s="358"/>
      <c r="FL117" s="385">
        <v>2018.0564263010347</v>
      </c>
      <c r="FM117" s="385"/>
      <c r="FN117" s="358"/>
      <c r="FO117" s="385">
        <v>2018.0564263010347</v>
      </c>
      <c r="FP117" s="385"/>
      <c r="FQ117" s="358"/>
      <c r="FR117" s="385">
        <v>2018.0564263010347</v>
      </c>
      <c r="FS117" s="385"/>
      <c r="FT117" s="358"/>
      <c r="FU117" s="385">
        <v>2018.0564263010347</v>
      </c>
      <c r="FV117" s="385"/>
      <c r="FW117" s="358"/>
      <c r="FX117" s="385">
        <v>2018.0564263010347</v>
      </c>
      <c r="FY117" s="385"/>
      <c r="FZ117" s="358"/>
      <c r="GA117" s="385">
        <v>2018.0564263010347</v>
      </c>
      <c r="GB117" s="385"/>
      <c r="GC117" s="358"/>
      <c r="GD117" s="385">
        <v>2018.0564263010347</v>
      </c>
      <c r="GE117" s="385"/>
      <c r="GF117" s="358"/>
      <c r="GG117" s="385">
        <v>2018.0564263010347</v>
      </c>
      <c r="GH117" s="385"/>
      <c r="GI117" s="358"/>
      <c r="GJ117" s="385">
        <v>2018.0564263010347</v>
      </c>
      <c r="GK117" s="385"/>
      <c r="GL117" s="358"/>
      <c r="GM117" s="385">
        <v>2018.0564263010347</v>
      </c>
      <c r="GN117" s="385"/>
      <c r="GO117" s="358"/>
      <c r="GP117" s="385">
        <v>2018.0564263010347</v>
      </c>
      <c r="GQ117" s="385"/>
      <c r="GR117" s="358"/>
      <c r="GS117" s="385">
        <v>2018.0564263010347</v>
      </c>
      <c r="GT117" s="385"/>
      <c r="GU117" s="358"/>
      <c r="GV117" s="385">
        <v>2018.0564263010347</v>
      </c>
      <c r="GW117" s="385"/>
      <c r="GX117" s="358"/>
      <c r="GY117" s="385">
        <v>2018.0564263010347</v>
      </c>
      <c r="GZ117" s="385"/>
      <c r="HA117" s="358"/>
      <c r="HB117" s="385">
        <v>2018.0564263010347</v>
      </c>
      <c r="HC117" s="385"/>
      <c r="HD117" s="358"/>
      <c r="HE117" s="387">
        <v>2018.0564263010347</v>
      </c>
      <c r="HF117" s="387"/>
      <c r="HG117" s="370">
        <v>0</v>
      </c>
      <c r="HH117" s="387">
        <v>2018.0564263010347</v>
      </c>
      <c r="HI117" s="369">
        <v>65.615106286748087</v>
      </c>
      <c r="HJ117" s="387">
        <v>2018.0564263010347</v>
      </c>
      <c r="HK117" s="369">
        <v>65.615106286748087</v>
      </c>
      <c r="HL117" s="387">
        <v>2018.0564263010347</v>
      </c>
      <c r="HM117" s="369">
        <v>65.615106286748087</v>
      </c>
      <c r="HN117" s="387">
        <v>2018.0564263010347</v>
      </c>
      <c r="HO117" s="369">
        <v>65.615106286748087</v>
      </c>
      <c r="HP117" s="387">
        <v>2018.0564263010347</v>
      </c>
      <c r="HQ117" s="369">
        <v>65.615106286748087</v>
      </c>
      <c r="HR117" s="387">
        <v>2018.0564263010347</v>
      </c>
      <c r="HS117" s="369">
        <v>65.615106286748087</v>
      </c>
      <c r="HT117" s="387">
        <v>2018.0564263010347</v>
      </c>
      <c r="HU117" s="369">
        <v>65.615106286748087</v>
      </c>
      <c r="HV117" s="388">
        <v>2018.0564263010347</v>
      </c>
      <c r="HW117" s="423">
        <v>65.615106286748087</v>
      </c>
      <c r="HX117" s="388">
        <f>VLOOKUP(C117,'[15]Prix accès'!A:D,4,FALSE)-JC117</f>
        <v>2018.0564263010347</v>
      </c>
      <c r="HY117" s="424">
        <v>65.615106286748087</v>
      </c>
      <c r="HZ117" s="424">
        <v>2083.6715325877826</v>
      </c>
      <c r="IA117" s="424">
        <v>65.615106286748087</v>
      </c>
      <c r="IB117" s="424">
        <v>2083.6715325877826</v>
      </c>
      <c r="IC117" s="424">
        <v>65.615106286748087</v>
      </c>
      <c r="ID117" s="357">
        <f>VLOOKUP($C117,'[15]Prix accès'!A:D,4,FALSE)</f>
        <v>2018.0564263010347</v>
      </c>
      <c r="IE117" s="407">
        <v>65.615106286748087</v>
      </c>
      <c r="IF117" s="428">
        <v>819.80519314929154</v>
      </c>
      <c r="IG117" s="500">
        <v>25.967213114754102</v>
      </c>
      <c r="IH117" s="426"/>
      <c r="II117" s="426"/>
      <c r="IJ117" s="426"/>
      <c r="IK117" s="426"/>
      <c r="IL117" s="496"/>
      <c r="IM117" s="427"/>
      <c r="IN117" s="496"/>
      <c r="IO117" s="427"/>
      <c r="IP117" s="496"/>
      <c r="IQ117" s="427"/>
      <c r="IR117" s="429" t="s">
        <v>2859</v>
      </c>
      <c r="IS117" s="364" t="s">
        <v>77</v>
      </c>
      <c r="IT117" s="365">
        <v>43605</v>
      </c>
      <c r="IU117" s="371">
        <v>43617</v>
      </c>
      <c r="IW117" s="372">
        <f t="shared" si="16"/>
        <v>12</v>
      </c>
      <c r="IX117" s="373">
        <f t="shared" si="18"/>
        <v>66.165784468886386</v>
      </c>
      <c r="IY117" s="531">
        <f t="shared" si="19"/>
        <v>793.98941362663663</v>
      </c>
      <c r="IZ117" s="531"/>
      <c r="JA117" s="460"/>
      <c r="JC117" s="461"/>
    </row>
    <row r="118" spans="1:263" s="367" customFormat="1" ht="16.5" customHeight="1" x14ac:dyDescent="0.3">
      <c r="A118" s="401" t="s">
        <v>3315</v>
      </c>
      <c r="B118" s="402" t="s">
        <v>3315</v>
      </c>
      <c r="C118" s="548" t="s">
        <v>3350</v>
      </c>
      <c r="D118" s="891"/>
      <c r="E118" s="892"/>
      <c r="F118" s="892"/>
      <c r="G118" s="892"/>
      <c r="H118" s="893"/>
      <c r="I118" s="853">
        <v>0</v>
      </c>
      <c r="J118" s="833">
        <v>0</v>
      </c>
      <c r="K118" s="833">
        <v>0</v>
      </c>
      <c r="L118" s="833">
        <v>0</v>
      </c>
      <c r="M118" s="833">
        <v>0</v>
      </c>
      <c r="N118" s="833">
        <v>0</v>
      </c>
      <c r="O118" s="833">
        <v>0</v>
      </c>
      <c r="P118" s="833">
        <v>0</v>
      </c>
      <c r="Q118" s="833">
        <v>0</v>
      </c>
      <c r="R118" s="833">
        <v>0</v>
      </c>
      <c r="S118" s="833">
        <v>0</v>
      </c>
      <c r="T118" s="833">
        <v>0</v>
      </c>
      <c r="U118" s="833">
        <v>0</v>
      </c>
      <c r="V118" s="833">
        <v>0</v>
      </c>
      <c r="W118" s="833">
        <v>0</v>
      </c>
      <c r="X118" s="833">
        <v>0</v>
      </c>
      <c r="Y118" s="833">
        <v>0</v>
      </c>
      <c r="Z118" s="833">
        <v>0</v>
      </c>
      <c r="AA118" s="833">
        <v>0</v>
      </c>
      <c r="AB118" s="833">
        <v>0</v>
      </c>
      <c r="AC118" s="833">
        <v>0</v>
      </c>
      <c r="AD118" s="833">
        <v>0</v>
      </c>
      <c r="AE118" s="833">
        <v>0</v>
      </c>
      <c r="AF118" s="833">
        <v>0</v>
      </c>
      <c r="AG118" s="833">
        <v>0</v>
      </c>
      <c r="AH118" s="833">
        <v>0</v>
      </c>
      <c r="AI118" s="833">
        <v>0</v>
      </c>
      <c r="AJ118" s="833">
        <v>0</v>
      </c>
      <c r="AK118" s="833">
        <v>0</v>
      </c>
      <c r="AL118" s="833">
        <v>0</v>
      </c>
      <c r="AM118" s="833">
        <v>0</v>
      </c>
      <c r="AN118" s="833">
        <v>0</v>
      </c>
      <c r="AO118" s="833">
        <v>0</v>
      </c>
      <c r="AP118" s="833">
        <v>0</v>
      </c>
      <c r="AQ118" s="833">
        <v>0</v>
      </c>
      <c r="AR118" s="833">
        <v>0</v>
      </c>
      <c r="AS118" s="833">
        <v>0</v>
      </c>
      <c r="AT118" s="833">
        <v>0</v>
      </c>
      <c r="AU118" s="833">
        <v>0</v>
      </c>
      <c r="AV118" s="833"/>
      <c r="AW118" s="833"/>
      <c r="AX118" s="833"/>
      <c r="AY118" s="833"/>
      <c r="AZ118" s="833"/>
      <c r="BA118" s="455"/>
      <c r="BB118" s="404"/>
      <c r="BC118" s="404"/>
      <c r="BD118" s="455"/>
      <c r="BE118" s="404"/>
      <c r="BF118" s="404"/>
      <c r="BG118" s="455"/>
      <c r="BH118" s="404"/>
      <c r="BI118" s="404"/>
      <c r="BJ118" s="455"/>
      <c r="BK118" s="404"/>
      <c r="BL118" s="404"/>
      <c r="BM118" s="455"/>
      <c r="BN118" s="404"/>
      <c r="BO118" s="404"/>
      <c r="BP118" s="455"/>
      <c r="BQ118" s="404"/>
      <c r="BR118" s="404"/>
      <c r="BS118" s="455"/>
      <c r="BT118" s="404"/>
      <c r="BU118" s="404"/>
      <c r="BV118" s="455"/>
      <c r="BW118" s="404"/>
      <c r="BX118" s="404"/>
      <c r="BY118" s="455"/>
      <c r="BZ118" s="404"/>
      <c r="CA118" s="404"/>
      <c r="CB118" s="455"/>
      <c r="CC118" s="404"/>
      <c r="CD118" s="404"/>
      <c r="CE118" s="455"/>
      <c r="CF118" s="404"/>
      <c r="CG118" s="404"/>
      <c r="CH118" s="455"/>
      <c r="CI118" s="404"/>
      <c r="CJ118" s="404"/>
      <c r="CK118" s="455"/>
      <c r="CL118" s="404"/>
      <c r="CM118" s="404"/>
      <c r="CN118" s="455"/>
      <c r="CO118" s="404"/>
      <c r="CP118" s="404"/>
      <c r="CQ118" s="455"/>
      <c r="CR118" s="404"/>
      <c r="CS118" s="404"/>
      <c r="CT118" s="455"/>
      <c r="CU118" s="404"/>
      <c r="CV118" s="404"/>
      <c r="CW118" s="455"/>
      <c r="CX118" s="404"/>
      <c r="CY118" s="404"/>
      <c r="CZ118" s="455"/>
      <c r="DA118" s="404"/>
      <c r="DB118" s="404"/>
      <c r="DC118" s="455"/>
      <c r="DD118" s="404"/>
      <c r="DE118" s="404"/>
      <c r="DF118" s="455"/>
      <c r="DG118" s="404"/>
      <c r="DH118" s="404"/>
      <c r="DI118" s="455"/>
      <c r="DJ118" s="404"/>
      <c r="DK118" s="404"/>
      <c r="DL118" s="455"/>
      <c r="DM118" s="404"/>
      <c r="DN118" s="404"/>
      <c r="DO118" s="455"/>
      <c r="DP118" s="404"/>
      <c r="DQ118" s="404"/>
      <c r="DR118" s="455"/>
      <c r="DS118" s="404"/>
      <c r="DT118" s="404"/>
      <c r="DU118" s="455"/>
      <c r="DV118" s="404"/>
      <c r="DW118" s="404"/>
      <c r="DX118" s="455"/>
      <c r="DY118" s="404"/>
      <c r="DZ118" s="404"/>
      <c r="EA118" s="455"/>
      <c r="EB118" s="404"/>
      <c r="EC118" s="404"/>
      <c r="ED118" s="455"/>
      <c r="EE118" s="404"/>
      <c r="EF118" s="404"/>
      <c r="EG118" s="455"/>
      <c r="EH118" s="404"/>
      <c r="EI118" s="404"/>
      <c r="EJ118" s="455"/>
      <c r="EK118" s="404"/>
      <c r="EL118" s="404"/>
      <c r="EM118" s="455"/>
      <c r="EN118" s="404"/>
      <c r="EO118" s="404"/>
      <c r="EP118" s="455"/>
      <c r="EQ118" s="404"/>
      <c r="ER118" s="404"/>
      <c r="ES118" s="455"/>
      <c r="ET118" s="404"/>
      <c r="EU118" s="404"/>
      <c r="EV118" s="455"/>
      <c r="EW118" s="404"/>
      <c r="EX118" s="404"/>
      <c r="EY118" s="455"/>
      <c r="EZ118" s="404"/>
      <c r="FA118" s="404"/>
      <c r="FB118" s="455"/>
      <c r="FC118" s="404"/>
      <c r="FD118" s="404"/>
      <c r="FE118" s="455"/>
      <c r="FF118" s="404"/>
      <c r="FG118" s="404"/>
      <c r="FH118" s="455"/>
      <c r="FI118" s="404"/>
      <c r="FJ118" s="404"/>
      <c r="FK118" s="455"/>
      <c r="FL118" s="404"/>
      <c r="FM118" s="404"/>
      <c r="FN118" s="455"/>
      <c r="FO118" s="404"/>
      <c r="FP118" s="404"/>
      <c r="FQ118" s="455"/>
      <c r="FR118" s="404"/>
      <c r="FS118" s="404"/>
      <c r="FT118" s="455"/>
      <c r="FU118" s="404"/>
      <c r="FV118" s="404"/>
      <c r="FW118" s="455"/>
      <c r="FX118" s="404"/>
      <c r="FY118" s="404"/>
      <c r="FZ118" s="455"/>
      <c r="GA118" s="404"/>
      <c r="GB118" s="404"/>
      <c r="GC118" s="455"/>
      <c r="GD118" s="404"/>
      <c r="GE118" s="404"/>
      <c r="GF118" s="455"/>
      <c r="GG118" s="404"/>
      <c r="GH118" s="404"/>
      <c r="GI118" s="455"/>
      <c r="GJ118" s="404"/>
      <c r="GK118" s="404"/>
      <c r="GL118" s="455"/>
      <c r="GM118" s="404">
        <v>0</v>
      </c>
      <c r="GN118" s="404"/>
      <c r="GO118" s="358"/>
      <c r="GP118" s="404">
        <v>0</v>
      </c>
      <c r="GQ118" s="404"/>
      <c r="GR118" s="358"/>
      <c r="GS118" s="404">
        <v>0</v>
      </c>
      <c r="GT118" s="404"/>
      <c r="GU118" s="358"/>
      <c r="GV118" s="404">
        <v>0</v>
      </c>
      <c r="GW118" s="404"/>
      <c r="GX118" s="358"/>
      <c r="GY118" s="404">
        <v>0</v>
      </c>
      <c r="GZ118" s="404"/>
      <c r="HA118" s="358"/>
      <c r="HB118" s="404">
        <v>0</v>
      </c>
      <c r="HC118" s="404"/>
      <c r="HD118" s="358"/>
      <c r="HE118" s="404">
        <v>0</v>
      </c>
      <c r="HF118" s="404"/>
      <c r="HG118" s="358"/>
      <c r="HH118" s="404">
        <v>0</v>
      </c>
      <c r="HI118" s="358"/>
      <c r="HJ118" s="404">
        <v>0</v>
      </c>
      <c r="HK118" s="358"/>
      <c r="HL118" s="386">
        <v>0</v>
      </c>
      <c r="HM118" s="358"/>
      <c r="HN118" s="387">
        <v>1580.4564263010345</v>
      </c>
      <c r="HO118" s="358"/>
      <c r="HP118" s="387">
        <v>1580.4564263010345</v>
      </c>
      <c r="HQ118" s="358"/>
      <c r="HR118" s="387">
        <v>1580.4564263010345</v>
      </c>
      <c r="HS118" s="358"/>
      <c r="HT118" s="387">
        <v>1580.4564263010345</v>
      </c>
      <c r="HU118" s="358"/>
      <c r="HV118" s="388">
        <v>1580.4564263010345</v>
      </c>
      <c r="HW118" s="425"/>
      <c r="HX118" s="424">
        <v>1580.4564263010345</v>
      </c>
      <c r="HY118" s="425"/>
      <c r="HZ118" s="424">
        <v>1580.4564263010345</v>
      </c>
      <c r="IA118" s="425"/>
      <c r="IB118" s="424">
        <v>1580.4564263010345</v>
      </c>
      <c r="IC118" s="425"/>
      <c r="ID118" s="357">
        <f>VLOOKUP($C118,'[15]Prix accès'!A:D,4,FALSE)</f>
        <v>1580.4564263010345</v>
      </c>
      <c r="IE118" s="361"/>
      <c r="IF118" s="408">
        <v>621.81892182335787</v>
      </c>
      <c r="IG118" s="426"/>
      <c r="IH118" s="426"/>
      <c r="II118" s="426"/>
      <c r="IJ118" s="426"/>
      <c r="IK118" s="426"/>
      <c r="IL118" s="496"/>
      <c r="IM118" s="427"/>
      <c r="IN118" s="496"/>
      <c r="IO118" s="427"/>
      <c r="IP118" s="496"/>
      <c r="IQ118" s="427"/>
      <c r="IR118" s="429" t="s">
        <v>3351</v>
      </c>
      <c r="IS118" s="364" t="s">
        <v>77</v>
      </c>
      <c r="IT118" s="365">
        <v>43605</v>
      </c>
      <c r="IU118" s="371">
        <v>43617</v>
      </c>
      <c r="IW118" s="372">
        <f t="shared" si="16"/>
        <v>12</v>
      </c>
      <c r="IX118" s="373">
        <f t="shared" si="18"/>
        <v>51.818243485279822</v>
      </c>
      <c r="IY118" s="531">
        <f t="shared" si="19"/>
        <v>621.81892182335787</v>
      </c>
      <c r="IZ118" s="531"/>
      <c r="JA118" s="531"/>
    </row>
    <row r="119" spans="1:263" s="367" customFormat="1" ht="16.5" customHeight="1" x14ac:dyDescent="0.3">
      <c r="A119" s="354" t="s">
        <v>2743</v>
      </c>
      <c r="B119" s="395" t="s">
        <v>2871</v>
      </c>
      <c r="C119" s="466" t="s">
        <v>1340</v>
      </c>
      <c r="D119" s="467">
        <v>861</v>
      </c>
      <c r="E119" s="468">
        <v>35</v>
      </c>
      <c r="F119" s="468">
        <v>8</v>
      </c>
      <c r="G119" s="468">
        <v>36</v>
      </c>
      <c r="H119" s="469">
        <v>0</v>
      </c>
      <c r="I119" s="841">
        <v>904</v>
      </c>
      <c r="J119" s="835">
        <v>36</v>
      </c>
      <c r="K119" s="835"/>
      <c r="L119" s="835">
        <v>904</v>
      </c>
      <c r="M119" s="835">
        <v>36</v>
      </c>
      <c r="N119" s="835"/>
      <c r="O119" s="835">
        <v>904</v>
      </c>
      <c r="P119" s="835">
        <v>36</v>
      </c>
      <c r="Q119" s="835"/>
      <c r="R119" s="835">
        <v>904</v>
      </c>
      <c r="S119" s="835">
        <v>36</v>
      </c>
      <c r="T119" s="835"/>
      <c r="U119" s="835">
        <v>904</v>
      </c>
      <c r="V119" s="835">
        <v>36</v>
      </c>
      <c r="W119" s="835"/>
      <c r="X119" s="835">
        <v>904</v>
      </c>
      <c r="Y119" s="835">
        <v>36</v>
      </c>
      <c r="Z119" s="835"/>
      <c r="AA119" s="835">
        <v>904</v>
      </c>
      <c r="AB119" s="835">
        <v>36</v>
      </c>
      <c r="AC119" s="835"/>
      <c r="AD119" s="835">
        <v>904</v>
      </c>
      <c r="AE119" s="835">
        <v>36</v>
      </c>
      <c r="AF119" s="835"/>
      <c r="AG119" s="835">
        <v>904</v>
      </c>
      <c r="AH119" s="835">
        <v>36</v>
      </c>
      <c r="AI119" s="835"/>
      <c r="AJ119" s="835">
        <v>904</v>
      </c>
      <c r="AK119" s="835">
        <v>36</v>
      </c>
      <c r="AL119" s="835"/>
      <c r="AM119" s="842">
        <f>((904-781)/30.5)*19+904</f>
        <v>980.62295081967216</v>
      </c>
      <c r="AN119" s="842">
        <f>((36/30.5)*19+36)</f>
        <v>58.42622950819672</v>
      </c>
      <c r="AO119" s="835"/>
      <c r="AP119" s="829">
        <v>780.91198185659005</v>
      </c>
      <c r="AQ119" s="829"/>
      <c r="AR119" s="827"/>
      <c r="AS119" s="829">
        <v>780.91198185659005</v>
      </c>
      <c r="AT119" s="829"/>
      <c r="AU119" s="827"/>
      <c r="AV119" s="829">
        <v>780.91198185659005</v>
      </c>
      <c r="AW119" s="829"/>
      <c r="AX119" s="827"/>
      <c r="AY119" s="829">
        <v>780.91198185659005</v>
      </c>
      <c r="AZ119" s="829"/>
      <c r="BA119" s="358"/>
      <c r="BB119" s="387">
        <v>780.91198185659005</v>
      </c>
      <c r="BC119" s="387"/>
      <c r="BD119" s="358"/>
      <c r="BE119" s="387">
        <v>780.91198185659005</v>
      </c>
      <c r="BF119" s="387"/>
      <c r="BG119" s="358"/>
      <c r="BH119" s="387">
        <v>780.91198185659005</v>
      </c>
      <c r="BI119" s="387"/>
      <c r="BJ119" s="358"/>
      <c r="BK119" s="387">
        <v>780.91198185659005</v>
      </c>
      <c r="BL119" s="387"/>
      <c r="BM119" s="358"/>
      <c r="BN119" s="387">
        <v>780.91198185659005</v>
      </c>
      <c r="BO119" s="387"/>
      <c r="BP119" s="358"/>
      <c r="BQ119" s="387">
        <v>780.91198185659005</v>
      </c>
      <c r="BR119" s="387"/>
      <c r="BS119" s="358"/>
      <c r="BT119" s="387">
        <v>780.91198185659005</v>
      </c>
      <c r="BU119" s="387"/>
      <c r="BV119" s="358"/>
      <c r="BW119" s="387">
        <v>780.91198185659005</v>
      </c>
      <c r="BX119" s="387"/>
      <c r="BY119" s="358"/>
      <c r="BZ119" s="387">
        <v>780.91198185659005</v>
      </c>
      <c r="CA119" s="387"/>
      <c r="CB119" s="358"/>
      <c r="CC119" s="387">
        <v>780.91198185659005</v>
      </c>
      <c r="CD119" s="387"/>
      <c r="CE119" s="358"/>
      <c r="CF119" s="387">
        <v>780.91198185659005</v>
      </c>
      <c r="CG119" s="387"/>
      <c r="CH119" s="358"/>
      <c r="CI119" s="387">
        <v>780.91198185659005</v>
      </c>
      <c r="CJ119" s="387"/>
      <c r="CK119" s="358"/>
      <c r="CL119" s="387">
        <v>780.91198185659005</v>
      </c>
      <c r="CM119" s="387"/>
      <c r="CN119" s="358"/>
      <c r="CO119" s="387">
        <v>780.91198185659005</v>
      </c>
      <c r="CP119" s="387"/>
      <c r="CQ119" s="358"/>
      <c r="CR119" s="387">
        <v>780.91198185659005</v>
      </c>
      <c r="CS119" s="387"/>
      <c r="CT119" s="358"/>
      <c r="CU119" s="387">
        <v>780.91198185659005</v>
      </c>
      <c r="CV119" s="387"/>
      <c r="CW119" s="358"/>
      <c r="CX119" s="387">
        <v>780.91198185659005</v>
      </c>
      <c r="CY119" s="387"/>
      <c r="CZ119" s="358"/>
      <c r="DA119" s="387">
        <v>780.91198185659005</v>
      </c>
      <c r="DB119" s="387"/>
      <c r="DC119" s="358"/>
      <c r="DD119" s="387">
        <v>780.91198185659005</v>
      </c>
      <c r="DE119" s="387"/>
      <c r="DF119" s="358"/>
      <c r="DG119" s="387">
        <v>780.91198185659005</v>
      </c>
      <c r="DH119" s="387"/>
      <c r="DI119" s="358"/>
      <c r="DJ119" s="387">
        <v>780.91198185659005</v>
      </c>
      <c r="DK119" s="387"/>
      <c r="DL119" s="358"/>
      <c r="DM119" s="387">
        <v>780.91198185659005</v>
      </c>
      <c r="DN119" s="387"/>
      <c r="DO119" s="358"/>
      <c r="DP119" s="387">
        <v>780.91198185659005</v>
      </c>
      <c r="DQ119" s="387"/>
      <c r="DR119" s="358"/>
      <c r="DS119" s="387">
        <v>780.91198185659005</v>
      </c>
      <c r="DT119" s="387"/>
      <c r="DU119" s="358"/>
      <c r="DV119" s="387">
        <v>780.91198185659005</v>
      </c>
      <c r="DW119" s="387"/>
      <c r="DX119" s="358"/>
      <c r="DY119" s="387">
        <v>780.91198185659005</v>
      </c>
      <c r="DZ119" s="387"/>
      <c r="EA119" s="358"/>
      <c r="EB119" s="387">
        <v>780.91198185659005</v>
      </c>
      <c r="EC119" s="387"/>
      <c r="ED119" s="358"/>
      <c r="EE119" s="387">
        <v>780.91198185659005</v>
      </c>
      <c r="EF119" s="387"/>
      <c r="EG119" s="358"/>
      <c r="EH119" s="387">
        <v>780.91198185659005</v>
      </c>
      <c r="EI119" s="387"/>
      <c r="EJ119" s="358"/>
      <c r="EK119" s="387">
        <v>780.91198185659005</v>
      </c>
      <c r="EL119" s="387"/>
      <c r="EM119" s="358"/>
      <c r="EN119" s="387">
        <v>780.91198185659005</v>
      </c>
      <c r="EO119" s="387"/>
      <c r="EP119" s="358"/>
      <c r="EQ119" s="387">
        <v>780.91198185659005</v>
      </c>
      <c r="ER119" s="387"/>
      <c r="ES119" s="358"/>
      <c r="ET119" s="387">
        <v>780.91198185659005</v>
      </c>
      <c r="EU119" s="387"/>
      <c r="EV119" s="358"/>
      <c r="EW119" s="387">
        <v>780.91198185659005</v>
      </c>
      <c r="EX119" s="387"/>
      <c r="EY119" s="358"/>
      <c r="EZ119" s="387">
        <v>780.91198185659005</v>
      </c>
      <c r="FA119" s="387"/>
      <c r="FB119" s="358"/>
      <c r="FC119" s="387">
        <v>780.91198185659005</v>
      </c>
      <c r="FD119" s="387"/>
      <c r="FE119" s="358"/>
      <c r="FF119" s="387">
        <v>780.91198185659005</v>
      </c>
      <c r="FG119" s="387"/>
      <c r="FH119" s="358"/>
      <c r="FI119" s="387">
        <v>780.91198185659005</v>
      </c>
      <c r="FJ119" s="387"/>
      <c r="FK119" s="358"/>
      <c r="FL119" s="387">
        <v>780.91198185659005</v>
      </c>
      <c r="FM119" s="387"/>
      <c r="FN119" s="358"/>
      <c r="FO119" s="387">
        <v>780.91198185659005</v>
      </c>
      <c r="FP119" s="387"/>
      <c r="FQ119" s="358"/>
      <c r="FR119" s="387">
        <v>780.91198185659005</v>
      </c>
      <c r="FS119" s="387"/>
      <c r="FT119" s="358"/>
      <c r="FU119" s="387">
        <v>780.91198185659005</v>
      </c>
      <c r="FV119" s="387"/>
      <c r="FW119" s="358"/>
      <c r="FX119" s="387">
        <v>780.91198185659005</v>
      </c>
      <c r="FY119" s="387"/>
      <c r="FZ119" s="358"/>
      <c r="GA119" s="387">
        <v>780.91198185659005</v>
      </c>
      <c r="GB119" s="387"/>
      <c r="GC119" s="358"/>
      <c r="GD119" s="387">
        <v>780.91198185659005</v>
      </c>
      <c r="GE119" s="387"/>
      <c r="GF119" s="358"/>
      <c r="GG119" s="387">
        <v>780.91198185659005</v>
      </c>
      <c r="GH119" s="387"/>
      <c r="GI119" s="358"/>
      <c r="GJ119" s="387">
        <v>780.91198185659005</v>
      </c>
      <c r="GK119" s="387"/>
      <c r="GL119" s="358"/>
      <c r="GM119" s="387">
        <v>780.91198185659005</v>
      </c>
      <c r="GN119" s="387"/>
      <c r="GO119" s="358"/>
      <c r="GP119" s="387">
        <v>780.91198185659005</v>
      </c>
      <c r="GQ119" s="387"/>
      <c r="GR119" s="358"/>
      <c r="GS119" s="387">
        <v>780.91198185659005</v>
      </c>
      <c r="GT119" s="387"/>
      <c r="GU119" s="358"/>
      <c r="GV119" s="387">
        <v>780.91198185659005</v>
      </c>
      <c r="GW119" s="387"/>
      <c r="GX119" s="358"/>
      <c r="GY119" s="387">
        <v>780.91198185659005</v>
      </c>
      <c r="GZ119" s="387"/>
      <c r="HA119" s="358"/>
      <c r="HB119" s="387">
        <v>780.91198185659005</v>
      </c>
      <c r="HC119" s="387"/>
      <c r="HD119" s="358"/>
      <c r="HE119" s="387">
        <v>780.91198185659005</v>
      </c>
      <c r="HF119" s="387"/>
      <c r="HG119" s="358"/>
      <c r="HH119" s="387">
        <v>780.91198185659005</v>
      </c>
      <c r="HI119" s="358"/>
      <c r="HJ119" s="387">
        <v>780.91198185659005</v>
      </c>
      <c r="HK119" s="358"/>
      <c r="HL119" s="387">
        <v>780.91198185659005</v>
      </c>
      <c r="HM119" s="358"/>
      <c r="HN119" s="387">
        <v>780.91198185659005</v>
      </c>
      <c r="HO119" s="358"/>
      <c r="HP119" s="387">
        <v>780.91198185659005</v>
      </c>
      <c r="HQ119" s="358"/>
      <c r="HR119" s="387">
        <v>780.91198185659005</v>
      </c>
      <c r="HS119" s="358"/>
      <c r="HT119" s="387">
        <v>780.91198185659005</v>
      </c>
      <c r="HU119" s="358"/>
      <c r="HV119" s="388">
        <v>780.91198185659005</v>
      </c>
      <c r="HW119" s="425"/>
      <c r="HX119" s="424">
        <v>780.91198185659005</v>
      </c>
      <c r="HY119" s="425"/>
      <c r="HZ119" s="424">
        <v>780.91198185659005</v>
      </c>
      <c r="IA119" s="425"/>
      <c r="IB119" s="424">
        <v>780.91198185659005</v>
      </c>
      <c r="IC119" s="425"/>
      <c r="ID119" s="357">
        <f>VLOOKUP($C119,'[15]Prix accès'!A:D,4,FALSE)</f>
        <v>780.91198185659005</v>
      </c>
      <c r="IE119" s="361"/>
      <c r="IF119" s="428">
        <v>281.64038689909808</v>
      </c>
      <c r="IG119" s="426" t="s">
        <v>3310</v>
      </c>
      <c r="IH119" s="426"/>
      <c r="II119" s="426"/>
      <c r="IJ119" s="426"/>
      <c r="IK119" s="426"/>
      <c r="IL119" s="496"/>
      <c r="IM119" s="427"/>
      <c r="IN119" s="496"/>
      <c r="IO119" s="427"/>
      <c r="IP119" s="496"/>
      <c r="IQ119" s="427"/>
      <c r="IR119" s="429" t="s">
        <v>3084</v>
      </c>
      <c r="IS119" s="364" t="s">
        <v>77</v>
      </c>
      <c r="IT119" s="365">
        <v>43606</v>
      </c>
      <c r="IU119" s="371">
        <v>43617</v>
      </c>
      <c r="IW119" s="372">
        <f t="shared" si="16"/>
        <v>11</v>
      </c>
      <c r="IX119" s="373">
        <f t="shared" si="18"/>
        <v>25.603671536281642</v>
      </c>
      <c r="IY119" s="531">
        <f t="shared" si="19"/>
        <v>281.64038689909808</v>
      </c>
      <c r="IZ119" s="531"/>
      <c r="JA119" s="531"/>
    </row>
    <row r="120" spans="1:263" s="367" customFormat="1" ht="16.5" customHeight="1" x14ac:dyDescent="0.3">
      <c r="A120" s="354" t="s">
        <v>2743</v>
      </c>
      <c r="B120" s="395" t="s">
        <v>2871</v>
      </c>
      <c r="C120" s="466" t="s">
        <v>1052</v>
      </c>
      <c r="D120" s="467">
        <v>861</v>
      </c>
      <c r="E120" s="468">
        <v>35</v>
      </c>
      <c r="F120" s="468">
        <v>8</v>
      </c>
      <c r="G120" s="468">
        <v>36</v>
      </c>
      <c r="H120" s="469">
        <v>0</v>
      </c>
      <c r="I120" s="841">
        <v>904</v>
      </c>
      <c r="J120" s="835">
        <v>36</v>
      </c>
      <c r="K120" s="835"/>
      <c r="L120" s="835">
        <v>904</v>
      </c>
      <c r="M120" s="835">
        <v>36</v>
      </c>
      <c r="N120" s="835"/>
      <c r="O120" s="835">
        <v>904</v>
      </c>
      <c r="P120" s="835">
        <v>36</v>
      </c>
      <c r="Q120" s="835"/>
      <c r="R120" s="835">
        <v>904</v>
      </c>
      <c r="S120" s="835">
        <v>36</v>
      </c>
      <c r="T120" s="835"/>
      <c r="U120" s="835">
        <v>904</v>
      </c>
      <c r="V120" s="835">
        <v>36</v>
      </c>
      <c r="W120" s="835"/>
      <c r="X120" s="835">
        <v>904</v>
      </c>
      <c r="Y120" s="835">
        <v>36</v>
      </c>
      <c r="Z120" s="835"/>
      <c r="AA120" s="835">
        <v>904</v>
      </c>
      <c r="AB120" s="835">
        <v>36</v>
      </c>
      <c r="AC120" s="835"/>
      <c r="AD120" s="835">
        <v>904</v>
      </c>
      <c r="AE120" s="835">
        <v>36</v>
      </c>
      <c r="AF120" s="835"/>
      <c r="AG120" s="835">
        <v>904</v>
      </c>
      <c r="AH120" s="835">
        <v>36</v>
      </c>
      <c r="AI120" s="835"/>
      <c r="AJ120" s="835">
        <v>904</v>
      </c>
      <c r="AK120" s="835">
        <v>36</v>
      </c>
      <c r="AL120" s="835"/>
      <c r="AM120" s="842">
        <f>((904-781)/30.5)*19+904</f>
        <v>980.62295081967216</v>
      </c>
      <c r="AN120" s="842">
        <f>((36/30.5)*19+36)</f>
        <v>58.42622950819672</v>
      </c>
      <c r="AO120" s="835"/>
      <c r="AP120" s="829">
        <v>780.91198185659005</v>
      </c>
      <c r="AQ120" s="829"/>
      <c r="AR120" s="827"/>
      <c r="AS120" s="829">
        <v>780.91198185659005</v>
      </c>
      <c r="AT120" s="829"/>
      <c r="AU120" s="827"/>
      <c r="AV120" s="829">
        <v>780.91198185659005</v>
      </c>
      <c r="AW120" s="829"/>
      <c r="AX120" s="827"/>
      <c r="AY120" s="829">
        <v>780.91198185659005</v>
      </c>
      <c r="AZ120" s="829"/>
      <c r="BA120" s="358"/>
      <c r="BB120" s="387">
        <v>780.91198185659005</v>
      </c>
      <c r="BC120" s="387"/>
      <c r="BD120" s="358"/>
      <c r="BE120" s="387">
        <v>780.91198185659005</v>
      </c>
      <c r="BF120" s="387"/>
      <c r="BG120" s="358"/>
      <c r="BH120" s="387">
        <v>780.91198185659005</v>
      </c>
      <c r="BI120" s="387"/>
      <c r="BJ120" s="358"/>
      <c r="BK120" s="387">
        <v>780.91198185659005</v>
      </c>
      <c r="BL120" s="387"/>
      <c r="BM120" s="358"/>
      <c r="BN120" s="387">
        <v>780.91198185659005</v>
      </c>
      <c r="BO120" s="387"/>
      <c r="BP120" s="358"/>
      <c r="BQ120" s="387">
        <v>780.91198185659005</v>
      </c>
      <c r="BR120" s="387"/>
      <c r="BS120" s="358"/>
      <c r="BT120" s="387">
        <v>780.91198185659005</v>
      </c>
      <c r="BU120" s="387"/>
      <c r="BV120" s="358"/>
      <c r="BW120" s="387">
        <v>780.91198185659005</v>
      </c>
      <c r="BX120" s="387"/>
      <c r="BY120" s="358"/>
      <c r="BZ120" s="387">
        <v>780.91198185659005</v>
      </c>
      <c r="CA120" s="387"/>
      <c r="CB120" s="358"/>
      <c r="CC120" s="387">
        <v>780.91198185659005</v>
      </c>
      <c r="CD120" s="387"/>
      <c r="CE120" s="358"/>
      <c r="CF120" s="387">
        <v>780.91198185659005</v>
      </c>
      <c r="CG120" s="387"/>
      <c r="CH120" s="358"/>
      <c r="CI120" s="387">
        <v>780.91198185659005</v>
      </c>
      <c r="CJ120" s="387"/>
      <c r="CK120" s="358"/>
      <c r="CL120" s="387">
        <v>780.91198185659005</v>
      </c>
      <c r="CM120" s="387"/>
      <c r="CN120" s="358"/>
      <c r="CO120" s="387">
        <v>780.91198185659005</v>
      </c>
      <c r="CP120" s="387"/>
      <c r="CQ120" s="358"/>
      <c r="CR120" s="387">
        <v>780.91198185659005</v>
      </c>
      <c r="CS120" s="387"/>
      <c r="CT120" s="358"/>
      <c r="CU120" s="387">
        <v>780.91198185659005</v>
      </c>
      <c r="CV120" s="387"/>
      <c r="CW120" s="358"/>
      <c r="CX120" s="387">
        <v>780.91198185659005</v>
      </c>
      <c r="CY120" s="387"/>
      <c r="CZ120" s="358"/>
      <c r="DA120" s="387">
        <v>780.91198185659005</v>
      </c>
      <c r="DB120" s="387"/>
      <c r="DC120" s="358"/>
      <c r="DD120" s="387">
        <v>780.91198185659005</v>
      </c>
      <c r="DE120" s="387"/>
      <c r="DF120" s="358"/>
      <c r="DG120" s="387">
        <v>780.91198185659005</v>
      </c>
      <c r="DH120" s="387"/>
      <c r="DI120" s="358"/>
      <c r="DJ120" s="387">
        <v>780.91198185659005</v>
      </c>
      <c r="DK120" s="387"/>
      <c r="DL120" s="358"/>
      <c r="DM120" s="387">
        <v>780.91198185659005</v>
      </c>
      <c r="DN120" s="387"/>
      <c r="DO120" s="358"/>
      <c r="DP120" s="387">
        <v>780.91198185659005</v>
      </c>
      <c r="DQ120" s="387"/>
      <c r="DR120" s="358"/>
      <c r="DS120" s="387">
        <v>780.91198185659005</v>
      </c>
      <c r="DT120" s="387"/>
      <c r="DU120" s="358"/>
      <c r="DV120" s="387">
        <v>780.91198185659005</v>
      </c>
      <c r="DW120" s="387"/>
      <c r="DX120" s="358"/>
      <c r="DY120" s="387">
        <v>780.91198185659005</v>
      </c>
      <c r="DZ120" s="387"/>
      <c r="EA120" s="358"/>
      <c r="EB120" s="387">
        <v>780.91198185659005</v>
      </c>
      <c r="EC120" s="387"/>
      <c r="ED120" s="358"/>
      <c r="EE120" s="387">
        <v>780.91198185659005</v>
      </c>
      <c r="EF120" s="387"/>
      <c r="EG120" s="358"/>
      <c r="EH120" s="387">
        <v>780.91198185659005</v>
      </c>
      <c r="EI120" s="387"/>
      <c r="EJ120" s="358"/>
      <c r="EK120" s="387">
        <v>780.91198185659005</v>
      </c>
      <c r="EL120" s="387"/>
      <c r="EM120" s="358"/>
      <c r="EN120" s="387">
        <v>780.91198185659005</v>
      </c>
      <c r="EO120" s="387"/>
      <c r="EP120" s="358"/>
      <c r="EQ120" s="387">
        <v>780.91198185659005</v>
      </c>
      <c r="ER120" s="387"/>
      <c r="ES120" s="358"/>
      <c r="ET120" s="387">
        <v>780.91198185659005</v>
      </c>
      <c r="EU120" s="387"/>
      <c r="EV120" s="358"/>
      <c r="EW120" s="387">
        <v>780.91198185659005</v>
      </c>
      <c r="EX120" s="387"/>
      <c r="EY120" s="358"/>
      <c r="EZ120" s="387">
        <v>780.91198185659005</v>
      </c>
      <c r="FA120" s="387"/>
      <c r="FB120" s="358"/>
      <c r="FC120" s="387">
        <v>780.91198185659005</v>
      </c>
      <c r="FD120" s="387"/>
      <c r="FE120" s="358"/>
      <c r="FF120" s="387">
        <v>780.91198185659005</v>
      </c>
      <c r="FG120" s="387"/>
      <c r="FH120" s="358"/>
      <c r="FI120" s="387">
        <v>780.91198185659005</v>
      </c>
      <c r="FJ120" s="387"/>
      <c r="FK120" s="358"/>
      <c r="FL120" s="387">
        <v>780.91198185659005</v>
      </c>
      <c r="FM120" s="387"/>
      <c r="FN120" s="358"/>
      <c r="FO120" s="387">
        <v>780.91198185659005</v>
      </c>
      <c r="FP120" s="387"/>
      <c r="FQ120" s="358"/>
      <c r="FR120" s="387">
        <v>780.91198185659005</v>
      </c>
      <c r="FS120" s="387"/>
      <c r="FT120" s="358"/>
      <c r="FU120" s="387">
        <v>780.91198185659005</v>
      </c>
      <c r="FV120" s="387"/>
      <c r="FW120" s="358"/>
      <c r="FX120" s="387">
        <v>780.91198185659005</v>
      </c>
      <c r="FY120" s="387"/>
      <c r="FZ120" s="358"/>
      <c r="GA120" s="387">
        <v>780.91198185659005</v>
      </c>
      <c r="GB120" s="387"/>
      <c r="GC120" s="358"/>
      <c r="GD120" s="387">
        <v>780.91198185659005</v>
      </c>
      <c r="GE120" s="387"/>
      <c r="GF120" s="358"/>
      <c r="GG120" s="387">
        <v>780.91198185659005</v>
      </c>
      <c r="GH120" s="387"/>
      <c r="GI120" s="358"/>
      <c r="GJ120" s="387">
        <v>780.91198185659005</v>
      </c>
      <c r="GK120" s="387"/>
      <c r="GL120" s="358"/>
      <c r="GM120" s="387">
        <v>780.91198185659005</v>
      </c>
      <c r="GN120" s="387"/>
      <c r="GO120" s="358"/>
      <c r="GP120" s="387">
        <v>780.91198185659005</v>
      </c>
      <c r="GQ120" s="387"/>
      <c r="GR120" s="358"/>
      <c r="GS120" s="387">
        <v>780.91198185659005</v>
      </c>
      <c r="GT120" s="387"/>
      <c r="GU120" s="358"/>
      <c r="GV120" s="387">
        <v>780.91198185659005</v>
      </c>
      <c r="GW120" s="387"/>
      <c r="GX120" s="358"/>
      <c r="GY120" s="387">
        <v>780.91198185659005</v>
      </c>
      <c r="GZ120" s="387"/>
      <c r="HA120" s="358"/>
      <c r="HB120" s="387">
        <v>780.91198185659005</v>
      </c>
      <c r="HC120" s="387"/>
      <c r="HD120" s="358"/>
      <c r="HE120" s="387">
        <v>780.91198185659005</v>
      </c>
      <c r="HF120" s="387"/>
      <c r="HG120" s="358"/>
      <c r="HH120" s="387">
        <v>780.91198185659005</v>
      </c>
      <c r="HI120" s="358"/>
      <c r="HJ120" s="387">
        <v>780.91198185659005</v>
      </c>
      <c r="HK120" s="358"/>
      <c r="HL120" s="387">
        <v>780.91198185659005</v>
      </c>
      <c r="HM120" s="358"/>
      <c r="HN120" s="387">
        <v>780.91198185659005</v>
      </c>
      <c r="HO120" s="358"/>
      <c r="HP120" s="387">
        <v>780.91198185659005</v>
      </c>
      <c r="HQ120" s="358"/>
      <c r="HR120" s="387">
        <v>780.91198185659005</v>
      </c>
      <c r="HS120" s="358"/>
      <c r="HT120" s="387">
        <v>780.91198185659005</v>
      </c>
      <c r="HU120" s="358"/>
      <c r="HV120" s="388">
        <v>780.91198185659005</v>
      </c>
      <c r="HW120" s="425"/>
      <c r="HX120" s="424">
        <v>780.91198185659005</v>
      </c>
      <c r="HY120" s="425"/>
      <c r="HZ120" s="424">
        <v>780.91198185659005</v>
      </c>
      <c r="IA120" s="425"/>
      <c r="IB120" s="424">
        <v>780.91198185659005</v>
      </c>
      <c r="IC120" s="425"/>
      <c r="ID120" s="357">
        <f>VLOOKUP($C120,'[15]Prix accès'!A:D,4,FALSE)</f>
        <v>780.91198185659005</v>
      </c>
      <c r="IE120" s="361"/>
      <c r="IF120" s="408">
        <v>281.64038689909808</v>
      </c>
      <c r="IG120" s="426" t="s">
        <v>3310</v>
      </c>
      <c r="IH120" s="537"/>
      <c r="II120" s="426"/>
      <c r="IJ120" s="537"/>
      <c r="IK120" s="426"/>
      <c r="IL120" s="499"/>
      <c r="IM120" s="427"/>
      <c r="IN120" s="499"/>
      <c r="IO120" s="427"/>
      <c r="IP120" s="496"/>
      <c r="IQ120" s="427"/>
      <c r="IR120" s="429" t="s">
        <v>3083</v>
      </c>
      <c r="IS120" s="364" t="s">
        <v>77</v>
      </c>
      <c r="IT120" s="365">
        <v>43606</v>
      </c>
      <c r="IU120" s="371">
        <v>43617</v>
      </c>
      <c r="IW120" s="372">
        <f t="shared" si="16"/>
        <v>11</v>
      </c>
      <c r="IX120" s="373">
        <f t="shared" si="18"/>
        <v>25.603671536281642</v>
      </c>
      <c r="IY120" s="531">
        <f t="shared" si="19"/>
        <v>281.64038689909808</v>
      </c>
      <c r="IZ120" s="531"/>
      <c r="JA120" s="531"/>
    </row>
    <row r="121" spans="1:263" s="367" customFormat="1" ht="16.5" customHeight="1" x14ac:dyDescent="0.3">
      <c r="A121" s="354" t="s">
        <v>2735</v>
      </c>
      <c r="B121" s="465" t="s">
        <v>2748</v>
      </c>
      <c r="C121" s="466" t="s">
        <v>548</v>
      </c>
      <c r="D121" s="467">
        <v>2384</v>
      </c>
      <c r="E121" s="468">
        <v>71</v>
      </c>
      <c r="F121" s="468">
        <v>48</v>
      </c>
      <c r="G121" s="468">
        <v>5</v>
      </c>
      <c r="H121" s="469">
        <v>0</v>
      </c>
      <c r="I121" s="841">
        <v>2502</v>
      </c>
      <c r="J121" s="835">
        <f>5</f>
        <v>5</v>
      </c>
      <c r="K121" s="827"/>
      <c r="L121" s="835">
        <v>2502</v>
      </c>
      <c r="M121" s="835">
        <f>5</f>
        <v>5</v>
      </c>
      <c r="N121" s="827"/>
      <c r="O121" s="835">
        <v>2502</v>
      </c>
      <c r="P121" s="835">
        <f>5</f>
        <v>5</v>
      </c>
      <c r="Q121" s="827"/>
      <c r="R121" s="835">
        <v>2502</v>
      </c>
      <c r="S121" s="835">
        <f>5</f>
        <v>5</v>
      </c>
      <c r="T121" s="827"/>
      <c r="U121" s="835">
        <v>2502</v>
      </c>
      <c r="V121" s="835">
        <f>5</f>
        <v>5</v>
      </c>
      <c r="W121" s="827"/>
      <c r="X121" s="835">
        <v>2502</v>
      </c>
      <c r="Y121" s="835">
        <f>5</f>
        <v>5</v>
      </c>
      <c r="Z121" s="827"/>
      <c r="AA121" s="835">
        <v>2502</v>
      </c>
      <c r="AB121" s="835">
        <f>5</f>
        <v>5</v>
      </c>
      <c r="AC121" s="827"/>
      <c r="AD121" s="835">
        <v>2502</v>
      </c>
      <c r="AE121" s="835">
        <f>5</f>
        <v>5</v>
      </c>
      <c r="AF121" s="827"/>
      <c r="AG121" s="835">
        <v>2502</v>
      </c>
      <c r="AH121" s="835">
        <f>5</f>
        <v>5</v>
      </c>
      <c r="AI121" s="827"/>
      <c r="AJ121" s="835">
        <v>2502</v>
      </c>
      <c r="AK121" s="835">
        <f>5</f>
        <v>5</v>
      </c>
      <c r="AL121" s="827"/>
      <c r="AM121" s="835">
        <v>2502</v>
      </c>
      <c r="AN121" s="835">
        <f>5</f>
        <v>5</v>
      </c>
      <c r="AO121" s="827"/>
      <c r="AP121" s="835">
        <v>2502</v>
      </c>
      <c r="AQ121" s="835">
        <f>5</f>
        <v>5</v>
      </c>
      <c r="AR121" s="827"/>
      <c r="AS121" s="835">
        <v>2502</v>
      </c>
      <c r="AT121" s="835">
        <f>5</f>
        <v>5</v>
      </c>
      <c r="AU121" s="827"/>
      <c r="AV121" s="835">
        <v>2502</v>
      </c>
      <c r="AW121" s="835">
        <f>5</f>
        <v>5</v>
      </c>
      <c r="AX121" s="827"/>
      <c r="AY121" s="842">
        <f>((2502-2090)/30.5)*5+2502</f>
        <v>2569.5409836065573</v>
      </c>
      <c r="AZ121" s="842">
        <f>5</f>
        <v>5</v>
      </c>
      <c r="BA121" s="358"/>
      <c r="BB121" s="385">
        <v>2090.2564263010345</v>
      </c>
      <c r="BC121" s="385">
        <f>5</f>
        <v>5</v>
      </c>
      <c r="BD121" s="358"/>
      <c r="BE121" s="385">
        <v>2090.2564263010345</v>
      </c>
      <c r="BF121" s="385">
        <f>5</f>
        <v>5</v>
      </c>
      <c r="BG121" s="358"/>
      <c r="BH121" s="385">
        <v>2090.2564263010345</v>
      </c>
      <c r="BI121" s="385">
        <f>5</f>
        <v>5</v>
      </c>
      <c r="BJ121" s="358"/>
      <c r="BK121" s="385">
        <v>2090.2564263010345</v>
      </c>
      <c r="BL121" s="385">
        <f>5</f>
        <v>5</v>
      </c>
      <c r="BM121" s="358"/>
      <c r="BN121" s="385">
        <v>2090.2564263010345</v>
      </c>
      <c r="BO121" s="385">
        <f>5</f>
        <v>5</v>
      </c>
      <c r="BP121" s="358"/>
      <c r="BQ121" s="385">
        <v>2090.2564263010345</v>
      </c>
      <c r="BR121" s="385">
        <f>5</f>
        <v>5</v>
      </c>
      <c r="BS121" s="358"/>
      <c r="BT121" s="385">
        <v>2090.2564263010345</v>
      </c>
      <c r="BU121" s="385">
        <f>5</f>
        <v>5</v>
      </c>
      <c r="BV121" s="358"/>
      <c r="BW121" s="385">
        <v>2090.2564263010345</v>
      </c>
      <c r="BX121" s="385">
        <f>5</f>
        <v>5</v>
      </c>
      <c r="BY121" s="358"/>
      <c r="BZ121" s="385">
        <v>2090.2564263010345</v>
      </c>
      <c r="CA121" s="385">
        <f>5</f>
        <v>5</v>
      </c>
      <c r="CB121" s="358"/>
      <c r="CC121" s="385">
        <v>2090.2564263010345</v>
      </c>
      <c r="CD121" s="385">
        <f>5</f>
        <v>5</v>
      </c>
      <c r="CE121" s="358"/>
      <c r="CF121" s="385">
        <v>2090.2564263010345</v>
      </c>
      <c r="CG121" s="385">
        <f>5</f>
        <v>5</v>
      </c>
      <c r="CH121" s="358"/>
      <c r="CI121" s="385">
        <v>2090.2564263010345</v>
      </c>
      <c r="CJ121" s="385">
        <f>5</f>
        <v>5</v>
      </c>
      <c r="CK121" s="358"/>
      <c r="CL121" s="385">
        <v>2090.2564263010345</v>
      </c>
      <c r="CM121" s="385">
        <f>5</f>
        <v>5</v>
      </c>
      <c r="CN121" s="358"/>
      <c r="CO121" s="385">
        <v>2090.2564263010345</v>
      </c>
      <c r="CP121" s="385">
        <f>5</f>
        <v>5</v>
      </c>
      <c r="CQ121" s="358"/>
      <c r="CR121" s="385">
        <v>2090.2564263010345</v>
      </c>
      <c r="CS121" s="385">
        <f>5</f>
        <v>5</v>
      </c>
      <c r="CT121" s="358"/>
      <c r="CU121" s="385">
        <v>2090.2564263010345</v>
      </c>
      <c r="CV121" s="385">
        <f>5</f>
        <v>5</v>
      </c>
      <c r="CW121" s="358"/>
      <c r="CX121" s="385">
        <v>2090.2564263010345</v>
      </c>
      <c r="CY121" s="385">
        <f>5</f>
        <v>5</v>
      </c>
      <c r="CZ121" s="358"/>
      <c r="DA121" s="385">
        <v>2090.2564263010345</v>
      </c>
      <c r="DB121" s="385">
        <f>5</f>
        <v>5</v>
      </c>
      <c r="DC121" s="358"/>
      <c r="DD121" s="385">
        <v>2090.2564263010345</v>
      </c>
      <c r="DE121" s="385">
        <f>5</f>
        <v>5</v>
      </c>
      <c r="DF121" s="358"/>
      <c r="DG121" s="385">
        <v>2090.2564263010345</v>
      </c>
      <c r="DH121" s="385">
        <f>5</f>
        <v>5</v>
      </c>
      <c r="DI121" s="358"/>
      <c r="DJ121" s="385">
        <v>2090.2564263010345</v>
      </c>
      <c r="DK121" s="385">
        <f>5</f>
        <v>5</v>
      </c>
      <c r="DL121" s="358"/>
      <c r="DM121" s="385">
        <v>2090.2564263010345</v>
      </c>
      <c r="DN121" s="385">
        <f>5</f>
        <v>5</v>
      </c>
      <c r="DO121" s="358"/>
      <c r="DP121" s="385">
        <v>2090.2564263010345</v>
      </c>
      <c r="DQ121" s="385">
        <f>5</f>
        <v>5</v>
      </c>
      <c r="DR121" s="358"/>
      <c r="DS121" s="385">
        <v>2090.2564263010345</v>
      </c>
      <c r="DT121" s="385">
        <f>5</f>
        <v>5</v>
      </c>
      <c r="DU121" s="358"/>
      <c r="DV121" s="385">
        <v>2090.2564263010345</v>
      </c>
      <c r="DW121" s="385">
        <f>5</f>
        <v>5</v>
      </c>
      <c r="DX121" s="358"/>
      <c r="DY121" s="385">
        <v>2090.2564263010345</v>
      </c>
      <c r="DZ121" s="385">
        <f>5</f>
        <v>5</v>
      </c>
      <c r="EA121" s="358"/>
      <c r="EB121" s="385">
        <v>2090.2564263010345</v>
      </c>
      <c r="EC121" s="385">
        <f>5</f>
        <v>5</v>
      </c>
      <c r="ED121" s="358"/>
      <c r="EE121" s="385">
        <v>2090.2564263010345</v>
      </c>
      <c r="EF121" s="385">
        <f>5</f>
        <v>5</v>
      </c>
      <c r="EG121" s="358"/>
      <c r="EH121" s="385">
        <v>2090.2564263010345</v>
      </c>
      <c r="EI121" s="385">
        <f>5</f>
        <v>5</v>
      </c>
      <c r="EJ121" s="358"/>
      <c r="EK121" s="385">
        <v>2090.2564263010345</v>
      </c>
      <c r="EL121" s="385">
        <f>5</f>
        <v>5</v>
      </c>
      <c r="EM121" s="358"/>
      <c r="EN121" s="385">
        <v>2090.2564263010345</v>
      </c>
      <c r="EO121" s="385">
        <f>5</f>
        <v>5</v>
      </c>
      <c r="EP121" s="358"/>
      <c r="EQ121" s="385">
        <v>2090.2564263010345</v>
      </c>
      <c r="ER121" s="385">
        <f>5</f>
        <v>5</v>
      </c>
      <c r="ES121" s="358"/>
      <c r="ET121" s="385">
        <v>2090.2564263010345</v>
      </c>
      <c r="EU121" s="385">
        <f>5</f>
        <v>5</v>
      </c>
      <c r="EV121" s="358"/>
      <c r="EW121" s="385">
        <v>2090.2564263010345</v>
      </c>
      <c r="EX121" s="385">
        <f>5</f>
        <v>5</v>
      </c>
      <c r="EY121" s="358"/>
      <c r="EZ121" s="385">
        <v>2090.2564263010345</v>
      </c>
      <c r="FA121" s="385">
        <f>5</f>
        <v>5</v>
      </c>
      <c r="FB121" s="358"/>
      <c r="FC121" s="385">
        <v>2090.2564263010345</v>
      </c>
      <c r="FD121" s="385">
        <f>5</f>
        <v>5</v>
      </c>
      <c r="FE121" s="358"/>
      <c r="FF121" s="385">
        <v>2090.2564263010345</v>
      </c>
      <c r="FG121" s="385">
        <f>5</f>
        <v>5</v>
      </c>
      <c r="FH121" s="358"/>
      <c r="FI121" s="385">
        <v>2090.2564263010345</v>
      </c>
      <c r="FJ121" s="385">
        <f>5</f>
        <v>5</v>
      </c>
      <c r="FK121" s="358"/>
      <c r="FL121" s="385">
        <v>2090.2564263010345</v>
      </c>
      <c r="FM121" s="385">
        <f>5</f>
        <v>5</v>
      </c>
      <c r="FN121" s="358"/>
      <c r="FO121" s="385">
        <v>2090.2564263010345</v>
      </c>
      <c r="FP121" s="385">
        <f>5</f>
        <v>5</v>
      </c>
      <c r="FQ121" s="358"/>
      <c r="FR121" s="385">
        <v>2090.2564263010345</v>
      </c>
      <c r="FS121" s="385">
        <f>5</f>
        <v>5</v>
      </c>
      <c r="FT121" s="358"/>
      <c r="FU121" s="385">
        <v>2090.2564263010345</v>
      </c>
      <c r="FV121" s="385">
        <f>5</f>
        <v>5</v>
      </c>
      <c r="FW121" s="358"/>
      <c r="FX121" s="385">
        <v>2090.2564263010345</v>
      </c>
      <c r="FY121" s="385">
        <f>5</f>
        <v>5</v>
      </c>
      <c r="FZ121" s="358"/>
      <c r="GA121" s="385">
        <v>2090.2564263010345</v>
      </c>
      <c r="GB121" s="385">
        <f>5</f>
        <v>5</v>
      </c>
      <c r="GC121" s="358"/>
      <c r="GD121" s="385">
        <v>2090.2564263010345</v>
      </c>
      <c r="GE121" s="385">
        <f>5</f>
        <v>5</v>
      </c>
      <c r="GF121" s="358"/>
      <c r="GG121" s="385">
        <v>2090.2564263010345</v>
      </c>
      <c r="GH121" s="385">
        <f>5</f>
        <v>5</v>
      </c>
      <c r="GI121" s="358"/>
      <c r="GJ121" s="385">
        <v>2090.2564263010345</v>
      </c>
      <c r="GK121" s="385">
        <f>5</f>
        <v>5</v>
      </c>
      <c r="GL121" s="358"/>
      <c r="GM121" s="385">
        <v>2090.2564263010345</v>
      </c>
      <c r="GN121" s="385">
        <f>5</f>
        <v>5</v>
      </c>
      <c r="GO121" s="358"/>
      <c r="GP121" s="385">
        <v>2090.2564263010345</v>
      </c>
      <c r="GQ121" s="385">
        <f>5</f>
        <v>5</v>
      </c>
      <c r="GR121" s="358"/>
      <c r="GS121" s="385">
        <v>2090.2564263010345</v>
      </c>
      <c r="GT121" s="385">
        <f>5</f>
        <v>5</v>
      </c>
      <c r="GU121" s="358"/>
      <c r="GV121" s="385">
        <v>2090.2564263010345</v>
      </c>
      <c r="GW121" s="385">
        <f>5</f>
        <v>5</v>
      </c>
      <c r="GX121" s="358"/>
      <c r="GY121" s="385">
        <v>2090.2564263010345</v>
      </c>
      <c r="GZ121" s="385">
        <f>5</f>
        <v>5</v>
      </c>
      <c r="HA121" s="358"/>
      <c r="HB121" s="385">
        <v>2090.2564263010345</v>
      </c>
      <c r="HC121" s="385">
        <f>5</f>
        <v>5</v>
      </c>
      <c r="HD121" s="358"/>
      <c r="HE121" s="387">
        <v>2090.2564263010345</v>
      </c>
      <c r="HF121" s="386">
        <f>5*6</f>
        <v>30</v>
      </c>
      <c r="HG121" s="358"/>
      <c r="HH121" s="387">
        <v>2090.2564263010345</v>
      </c>
      <c r="HI121" s="358"/>
      <c r="HJ121" s="387">
        <v>2090.2564263010345</v>
      </c>
      <c r="HK121" s="358"/>
      <c r="HL121" s="387">
        <v>2090.2564263010345</v>
      </c>
      <c r="HM121" s="358"/>
      <c r="HN121" s="387">
        <v>2090.2564263010345</v>
      </c>
      <c r="HO121" s="358"/>
      <c r="HP121" s="387">
        <v>2090.2564263010345</v>
      </c>
      <c r="HQ121" s="358"/>
      <c r="HR121" s="387">
        <v>2090.2564263010345</v>
      </c>
      <c r="HS121" s="358"/>
      <c r="HT121" s="387">
        <v>2090.2564263010345</v>
      </c>
      <c r="HU121" s="358"/>
      <c r="HV121" s="388">
        <v>2090.2564263010345</v>
      </c>
      <c r="HW121" s="425"/>
      <c r="HX121" s="424">
        <v>2090.2564263010345</v>
      </c>
      <c r="HY121" s="425"/>
      <c r="HZ121" s="424">
        <v>2090.2564263010345</v>
      </c>
      <c r="IA121" s="425"/>
      <c r="IB121" s="424">
        <v>2090.2564263010345</v>
      </c>
      <c r="IC121" s="425"/>
      <c r="ID121" s="357">
        <f>VLOOKUP($C121,'[15]Prix accès'!A:D,4,FALSE)</f>
        <v>2090.2564263010345</v>
      </c>
      <c r="IE121" s="361"/>
      <c r="IF121" s="408">
        <v>753.86297342004525</v>
      </c>
      <c r="IG121" s="426"/>
      <c r="IH121" s="537"/>
      <c r="II121" s="426"/>
      <c r="IJ121" s="537"/>
      <c r="IK121" s="426"/>
      <c r="IL121" s="499"/>
      <c r="IM121" s="427"/>
      <c r="IN121" s="499"/>
      <c r="IO121" s="427"/>
      <c r="IP121" s="496"/>
      <c r="IQ121" s="427"/>
      <c r="IR121" s="429" t="s">
        <v>3170</v>
      </c>
      <c r="IS121" s="364" t="s">
        <v>77</v>
      </c>
      <c r="IT121" s="365">
        <v>43606</v>
      </c>
      <c r="IU121" s="371">
        <v>43617</v>
      </c>
      <c r="IW121" s="372">
        <f t="shared" si="16"/>
        <v>11</v>
      </c>
      <c r="IX121" s="373">
        <f t="shared" si="18"/>
        <v>68.53299758364048</v>
      </c>
      <c r="IY121" s="531">
        <f t="shared" si="19"/>
        <v>753.86297342004525</v>
      </c>
      <c r="IZ121" s="531"/>
      <c r="JA121" s="531"/>
    </row>
    <row r="122" spans="1:263" s="367" customFormat="1" ht="16.5" customHeight="1" x14ac:dyDescent="0.3">
      <c r="A122" s="354" t="s">
        <v>2743</v>
      </c>
      <c r="B122" s="395" t="s">
        <v>2768</v>
      </c>
      <c r="C122" s="533" t="s">
        <v>996</v>
      </c>
      <c r="D122" s="534">
        <v>979</v>
      </c>
      <c r="E122" s="535">
        <v>24</v>
      </c>
      <c r="F122" s="535">
        <v>0</v>
      </c>
      <c r="G122" s="535">
        <v>5</v>
      </c>
      <c r="H122" s="536">
        <v>0</v>
      </c>
      <c r="I122" s="894">
        <v>1003</v>
      </c>
      <c r="J122" s="895">
        <v>5</v>
      </c>
      <c r="K122" s="827"/>
      <c r="L122" s="895">
        <v>1003</v>
      </c>
      <c r="M122" s="895">
        <v>5</v>
      </c>
      <c r="N122" s="827"/>
      <c r="O122" s="895">
        <v>1003</v>
      </c>
      <c r="P122" s="895">
        <v>5</v>
      </c>
      <c r="Q122" s="827"/>
      <c r="R122" s="895">
        <v>1003</v>
      </c>
      <c r="S122" s="895">
        <v>5</v>
      </c>
      <c r="T122" s="827"/>
      <c r="U122" s="895">
        <v>1003</v>
      </c>
      <c r="V122" s="895">
        <v>5</v>
      </c>
      <c r="W122" s="827"/>
      <c r="X122" s="895">
        <v>1003</v>
      </c>
      <c r="Y122" s="895">
        <v>5</v>
      </c>
      <c r="Z122" s="827"/>
      <c r="AA122" s="895">
        <v>1003</v>
      </c>
      <c r="AB122" s="895">
        <v>5</v>
      </c>
      <c r="AC122" s="827"/>
      <c r="AD122" s="871">
        <f>((1003-725)/30.5)*24+1003</f>
        <v>1221.7540983606557</v>
      </c>
      <c r="AE122" s="871">
        <f>((5/30.5)*24+5)</f>
        <v>8.9344262295081975</v>
      </c>
      <c r="AF122" s="827"/>
      <c r="AG122" s="829">
        <v>725.25642630103448</v>
      </c>
      <c r="AH122" s="829"/>
      <c r="AI122" s="827"/>
      <c r="AJ122" s="829">
        <v>725.25642630103448</v>
      </c>
      <c r="AK122" s="829"/>
      <c r="AL122" s="827"/>
      <c r="AM122" s="829">
        <v>725.25642630103448</v>
      </c>
      <c r="AN122" s="829"/>
      <c r="AO122" s="827"/>
      <c r="AP122" s="829">
        <v>725.25642630103448</v>
      </c>
      <c r="AQ122" s="829"/>
      <c r="AR122" s="827"/>
      <c r="AS122" s="829">
        <v>725.25642630103448</v>
      </c>
      <c r="AT122" s="829"/>
      <c r="AU122" s="827"/>
      <c r="AV122" s="829">
        <v>725.25642630103448</v>
      </c>
      <c r="AW122" s="829"/>
      <c r="AX122" s="827"/>
      <c r="AY122" s="829">
        <v>725.25642630103448</v>
      </c>
      <c r="AZ122" s="829"/>
      <c r="BA122" s="358"/>
      <c r="BB122" s="387">
        <v>725.25642630103448</v>
      </c>
      <c r="BC122" s="387"/>
      <c r="BD122" s="358"/>
      <c r="BE122" s="387">
        <v>725.25642630103448</v>
      </c>
      <c r="BF122" s="387"/>
      <c r="BG122" s="358"/>
      <c r="BH122" s="387">
        <v>725.25642630103448</v>
      </c>
      <c r="BI122" s="387"/>
      <c r="BJ122" s="358"/>
      <c r="BK122" s="387">
        <v>725.25642630103448</v>
      </c>
      <c r="BL122" s="387"/>
      <c r="BM122" s="358"/>
      <c r="BN122" s="387">
        <v>725.25642630103448</v>
      </c>
      <c r="BO122" s="387"/>
      <c r="BP122" s="358"/>
      <c r="BQ122" s="387">
        <v>725.25642630103448</v>
      </c>
      <c r="BR122" s="387"/>
      <c r="BS122" s="358"/>
      <c r="BT122" s="387">
        <v>725.25642630103448</v>
      </c>
      <c r="BU122" s="387"/>
      <c r="BV122" s="358"/>
      <c r="BW122" s="387">
        <v>725.25642630103448</v>
      </c>
      <c r="BX122" s="387"/>
      <c r="BY122" s="358"/>
      <c r="BZ122" s="387">
        <v>725.25642630103448</v>
      </c>
      <c r="CA122" s="387"/>
      <c r="CB122" s="358"/>
      <c r="CC122" s="387">
        <v>725.25642630103448</v>
      </c>
      <c r="CD122" s="387"/>
      <c r="CE122" s="358"/>
      <c r="CF122" s="387">
        <v>725.25642630103448</v>
      </c>
      <c r="CG122" s="387"/>
      <c r="CH122" s="358"/>
      <c r="CI122" s="387">
        <v>725.25642630103448</v>
      </c>
      <c r="CJ122" s="387"/>
      <c r="CK122" s="358"/>
      <c r="CL122" s="387">
        <v>725.25642630103448</v>
      </c>
      <c r="CM122" s="387"/>
      <c r="CN122" s="358"/>
      <c r="CO122" s="387">
        <v>725.25642630103448</v>
      </c>
      <c r="CP122" s="387"/>
      <c r="CQ122" s="358"/>
      <c r="CR122" s="387">
        <v>725.25642630103448</v>
      </c>
      <c r="CS122" s="387"/>
      <c r="CT122" s="358"/>
      <c r="CU122" s="387">
        <v>725.25642630103448</v>
      </c>
      <c r="CV122" s="387"/>
      <c r="CW122" s="358"/>
      <c r="CX122" s="387">
        <v>725.25642630103448</v>
      </c>
      <c r="CY122" s="387"/>
      <c r="CZ122" s="358"/>
      <c r="DA122" s="387">
        <v>725.25642630103448</v>
      </c>
      <c r="DB122" s="387"/>
      <c r="DC122" s="358"/>
      <c r="DD122" s="387">
        <v>725.25642630103448</v>
      </c>
      <c r="DE122" s="387"/>
      <c r="DF122" s="358"/>
      <c r="DG122" s="387">
        <v>725.25642630103448</v>
      </c>
      <c r="DH122" s="387"/>
      <c r="DI122" s="358"/>
      <c r="DJ122" s="387">
        <v>725.25642630103448</v>
      </c>
      <c r="DK122" s="387"/>
      <c r="DL122" s="358"/>
      <c r="DM122" s="387">
        <v>725.25642630103448</v>
      </c>
      <c r="DN122" s="387"/>
      <c r="DO122" s="358"/>
      <c r="DP122" s="387">
        <v>725.25642630103448</v>
      </c>
      <c r="DQ122" s="387"/>
      <c r="DR122" s="358"/>
      <c r="DS122" s="387">
        <v>725.25642630103448</v>
      </c>
      <c r="DT122" s="387"/>
      <c r="DU122" s="358"/>
      <c r="DV122" s="387">
        <v>725.25642630103448</v>
      </c>
      <c r="DW122" s="387"/>
      <c r="DX122" s="358"/>
      <c r="DY122" s="387">
        <v>725.25642630103448</v>
      </c>
      <c r="DZ122" s="387"/>
      <c r="EA122" s="358"/>
      <c r="EB122" s="387">
        <v>725.25642630103448</v>
      </c>
      <c r="EC122" s="387"/>
      <c r="ED122" s="358"/>
      <c r="EE122" s="387">
        <v>725.25642630103448</v>
      </c>
      <c r="EF122" s="387"/>
      <c r="EG122" s="358"/>
      <c r="EH122" s="387">
        <v>725.25642630103448</v>
      </c>
      <c r="EI122" s="387"/>
      <c r="EJ122" s="358"/>
      <c r="EK122" s="387">
        <v>725.25642630103448</v>
      </c>
      <c r="EL122" s="387"/>
      <c r="EM122" s="358"/>
      <c r="EN122" s="387">
        <v>725.25642630103448</v>
      </c>
      <c r="EO122" s="387"/>
      <c r="EP122" s="358"/>
      <c r="EQ122" s="387">
        <v>725.25642630103448</v>
      </c>
      <c r="ER122" s="387"/>
      <c r="ES122" s="358"/>
      <c r="ET122" s="387">
        <v>725.25642630103448</v>
      </c>
      <c r="EU122" s="387"/>
      <c r="EV122" s="358"/>
      <c r="EW122" s="387">
        <v>725.25642630103448</v>
      </c>
      <c r="EX122" s="387"/>
      <c r="EY122" s="358"/>
      <c r="EZ122" s="387">
        <v>725.25642630103448</v>
      </c>
      <c r="FA122" s="387"/>
      <c r="FB122" s="358"/>
      <c r="FC122" s="387">
        <v>725.25642630103448</v>
      </c>
      <c r="FD122" s="387"/>
      <c r="FE122" s="358"/>
      <c r="FF122" s="387">
        <v>725.25642630103448</v>
      </c>
      <c r="FG122" s="387"/>
      <c r="FH122" s="358"/>
      <c r="FI122" s="387">
        <v>725.25642630103448</v>
      </c>
      <c r="FJ122" s="387"/>
      <c r="FK122" s="358"/>
      <c r="FL122" s="387">
        <v>725.25642630103448</v>
      </c>
      <c r="FM122" s="387"/>
      <c r="FN122" s="358"/>
      <c r="FO122" s="387">
        <v>725.25642630103448</v>
      </c>
      <c r="FP122" s="387"/>
      <c r="FQ122" s="358"/>
      <c r="FR122" s="387">
        <v>725.25642630103448</v>
      </c>
      <c r="FS122" s="387"/>
      <c r="FT122" s="358"/>
      <c r="FU122" s="387">
        <v>725.25642630103448</v>
      </c>
      <c r="FV122" s="387"/>
      <c r="FW122" s="358"/>
      <c r="FX122" s="387">
        <v>725.25642630103448</v>
      </c>
      <c r="FY122" s="387"/>
      <c r="FZ122" s="358"/>
      <c r="GA122" s="387">
        <v>725.25642630103448</v>
      </c>
      <c r="GB122" s="387"/>
      <c r="GC122" s="358"/>
      <c r="GD122" s="387">
        <v>725.25642630103448</v>
      </c>
      <c r="GE122" s="387"/>
      <c r="GF122" s="358"/>
      <c r="GG122" s="387">
        <v>725.25642630103448</v>
      </c>
      <c r="GH122" s="387"/>
      <c r="GI122" s="358"/>
      <c r="GJ122" s="387">
        <v>725.25642630103448</v>
      </c>
      <c r="GK122" s="387"/>
      <c r="GL122" s="358"/>
      <c r="GM122" s="387">
        <v>725.25642630103448</v>
      </c>
      <c r="GN122" s="387"/>
      <c r="GO122" s="358"/>
      <c r="GP122" s="387">
        <v>725.25642630103448</v>
      </c>
      <c r="GQ122" s="387"/>
      <c r="GR122" s="358"/>
      <c r="GS122" s="387">
        <v>725.25642630103448</v>
      </c>
      <c r="GT122" s="387"/>
      <c r="GU122" s="358"/>
      <c r="GV122" s="387">
        <v>725.25642630103448</v>
      </c>
      <c r="GW122" s="387"/>
      <c r="GX122" s="358"/>
      <c r="GY122" s="387">
        <v>725.25642630103448</v>
      </c>
      <c r="GZ122" s="387"/>
      <c r="HA122" s="358"/>
      <c r="HB122" s="387">
        <v>725.25642630103448</v>
      </c>
      <c r="HC122" s="387"/>
      <c r="HD122" s="358"/>
      <c r="HE122" s="387">
        <v>725.25642630103448</v>
      </c>
      <c r="HF122" s="387"/>
      <c r="HG122" s="358"/>
      <c r="HH122" s="387">
        <v>725.25642630103448</v>
      </c>
      <c r="HI122" s="358"/>
      <c r="HJ122" s="387">
        <v>725.25642630103448</v>
      </c>
      <c r="HK122" s="358"/>
      <c r="HL122" s="387">
        <v>725.25642630103448</v>
      </c>
      <c r="HM122" s="358"/>
      <c r="HN122" s="387">
        <v>725.25642630103448</v>
      </c>
      <c r="HO122" s="358"/>
      <c r="HP122" s="387">
        <v>725.25642630103448</v>
      </c>
      <c r="HQ122" s="358"/>
      <c r="HR122" s="387">
        <v>725.25642630103448</v>
      </c>
      <c r="HS122" s="358"/>
      <c r="HT122" s="387">
        <v>725.25642630103448</v>
      </c>
      <c r="HU122" s="358"/>
      <c r="HV122" s="388">
        <v>725.25642630103448</v>
      </c>
      <c r="HW122" s="425"/>
      <c r="HX122" s="424">
        <v>725.25642630103448</v>
      </c>
      <c r="HY122" s="425"/>
      <c r="HZ122" s="424">
        <v>725.25642630103448</v>
      </c>
      <c r="IA122" s="425"/>
      <c r="IB122" s="424">
        <v>725.25642630103448</v>
      </c>
      <c r="IC122" s="425"/>
      <c r="ID122" s="357">
        <f>VLOOKUP($C122,'[15]Prix accès'!A:D,4,FALSE)</f>
        <v>725.25642630103448</v>
      </c>
      <c r="IE122" s="361"/>
      <c r="IF122" s="408">
        <v>261.5678914528321</v>
      </c>
      <c r="IG122" s="426"/>
      <c r="IH122" s="537"/>
      <c r="II122" s="426"/>
      <c r="IJ122" s="537"/>
      <c r="IK122" s="426"/>
      <c r="IL122" s="499"/>
      <c r="IM122" s="427"/>
      <c r="IN122" s="499"/>
      <c r="IO122" s="427"/>
      <c r="IP122" s="496"/>
      <c r="IQ122" s="427"/>
      <c r="IR122" s="429" t="s">
        <v>3147</v>
      </c>
      <c r="IS122" s="364" t="s">
        <v>77</v>
      </c>
      <c r="IT122" s="365">
        <v>43606</v>
      </c>
      <c r="IU122" s="371">
        <v>43617</v>
      </c>
      <c r="IW122" s="372">
        <f t="shared" si="16"/>
        <v>11</v>
      </c>
      <c r="IX122" s="373">
        <f t="shared" si="18"/>
        <v>23.778899222984737</v>
      </c>
      <c r="IY122" s="531">
        <f t="shared" si="19"/>
        <v>261.5678914528321</v>
      </c>
      <c r="IZ122" s="531"/>
      <c r="JA122" s="531"/>
    </row>
    <row r="123" spans="1:263" s="367" customFormat="1" ht="16.5" customHeight="1" x14ac:dyDescent="0.3">
      <c r="A123" s="401" t="s">
        <v>3315</v>
      </c>
      <c r="B123" s="402" t="s">
        <v>3315</v>
      </c>
      <c r="C123" s="434" t="s">
        <v>3352</v>
      </c>
      <c r="D123" s="856"/>
      <c r="E123" s="751"/>
      <c r="F123" s="751"/>
      <c r="G123" s="751"/>
      <c r="H123" s="857"/>
      <c r="I123" s="853">
        <v>0</v>
      </c>
      <c r="J123" s="833">
        <v>0</v>
      </c>
      <c r="K123" s="833">
        <v>0</v>
      </c>
      <c r="L123" s="833">
        <v>0</v>
      </c>
      <c r="M123" s="833">
        <v>0</v>
      </c>
      <c r="N123" s="833">
        <v>0</v>
      </c>
      <c r="O123" s="833">
        <v>0</v>
      </c>
      <c r="P123" s="833">
        <v>0</v>
      </c>
      <c r="Q123" s="833">
        <v>0</v>
      </c>
      <c r="R123" s="833">
        <v>0</v>
      </c>
      <c r="S123" s="833">
        <v>0</v>
      </c>
      <c r="T123" s="833">
        <v>0</v>
      </c>
      <c r="U123" s="833">
        <v>0</v>
      </c>
      <c r="V123" s="833">
        <v>0</v>
      </c>
      <c r="W123" s="833">
        <v>0</v>
      </c>
      <c r="X123" s="833">
        <v>0</v>
      </c>
      <c r="Y123" s="833">
        <v>0</v>
      </c>
      <c r="Z123" s="833">
        <v>0</v>
      </c>
      <c r="AA123" s="833">
        <v>0</v>
      </c>
      <c r="AB123" s="833">
        <v>0</v>
      </c>
      <c r="AC123" s="833">
        <v>0</v>
      </c>
      <c r="AD123" s="833">
        <v>0</v>
      </c>
      <c r="AE123" s="833">
        <v>0</v>
      </c>
      <c r="AF123" s="833">
        <v>0</v>
      </c>
      <c r="AG123" s="833">
        <v>0</v>
      </c>
      <c r="AH123" s="833">
        <v>0</v>
      </c>
      <c r="AI123" s="833">
        <v>0</v>
      </c>
      <c r="AJ123" s="833">
        <v>0</v>
      </c>
      <c r="AK123" s="833">
        <v>0</v>
      </c>
      <c r="AL123" s="833">
        <v>0</v>
      </c>
      <c r="AM123" s="833">
        <v>0</v>
      </c>
      <c r="AN123" s="833">
        <v>0</v>
      </c>
      <c r="AO123" s="833">
        <v>0</v>
      </c>
      <c r="AP123" s="833">
        <v>0</v>
      </c>
      <c r="AQ123" s="833">
        <v>0</v>
      </c>
      <c r="AR123" s="833">
        <v>0</v>
      </c>
      <c r="AS123" s="833">
        <v>0</v>
      </c>
      <c r="AT123" s="833">
        <v>0</v>
      </c>
      <c r="AU123" s="833">
        <v>0</v>
      </c>
      <c r="AV123" s="833">
        <v>0</v>
      </c>
      <c r="AW123" s="833">
        <v>0</v>
      </c>
      <c r="AX123" s="833"/>
      <c r="AY123" s="833">
        <v>0</v>
      </c>
      <c r="AZ123" s="833">
        <v>0</v>
      </c>
      <c r="BA123" s="455"/>
      <c r="BB123" s="404">
        <v>0</v>
      </c>
      <c r="BC123" s="404">
        <v>0</v>
      </c>
      <c r="BD123" s="455"/>
      <c r="BE123" s="404">
        <v>0</v>
      </c>
      <c r="BF123" s="404">
        <v>0</v>
      </c>
      <c r="BG123" s="455"/>
      <c r="BH123" s="404">
        <v>0</v>
      </c>
      <c r="BI123" s="404">
        <v>0</v>
      </c>
      <c r="BJ123" s="455"/>
      <c r="BK123" s="404">
        <v>0</v>
      </c>
      <c r="BL123" s="404">
        <v>0</v>
      </c>
      <c r="BM123" s="455"/>
      <c r="BN123" s="404">
        <v>0</v>
      </c>
      <c r="BO123" s="404">
        <v>0</v>
      </c>
      <c r="BP123" s="455"/>
      <c r="BQ123" s="404">
        <v>0</v>
      </c>
      <c r="BR123" s="404">
        <v>0</v>
      </c>
      <c r="BS123" s="455"/>
      <c r="BT123" s="404">
        <v>0</v>
      </c>
      <c r="BU123" s="404">
        <v>0</v>
      </c>
      <c r="BV123" s="455"/>
      <c r="BW123" s="404">
        <v>0</v>
      </c>
      <c r="BX123" s="404">
        <v>0</v>
      </c>
      <c r="BY123" s="455"/>
      <c r="BZ123" s="404">
        <v>0</v>
      </c>
      <c r="CA123" s="404">
        <v>0</v>
      </c>
      <c r="CB123" s="455"/>
      <c r="CC123" s="404">
        <v>0</v>
      </c>
      <c r="CD123" s="404">
        <v>0</v>
      </c>
      <c r="CE123" s="455"/>
      <c r="CF123" s="404">
        <v>0</v>
      </c>
      <c r="CG123" s="404">
        <v>0</v>
      </c>
      <c r="CH123" s="455"/>
      <c r="CI123" s="404">
        <v>0</v>
      </c>
      <c r="CJ123" s="404">
        <v>0</v>
      </c>
      <c r="CK123" s="455"/>
      <c r="CL123" s="404">
        <v>0</v>
      </c>
      <c r="CM123" s="404">
        <v>0</v>
      </c>
      <c r="CN123" s="455"/>
      <c r="CO123" s="404">
        <v>0</v>
      </c>
      <c r="CP123" s="404">
        <v>0</v>
      </c>
      <c r="CQ123" s="455"/>
      <c r="CR123" s="404">
        <v>0</v>
      </c>
      <c r="CS123" s="404">
        <v>0</v>
      </c>
      <c r="CT123" s="455"/>
      <c r="CU123" s="404">
        <v>0</v>
      </c>
      <c r="CV123" s="404">
        <v>0</v>
      </c>
      <c r="CW123" s="455"/>
      <c r="CX123" s="404">
        <v>0</v>
      </c>
      <c r="CY123" s="404">
        <v>0</v>
      </c>
      <c r="CZ123" s="455"/>
      <c r="DA123" s="404">
        <v>0</v>
      </c>
      <c r="DB123" s="404">
        <v>0</v>
      </c>
      <c r="DC123" s="455"/>
      <c r="DD123" s="404">
        <v>0</v>
      </c>
      <c r="DE123" s="404">
        <v>0</v>
      </c>
      <c r="DF123" s="455"/>
      <c r="DG123" s="404">
        <v>0</v>
      </c>
      <c r="DH123" s="404">
        <v>0</v>
      </c>
      <c r="DI123" s="455"/>
      <c r="DJ123" s="404">
        <v>0</v>
      </c>
      <c r="DK123" s="404">
        <v>0</v>
      </c>
      <c r="DL123" s="455"/>
      <c r="DM123" s="404">
        <v>0</v>
      </c>
      <c r="DN123" s="404">
        <v>0</v>
      </c>
      <c r="DO123" s="455"/>
      <c r="DP123" s="404">
        <v>0</v>
      </c>
      <c r="DQ123" s="404">
        <v>0</v>
      </c>
      <c r="DR123" s="455"/>
      <c r="DS123" s="404">
        <v>0</v>
      </c>
      <c r="DT123" s="404">
        <v>0</v>
      </c>
      <c r="DU123" s="455"/>
      <c r="DV123" s="404">
        <v>0</v>
      </c>
      <c r="DW123" s="404">
        <v>0</v>
      </c>
      <c r="DX123" s="455"/>
      <c r="DY123" s="404">
        <v>0</v>
      </c>
      <c r="DZ123" s="404">
        <v>0</v>
      </c>
      <c r="EA123" s="455"/>
      <c r="EB123" s="404">
        <v>0</v>
      </c>
      <c r="EC123" s="404">
        <v>0</v>
      </c>
      <c r="ED123" s="455"/>
      <c r="EE123" s="404">
        <v>0</v>
      </c>
      <c r="EF123" s="404">
        <v>0</v>
      </c>
      <c r="EG123" s="455"/>
      <c r="EH123" s="404">
        <v>0</v>
      </c>
      <c r="EI123" s="404">
        <v>0</v>
      </c>
      <c r="EJ123" s="455"/>
      <c r="EK123" s="404">
        <v>0</v>
      </c>
      <c r="EL123" s="404">
        <v>0</v>
      </c>
      <c r="EM123" s="455"/>
      <c r="EN123" s="404">
        <v>0</v>
      </c>
      <c r="EO123" s="404">
        <v>0</v>
      </c>
      <c r="EP123" s="455"/>
      <c r="EQ123" s="404">
        <v>0</v>
      </c>
      <c r="ER123" s="404">
        <v>0</v>
      </c>
      <c r="ES123" s="455"/>
      <c r="ET123" s="385">
        <v>1335.4564263010345</v>
      </c>
      <c r="EU123" s="385">
        <f>14</f>
        <v>14</v>
      </c>
      <c r="EV123" s="358"/>
      <c r="EW123" s="385">
        <v>1335.4564263010345</v>
      </c>
      <c r="EX123" s="385">
        <f>14</f>
        <v>14</v>
      </c>
      <c r="EY123" s="358"/>
      <c r="EZ123" s="385">
        <v>1335.4564263010345</v>
      </c>
      <c r="FA123" s="385">
        <f>14</f>
        <v>14</v>
      </c>
      <c r="FB123" s="358"/>
      <c r="FC123" s="385">
        <v>1335.4564263010345</v>
      </c>
      <c r="FD123" s="385">
        <f>14</f>
        <v>14</v>
      </c>
      <c r="FE123" s="358"/>
      <c r="FF123" s="385">
        <v>1335.4564263010345</v>
      </c>
      <c r="FG123" s="385">
        <f>14</f>
        <v>14</v>
      </c>
      <c r="FH123" s="358"/>
      <c r="FI123" s="385">
        <v>1335.4564263010345</v>
      </c>
      <c r="FJ123" s="385">
        <f>14</f>
        <v>14</v>
      </c>
      <c r="FK123" s="358"/>
      <c r="FL123" s="385">
        <v>1335.4564263010345</v>
      </c>
      <c r="FM123" s="385">
        <f>14</f>
        <v>14</v>
      </c>
      <c r="FN123" s="358"/>
      <c r="FO123" s="385">
        <v>1335.4564263010345</v>
      </c>
      <c r="FP123" s="385">
        <f>14</f>
        <v>14</v>
      </c>
      <c r="FQ123" s="358"/>
      <c r="FR123" s="385">
        <v>1335.4564263010345</v>
      </c>
      <c r="FS123" s="385">
        <f>14</f>
        <v>14</v>
      </c>
      <c r="FT123" s="358"/>
      <c r="FU123" s="385">
        <v>1335.4564263010345</v>
      </c>
      <c r="FV123" s="385">
        <f>14</f>
        <v>14</v>
      </c>
      <c r="FW123" s="358"/>
      <c r="FX123" s="385">
        <v>1335.4564263010345</v>
      </c>
      <c r="FY123" s="385">
        <f>14</f>
        <v>14</v>
      </c>
      <c r="FZ123" s="358"/>
      <c r="GA123" s="385">
        <v>1335.4564263010345</v>
      </c>
      <c r="GB123" s="385">
        <f>14</f>
        <v>14</v>
      </c>
      <c r="GC123" s="358"/>
      <c r="GD123" s="385">
        <v>1335.4564263010345</v>
      </c>
      <c r="GE123" s="385">
        <f>14</f>
        <v>14</v>
      </c>
      <c r="GF123" s="358"/>
      <c r="GG123" s="385">
        <v>1335.4564263010345</v>
      </c>
      <c r="GH123" s="385">
        <f>14</f>
        <v>14</v>
      </c>
      <c r="GI123" s="358"/>
      <c r="GJ123" s="385">
        <v>1335.4564263010345</v>
      </c>
      <c r="GK123" s="385">
        <f>14</f>
        <v>14</v>
      </c>
      <c r="GL123" s="358"/>
      <c r="GM123" s="385">
        <v>1335.4564263010345</v>
      </c>
      <c r="GN123" s="385">
        <f>14</f>
        <v>14</v>
      </c>
      <c r="GO123" s="358"/>
      <c r="GP123" s="385">
        <v>1335.4564263010345</v>
      </c>
      <c r="GQ123" s="385">
        <f>14</f>
        <v>14</v>
      </c>
      <c r="GR123" s="358"/>
      <c r="GS123" s="385">
        <v>1335.4564263010345</v>
      </c>
      <c r="GT123" s="385">
        <f>14</f>
        <v>14</v>
      </c>
      <c r="GU123" s="358"/>
      <c r="GV123" s="385">
        <v>1335.4564263010345</v>
      </c>
      <c r="GW123" s="385">
        <f>14</f>
        <v>14</v>
      </c>
      <c r="GX123" s="358"/>
      <c r="GY123" s="385">
        <v>1335.4564263010345</v>
      </c>
      <c r="GZ123" s="385">
        <f>14</f>
        <v>14</v>
      </c>
      <c r="HA123" s="358"/>
      <c r="HB123" s="385">
        <v>1335.4564263010345</v>
      </c>
      <c r="HC123" s="385">
        <f>14</f>
        <v>14</v>
      </c>
      <c r="HD123" s="358"/>
      <c r="HE123" s="387">
        <v>1335.4564263010345</v>
      </c>
      <c r="HF123" s="386">
        <f>14*6</f>
        <v>84</v>
      </c>
      <c r="HG123" s="358"/>
      <c r="HH123" s="387">
        <v>1335.4564263010345</v>
      </c>
      <c r="HI123" s="358"/>
      <c r="HJ123" s="387">
        <v>1335.4564263010345</v>
      </c>
      <c r="HK123" s="358"/>
      <c r="HL123" s="387">
        <v>1335.4564263010345</v>
      </c>
      <c r="HM123" s="358"/>
      <c r="HN123" s="387">
        <v>1335.4564263010345</v>
      </c>
      <c r="HO123" s="358"/>
      <c r="HP123" s="387">
        <v>1335.4564263010345</v>
      </c>
      <c r="HQ123" s="358"/>
      <c r="HR123" s="387">
        <v>1335.4564263010345</v>
      </c>
      <c r="HS123" s="358"/>
      <c r="HT123" s="387">
        <v>1335.4564263010345</v>
      </c>
      <c r="HU123" s="358"/>
      <c r="HV123" s="388">
        <v>1335.4564263010345</v>
      </c>
      <c r="HW123" s="425"/>
      <c r="HX123" s="424">
        <v>1335.4564263010345</v>
      </c>
      <c r="HY123" s="425"/>
      <c r="HZ123" s="424">
        <v>1335.4564263010345</v>
      </c>
      <c r="IA123" s="425"/>
      <c r="IB123" s="424">
        <v>1335.4564263010345</v>
      </c>
      <c r="IC123" s="425"/>
      <c r="ID123" s="357">
        <f>VLOOKUP($C123,'[15]Prix accès'!A:D,4,FALSE)</f>
        <v>1335.4564263010345</v>
      </c>
      <c r="IE123" s="361"/>
      <c r="IF123" s="408">
        <v>218.92728300016958</v>
      </c>
      <c r="IG123" s="426" t="s">
        <v>3310</v>
      </c>
      <c r="IH123" s="537"/>
      <c r="II123" s="426"/>
      <c r="IJ123" s="537"/>
      <c r="IK123" s="426"/>
      <c r="IL123" s="499"/>
      <c r="IM123" s="427"/>
      <c r="IN123" s="499"/>
      <c r="IO123" s="427"/>
      <c r="IP123" s="496"/>
      <c r="IQ123" s="427"/>
      <c r="IR123" s="429" t="s">
        <v>3353</v>
      </c>
      <c r="IS123" s="364" t="s">
        <v>77</v>
      </c>
      <c r="IT123" s="365">
        <v>43612</v>
      </c>
      <c r="IU123" s="371">
        <v>43617</v>
      </c>
      <c r="IW123" s="372">
        <f t="shared" si="16"/>
        <v>5</v>
      </c>
      <c r="IX123" s="373">
        <f t="shared" si="18"/>
        <v>43.785456600033918</v>
      </c>
      <c r="IY123" s="531">
        <f t="shared" si="19"/>
        <v>218.92728300016958</v>
      </c>
      <c r="IZ123" s="531"/>
      <c r="JA123" s="531"/>
    </row>
    <row r="124" spans="1:263" s="367" customFormat="1" ht="16.5" customHeight="1" x14ac:dyDescent="0.3">
      <c r="A124" s="354" t="s">
        <v>2743</v>
      </c>
      <c r="B124" s="415" t="s">
        <v>2768</v>
      </c>
      <c r="C124" s="447" t="s">
        <v>1386</v>
      </c>
      <c r="D124" s="448">
        <v>979</v>
      </c>
      <c r="E124" s="449">
        <v>44</v>
      </c>
      <c r="F124" s="449">
        <v>48</v>
      </c>
      <c r="G124" s="449">
        <v>5</v>
      </c>
      <c r="H124" s="450">
        <v>0</v>
      </c>
      <c r="I124" s="830">
        <v>1071</v>
      </c>
      <c r="J124" s="831">
        <f>5</f>
        <v>5</v>
      </c>
      <c r="K124" s="827"/>
      <c r="L124" s="831">
        <v>1071</v>
      </c>
      <c r="M124" s="831">
        <f>5</f>
        <v>5</v>
      </c>
      <c r="N124" s="827"/>
      <c r="O124" s="831">
        <v>1071</v>
      </c>
      <c r="P124" s="831">
        <f>5</f>
        <v>5</v>
      </c>
      <c r="Q124" s="827"/>
      <c r="R124" s="831">
        <v>1071</v>
      </c>
      <c r="S124" s="831">
        <f>5</f>
        <v>5</v>
      </c>
      <c r="T124" s="827"/>
      <c r="U124" s="831">
        <v>1071</v>
      </c>
      <c r="V124" s="831">
        <f>5</f>
        <v>5</v>
      </c>
      <c r="W124" s="827"/>
      <c r="X124" s="831">
        <v>1071</v>
      </c>
      <c r="Y124" s="831">
        <f>5</f>
        <v>5</v>
      </c>
      <c r="Z124" s="827"/>
      <c r="AA124" s="831">
        <v>1071</v>
      </c>
      <c r="AB124" s="831">
        <f>5</f>
        <v>5</v>
      </c>
      <c r="AC124" s="827"/>
      <c r="AD124" s="831">
        <v>1071</v>
      </c>
      <c r="AE124" s="831">
        <f>5</f>
        <v>5</v>
      </c>
      <c r="AF124" s="827"/>
      <c r="AG124" s="831">
        <v>1071</v>
      </c>
      <c r="AH124" s="831">
        <f>5</f>
        <v>5</v>
      </c>
      <c r="AI124" s="827"/>
      <c r="AJ124" s="831">
        <v>1071</v>
      </c>
      <c r="AK124" s="831">
        <f>5</f>
        <v>5</v>
      </c>
      <c r="AL124" s="827"/>
      <c r="AM124" s="831">
        <v>1071</v>
      </c>
      <c r="AN124" s="831">
        <f>5</f>
        <v>5</v>
      </c>
      <c r="AO124" s="827"/>
      <c r="AP124" s="831">
        <v>1071</v>
      </c>
      <c r="AQ124" s="831">
        <f>5</f>
        <v>5</v>
      </c>
      <c r="AR124" s="827"/>
      <c r="AS124" s="831">
        <v>1071</v>
      </c>
      <c r="AT124" s="831">
        <f>5</f>
        <v>5</v>
      </c>
      <c r="AU124" s="827"/>
      <c r="AV124" s="831">
        <v>1071</v>
      </c>
      <c r="AW124" s="831">
        <f>5</f>
        <v>5</v>
      </c>
      <c r="AX124" s="827"/>
      <c r="AY124" s="831">
        <v>1071</v>
      </c>
      <c r="AZ124" s="831">
        <f>5</f>
        <v>5</v>
      </c>
      <c r="BA124" s="358"/>
      <c r="BB124" s="385">
        <v>1071</v>
      </c>
      <c r="BC124" s="385">
        <f>5</f>
        <v>5</v>
      </c>
      <c r="BD124" s="358"/>
      <c r="BE124" s="385">
        <v>1071</v>
      </c>
      <c r="BF124" s="385">
        <f>5</f>
        <v>5</v>
      </c>
      <c r="BG124" s="358"/>
      <c r="BH124" s="385">
        <v>1071</v>
      </c>
      <c r="BI124" s="385">
        <f>5</f>
        <v>5</v>
      </c>
      <c r="BJ124" s="369"/>
      <c r="BK124" s="385">
        <v>1071</v>
      </c>
      <c r="BL124" s="385">
        <f>5</f>
        <v>5</v>
      </c>
      <c r="BM124" s="369"/>
      <c r="BN124" s="385">
        <v>1071</v>
      </c>
      <c r="BO124" s="385">
        <f>5</f>
        <v>5</v>
      </c>
      <c r="BP124" s="369"/>
      <c r="BQ124" s="385">
        <v>1071</v>
      </c>
      <c r="BR124" s="385">
        <f>5</f>
        <v>5</v>
      </c>
      <c r="BS124" s="369"/>
      <c r="BT124" s="385">
        <v>1071</v>
      </c>
      <c r="BU124" s="385">
        <f>5</f>
        <v>5</v>
      </c>
      <c r="BV124" s="369"/>
      <c r="BW124" s="385">
        <v>1071</v>
      </c>
      <c r="BX124" s="385">
        <f>5</f>
        <v>5</v>
      </c>
      <c r="BY124" s="369"/>
      <c r="BZ124" s="385">
        <v>1071</v>
      </c>
      <c r="CA124" s="385">
        <f>5</f>
        <v>5</v>
      </c>
      <c r="CB124" s="369"/>
      <c r="CC124" s="385">
        <v>1071</v>
      </c>
      <c r="CD124" s="385">
        <f>5</f>
        <v>5</v>
      </c>
      <c r="CE124" s="369"/>
      <c r="CF124" s="385">
        <v>1071</v>
      </c>
      <c r="CG124" s="385">
        <f>5</f>
        <v>5</v>
      </c>
      <c r="CH124" s="369"/>
      <c r="CI124" s="385">
        <v>1071</v>
      </c>
      <c r="CJ124" s="385">
        <f>5</f>
        <v>5</v>
      </c>
      <c r="CK124" s="369"/>
      <c r="CL124" s="385">
        <v>1071</v>
      </c>
      <c r="CM124" s="385">
        <f>5</f>
        <v>5</v>
      </c>
      <c r="CN124" s="369"/>
      <c r="CO124" s="385">
        <v>1071</v>
      </c>
      <c r="CP124" s="385">
        <f>5</f>
        <v>5</v>
      </c>
      <c r="CQ124" s="369"/>
      <c r="CR124" s="385">
        <v>1071</v>
      </c>
      <c r="CS124" s="385">
        <f>5</f>
        <v>5</v>
      </c>
      <c r="CT124" s="369"/>
      <c r="CU124" s="385">
        <v>1071</v>
      </c>
      <c r="CV124" s="385">
        <f>5</f>
        <v>5</v>
      </c>
      <c r="CW124" s="369"/>
      <c r="CX124" s="385">
        <v>1071</v>
      </c>
      <c r="CY124" s="385">
        <f>5</f>
        <v>5</v>
      </c>
      <c r="CZ124" s="369"/>
      <c r="DA124" s="385">
        <v>1071</v>
      </c>
      <c r="DB124" s="385">
        <f>5</f>
        <v>5</v>
      </c>
      <c r="DC124" s="369"/>
      <c r="DD124" s="385">
        <v>1071</v>
      </c>
      <c r="DE124" s="385">
        <f>5</f>
        <v>5</v>
      </c>
      <c r="DF124" s="369"/>
      <c r="DG124" s="385">
        <v>1071</v>
      </c>
      <c r="DH124" s="385">
        <f>5</f>
        <v>5</v>
      </c>
      <c r="DI124" s="369"/>
      <c r="DJ124" s="385">
        <v>1071</v>
      </c>
      <c r="DK124" s="385">
        <f>5</f>
        <v>5</v>
      </c>
      <c r="DL124" s="369"/>
      <c r="DM124" s="385">
        <v>1071</v>
      </c>
      <c r="DN124" s="385">
        <f>5</f>
        <v>5</v>
      </c>
      <c r="DO124" s="369"/>
      <c r="DP124" s="385">
        <v>1071</v>
      </c>
      <c r="DQ124" s="385">
        <f>5</f>
        <v>5</v>
      </c>
      <c r="DR124" s="369"/>
      <c r="DS124" s="385">
        <v>1071</v>
      </c>
      <c r="DT124" s="385">
        <f>5</f>
        <v>5</v>
      </c>
      <c r="DU124" s="369"/>
      <c r="DV124" s="386">
        <f>((1071-1241)*3)+1071</f>
        <v>561</v>
      </c>
      <c r="DW124" s="386">
        <f>5</f>
        <v>5</v>
      </c>
      <c r="DX124" s="370"/>
      <c r="DY124" s="385">
        <v>1241.2564263010347</v>
      </c>
      <c r="DZ124" s="385">
        <f>5</f>
        <v>5</v>
      </c>
      <c r="EA124" s="358"/>
      <c r="EB124" s="385">
        <v>1241.2564263010347</v>
      </c>
      <c r="EC124" s="385">
        <f>5</f>
        <v>5</v>
      </c>
      <c r="ED124" s="358"/>
      <c r="EE124" s="385">
        <v>1241.2564263010347</v>
      </c>
      <c r="EF124" s="385">
        <f>5</f>
        <v>5</v>
      </c>
      <c r="EG124" s="358"/>
      <c r="EH124" s="385">
        <v>1241.2564263010347</v>
      </c>
      <c r="EI124" s="385">
        <f>5</f>
        <v>5</v>
      </c>
      <c r="EJ124" s="358"/>
      <c r="EK124" s="385">
        <v>1241.2564263010347</v>
      </c>
      <c r="EL124" s="385">
        <f>5</f>
        <v>5</v>
      </c>
      <c r="EM124" s="358"/>
      <c r="EN124" s="385">
        <v>1241.2564263010347</v>
      </c>
      <c r="EO124" s="385">
        <f>5</f>
        <v>5</v>
      </c>
      <c r="EP124" s="358"/>
      <c r="EQ124" s="385">
        <v>1241.2564263010347</v>
      </c>
      <c r="ER124" s="385">
        <f>5</f>
        <v>5</v>
      </c>
      <c r="ES124" s="358"/>
      <c r="ET124" s="385">
        <v>1241.2564263010347</v>
      </c>
      <c r="EU124" s="385">
        <f>5</f>
        <v>5</v>
      </c>
      <c r="EV124" s="358"/>
      <c r="EW124" s="385">
        <v>1241.2564263010347</v>
      </c>
      <c r="EX124" s="385">
        <f>5</f>
        <v>5</v>
      </c>
      <c r="EY124" s="358"/>
      <c r="EZ124" s="385">
        <v>1241.2564263010347</v>
      </c>
      <c r="FA124" s="385">
        <f>5</f>
        <v>5</v>
      </c>
      <c r="FB124" s="358"/>
      <c r="FC124" s="385">
        <v>1241.2564263010347</v>
      </c>
      <c r="FD124" s="385">
        <f>5</f>
        <v>5</v>
      </c>
      <c r="FE124" s="358"/>
      <c r="FF124" s="385">
        <v>1241.2564263010347</v>
      </c>
      <c r="FG124" s="385">
        <f>5</f>
        <v>5</v>
      </c>
      <c r="FH124" s="358"/>
      <c r="FI124" s="385">
        <v>1241.2564263010347</v>
      </c>
      <c r="FJ124" s="385">
        <f>5</f>
        <v>5</v>
      </c>
      <c r="FK124" s="358"/>
      <c r="FL124" s="385">
        <v>1241.2564263010347</v>
      </c>
      <c r="FM124" s="385">
        <f>5</f>
        <v>5</v>
      </c>
      <c r="FN124" s="358"/>
      <c r="FO124" s="385">
        <v>1241.2564263010347</v>
      </c>
      <c r="FP124" s="385">
        <f>5</f>
        <v>5</v>
      </c>
      <c r="FQ124" s="358"/>
      <c r="FR124" s="385">
        <v>1241.2564263010347</v>
      </c>
      <c r="FS124" s="385">
        <f>5</f>
        <v>5</v>
      </c>
      <c r="FT124" s="358"/>
      <c r="FU124" s="385">
        <v>1241.2564263010347</v>
      </c>
      <c r="FV124" s="385">
        <f>5</f>
        <v>5</v>
      </c>
      <c r="FW124" s="358"/>
      <c r="FX124" s="385">
        <v>1241.2564263010347</v>
      </c>
      <c r="FY124" s="385">
        <f>5</f>
        <v>5</v>
      </c>
      <c r="FZ124" s="358"/>
      <c r="GA124" s="385">
        <v>1241.2564263010347</v>
      </c>
      <c r="GB124" s="385">
        <f>5</f>
        <v>5</v>
      </c>
      <c r="GC124" s="358"/>
      <c r="GD124" s="385">
        <v>1241.2564263010347</v>
      </c>
      <c r="GE124" s="385">
        <f>5</f>
        <v>5</v>
      </c>
      <c r="GF124" s="358"/>
      <c r="GG124" s="385">
        <v>1241.2564263010347</v>
      </c>
      <c r="GH124" s="385">
        <f>5</f>
        <v>5</v>
      </c>
      <c r="GI124" s="358"/>
      <c r="GJ124" s="385">
        <v>1241.2564263010347</v>
      </c>
      <c r="GK124" s="385">
        <f>5</f>
        <v>5</v>
      </c>
      <c r="GL124" s="358"/>
      <c r="GM124" s="385">
        <v>1241.2564263010347</v>
      </c>
      <c r="GN124" s="385">
        <f>5</f>
        <v>5</v>
      </c>
      <c r="GO124" s="358"/>
      <c r="GP124" s="385">
        <v>1241.2564263010347</v>
      </c>
      <c r="GQ124" s="385">
        <f>5</f>
        <v>5</v>
      </c>
      <c r="GR124" s="358"/>
      <c r="GS124" s="385">
        <v>1241.2564263010347</v>
      </c>
      <c r="GT124" s="385">
        <f>5</f>
        <v>5</v>
      </c>
      <c r="GU124" s="358"/>
      <c r="GV124" s="385">
        <v>1241.2564263010347</v>
      </c>
      <c r="GW124" s="385">
        <f>5</f>
        <v>5</v>
      </c>
      <c r="GX124" s="358"/>
      <c r="GY124" s="385">
        <v>1241.2564263010347</v>
      </c>
      <c r="GZ124" s="385">
        <f>5</f>
        <v>5</v>
      </c>
      <c r="HA124" s="358"/>
      <c r="HB124" s="385">
        <v>1241.2564263010347</v>
      </c>
      <c r="HC124" s="385">
        <f>5</f>
        <v>5</v>
      </c>
      <c r="HD124" s="358"/>
      <c r="HE124" s="387">
        <v>1241.2564263010347</v>
      </c>
      <c r="HF124" s="386">
        <f>5*6</f>
        <v>30</v>
      </c>
      <c r="HG124" s="358"/>
      <c r="HH124" s="387">
        <v>1241.2564263010347</v>
      </c>
      <c r="HI124" s="358"/>
      <c r="HJ124" s="387">
        <v>1241.2564263010347</v>
      </c>
      <c r="HK124" s="358"/>
      <c r="HL124" s="387">
        <v>1241.2564263010347</v>
      </c>
      <c r="HM124" s="358"/>
      <c r="HN124" s="387">
        <v>1241.2564263010347</v>
      </c>
      <c r="HO124" s="358"/>
      <c r="HP124" s="387">
        <v>1241.2564263010347</v>
      </c>
      <c r="HQ124" s="358"/>
      <c r="HR124" s="387">
        <v>1241.2564263010347</v>
      </c>
      <c r="HS124" s="358"/>
      <c r="HT124" s="387">
        <v>1241.2564263010347</v>
      </c>
      <c r="HU124" s="358"/>
      <c r="HV124" s="388">
        <v>1241.2564263010347</v>
      </c>
      <c r="HW124" s="425"/>
      <c r="HX124" s="424">
        <v>1241.2564263010347</v>
      </c>
      <c r="HY124" s="425"/>
      <c r="HZ124" s="424">
        <v>1241.2564263010347</v>
      </c>
      <c r="IA124" s="425"/>
      <c r="IB124" s="424">
        <v>1241.2564263010347</v>
      </c>
      <c r="IC124" s="425"/>
      <c r="ID124" s="357">
        <f>VLOOKUP($C124,'[15]Prix accès'!A:D,4,FALSE)</f>
        <v>1241.2564263010347</v>
      </c>
      <c r="IE124" s="361"/>
      <c r="IF124" s="408">
        <v>203.48466004934994</v>
      </c>
      <c r="IG124" s="426"/>
      <c r="IH124" s="426"/>
      <c r="II124" s="426"/>
      <c r="IJ124" s="426"/>
      <c r="IK124" s="426"/>
      <c r="IL124" s="496"/>
      <c r="IM124" s="427"/>
      <c r="IN124" s="496"/>
      <c r="IO124" s="427"/>
      <c r="IP124" s="496"/>
      <c r="IQ124" s="427"/>
      <c r="IR124" s="429" t="s">
        <v>3124</v>
      </c>
      <c r="IS124" s="364" t="s">
        <v>77</v>
      </c>
      <c r="IT124" s="365">
        <v>43612</v>
      </c>
      <c r="IU124" s="371">
        <v>43617</v>
      </c>
      <c r="IV124" s="464">
        <v>44774</v>
      </c>
      <c r="IW124" s="372">
        <f t="shared" si="16"/>
        <v>5</v>
      </c>
      <c r="IX124" s="373">
        <f t="shared" si="18"/>
        <v>40.69693200986999</v>
      </c>
      <c r="IY124" s="531">
        <f t="shared" si="19"/>
        <v>203.48466004934994</v>
      </c>
      <c r="IZ124" s="531"/>
      <c r="JA124" s="531"/>
    </row>
    <row r="125" spans="1:263" s="367" customFormat="1" ht="16.5" customHeight="1" x14ac:dyDescent="0.3">
      <c r="A125" s="401" t="s">
        <v>3315</v>
      </c>
      <c r="B125" s="402" t="s">
        <v>3315</v>
      </c>
      <c r="C125" s="471" t="s">
        <v>2767</v>
      </c>
      <c r="D125" s="863"/>
      <c r="E125" s="864"/>
      <c r="F125" s="864"/>
      <c r="G125" s="864"/>
      <c r="H125" s="865"/>
      <c r="I125" s="853">
        <v>0</v>
      </c>
      <c r="J125" s="833">
        <v>0</v>
      </c>
      <c r="K125" s="834"/>
      <c r="L125" s="833">
        <v>0</v>
      </c>
      <c r="M125" s="833">
        <v>0</v>
      </c>
      <c r="N125" s="834"/>
      <c r="O125" s="833">
        <v>0</v>
      </c>
      <c r="P125" s="833">
        <v>0</v>
      </c>
      <c r="Q125" s="834"/>
      <c r="R125" s="833">
        <v>0</v>
      </c>
      <c r="S125" s="833">
        <v>0</v>
      </c>
      <c r="T125" s="834"/>
      <c r="U125" s="833">
        <v>0</v>
      </c>
      <c r="V125" s="833">
        <v>0</v>
      </c>
      <c r="W125" s="834"/>
      <c r="X125" s="833">
        <v>0</v>
      </c>
      <c r="Y125" s="833">
        <v>0</v>
      </c>
      <c r="Z125" s="834"/>
      <c r="AA125" s="833">
        <v>0</v>
      </c>
      <c r="AB125" s="833">
        <v>0</v>
      </c>
      <c r="AC125" s="834"/>
      <c r="AD125" s="833">
        <v>0</v>
      </c>
      <c r="AE125" s="833">
        <v>0</v>
      </c>
      <c r="AF125" s="834"/>
      <c r="AG125" s="833">
        <v>0</v>
      </c>
      <c r="AH125" s="833">
        <v>0</v>
      </c>
      <c r="AI125" s="834"/>
      <c r="AJ125" s="834">
        <v>1055.0564263010344</v>
      </c>
      <c r="AK125" s="834">
        <f>5</f>
        <v>5</v>
      </c>
      <c r="AL125" s="834"/>
      <c r="AM125" s="834">
        <v>1055.0564263010344</v>
      </c>
      <c r="AN125" s="834">
        <f>5</f>
        <v>5</v>
      </c>
      <c r="AO125" s="834"/>
      <c r="AP125" s="831">
        <v>1055.0564263010344</v>
      </c>
      <c r="AQ125" s="831">
        <f>5</f>
        <v>5</v>
      </c>
      <c r="AR125" s="827"/>
      <c r="AS125" s="831">
        <v>1055.0564263010344</v>
      </c>
      <c r="AT125" s="831">
        <f>5</f>
        <v>5</v>
      </c>
      <c r="AU125" s="827"/>
      <c r="AV125" s="831">
        <v>1055.0564263010344</v>
      </c>
      <c r="AW125" s="831">
        <f>5</f>
        <v>5</v>
      </c>
      <c r="AX125" s="827"/>
      <c r="AY125" s="831">
        <v>1055.0564263010344</v>
      </c>
      <c r="AZ125" s="831">
        <f>5</f>
        <v>5</v>
      </c>
      <c r="BA125" s="358"/>
      <c r="BB125" s="385">
        <v>1055.0564263010344</v>
      </c>
      <c r="BC125" s="385">
        <f>5</f>
        <v>5</v>
      </c>
      <c r="BD125" s="358"/>
      <c r="BE125" s="385">
        <v>1055.0564263010344</v>
      </c>
      <c r="BF125" s="385">
        <f>5</f>
        <v>5</v>
      </c>
      <c r="BG125" s="358"/>
      <c r="BH125" s="385">
        <v>1055.0564263010344</v>
      </c>
      <c r="BI125" s="385">
        <f>5</f>
        <v>5</v>
      </c>
      <c r="BJ125" s="358"/>
      <c r="BK125" s="385">
        <v>1055.0564263010344</v>
      </c>
      <c r="BL125" s="385">
        <f>5</f>
        <v>5</v>
      </c>
      <c r="BM125" s="358"/>
      <c r="BN125" s="385">
        <v>1055.0564263010344</v>
      </c>
      <c r="BO125" s="385">
        <f>5</f>
        <v>5</v>
      </c>
      <c r="BP125" s="358"/>
      <c r="BQ125" s="385">
        <v>1055.0564263010344</v>
      </c>
      <c r="BR125" s="385">
        <f>5</f>
        <v>5</v>
      </c>
      <c r="BS125" s="358"/>
      <c r="BT125" s="385">
        <v>1055.0564263010344</v>
      </c>
      <c r="BU125" s="385">
        <f>5</f>
        <v>5</v>
      </c>
      <c r="BV125" s="358"/>
      <c r="BW125" s="385">
        <v>1055.0564263010344</v>
      </c>
      <c r="BX125" s="385">
        <f>5</f>
        <v>5</v>
      </c>
      <c r="BY125" s="358"/>
      <c r="BZ125" s="385">
        <v>1055.0564263010344</v>
      </c>
      <c r="CA125" s="385">
        <f>5</f>
        <v>5</v>
      </c>
      <c r="CB125" s="358"/>
      <c r="CC125" s="385">
        <v>1055.0564263010344</v>
      </c>
      <c r="CD125" s="385">
        <f>5</f>
        <v>5</v>
      </c>
      <c r="CE125" s="358"/>
      <c r="CF125" s="385">
        <v>1055.0564263010344</v>
      </c>
      <c r="CG125" s="385">
        <f>5</f>
        <v>5</v>
      </c>
      <c r="CH125" s="358"/>
      <c r="CI125" s="385">
        <v>1055.0564263010344</v>
      </c>
      <c r="CJ125" s="385">
        <f>5</f>
        <v>5</v>
      </c>
      <c r="CK125" s="358"/>
      <c r="CL125" s="385">
        <v>1055.0564263010344</v>
      </c>
      <c r="CM125" s="385">
        <f>5</f>
        <v>5</v>
      </c>
      <c r="CN125" s="358"/>
      <c r="CO125" s="385">
        <v>1055.0564263010344</v>
      </c>
      <c r="CP125" s="385">
        <f>5</f>
        <v>5</v>
      </c>
      <c r="CQ125" s="358"/>
      <c r="CR125" s="385">
        <v>1055.0564263010344</v>
      </c>
      <c r="CS125" s="385">
        <f>5</f>
        <v>5</v>
      </c>
      <c r="CT125" s="358"/>
      <c r="CU125" s="385">
        <v>1055.0564263010344</v>
      </c>
      <c r="CV125" s="385">
        <f>5</f>
        <v>5</v>
      </c>
      <c r="CW125" s="358"/>
      <c r="CX125" s="385">
        <v>1055.0564263010344</v>
      </c>
      <c r="CY125" s="385">
        <f>5</f>
        <v>5</v>
      </c>
      <c r="CZ125" s="358"/>
      <c r="DA125" s="385">
        <v>1055.0564263010344</v>
      </c>
      <c r="DB125" s="385">
        <f>5</f>
        <v>5</v>
      </c>
      <c r="DC125" s="358"/>
      <c r="DD125" s="385">
        <v>1055.0564263010344</v>
      </c>
      <c r="DE125" s="385">
        <f>5</f>
        <v>5</v>
      </c>
      <c r="DF125" s="358"/>
      <c r="DG125" s="385">
        <v>1055.0564263010344</v>
      </c>
      <c r="DH125" s="385">
        <f>5</f>
        <v>5</v>
      </c>
      <c r="DI125" s="358"/>
      <c r="DJ125" s="385">
        <v>1055.0564263010344</v>
      </c>
      <c r="DK125" s="385">
        <f>5</f>
        <v>5</v>
      </c>
      <c r="DL125" s="358"/>
      <c r="DM125" s="385">
        <v>1055.0564263010344</v>
      </c>
      <c r="DN125" s="385">
        <f>5</f>
        <v>5</v>
      </c>
      <c r="DO125" s="358"/>
      <c r="DP125" s="385">
        <v>1055.0564263010344</v>
      </c>
      <c r="DQ125" s="385">
        <f>5</f>
        <v>5</v>
      </c>
      <c r="DR125" s="358"/>
      <c r="DS125" s="385">
        <v>1055.0564263010344</v>
      </c>
      <c r="DT125" s="385">
        <f>5</f>
        <v>5</v>
      </c>
      <c r="DU125" s="358"/>
      <c r="DV125" s="385">
        <v>1055.0564263010344</v>
      </c>
      <c r="DW125" s="385">
        <f>5</f>
        <v>5</v>
      </c>
      <c r="DX125" s="358"/>
      <c r="DY125" s="385">
        <v>1055.0564263010344</v>
      </c>
      <c r="DZ125" s="385">
        <f>5</f>
        <v>5</v>
      </c>
      <c r="EA125" s="358"/>
      <c r="EB125" s="385">
        <v>1055.0564263010344</v>
      </c>
      <c r="EC125" s="385">
        <f>5</f>
        <v>5</v>
      </c>
      <c r="ED125" s="358"/>
      <c r="EE125" s="385">
        <v>1055.0564263010344</v>
      </c>
      <c r="EF125" s="385">
        <f>5</f>
        <v>5</v>
      </c>
      <c r="EG125" s="358"/>
      <c r="EH125" s="385">
        <v>1055.0564263010344</v>
      </c>
      <c r="EI125" s="385">
        <f>5</f>
        <v>5</v>
      </c>
      <c r="EJ125" s="358"/>
      <c r="EK125" s="385">
        <v>1055.0564263010344</v>
      </c>
      <c r="EL125" s="385">
        <f>5</f>
        <v>5</v>
      </c>
      <c r="EM125" s="358"/>
      <c r="EN125" s="385">
        <v>1055.0564263010344</v>
      </c>
      <c r="EO125" s="385">
        <f>5</f>
        <v>5</v>
      </c>
      <c r="EP125" s="358"/>
      <c r="EQ125" s="385">
        <v>1055.0564263010344</v>
      </c>
      <c r="ER125" s="385">
        <f>5</f>
        <v>5</v>
      </c>
      <c r="ES125" s="358"/>
      <c r="ET125" s="385">
        <v>1055.0564263010344</v>
      </c>
      <c r="EU125" s="385">
        <f>5</f>
        <v>5</v>
      </c>
      <c r="EV125" s="358"/>
      <c r="EW125" s="385">
        <v>1055.0564263010344</v>
      </c>
      <c r="EX125" s="385">
        <f>5</f>
        <v>5</v>
      </c>
      <c r="EY125" s="358"/>
      <c r="EZ125" s="385">
        <v>1055.0564263010344</v>
      </c>
      <c r="FA125" s="385">
        <f>5</f>
        <v>5</v>
      </c>
      <c r="FB125" s="358"/>
      <c r="FC125" s="385">
        <v>1055.0564263010344</v>
      </c>
      <c r="FD125" s="385">
        <f>5</f>
        <v>5</v>
      </c>
      <c r="FE125" s="358"/>
      <c r="FF125" s="385">
        <v>1055.0564263010344</v>
      </c>
      <c r="FG125" s="385">
        <f>5</f>
        <v>5</v>
      </c>
      <c r="FH125" s="358"/>
      <c r="FI125" s="385">
        <v>1055.0564263010344</v>
      </c>
      <c r="FJ125" s="385">
        <f>5</f>
        <v>5</v>
      </c>
      <c r="FK125" s="358"/>
      <c r="FL125" s="385">
        <v>1055.0564263010344</v>
      </c>
      <c r="FM125" s="385">
        <f>5</f>
        <v>5</v>
      </c>
      <c r="FN125" s="358"/>
      <c r="FO125" s="385">
        <v>1055.0564263010344</v>
      </c>
      <c r="FP125" s="385">
        <f>5</f>
        <v>5</v>
      </c>
      <c r="FQ125" s="358"/>
      <c r="FR125" s="385">
        <v>1055.0564263010344</v>
      </c>
      <c r="FS125" s="385">
        <f>5</f>
        <v>5</v>
      </c>
      <c r="FT125" s="358"/>
      <c r="FU125" s="385">
        <v>1055.0564263010344</v>
      </c>
      <c r="FV125" s="385">
        <f>5</f>
        <v>5</v>
      </c>
      <c r="FW125" s="358"/>
      <c r="FX125" s="385">
        <v>1055.0564263010344</v>
      </c>
      <c r="FY125" s="385">
        <f>5</f>
        <v>5</v>
      </c>
      <c r="FZ125" s="358"/>
      <c r="GA125" s="385">
        <v>1055.0564263010344</v>
      </c>
      <c r="GB125" s="385">
        <f>5</f>
        <v>5</v>
      </c>
      <c r="GC125" s="358"/>
      <c r="GD125" s="385">
        <v>1055.0564263010344</v>
      </c>
      <c r="GE125" s="385">
        <f>5</f>
        <v>5</v>
      </c>
      <c r="GF125" s="358"/>
      <c r="GG125" s="385">
        <v>1055.0564263010344</v>
      </c>
      <c r="GH125" s="385">
        <f>5</f>
        <v>5</v>
      </c>
      <c r="GI125" s="358"/>
      <c r="GJ125" s="385">
        <v>1055.0564263010344</v>
      </c>
      <c r="GK125" s="385">
        <f>5</f>
        <v>5</v>
      </c>
      <c r="GL125" s="358"/>
      <c r="GM125" s="385">
        <v>1055.0564263010344</v>
      </c>
      <c r="GN125" s="385">
        <f>5</f>
        <v>5</v>
      </c>
      <c r="GO125" s="358"/>
      <c r="GP125" s="385">
        <v>1055.0564263010344</v>
      </c>
      <c r="GQ125" s="385">
        <f>5</f>
        <v>5</v>
      </c>
      <c r="GR125" s="358"/>
      <c r="GS125" s="385">
        <v>1055.0564263010344</v>
      </c>
      <c r="GT125" s="385">
        <f>5</f>
        <v>5</v>
      </c>
      <c r="GU125" s="358"/>
      <c r="GV125" s="385">
        <v>1055.0564263010344</v>
      </c>
      <c r="GW125" s="385">
        <f>5</f>
        <v>5</v>
      </c>
      <c r="GX125" s="358"/>
      <c r="GY125" s="385">
        <v>1055.0564263010344</v>
      </c>
      <c r="GZ125" s="385">
        <f>5</f>
        <v>5</v>
      </c>
      <c r="HA125" s="358"/>
      <c r="HB125" s="385">
        <v>1055.0564263010344</v>
      </c>
      <c r="HC125" s="385">
        <f>5</f>
        <v>5</v>
      </c>
      <c r="HD125" s="358"/>
      <c r="HE125" s="387">
        <v>1055.0564263010344</v>
      </c>
      <c r="HF125" s="386">
        <f>5*6</f>
        <v>30</v>
      </c>
      <c r="HG125" s="358"/>
      <c r="HH125" s="387">
        <v>1055.0564263010344</v>
      </c>
      <c r="HI125" s="358"/>
      <c r="HJ125" s="387">
        <v>1055.0564263010344</v>
      </c>
      <c r="HK125" s="358"/>
      <c r="HL125" s="387">
        <v>1055.0564263010344</v>
      </c>
      <c r="HM125" s="358"/>
      <c r="HN125" s="387">
        <v>1055.0564263010344</v>
      </c>
      <c r="HO125" s="358"/>
      <c r="HP125" s="387">
        <v>1055.0564263010344</v>
      </c>
      <c r="HQ125" s="358"/>
      <c r="HR125" s="387">
        <v>1055.0564263010344</v>
      </c>
      <c r="HS125" s="358"/>
      <c r="HT125" s="387">
        <v>1055.0564263010344</v>
      </c>
      <c r="HU125" s="358"/>
      <c r="HV125" s="388">
        <v>1055.0564263010344</v>
      </c>
      <c r="HW125" s="358"/>
      <c r="HX125" s="368">
        <v>1055.0564263010344</v>
      </c>
      <c r="HY125" s="358"/>
      <c r="HZ125" s="368">
        <v>1055.0564263010344</v>
      </c>
      <c r="IA125" s="358"/>
      <c r="IB125" s="368">
        <v>1055.0564263010344</v>
      </c>
      <c r="IC125" s="358"/>
      <c r="ID125" s="357">
        <f>VLOOKUP($C125,'[15]Prix accès'!A:D,4,FALSE)</f>
        <v>1055.0564263010344</v>
      </c>
      <c r="IE125" s="361"/>
      <c r="IF125" s="408">
        <v>138.36805590833239</v>
      </c>
      <c r="IG125" s="361" t="s">
        <v>3310</v>
      </c>
      <c r="IH125" s="426"/>
      <c r="II125" s="426"/>
      <c r="IJ125" s="426"/>
      <c r="IK125" s="426"/>
      <c r="IL125" s="537"/>
      <c r="IM125" s="426"/>
      <c r="IN125" s="537"/>
      <c r="IO125" s="426"/>
      <c r="IP125" s="426"/>
      <c r="IQ125" s="426"/>
      <c r="IR125" s="400" t="s">
        <v>2766</v>
      </c>
      <c r="IS125" s="364" t="s">
        <v>77</v>
      </c>
      <c r="IT125" s="365">
        <v>43613</v>
      </c>
      <c r="IU125" s="371">
        <v>43617</v>
      </c>
      <c r="IV125" s="393"/>
      <c r="IW125" s="372">
        <f t="shared" si="16"/>
        <v>4</v>
      </c>
      <c r="IX125" s="373">
        <f t="shared" si="18"/>
        <v>34.592013977083099</v>
      </c>
      <c r="IY125" s="394">
        <f>IW125*IX125</f>
        <v>138.36805590833239</v>
      </c>
      <c r="IZ125" s="394"/>
      <c r="JA125" s="394"/>
    </row>
    <row r="126" spans="1:263" s="367" customFormat="1" ht="16.5" customHeight="1" x14ac:dyDescent="0.3">
      <c r="A126" s="354" t="s">
        <v>2743</v>
      </c>
      <c r="B126" s="465" t="s">
        <v>2768</v>
      </c>
      <c r="C126" s="466" t="s">
        <v>2315</v>
      </c>
      <c r="D126" s="467">
        <v>979</v>
      </c>
      <c r="E126" s="468">
        <v>44</v>
      </c>
      <c r="F126" s="468">
        <v>32</v>
      </c>
      <c r="G126" s="468">
        <v>0</v>
      </c>
      <c r="H126" s="469">
        <v>0</v>
      </c>
      <c r="I126" s="828">
        <v>1055.0564263010344</v>
      </c>
      <c r="J126" s="829"/>
      <c r="K126" s="827"/>
      <c r="L126" s="829">
        <v>1055.0564263010344</v>
      </c>
      <c r="M126" s="829"/>
      <c r="N126" s="827"/>
      <c r="O126" s="829">
        <v>1055.0564263010344</v>
      </c>
      <c r="P126" s="829"/>
      <c r="Q126" s="827"/>
      <c r="R126" s="829">
        <v>1055.0564263010344</v>
      </c>
      <c r="S126" s="829"/>
      <c r="T126" s="827"/>
      <c r="U126" s="829">
        <v>1055.0564263010344</v>
      </c>
      <c r="V126" s="829"/>
      <c r="W126" s="827"/>
      <c r="X126" s="829">
        <v>1055.0564263010344</v>
      </c>
      <c r="Y126" s="829"/>
      <c r="Z126" s="827"/>
      <c r="AA126" s="829">
        <v>1055.0564263010344</v>
      </c>
      <c r="AB126" s="829"/>
      <c r="AC126" s="827"/>
      <c r="AD126" s="829">
        <v>1055.0564263010344</v>
      </c>
      <c r="AE126" s="829"/>
      <c r="AF126" s="827"/>
      <c r="AG126" s="829">
        <v>1055.0564263010344</v>
      </c>
      <c r="AH126" s="829"/>
      <c r="AI126" s="827"/>
      <c r="AJ126" s="829">
        <v>1055.0564263010344</v>
      </c>
      <c r="AK126" s="829"/>
      <c r="AL126" s="827"/>
      <c r="AM126" s="829">
        <v>1055.0564263010344</v>
      </c>
      <c r="AN126" s="829"/>
      <c r="AO126" s="827"/>
      <c r="AP126" s="829">
        <v>1055.0564263010344</v>
      </c>
      <c r="AQ126" s="829"/>
      <c r="AR126" s="827"/>
      <c r="AS126" s="829">
        <v>1055.0564263010344</v>
      </c>
      <c r="AT126" s="829"/>
      <c r="AU126" s="827"/>
      <c r="AV126" s="829">
        <v>1055.0564263010344</v>
      </c>
      <c r="AW126" s="829"/>
      <c r="AX126" s="827"/>
      <c r="AY126" s="829">
        <v>1055.0564263010344</v>
      </c>
      <c r="AZ126" s="829"/>
      <c r="BA126" s="358"/>
      <c r="BB126" s="387">
        <v>1055.0564263010344</v>
      </c>
      <c r="BC126" s="387"/>
      <c r="BD126" s="358"/>
      <c r="BE126" s="387">
        <v>1055.0564263010344</v>
      </c>
      <c r="BF126" s="387"/>
      <c r="BG126" s="358"/>
      <c r="BH126" s="387">
        <v>1055.0564263010344</v>
      </c>
      <c r="BI126" s="387"/>
      <c r="BJ126" s="358"/>
      <c r="BK126" s="387">
        <v>1055.0564263010344</v>
      </c>
      <c r="BL126" s="387"/>
      <c r="BM126" s="358"/>
      <c r="BN126" s="387">
        <v>1055.0564263010344</v>
      </c>
      <c r="BO126" s="387"/>
      <c r="BP126" s="358"/>
      <c r="BQ126" s="387">
        <v>1055.0564263010344</v>
      </c>
      <c r="BR126" s="387"/>
      <c r="BS126" s="358"/>
      <c r="BT126" s="387">
        <v>1055.0564263010344</v>
      </c>
      <c r="BU126" s="387"/>
      <c r="BV126" s="358"/>
      <c r="BW126" s="387">
        <v>1055.0564263010344</v>
      </c>
      <c r="BX126" s="387"/>
      <c r="BY126" s="358"/>
      <c r="BZ126" s="387">
        <v>1055.0564263010344</v>
      </c>
      <c r="CA126" s="387"/>
      <c r="CB126" s="358"/>
      <c r="CC126" s="387">
        <v>1055.0564263010344</v>
      </c>
      <c r="CD126" s="387"/>
      <c r="CE126" s="358"/>
      <c r="CF126" s="387">
        <v>1055.0564263010344</v>
      </c>
      <c r="CG126" s="387"/>
      <c r="CH126" s="358"/>
      <c r="CI126" s="387">
        <v>1055.0564263010344</v>
      </c>
      <c r="CJ126" s="387"/>
      <c r="CK126" s="358"/>
      <c r="CL126" s="387">
        <v>1055.0564263010344</v>
      </c>
      <c r="CM126" s="387"/>
      <c r="CN126" s="358"/>
      <c r="CO126" s="387">
        <v>1055.0564263010344</v>
      </c>
      <c r="CP126" s="387"/>
      <c r="CQ126" s="358"/>
      <c r="CR126" s="387">
        <v>1055.0564263010344</v>
      </c>
      <c r="CS126" s="387"/>
      <c r="CT126" s="358"/>
      <c r="CU126" s="387">
        <v>1055.0564263010344</v>
      </c>
      <c r="CV126" s="387"/>
      <c r="CW126" s="358"/>
      <c r="CX126" s="387">
        <v>1055.0564263010344</v>
      </c>
      <c r="CY126" s="387"/>
      <c r="CZ126" s="358"/>
      <c r="DA126" s="387">
        <v>1055.0564263010344</v>
      </c>
      <c r="DB126" s="387"/>
      <c r="DC126" s="358"/>
      <c r="DD126" s="387">
        <v>1055.0564263010344</v>
      </c>
      <c r="DE126" s="387"/>
      <c r="DF126" s="358"/>
      <c r="DG126" s="387">
        <v>1055.0564263010344</v>
      </c>
      <c r="DH126" s="387"/>
      <c r="DI126" s="358"/>
      <c r="DJ126" s="387">
        <v>1055.0564263010344</v>
      </c>
      <c r="DK126" s="387"/>
      <c r="DL126" s="358"/>
      <c r="DM126" s="387">
        <v>1055.0564263010344</v>
      </c>
      <c r="DN126" s="387"/>
      <c r="DO126" s="358"/>
      <c r="DP126" s="387">
        <v>1055.0564263010344</v>
      </c>
      <c r="DQ126" s="387"/>
      <c r="DR126" s="358"/>
      <c r="DS126" s="387">
        <v>1055.0564263010344</v>
      </c>
      <c r="DT126" s="387"/>
      <c r="DU126" s="358"/>
      <c r="DV126" s="387">
        <v>1055.0564263010344</v>
      </c>
      <c r="DW126" s="387"/>
      <c r="DX126" s="358"/>
      <c r="DY126" s="387">
        <v>1055.0564263010344</v>
      </c>
      <c r="DZ126" s="387"/>
      <c r="EA126" s="358"/>
      <c r="EB126" s="387">
        <v>1055.0564263010344</v>
      </c>
      <c r="EC126" s="387"/>
      <c r="ED126" s="358"/>
      <c r="EE126" s="387">
        <v>1055.0564263010344</v>
      </c>
      <c r="EF126" s="387"/>
      <c r="EG126" s="358"/>
      <c r="EH126" s="387">
        <v>1055.0564263010344</v>
      </c>
      <c r="EI126" s="387"/>
      <c r="EJ126" s="358"/>
      <c r="EK126" s="387">
        <v>1055.0564263010344</v>
      </c>
      <c r="EL126" s="387"/>
      <c r="EM126" s="358"/>
      <c r="EN126" s="387">
        <v>1055.0564263010344</v>
      </c>
      <c r="EO126" s="387"/>
      <c r="EP126" s="358"/>
      <c r="EQ126" s="387">
        <v>1055.0564263010344</v>
      </c>
      <c r="ER126" s="387"/>
      <c r="ES126" s="358"/>
      <c r="ET126" s="387">
        <v>1055.0564263010344</v>
      </c>
      <c r="EU126" s="387"/>
      <c r="EV126" s="358"/>
      <c r="EW126" s="387">
        <v>1055.0564263010344</v>
      </c>
      <c r="EX126" s="387"/>
      <c r="EY126" s="358"/>
      <c r="EZ126" s="387">
        <v>1055.0564263010344</v>
      </c>
      <c r="FA126" s="387"/>
      <c r="FB126" s="358"/>
      <c r="FC126" s="387">
        <v>1055.0564263010344</v>
      </c>
      <c r="FD126" s="387"/>
      <c r="FE126" s="358"/>
      <c r="FF126" s="387">
        <v>1055.0564263010344</v>
      </c>
      <c r="FG126" s="387"/>
      <c r="FH126" s="358"/>
      <c r="FI126" s="387">
        <v>1055.0564263010344</v>
      </c>
      <c r="FJ126" s="387"/>
      <c r="FK126" s="358"/>
      <c r="FL126" s="387">
        <v>1055.0564263010344</v>
      </c>
      <c r="FM126" s="387"/>
      <c r="FN126" s="358"/>
      <c r="FO126" s="387">
        <v>1055.0564263010344</v>
      </c>
      <c r="FP126" s="387"/>
      <c r="FQ126" s="358"/>
      <c r="FR126" s="387">
        <v>1055.0564263010344</v>
      </c>
      <c r="FS126" s="387"/>
      <c r="FT126" s="358"/>
      <c r="FU126" s="387">
        <v>1055.0564263010344</v>
      </c>
      <c r="FV126" s="387"/>
      <c r="FW126" s="358"/>
      <c r="FX126" s="387">
        <v>1055.0564263010344</v>
      </c>
      <c r="FY126" s="387"/>
      <c r="FZ126" s="358"/>
      <c r="GA126" s="387">
        <v>1055.0564263010344</v>
      </c>
      <c r="GB126" s="387"/>
      <c r="GC126" s="358"/>
      <c r="GD126" s="387">
        <v>1055.0564263010344</v>
      </c>
      <c r="GE126" s="387"/>
      <c r="GF126" s="358"/>
      <c r="GG126" s="387">
        <v>1055.0564263010344</v>
      </c>
      <c r="GH126" s="387"/>
      <c r="GI126" s="358"/>
      <c r="GJ126" s="387">
        <v>1055.0564263010344</v>
      </c>
      <c r="GK126" s="387"/>
      <c r="GL126" s="358"/>
      <c r="GM126" s="387">
        <v>1055.0564263010344</v>
      </c>
      <c r="GN126" s="387"/>
      <c r="GO126" s="358"/>
      <c r="GP126" s="387">
        <v>1055.0564263010344</v>
      </c>
      <c r="GQ126" s="387"/>
      <c r="GR126" s="358"/>
      <c r="GS126" s="387">
        <v>1055.0564263010344</v>
      </c>
      <c r="GT126" s="387"/>
      <c r="GU126" s="358"/>
      <c r="GV126" s="387">
        <v>1055.0564263010344</v>
      </c>
      <c r="GW126" s="387"/>
      <c r="GX126" s="358"/>
      <c r="GY126" s="387">
        <v>1055.0564263010344</v>
      </c>
      <c r="GZ126" s="387"/>
      <c r="HA126" s="358"/>
      <c r="HB126" s="387">
        <v>1055.0564263010344</v>
      </c>
      <c r="HC126" s="387"/>
      <c r="HD126" s="358"/>
      <c r="HE126" s="387">
        <v>1055.0564263010344</v>
      </c>
      <c r="HF126" s="387"/>
      <c r="HG126" s="358"/>
      <c r="HH126" s="387">
        <v>1055.0564263010344</v>
      </c>
      <c r="HI126" s="358"/>
      <c r="HJ126" s="387">
        <v>1055.0564263010344</v>
      </c>
      <c r="HK126" s="358"/>
      <c r="HL126" s="387">
        <v>1055.0564263010344</v>
      </c>
      <c r="HM126" s="358"/>
      <c r="HN126" s="387">
        <v>1055.0564263010344</v>
      </c>
      <c r="HO126" s="358"/>
      <c r="HP126" s="387">
        <v>1055.0564263010344</v>
      </c>
      <c r="HQ126" s="358"/>
      <c r="HR126" s="387">
        <v>1055.0564263010344</v>
      </c>
      <c r="HS126" s="358"/>
      <c r="HT126" s="387">
        <v>1055.0564263010344</v>
      </c>
      <c r="HU126" s="358"/>
      <c r="HV126" s="388">
        <v>1055.0564263010344</v>
      </c>
      <c r="HW126" s="425"/>
      <c r="HX126" s="424">
        <v>1055.0564263010344</v>
      </c>
      <c r="HY126" s="425"/>
      <c r="HZ126" s="424">
        <v>1055.0564263010344</v>
      </c>
      <c r="IA126" s="425"/>
      <c r="IB126" s="424">
        <v>1055.0564263010344</v>
      </c>
      <c r="IC126" s="425"/>
      <c r="ID126" s="357">
        <f>VLOOKUP($C126,'[15]Prix accès'!A:D,4,FALSE)</f>
        <v>1055.0564263010344</v>
      </c>
      <c r="IE126" s="361"/>
      <c r="IF126" s="408">
        <v>103.7760419312493</v>
      </c>
      <c r="IG126" s="426"/>
      <c r="IH126" s="537"/>
      <c r="II126" s="426"/>
      <c r="IJ126" s="537"/>
      <c r="IK126" s="426"/>
      <c r="IL126" s="499"/>
      <c r="IM126" s="427"/>
      <c r="IN126" s="499"/>
      <c r="IO126" s="427"/>
      <c r="IP126" s="496"/>
      <c r="IQ126" s="427"/>
      <c r="IR126" s="429" t="s">
        <v>3077</v>
      </c>
      <c r="IS126" s="364" t="s">
        <v>77</v>
      </c>
      <c r="IT126" s="365">
        <v>43614</v>
      </c>
      <c r="IU126" s="371">
        <v>43617</v>
      </c>
      <c r="IW126" s="372">
        <f t="shared" si="16"/>
        <v>3</v>
      </c>
      <c r="IX126" s="373">
        <f t="shared" si="18"/>
        <v>34.592013977083099</v>
      </c>
      <c r="IY126" s="531">
        <f t="shared" ref="IY126:IY177" si="20">IX126*IW126</f>
        <v>103.7760419312493</v>
      </c>
      <c r="IZ126" s="531"/>
      <c r="JA126" s="531"/>
    </row>
    <row r="127" spans="1:263" s="367" customFormat="1" ht="16.5" customHeight="1" x14ac:dyDescent="0.3">
      <c r="A127" s="354" t="s">
        <v>2735</v>
      </c>
      <c r="B127" s="415" t="s">
        <v>2768</v>
      </c>
      <c r="C127" s="447" t="s">
        <v>616</v>
      </c>
      <c r="D127" s="448">
        <v>1229</v>
      </c>
      <c r="E127" s="449">
        <v>71</v>
      </c>
      <c r="F127" s="449">
        <v>72</v>
      </c>
      <c r="G127" s="449">
        <v>5</v>
      </c>
      <c r="H127" s="450">
        <v>66</v>
      </c>
      <c r="I127" s="830">
        <v>1371</v>
      </c>
      <c r="J127" s="831">
        <f>5</f>
        <v>5</v>
      </c>
      <c r="K127" s="831">
        <v>66</v>
      </c>
      <c r="L127" s="831">
        <v>1371</v>
      </c>
      <c r="M127" s="831">
        <f>5</f>
        <v>5</v>
      </c>
      <c r="N127" s="831">
        <v>66</v>
      </c>
      <c r="O127" s="831">
        <v>1371</v>
      </c>
      <c r="P127" s="831">
        <f>5</f>
        <v>5</v>
      </c>
      <c r="Q127" s="831">
        <v>66</v>
      </c>
      <c r="R127" s="831">
        <v>1371</v>
      </c>
      <c r="S127" s="831">
        <f>5</f>
        <v>5</v>
      </c>
      <c r="T127" s="831">
        <v>66</v>
      </c>
      <c r="U127" s="831">
        <v>1371</v>
      </c>
      <c r="V127" s="831">
        <f>5</f>
        <v>5</v>
      </c>
      <c r="W127" s="831">
        <v>66</v>
      </c>
      <c r="X127" s="831">
        <v>1371</v>
      </c>
      <c r="Y127" s="831">
        <f>5</f>
        <v>5</v>
      </c>
      <c r="Z127" s="831">
        <v>66</v>
      </c>
      <c r="AA127" s="831">
        <v>1371</v>
      </c>
      <c r="AB127" s="831">
        <f>5</f>
        <v>5</v>
      </c>
      <c r="AC127" s="831">
        <v>66</v>
      </c>
      <c r="AD127" s="831">
        <v>1371</v>
      </c>
      <c r="AE127" s="831">
        <f>5</f>
        <v>5</v>
      </c>
      <c r="AF127" s="831">
        <v>66</v>
      </c>
      <c r="AG127" s="831">
        <v>1371</v>
      </c>
      <c r="AH127" s="831">
        <f>5</f>
        <v>5</v>
      </c>
      <c r="AI127" s="831">
        <v>66</v>
      </c>
      <c r="AJ127" s="831">
        <v>1371</v>
      </c>
      <c r="AK127" s="831">
        <f>5</f>
        <v>5</v>
      </c>
      <c r="AL127" s="831">
        <v>66</v>
      </c>
      <c r="AM127" s="831">
        <v>1371</v>
      </c>
      <c r="AN127" s="831">
        <f>5</f>
        <v>5</v>
      </c>
      <c r="AO127" s="831">
        <v>66</v>
      </c>
      <c r="AP127" s="831">
        <v>1371</v>
      </c>
      <c r="AQ127" s="831">
        <f>5</f>
        <v>5</v>
      </c>
      <c r="AR127" s="831">
        <v>66</v>
      </c>
      <c r="AS127" s="831">
        <v>1371</v>
      </c>
      <c r="AT127" s="831">
        <f>5</f>
        <v>5</v>
      </c>
      <c r="AU127" s="831">
        <v>66</v>
      </c>
      <c r="AV127" s="831">
        <v>1371</v>
      </c>
      <c r="AW127" s="831">
        <f>5</f>
        <v>5</v>
      </c>
      <c r="AX127" s="831">
        <v>66</v>
      </c>
      <c r="AY127" s="831">
        <v>1371</v>
      </c>
      <c r="AZ127" s="831">
        <f>5</f>
        <v>5</v>
      </c>
      <c r="BA127" s="369">
        <v>66</v>
      </c>
      <c r="BB127" s="385">
        <v>1371</v>
      </c>
      <c r="BC127" s="385">
        <f>5</f>
        <v>5</v>
      </c>
      <c r="BD127" s="369">
        <v>66</v>
      </c>
      <c r="BE127" s="385">
        <v>1371</v>
      </c>
      <c r="BF127" s="385">
        <f>5</f>
        <v>5</v>
      </c>
      <c r="BG127" s="369">
        <v>66</v>
      </c>
      <c r="BH127" s="385">
        <v>1371</v>
      </c>
      <c r="BI127" s="385">
        <f>5</f>
        <v>5</v>
      </c>
      <c r="BJ127" s="369">
        <v>66</v>
      </c>
      <c r="BK127" s="385">
        <v>1371</v>
      </c>
      <c r="BL127" s="385">
        <f>5</f>
        <v>5</v>
      </c>
      <c r="BM127" s="369">
        <v>66</v>
      </c>
      <c r="BN127" s="385">
        <v>1371</v>
      </c>
      <c r="BO127" s="385">
        <f>5</f>
        <v>5</v>
      </c>
      <c r="BP127" s="369">
        <v>66</v>
      </c>
      <c r="BQ127" s="385">
        <v>1371</v>
      </c>
      <c r="BR127" s="385">
        <f>5</f>
        <v>5</v>
      </c>
      <c r="BS127" s="369">
        <v>66</v>
      </c>
      <c r="BT127" s="385">
        <v>1371</v>
      </c>
      <c r="BU127" s="385">
        <f>5</f>
        <v>5</v>
      </c>
      <c r="BV127" s="369">
        <v>66</v>
      </c>
      <c r="BW127" s="385">
        <v>1371</v>
      </c>
      <c r="BX127" s="385">
        <f>5</f>
        <v>5</v>
      </c>
      <c r="BY127" s="369">
        <v>66</v>
      </c>
      <c r="BZ127" s="385">
        <v>1371</v>
      </c>
      <c r="CA127" s="385">
        <f>5</f>
        <v>5</v>
      </c>
      <c r="CB127" s="369">
        <v>66</v>
      </c>
      <c r="CC127" s="385">
        <v>1371</v>
      </c>
      <c r="CD127" s="385">
        <f>5</f>
        <v>5</v>
      </c>
      <c r="CE127" s="369">
        <v>66</v>
      </c>
      <c r="CF127" s="385">
        <v>1371</v>
      </c>
      <c r="CG127" s="385">
        <f>5</f>
        <v>5</v>
      </c>
      <c r="CH127" s="369">
        <v>66</v>
      </c>
      <c r="CI127" s="385">
        <v>1371</v>
      </c>
      <c r="CJ127" s="385">
        <f>5</f>
        <v>5</v>
      </c>
      <c r="CK127" s="369">
        <v>66</v>
      </c>
      <c r="CL127" s="385">
        <v>1371</v>
      </c>
      <c r="CM127" s="385">
        <f>5</f>
        <v>5</v>
      </c>
      <c r="CN127" s="369">
        <v>66</v>
      </c>
      <c r="CO127" s="385">
        <v>1371</v>
      </c>
      <c r="CP127" s="385">
        <f>5</f>
        <v>5</v>
      </c>
      <c r="CQ127" s="369">
        <v>66</v>
      </c>
      <c r="CR127" s="385">
        <v>1371</v>
      </c>
      <c r="CS127" s="385">
        <f>5</f>
        <v>5</v>
      </c>
      <c r="CT127" s="369">
        <v>66</v>
      </c>
      <c r="CU127" s="385">
        <v>1371</v>
      </c>
      <c r="CV127" s="385">
        <f>5</f>
        <v>5</v>
      </c>
      <c r="CW127" s="369">
        <v>66</v>
      </c>
      <c r="CX127" s="385">
        <v>1371</v>
      </c>
      <c r="CY127" s="385">
        <f>5</f>
        <v>5</v>
      </c>
      <c r="CZ127" s="369">
        <v>66</v>
      </c>
      <c r="DA127" s="385">
        <v>1371</v>
      </c>
      <c r="DB127" s="385">
        <f>5</f>
        <v>5</v>
      </c>
      <c r="DC127" s="369">
        <v>66</v>
      </c>
      <c r="DD127" s="385">
        <v>1371</v>
      </c>
      <c r="DE127" s="385">
        <f>5</f>
        <v>5</v>
      </c>
      <c r="DF127" s="369">
        <v>66</v>
      </c>
      <c r="DG127" s="385">
        <v>1371</v>
      </c>
      <c r="DH127" s="385">
        <f>5</f>
        <v>5</v>
      </c>
      <c r="DI127" s="369">
        <v>66</v>
      </c>
      <c r="DJ127" s="385">
        <v>1371</v>
      </c>
      <c r="DK127" s="385">
        <f>5</f>
        <v>5</v>
      </c>
      <c r="DL127" s="369">
        <v>66</v>
      </c>
      <c r="DM127" s="385">
        <v>1371</v>
      </c>
      <c r="DN127" s="385">
        <f>5</f>
        <v>5</v>
      </c>
      <c r="DO127" s="369">
        <v>66</v>
      </c>
      <c r="DP127" s="385">
        <v>1371</v>
      </c>
      <c r="DQ127" s="385">
        <f>5</f>
        <v>5</v>
      </c>
      <c r="DR127" s="369">
        <v>66</v>
      </c>
      <c r="DS127" s="385">
        <v>1371</v>
      </c>
      <c r="DT127" s="385">
        <f>5</f>
        <v>5</v>
      </c>
      <c r="DU127" s="369">
        <v>66</v>
      </c>
      <c r="DV127" s="385">
        <v>1371</v>
      </c>
      <c r="DW127" s="385">
        <f>5</f>
        <v>5</v>
      </c>
      <c r="DX127" s="369">
        <v>66</v>
      </c>
      <c r="DY127" s="385">
        <v>1371</v>
      </c>
      <c r="DZ127" s="385">
        <f>5</f>
        <v>5</v>
      </c>
      <c r="EA127" s="369">
        <v>66</v>
      </c>
      <c r="EB127" s="385">
        <v>1371</v>
      </c>
      <c r="EC127" s="385">
        <f>5</f>
        <v>5</v>
      </c>
      <c r="ED127" s="369">
        <v>66</v>
      </c>
      <c r="EE127" s="386">
        <f>((1371/30.5)*20)-((1331/30.5)*20)+1371</f>
        <v>1397.2295081967213</v>
      </c>
      <c r="EF127" s="386">
        <f>5</f>
        <v>5</v>
      </c>
      <c r="EG127" s="370">
        <v>66</v>
      </c>
      <c r="EH127" s="385">
        <v>1331.2564263010345</v>
      </c>
      <c r="EI127" s="385">
        <f>5</f>
        <v>5</v>
      </c>
      <c r="EJ127" s="369">
        <v>66</v>
      </c>
      <c r="EK127" s="385">
        <v>1331.2564263010345</v>
      </c>
      <c r="EL127" s="385">
        <f>5</f>
        <v>5</v>
      </c>
      <c r="EM127" s="369">
        <v>66</v>
      </c>
      <c r="EN127" s="385">
        <v>1331.2564263010345</v>
      </c>
      <c r="EO127" s="385">
        <f>5</f>
        <v>5</v>
      </c>
      <c r="EP127" s="369">
        <v>66</v>
      </c>
      <c r="EQ127" s="385">
        <v>1331.2564263010345</v>
      </c>
      <c r="ER127" s="385">
        <f>5</f>
        <v>5</v>
      </c>
      <c r="ES127" s="369">
        <v>66</v>
      </c>
      <c r="ET127" s="385">
        <v>1331.2564263010345</v>
      </c>
      <c r="EU127" s="385">
        <f>5</f>
        <v>5</v>
      </c>
      <c r="EV127" s="369">
        <v>66</v>
      </c>
      <c r="EW127" s="385">
        <v>1331.2564263010345</v>
      </c>
      <c r="EX127" s="385">
        <f>5</f>
        <v>5</v>
      </c>
      <c r="EY127" s="369">
        <v>66</v>
      </c>
      <c r="EZ127" s="385">
        <v>1331.2564263010345</v>
      </c>
      <c r="FA127" s="385">
        <f>5</f>
        <v>5</v>
      </c>
      <c r="FB127" s="369">
        <v>66</v>
      </c>
      <c r="FC127" s="385">
        <v>1331.2564263010345</v>
      </c>
      <c r="FD127" s="385">
        <f>5</f>
        <v>5</v>
      </c>
      <c r="FE127" s="369">
        <v>66</v>
      </c>
      <c r="FF127" s="385">
        <v>1331.2564263010345</v>
      </c>
      <c r="FG127" s="385">
        <f>5</f>
        <v>5</v>
      </c>
      <c r="FH127" s="369">
        <v>66</v>
      </c>
      <c r="FI127" s="385">
        <v>1331.2564263010345</v>
      </c>
      <c r="FJ127" s="385">
        <f>5</f>
        <v>5</v>
      </c>
      <c r="FK127" s="369">
        <v>66</v>
      </c>
      <c r="FL127" s="385">
        <v>1331.2564263010345</v>
      </c>
      <c r="FM127" s="385">
        <f>5</f>
        <v>5</v>
      </c>
      <c r="FN127" s="369">
        <v>66</v>
      </c>
      <c r="FO127" s="385">
        <v>1331.2564263010345</v>
      </c>
      <c r="FP127" s="385">
        <f>5</f>
        <v>5</v>
      </c>
      <c r="FQ127" s="369">
        <v>66</v>
      </c>
      <c r="FR127" s="385">
        <v>1331.2564263010345</v>
      </c>
      <c r="FS127" s="385">
        <f>5</f>
        <v>5</v>
      </c>
      <c r="FT127" s="369">
        <v>66</v>
      </c>
      <c r="FU127" s="386">
        <v>1331.2564263010345</v>
      </c>
      <c r="FV127" s="386">
        <f>5</f>
        <v>5</v>
      </c>
      <c r="FW127" s="370">
        <v>66</v>
      </c>
      <c r="FX127" s="385">
        <v>1331.2564263010345</v>
      </c>
      <c r="FY127" s="385">
        <f>5</f>
        <v>5</v>
      </c>
      <c r="FZ127" s="358"/>
      <c r="GA127" s="385">
        <v>1331.2564263010345</v>
      </c>
      <c r="GB127" s="385">
        <f>5</f>
        <v>5</v>
      </c>
      <c r="GC127" s="358"/>
      <c r="GD127" s="385">
        <v>1331.2564263010345</v>
      </c>
      <c r="GE127" s="385">
        <f>5</f>
        <v>5</v>
      </c>
      <c r="GF127" s="358"/>
      <c r="GG127" s="385">
        <v>1331.2564263010345</v>
      </c>
      <c r="GH127" s="385">
        <f>5</f>
        <v>5</v>
      </c>
      <c r="GI127" s="358"/>
      <c r="GJ127" s="385">
        <v>1331.2564263010345</v>
      </c>
      <c r="GK127" s="385">
        <f>5</f>
        <v>5</v>
      </c>
      <c r="GL127" s="358"/>
      <c r="GM127" s="385">
        <v>1331.2564263010345</v>
      </c>
      <c r="GN127" s="385">
        <f>5</f>
        <v>5</v>
      </c>
      <c r="GO127" s="358"/>
      <c r="GP127" s="385">
        <v>1331.2564263010345</v>
      </c>
      <c r="GQ127" s="385">
        <f>5</f>
        <v>5</v>
      </c>
      <c r="GR127" s="358"/>
      <c r="GS127" s="385">
        <v>1331.2564263010345</v>
      </c>
      <c r="GT127" s="385">
        <f>5</f>
        <v>5</v>
      </c>
      <c r="GU127" s="358"/>
      <c r="GV127" s="385">
        <v>1331.2564263010345</v>
      </c>
      <c r="GW127" s="385">
        <f>5</f>
        <v>5</v>
      </c>
      <c r="GX127" s="358"/>
      <c r="GY127" s="385">
        <v>1331.2564263010345</v>
      </c>
      <c r="GZ127" s="385">
        <f>5</f>
        <v>5</v>
      </c>
      <c r="HA127" s="358"/>
      <c r="HB127" s="385">
        <v>1331.2564263010345</v>
      </c>
      <c r="HC127" s="385">
        <f>5</f>
        <v>5</v>
      </c>
      <c r="HD127" s="358"/>
      <c r="HE127" s="387">
        <v>1331.2564263010345</v>
      </c>
      <c r="HF127" s="386">
        <f>5*6</f>
        <v>30</v>
      </c>
      <c r="HG127" s="358"/>
      <c r="HH127" s="387">
        <v>1331.2564263010345</v>
      </c>
      <c r="HI127" s="358"/>
      <c r="HJ127" s="387">
        <v>1331.2564263010345</v>
      </c>
      <c r="HK127" s="358"/>
      <c r="HL127" s="387">
        <v>1331.2564263010345</v>
      </c>
      <c r="HM127" s="358"/>
      <c r="HN127" s="387">
        <v>1331.2564263010345</v>
      </c>
      <c r="HO127" s="358"/>
      <c r="HP127" s="387">
        <v>1331.2564263010345</v>
      </c>
      <c r="HQ127" s="358"/>
      <c r="HR127" s="387">
        <v>1331.2564263010345</v>
      </c>
      <c r="HS127" s="358"/>
      <c r="HT127" s="387">
        <v>1331.2564263010345</v>
      </c>
      <c r="HU127" s="358"/>
      <c r="HV127" s="388">
        <v>1331.2564263010345</v>
      </c>
      <c r="HW127" s="425"/>
      <c r="HX127" s="423">
        <v>1331.2564263010345</v>
      </c>
      <c r="HY127" s="425"/>
      <c r="HZ127" s="423">
        <v>1331.2564263010345</v>
      </c>
      <c r="IA127" s="425"/>
      <c r="IB127" s="549">
        <v>2509.745721715065</v>
      </c>
      <c r="IC127" s="425"/>
      <c r="ID127" s="399"/>
      <c r="IE127" s="361"/>
      <c r="IF127" s="399"/>
      <c r="IG127" s="426"/>
      <c r="IH127" s="537"/>
      <c r="II127" s="426"/>
      <c r="IJ127" s="537"/>
      <c r="IK127" s="426"/>
      <c r="IL127" s="499"/>
      <c r="IM127" s="427"/>
      <c r="IN127" s="499"/>
      <c r="IO127" s="427"/>
      <c r="IP127" s="496"/>
      <c r="IQ127" s="427"/>
      <c r="IR127" s="429" t="s">
        <v>3354</v>
      </c>
      <c r="IS127" s="364" t="s">
        <v>77</v>
      </c>
      <c r="IT127" s="365">
        <v>43620</v>
      </c>
      <c r="IU127" s="439">
        <v>43647</v>
      </c>
      <c r="IV127" s="518">
        <v>44754</v>
      </c>
      <c r="IW127" s="372">
        <f t="shared" si="16"/>
        <v>27</v>
      </c>
      <c r="IX127" s="373">
        <f t="shared" ref="IX127:IX147" si="21">IB127/30.5</f>
        <v>82.286744974264423</v>
      </c>
      <c r="IY127" s="531">
        <f t="shared" si="20"/>
        <v>2221.7421143051392</v>
      </c>
      <c r="IZ127" s="531"/>
      <c r="JA127" s="531"/>
    </row>
    <row r="128" spans="1:263" s="367" customFormat="1" ht="16.5" customHeight="1" x14ac:dyDescent="0.3">
      <c r="A128" s="354" t="s">
        <v>2743</v>
      </c>
      <c r="B128" s="465" t="s">
        <v>2909</v>
      </c>
      <c r="C128" s="443" t="s">
        <v>1003</v>
      </c>
      <c r="D128" s="444">
        <v>979</v>
      </c>
      <c r="E128" s="445">
        <v>24</v>
      </c>
      <c r="F128" s="445">
        <v>0</v>
      </c>
      <c r="G128" s="445">
        <v>5</v>
      </c>
      <c r="H128" s="446">
        <v>0</v>
      </c>
      <c r="I128" s="841">
        <v>1003</v>
      </c>
      <c r="J128" s="835">
        <v>5</v>
      </c>
      <c r="K128" s="835"/>
      <c r="L128" s="835">
        <v>1003</v>
      </c>
      <c r="M128" s="835">
        <v>5</v>
      </c>
      <c r="N128" s="835"/>
      <c r="O128" s="835">
        <v>1003</v>
      </c>
      <c r="P128" s="835">
        <v>5</v>
      </c>
      <c r="Q128" s="835"/>
      <c r="R128" s="842">
        <f>((1003-725)/30.5)*24+1003</f>
        <v>1221.7540983606557</v>
      </c>
      <c r="S128" s="842">
        <f>(5/30.5)*22+5</f>
        <v>8.6065573770491799</v>
      </c>
      <c r="T128" s="827"/>
      <c r="U128" s="829">
        <v>725.25642630103448</v>
      </c>
      <c r="V128" s="829"/>
      <c r="W128" s="827"/>
      <c r="X128" s="829">
        <v>725.25642630103448</v>
      </c>
      <c r="Y128" s="829"/>
      <c r="Z128" s="827"/>
      <c r="AA128" s="829">
        <v>725.25642630103448</v>
      </c>
      <c r="AB128" s="829"/>
      <c r="AC128" s="827"/>
      <c r="AD128" s="829">
        <v>725.25642630103448</v>
      </c>
      <c r="AE128" s="829"/>
      <c r="AF128" s="827"/>
      <c r="AG128" s="829">
        <v>725.25642630103448</v>
      </c>
      <c r="AH128" s="829"/>
      <c r="AI128" s="827"/>
      <c r="AJ128" s="829">
        <v>725.25642630103448</v>
      </c>
      <c r="AK128" s="829"/>
      <c r="AL128" s="827"/>
      <c r="AM128" s="829">
        <v>725.25642630103448</v>
      </c>
      <c r="AN128" s="829"/>
      <c r="AO128" s="827"/>
      <c r="AP128" s="829">
        <v>725.25642630103448</v>
      </c>
      <c r="AQ128" s="829"/>
      <c r="AR128" s="827"/>
      <c r="AS128" s="829">
        <v>725.25642630103448</v>
      </c>
      <c r="AT128" s="829"/>
      <c r="AU128" s="827"/>
      <c r="AV128" s="829">
        <v>725.25642630103448</v>
      </c>
      <c r="AW128" s="829"/>
      <c r="AX128" s="827"/>
      <c r="AY128" s="829">
        <v>725.25642630103448</v>
      </c>
      <c r="AZ128" s="829"/>
      <c r="BA128" s="358"/>
      <c r="BB128" s="387">
        <v>725.25642630103448</v>
      </c>
      <c r="BC128" s="387"/>
      <c r="BD128" s="358"/>
      <c r="BE128" s="387">
        <v>725.25642630103448</v>
      </c>
      <c r="BF128" s="387"/>
      <c r="BG128" s="358"/>
      <c r="BH128" s="387">
        <v>725.25642630103448</v>
      </c>
      <c r="BI128" s="387"/>
      <c r="BJ128" s="358"/>
      <c r="BK128" s="387">
        <v>725.25642630103448</v>
      </c>
      <c r="BL128" s="387"/>
      <c r="BM128" s="358"/>
      <c r="BN128" s="387">
        <v>725.25642630103448</v>
      </c>
      <c r="BO128" s="387"/>
      <c r="BP128" s="358"/>
      <c r="BQ128" s="387">
        <v>725.25642630103448</v>
      </c>
      <c r="BR128" s="387"/>
      <c r="BS128" s="358"/>
      <c r="BT128" s="387">
        <v>725.25642630103448</v>
      </c>
      <c r="BU128" s="387"/>
      <c r="BV128" s="358"/>
      <c r="BW128" s="387">
        <v>725.25642630103448</v>
      </c>
      <c r="BX128" s="387"/>
      <c r="BY128" s="358"/>
      <c r="BZ128" s="387">
        <v>725.25642630103448</v>
      </c>
      <c r="CA128" s="387"/>
      <c r="CB128" s="358"/>
      <c r="CC128" s="387">
        <v>725.25642630103448</v>
      </c>
      <c r="CD128" s="387"/>
      <c r="CE128" s="358"/>
      <c r="CF128" s="387">
        <v>725.25642630103448</v>
      </c>
      <c r="CG128" s="387"/>
      <c r="CH128" s="358"/>
      <c r="CI128" s="387">
        <v>725.25642630103448</v>
      </c>
      <c r="CJ128" s="387"/>
      <c r="CK128" s="358"/>
      <c r="CL128" s="387">
        <v>725.25642630103448</v>
      </c>
      <c r="CM128" s="387"/>
      <c r="CN128" s="358"/>
      <c r="CO128" s="387">
        <v>725.25642630103448</v>
      </c>
      <c r="CP128" s="387"/>
      <c r="CQ128" s="358"/>
      <c r="CR128" s="387">
        <v>725.25642630103448</v>
      </c>
      <c r="CS128" s="387"/>
      <c r="CT128" s="358"/>
      <c r="CU128" s="387">
        <v>725.25642630103448</v>
      </c>
      <c r="CV128" s="387"/>
      <c r="CW128" s="358"/>
      <c r="CX128" s="387">
        <v>725.25642630103448</v>
      </c>
      <c r="CY128" s="387"/>
      <c r="CZ128" s="358"/>
      <c r="DA128" s="387">
        <v>725.25642630103448</v>
      </c>
      <c r="DB128" s="387"/>
      <c r="DC128" s="358"/>
      <c r="DD128" s="387">
        <v>725.25642630103448</v>
      </c>
      <c r="DE128" s="387"/>
      <c r="DF128" s="358"/>
      <c r="DG128" s="387">
        <v>725.25642630103448</v>
      </c>
      <c r="DH128" s="387"/>
      <c r="DI128" s="358"/>
      <c r="DJ128" s="387">
        <v>725.25642630103448</v>
      </c>
      <c r="DK128" s="387"/>
      <c r="DL128" s="358"/>
      <c r="DM128" s="387">
        <v>725.25642630103448</v>
      </c>
      <c r="DN128" s="387"/>
      <c r="DO128" s="358"/>
      <c r="DP128" s="387">
        <v>725.25642630103448</v>
      </c>
      <c r="DQ128" s="387"/>
      <c r="DR128" s="358"/>
      <c r="DS128" s="387">
        <v>725.25642630103448</v>
      </c>
      <c r="DT128" s="387"/>
      <c r="DU128" s="358"/>
      <c r="DV128" s="387">
        <v>725.25642630103448</v>
      </c>
      <c r="DW128" s="387"/>
      <c r="DX128" s="358"/>
      <c r="DY128" s="387">
        <v>725.25642630103448</v>
      </c>
      <c r="DZ128" s="387"/>
      <c r="EA128" s="358"/>
      <c r="EB128" s="387">
        <v>725.25642630103448</v>
      </c>
      <c r="EC128" s="387"/>
      <c r="ED128" s="358"/>
      <c r="EE128" s="387">
        <v>725.25642630103448</v>
      </c>
      <c r="EF128" s="387"/>
      <c r="EG128" s="358"/>
      <c r="EH128" s="387">
        <v>725.25642630103448</v>
      </c>
      <c r="EI128" s="387"/>
      <c r="EJ128" s="358"/>
      <c r="EK128" s="387">
        <v>725.25642630103448</v>
      </c>
      <c r="EL128" s="387"/>
      <c r="EM128" s="358"/>
      <c r="EN128" s="387">
        <v>725.25642630103448</v>
      </c>
      <c r="EO128" s="387"/>
      <c r="EP128" s="358"/>
      <c r="EQ128" s="387">
        <v>725.25642630103448</v>
      </c>
      <c r="ER128" s="387"/>
      <c r="ES128" s="358"/>
      <c r="ET128" s="387">
        <v>725.25642630103448</v>
      </c>
      <c r="EU128" s="387"/>
      <c r="EV128" s="358"/>
      <c r="EW128" s="387">
        <v>725.25642630103448</v>
      </c>
      <c r="EX128" s="387"/>
      <c r="EY128" s="358"/>
      <c r="EZ128" s="387">
        <v>725.25642630103448</v>
      </c>
      <c r="FA128" s="387"/>
      <c r="FB128" s="358"/>
      <c r="FC128" s="387">
        <v>725.25642630103448</v>
      </c>
      <c r="FD128" s="387"/>
      <c r="FE128" s="358"/>
      <c r="FF128" s="387">
        <v>725.25642630103448</v>
      </c>
      <c r="FG128" s="387"/>
      <c r="FH128" s="358"/>
      <c r="FI128" s="387">
        <v>725.25642630103448</v>
      </c>
      <c r="FJ128" s="387"/>
      <c r="FK128" s="358"/>
      <c r="FL128" s="387">
        <v>725.25642630103448</v>
      </c>
      <c r="FM128" s="387"/>
      <c r="FN128" s="358"/>
      <c r="FO128" s="387">
        <v>725.25642630103448</v>
      </c>
      <c r="FP128" s="387"/>
      <c r="FQ128" s="358"/>
      <c r="FR128" s="387">
        <v>725.25642630103448</v>
      </c>
      <c r="FS128" s="387"/>
      <c r="FT128" s="358"/>
      <c r="FU128" s="387">
        <v>725.25642630103448</v>
      </c>
      <c r="FV128" s="387"/>
      <c r="FW128" s="358"/>
      <c r="FX128" s="387">
        <v>725.25642630103448</v>
      </c>
      <c r="FY128" s="387"/>
      <c r="FZ128" s="358"/>
      <c r="GA128" s="387">
        <v>725.25642630103448</v>
      </c>
      <c r="GB128" s="387"/>
      <c r="GC128" s="358"/>
      <c r="GD128" s="387">
        <v>725.25642630103448</v>
      </c>
      <c r="GE128" s="387"/>
      <c r="GF128" s="358"/>
      <c r="GG128" s="387">
        <v>725.25642630103448</v>
      </c>
      <c r="GH128" s="387"/>
      <c r="GI128" s="358"/>
      <c r="GJ128" s="387">
        <v>725.25642630103448</v>
      </c>
      <c r="GK128" s="387"/>
      <c r="GL128" s="358"/>
      <c r="GM128" s="387">
        <v>725.25642630103448</v>
      </c>
      <c r="GN128" s="387"/>
      <c r="GO128" s="358"/>
      <c r="GP128" s="387">
        <v>725.25642630103448</v>
      </c>
      <c r="GQ128" s="387"/>
      <c r="GR128" s="358"/>
      <c r="GS128" s="387">
        <v>725.25642630103448</v>
      </c>
      <c r="GT128" s="387"/>
      <c r="GU128" s="358"/>
      <c r="GV128" s="387">
        <v>725.25642630103448</v>
      </c>
      <c r="GW128" s="387"/>
      <c r="GX128" s="358"/>
      <c r="GY128" s="387">
        <v>725.25642630103448</v>
      </c>
      <c r="GZ128" s="387"/>
      <c r="HA128" s="358"/>
      <c r="HB128" s="387">
        <v>725.25642630103448</v>
      </c>
      <c r="HC128" s="387"/>
      <c r="HD128" s="358"/>
      <c r="HE128" s="387">
        <v>725.25642630103448</v>
      </c>
      <c r="HF128" s="387"/>
      <c r="HG128" s="358"/>
      <c r="HH128" s="387">
        <v>725.25642630103448</v>
      </c>
      <c r="HI128" s="358"/>
      <c r="HJ128" s="387">
        <v>725.25642630103448</v>
      </c>
      <c r="HK128" s="358"/>
      <c r="HL128" s="387">
        <v>725.25642630103448</v>
      </c>
      <c r="HM128" s="358"/>
      <c r="HN128" s="387">
        <v>725.25642630103448</v>
      </c>
      <c r="HO128" s="358"/>
      <c r="HP128" s="387">
        <v>725.25642630103448</v>
      </c>
      <c r="HQ128" s="358"/>
      <c r="HR128" s="387">
        <v>725.25642630103448</v>
      </c>
      <c r="HS128" s="358"/>
      <c r="HT128" s="387">
        <v>725.25642630103448</v>
      </c>
      <c r="HU128" s="358"/>
      <c r="HV128" s="388">
        <v>725.25642630103448</v>
      </c>
      <c r="HW128" s="425"/>
      <c r="HX128" s="423">
        <v>725.25642630103448</v>
      </c>
      <c r="HY128" s="425"/>
      <c r="HZ128" s="423">
        <v>725.25642630103448</v>
      </c>
      <c r="IA128" s="425"/>
      <c r="IB128" s="549">
        <v>1343.5078060986375</v>
      </c>
      <c r="IC128" s="425"/>
      <c r="ID128" s="399"/>
      <c r="IE128" s="361"/>
      <c r="IF128" s="399"/>
      <c r="IG128" s="426"/>
      <c r="IH128" s="537"/>
      <c r="II128" s="426"/>
      <c r="IJ128" s="537"/>
      <c r="IK128" s="426"/>
      <c r="IL128" s="499"/>
      <c r="IM128" s="427"/>
      <c r="IN128" s="499"/>
      <c r="IO128" s="427"/>
      <c r="IP128" s="496"/>
      <c r="IQ128" s="427"/>
      <c r="IR128" s="429" t="s">
        <v>3145</v>
      </c>
      <c r="IS128" s="364" t="s">
        <v>77</v>
      </c>
      <c r="IT128" s="365">
        <v>43621</v>
      </c>
      <c r="IU128" s="371">
        <v>43647</v>
      </c>
      <c r="IW128" s="372">
        <f t="shared" si="16"/>
        <v>26</v>
      </c>
      <c r="IX128" s="373">
        <f t="shared" si="21"/>
        <v>44.049436265529096</v>
      </c>
      <c r="IY128" s="531">
        <f t="shared" si="20"/>
        <v>1145.2853429037564</v>
      </c>
      <c r="IZ128" s="531"/>
      <c r="JA128" s="531"/>
    </row>
    <row r="129" spans="1:261" s="367" customFormat="1" ht="16.5" customHeight="1" x14ac:dyDescent="0.3">
      <c r="A129" s="354" t="s">
        <v>2735</v>
      </c>
      <c r="B129" s="415" t="s">
        <v>2768</v>
      </c>
      <c r="C129" s="447" t="s">
        <v>644</v>
      </c>
      <c r="D129" s="448">
        <v>1229</v>
      </c>
      <c r="E129" s="449">
        <v>71</v>
      </c>
      <c r="F129" s="449">
        <v>72</v>
      </c>
      <c r="G129" s="449">
        <v>5</v>
      </c>
      <c r="H129" s="450">
        <v>66</v>
      </c>
      <c r="I129" s="830">
        <v>1371</v>
      </c>
      <c r="J129" s="831">
        <f>5</f>
        <v>5</v>
      </c>
      <c r="K129" s="831">
        <v>66</v>
      </c>
      <c r="L129" s="831">
        <v>1371</v>
      </c>
      <c r="M129" s="831">
        <f>5</f>
        <v>5</v>
      </c>
      <c r="N129" s="831">
        <v>66</v>
      </c>
      <c r="O129" s="831">
        <v>1371</v>
      </c>
      <c r="P129" s="831">
        <f>5</f>
        <v>5</v>
      </c>
      <c r="Q129" s="831">
        <v>66</v>
      </c>
      <c r="R129" s="831">
        <v>1371</v>
      </c>
      <c r="S129" s="831">
        <f>5</f>
        <v>5</v>
      </c>
      <c r="T129" s="831">
        <v>66</v>
      </c>
      <c r="U129" s="831">
        <v>1371</v>
      </c>
      <c r="V129" s="831">
        <f>5</f>
        <v>5</v>
      </c>
      <c r="W129" s="831">
        <v>66</v>
      </c>
      <c r="X129" s="831">
        <v>1371</v>
      </c>
      <c r="Y129" s="831">
        <f>5</f>
        <v>5</v>
      </c>
      <c r="Z129" s="831">
        <v>66</v>
      </c>
      <c r="AA129" s="831">
        <v>1371</v>
      </c>
      <c r="AB129" s="831">
        <f>5</f>
        <v>5</v>
      </c>
      <c r="AC129" s="831">
        <v>66</v>
      </c>
      <c r="AD129" s="831">
        <v>1371</v>
      </c>
      <c r="AE129" s="831">
        <f>5</f>
        <v>5</v>
      </c>
      <c r="AF129" s="831">
        <v>66</v>
      </c>
      <c r="AG129" s="831">
        <v>1371</v>
      </c>
      <c r="AH129" s="831">
        <f>5</f>
        <v>5</v>
      </c>
      <c r="AI129" s="831">
        <v>66</v>
      </c>
      <c r="AJ129" s="831">
        <v>1371</v>
      </c>
      <c r="AK129" s="831">
        <f>5</f>
        <v>5</v>
      </c>
      <c r="AL129" s="831">
        <v>66</v>
      </c>
      <c r="AM129" s="831">
        <v>1371</v>
      </c>
      <c r="AN129" s="831">
        <f>5</f>
        <v>5</v>
      </c>
      <c r="AO129" s="831">
        <v>66</v>
      </c>
      <c r="AP129" s="831">
        <v>1371</v>
      </c>
      <c r="AQ129" s="831">
        <f>5</f>
        <v>5</v>
      </c>
      <c r="AR129" s="831">
        <v>66</v>
      </c>
      <c r="AS129" s="831">
        <v>1371</v>
      </c>
      <c r="AT129" s="831">
        <f>5</f>
        <v>5</v>
      </c>
      <c r="AU129" s="831">
        <v>66</v>
      </c>
      <c r="AV129" s="831">
        <v>1371</v>
      </c>
      <c r="AW129" s="831">
        <f>5</f>
        <v>5</v>
      </c>
      <c r="AX129" s="831">
        <v>66</v>
      </c>
      <c r="AY129" s="831">
        <v>1371</v>
      </c>
      <c r="AZ129" s="831">
        <f>5</f>
        <v>5</v>
      </c>
      <c r="BA129" s="369">
        <v>66</v>
      </c>
      <c r="BB129" s="385">
        <v>1371</v>
      </c>
      <c r="BC129" s="385">
        <f>5</f>
        <v>5</v>
      </c>
      <c r="BD129" s="369">
        <v>66</v>
      </c>
      <c r="BE129" s="385">
        <v>1371</v>
      </c>
      <c r="BF129" s="385">
        <f>5</f>
        <v>5</v>
      </c>
      <c r="BG129" s="369">
        <v>66</v>
      </c>
      <c r="BH129" s="385">
        <v>1371</v>
      </c>
      <c r="BI129" s="385">
        <f>5</f>
        <v>5</v>
      </c>
      <c r="BJ129" s="369">
        <v>66</v>
      </c>
      <c r="BK129" s="385">
        <v>1371</v>
      </c>
      <c r="BL129" s="385">
        <f>5</f>
        <v>5</v>
      </c>
      <c r="BM129" s="369">
        <v>66</v>
      </c>
      <c r="BN129" s="385">
        <v>1371</v>
      </c>
      <c r="BO129" s="385">
        <f>5</f>
        <v>5</v>
      </c>
      <c r="BP129" s="369">
        <v>66</v>
      </c>
      <c r="BQ129" s="385">
        <v>1371</v>
      </c>
      <c r="BR129" s="385">
        <f>5</f>
        <v>5</v>
      </c>
      <c r="BS129" s="369">
        <v>66</v>
      </c>
      <c r="BT129" s="385">
        <v>1371</v>
      </c>
      <c r="BU129" s="385">
        <f>5</f>
        <v>5</v>
      </c>
      <c r="BV129" s="369">
        <v>66</v>
      </c>
      <c r="BW129" s="385">
        <v>1371</v>
      </c>
      <c r="BX129" s="385">
        <f>5</f>
        <v>5</v>
      </c>
      <c r="BY129" s="369">
        <v>66</v>
      </c>
      <c r="BZ129" s="385">
        <v>1371</v>
      </c>
      <c r="CA129" s="385">
        <f>5</f>
        <v>5</v>
      </c>
      <c r="CB129" s="369">
        <v>66</v>
      </c>
      <c r="CC129" s="385">
        <v>1371</v>
      </c>
      <c r="CD129" s="385">
        <f>5</f>
        <v>5</v>
      </c>
      <c r="CE129" s="369">
        <v>66</v>
      </c>
      <c r="CF129" s="385">
        <v>1371</v>
      </c>
      <c r="CG129" s="385">
        <f>5</f>
        <v>5</v>
      </c>
      <c r="CH129" s="369">
        <v>66</v>
      </c>
      <c r="CI129" s="385">
        <v>1371</v>
      </c>
      <c r="CJ129" s="385">
        <f>5</f>
        <v>5</v>
      </c>
      <c r="CK129" s="369">
        <v>66</v>
      </c>
      <c r="CL129" s="385">
        <v>1371</v>
      </c>
      <c r="CM129" s="385">
        <f>5</f>
        <v>5</v>
      </c>
      <c r="CN129" s="369">
        <v>66</v>
      </c>
      <c r="CO129" s="385">
        <v>1371</v>
      </c>
      <c r="CP129" s="385">
        <f>5</f>
        <v>5</v>
      </c>
      <c r="CQ129" s="369">
        <v>66</v>
      </c>
      <c r="CR129" s="385">
        <v>1371</v>
      </c>
      <c r="CS129" s="385">
        <f>5</f>
        <v>5</v>
      </c>
      <c r="CT129" s="369">
        <v>66</v>
      </c>
      <c r="CU129" s="385">
        <v>1371</v>
      </c>
      <c r="CV129" s="385">
        <f>5</f>
        <v>5</v>
      </c>
      <c r="CW129" s="369">
        <v>66</v>
      </c>
      <c r="CX129" s="385">
        <v>1371</v>
      </c>
      <c r="CY129" s="385">
        <f>5</f>
        <v>5</v>
      </c>
      <c r="CZ129" s="369">
        <v>66</v>
      </c>
      <c r="DA129" s="385">
        <v>1371</v>
      </c>
      <c r="DB129" s="385">
        <f>5</f>
        <v>5</v>
      </c>
      <c r="DC129" s="369">
        <v>66</v>
      </c>
      <c r="DD129" s="385">
        <v>1371</v>
      </c>
      <c r="DE129" s="385">
        <f>5</f>
        <v>5</v>
      </c>
      <c r="DF129" s="369">
        <v>66</v>
      </c>
      <c r="DG129" s="385">
        <v>1371</v>
      </c>
      <c r="DH129" s="385">
        <f>5</f>
        <v>5</v>
      </c>
      <c r="DI129" s="369">
        <v>66</v>
      </c>
      <c r="DJ129" s="385">
        <v>1371</v>
      </c>
      <c r="DK129" s="385">
        <f>5</f>
        <v>5</v>
      </c>
      <c r="DL129" s="369">
        <v>66</v>
      </c>
      <c r="DM129" s="385">
        <v>1371</v>
      </c>
      <c r="DN129" s="385">
        <f>5</f>
        <v>5</v>
      </c>
      <c r="DO129" s="369">
        <v>66</v>
      </c>
      <c r="DP129" s="385">
        <v>1371</v>
      </c>
      <c r="DQ129" s="385">
        <f>5</f>
        <v>5</v>
      </c>
      <c r="DR129" s="369">
        <v>66</v>
      </c>
      <c r="DS129" s="385">
        <v>1371</v>
      </c>
      <c r="DT129" s="385">
        <f>5</f>
        <v>5</v>
      </c>
      <c r="DU129" s="369">
        <v>66</v>
      </c>
      <c r="DV129" s="385">
        <v>1371</v>
      </c>
      <c r="DW129" s="385">
        <f>5</f>
        <v>5</v>
      </c>
      <c r="DX129" s="369">
        <v>66</v>
      </c>
      <c r="DY129" s="385">
        <v>1371</v>
      </c>
      <c r="DZ129" s="385">
        <f>5</f>
        <v>5</v>
      </c>
      <c r="EA129" s="369">
        <v>66</v>
      </c>
      <c r="EB129" s="385">
        <v>1371</v>
      </c>
      <c r="EC129" s="385">
        <f>5</f>
        <v>5</v>
      </c>
      <c r="ED129" s="369">
        <v>66</v>
      </c>
      <c r="EE129" s="385">
        <v>1371</v>
      </c>
      <c r="EF129" s="385">
        <f>5</f>
        <v>5</v>
      </c>
      <c r="EG129" s="369">
        <v>66</v>
      </c>
      <c r="EH129" s="386">
        <v>1371</v>
      </c>
      <c r="EI129" s="386">
        <f>5</f>
        <v>5</v>
      </c>
      <c r="EJ129" s="370">
        <v>66</v>
      </c>
      <c r="EK129" s="385">
        <v>1331.2564263010345</v>
      </c>
      <c r="EL129" s="385">
        <f>5</f>
        <v>5</v>
      </c>
      <c r="EM129" s="369">
        <v>66</v>
      </c>
      <c r="EN129" s="385">
        <v>1331.2564263010345</v>
      </c>
      <c r="EO129" s="385">
        <f>5</f>
        <v>5</v>
      </c>
      <c r="EP129" s="369">
        <v>66</v>
      </c>
      <c r="EQ129" s="385">
        <v>1331.2564263010345</v>
      </c>
      <c r="ER129" s="385">
        <f>5</f>
        <v>5</v>
      </c>
      <c r="ES129" s="369">
        <v>66</v>
      </c>
      <c r="ET129" s="385">
        <v>1331.2564263010345</v>
      </c>
      <c r="EU129" s="385">
        <f>5</f>
        <v>5</v>
      </c>
      <c r="EV129" s="369">
        <v>66</v>
      </c>
      <c r="EW129" s="385">
        <v>1331.2564263010345</v>
      </c>
      <c r="EX129" s="385">
        <f>5</f>
        <v>5</v>
      </c>
      <c r="EY129" s="369">
        <v>66</v>
      </c>
      <c r="EZ129" s="385">
        <v>1331.2564263010345</v>
      </c>
      <c r="FA129" s="385">
        <f>5</f>
        <v>5</v>
      </c>
      <c r="FB129" s="369">
        <v>66</v>
      </c>
      <c r="FC129" s="385">
        <v>1331.2564263010345</v>
      </c>
      <c r="FD129" s="385">
        <f>5</f>
        <v>5</v>
      </c>
      <c r="FE129" s="369">
        <v>66</v>
      </c>
      <c r="FF129" s="385">
        <v>1331.2564263010345</v>
      </c>
      <c r="FG129" s="385">
        <f>5</f>
        <v>5</v>
      </c>
      <c r="FH129" s="369">
        <v>66</v>
      </c>
      <c r="FI129" s="385">
        <v>1331.2564263010345</v>
      </c>
      <c r="FJ129" s="385">
        <f>5</f>
        <v>5</v>
      </c>
      <c r="FK129" s="369">
        <v>66</v>
      </c>
      <c r="FL129" s="385">
        <v>1331.2564263010345</v>
      </c>
      <c r="FM129" s="385">
        <f>5</f>
        <v>5</v>
      </c>
      <c r="FN129" s="369">
        <v>66</v>
      </c>
      <c r="FO129" s="385">
        <v>1331.2564263010345</v>
      </c>
      <c r="FP129" s="385">
        <f>5</f>
        <v>5</v>
      </c>
      <c r="FQ129" s="369">
        <v>66</v>
      </c>
      <c r="FR129" s="385">
        <v>1331.2564263010345</v>
      </c>
      <c r="FS129" s="385">
        <f>5</f>
        <v>5</v>
      </c>
      <c r="FT129" s="369">
        <v>66</v>
      </c>
      <c r="FU129" s="386">
        <v>1331.2564263010345</v>
      </c>
      <c r="FV129" s="386">
        <f>5</f>
        <v>5</v>
      </c>
      <c r="FW129" s="370">
        <v>66</v>
      </c>
      <c r="FX129" s="385">
        <v>1331.2564263010345</v>
      </c>
      <c r="FY129" s="385">
        <f>5</f>
        <v>5</v>
      </c>
      <c r="FZ129" s="358"/>
      <c r="GA129" s="385">
        <v>1331.2564263010345</v>
      </c>
      <c r="GB129" s="385">
        <f>5</f>
        <v>5</v>
      </c>
      <c r="GC129" s="358"/>
      <c r="GD129" s="385">
        <v>1331.2564263010345</v>
      </c>
      <c r="GE129" s="385">
        <f>5</f>
        <v>5</v>
      </c>
      <c r="GF129" s="358"/>
      <c r="GG129" s="385">
        <v>1331.2564263010345</v>
      </c>
      <c r="GH129" s="385">
        <f>5</f>
        <v>5</v>
      </c>
      <c r="GI129" s="358"/>
      <c r="GJ129" s="385">
        <v>1331.2564263010345</v>
      </c>
      <c r="GK129" s="385">
        <f>5</f>
        <v>5</v>
      </c>
      <c r="GL129" s="358"/>
      <c r="GM129" s="385">
        <v>1331.2564263010345</v>
      </c>
      <c r="GN129" s="385">
        <f>5</f>
        <v>5</v>
      </c>
      <c r="GO129" s="358"/>
      <c r="GP129" s="385">
        <v>1331.2564263010345</v>
      </c>
      <c r="GQ129" s="385">
        <f>5</f>
        <v>5</v>
      </c>
      <c r="GR129" s="358"/>
      <c r="GS129" s="385">
        <v>1331.2564263010345</v>
      </c>
      <c r="GT129" s="385">
        <f>5</f>
        <v>5</v>
      </c>
      <c r="GU129" s="358"/>
      <c r="GV129" s="385">
        <v>1331.2564263010345</v>
      </c>
      <c r="GW129" s="385">
        <f>5</f>
        <v>5</v>
      </c>
      <c r="GX129" s="358"/>
      <c r="GY129" s="385">
        <v>1331.2564263010345</v>
      </c>
      <c r="GZ129" s="385">
        <f>5</f>
        <v>5</v>
      </c>
      <c r="HA129" s="358"/>
      <c r="HB129" s="385">
        <v>1331.2564263010345</v>
      </c>
      <c r="HC129" s="385">
        <f>5</f>
        <v>5</v>
      </c>
      <c r="HD129" s="358"/>
      <c r="HE129" s="387">
        <v>1331.2564263010345</v>
      </c>
      <c r="HF129" s="386">
        <f>5*6</f>
        <v>30</v>
      </c>
      <c r="HG129" s="358"/>
      <c r="HH129" s="387">
        <v>1331.2564263010345</v>
      </c>
      <c r="HI129" s="358"/>
      <c r="HJ129" s="387">
        <v>1331.2564263010345</v>
      </c>
      <c r="HK129" s="358"/>
      <c r="HL129" s="387">
        <v>1331.2564263010345</v>
      </c>
      <c r="HM129" s="358"/>
      <c r="HN129" s="387">
        <v>1331.2564263010345</v>
      </c>
      <c r="HO129" s="358"/>
      <c r="HP129" s="387">
        <v>1331.2564263010345</v>
      </c>
      <c r="HQ129" s="358"/>
      <c r="HR129" s="387">
        <v>1331.2564263010345</v>
      </c>
      <c r="HS129" s="358"/>
      <c r="HT129" s="387">
        <v>1331.2564263010345</v>
      </c>
      <c r="HU129" s="358"/>
      <c r="HV129" s="388">
        <v>1331.2564263010345</v>
      </c>
      <c r="HW129" s="425"/>
      <c r="HX129" s="423">
        <v>1331.2564263010345</v>
      </c>
      <c r="HY129" s="425"/>
      <c r="HZ129" s="423">
        <v>1331.2564263010345</v>
      </c>
      <c r="IA129" s="425"/>
      <c r="IB129" s="549">
        <v>2466.0979700330636</v>
      </c>
      <c r="IC129" s="425"/>
      <c r="ID129" s="399"/>
      <c r="IE129" s="361"/>
      <c r="IF129" s="399"/>
      <c r="IG129" s="426"/>
      <c r="IH129" s="537"/>
      <c r="II129" s="426"/>
      <c r="IJ129" s="537"/>
      <c r="IK129" s="426"/>
      <c r="IL129" s="499"/>
      <c r="IM129" s="427"/>
      <c r="IN129" s="499"/>
      <c r="IO129" s="427"/>
      <c r="IP129" s="496"/>
      <c r="IQ129" s="427"/>
      <c r="IR129" s="429" t="s">
        <v>3355</v>
      </c>
      <c r="IS129" s="364" t="s">
        <v>77</v>
      </c>
      <c r="IT129" s="365">
        <v>43621</v>
      </c>
      <c r="IU129" s="439">
        <v>43647</v>
      </c>
      <c r="IV129" s="550">
        <v>44743</v>
      </c>
      <c r="IW129" s="372">
        <f t="shared" si="16"/>
        <v>26</v>
      </c>
      <c r="IX129" s="373">
        <f t="shared" si="21"/>
        <v>80.855671148625035</v>
      </c>
      <c r="IY129" s="531">
        <f t="shared" si="20"/>
        <v>2102.2474498642509</v>
      </c>
      <c r="IZ129" s="531"/>
      <c r="JA129" s="531"/>
    </row>
    <row r="130" spans="1:261" s="367" customFormat="1" ht="16.5" customHeight="1" x14ac:dyDescent="0.3">
      <c r="A130" s="354" t="s">
        <v>2743</v>
      </c>
      <c r="B130" s="551" t="s">
        <v>2884</v>
      </c>
      <c r="C130" s="466" t="s">
        <v>1362</v>
      </c>
      <c r="D130" s="467">
        <v>1402</v>
      </c>
      <c r="E130" s="468">
        <v>24</v>
      </c>
      <c r="F130" s="468">
        <v>0</v>
      </c>
      <c r="G130" s="468">
        <v>5</v>
      </c>
      <c r="H130" s="469">
        <v>66</v>
      </c>
      <c r="I130" s="841">
        <v>1426</v>
      </c>
      <c r="J130" s="835">
        <v>5</v>
      </c>
      <c r="K130" s="831">
        <v>66</v>
      </c>
      <c r="L130" s="835">
        <v>1426</v>
      </c>
      <c r="M130" s="835">
        <v>5</v>
      </c>
      <c r="N130" s="831">
        <v>66</v>
      </c>
      <c r="O130" s="835">
        <v>1426</v>
      </c>
      <c r="P130" s="835">
        <v>5</v>
      </c>
      <c r="Q130" s="831">
        <v>66</v>
      </c>
      <c r="R130" s="835">
        <v>1426</v>
      </c>
      <c r="S130" s="835">
        <v>5</v>
      </c>
      <c r="T130" s="831">
        <v>66</v>
      </c>
      <c r="U130" s="835">
        <v>1426</v>
      </c>
      <c r="V130" s="835">
        <v>5</v>
      </c>
      <c r="W130" s="831">
        <v>66</v>
      </c>
      <c r="X130" s="835">
        <v>1426</v>
      </c>
      <c r="Y130" s="835">
        <v>5</v>
      </c>
      <c r="Z130" s="831">
        <v>66</v>
      </c>
      <c r="AA130" s="835">
        <v>1426</v>
      </c>
      <c r="AB130" s="835">
        <v>5</v>
      </c>
      <c r="AC130" s="831">
        <v>66</v>
      </c>
      <c r="AD130" s="835">
        <v>1426</v>
      </c>
      <c r="AE130" s="835">
        <v>5</v>
      </c>
      <c r="AF130" s="831">
        <v>66</v>
      </c>
      <c r="AG130" s="835">
        <v>1426</v>
      </c>
      <c r="AH130" s="835">
        <v>5</v>
      </c>
      <c r="AI130" s="831">
        <v>66</v>
      </c>
      <c r="AJ130" s="835">
        <v>1426</v>
      </c>
      <c r="AK130" s="835">
        <v>5</v>
      </c>
      <c r="AL130" s="831">
        <v>66</v>
      </c>
      <c r="AM130" s="835">
        <v>1426</v>
      </c>
      <c r="AN130" s="835">
        <v>5</v>
      </c>
      <c r="AO130" s="831">
        <v>66</v>
      </c>
      <c r="AP130" s="842">
        <f>((1426-923)/30.5)*23+1426</f>
        <v>1805.311475409836</v>
      </c>
      <c r="AQ130" s="842">
        <f>((5/30.5)*23)+5</f>
        <v>8.7704918032786878</v>
      </c>
      <c r="AR130" s="831">
        <v>66</v>
      </c>
      <c r="AS130" s="831">
        <v>923.25642630103448</v>
      </c>
      <c r="AT130" s="831"/>
      <c r="AU130" s="831">
        <v>66</v>
      </c>
      <c r="AV130" s="831">
        <v>923.25642630103448</v>
      </c>
      <c r="AW130" s="831"/>
      <c r="AX130" s="831">
        <v>66</v>
      </c>
      <c r="AY130" s="831">
        <v>923.25642630103448</v>
      </c>
      <c r="AZ130" s="831"/>
      <c r="BA130" s="369">
        <v>66</v>
      </c>
      <c r="BB130" s="385">
        <v>923.25642630103448</v>
      </c>
      <c r="BC130" s="385"/>
      <c r="BD130" s="369">
        <v>66</v>
      </c>
      <c r="BE130" s="385">
        <v>923.25642630103448</v>
      </c>
      <c r="BF130" s="385"/>
      <c r="BG130" s="369">
        <v>66</v>
      </c>
      <c r="BH130" s="385">
        <v>923.25642630103448</v>
      </c>
      <c r="BI130" s="385"/>
      <c r="BJ130" s="369">
        <v>66</v>
      </c>
      <c r="BK130" s="385">
        <v>923.25642630103448</v>
      </c>
      <c r="BL130" s="385"/>
      <c r="BM130" s="369">
        <v>66</v>
      </c>
      <c r="BN130" s="385">
        <v>923.25642630103448</v>
      </c>
      <c r="BO130" s="385"/>
      <c r="BP130" s="369">
        <v>66</v>
      </c>
      <c r="BQ130" s="385">
        <v>923.25642630103448</v>
      </c>
      <c r="BR130" s="385"/>
      <c r="BS130" s="369">
        <v>66</v>
      </c>
      <c r="BT130" s="385">
        <v>923.25642630103448</v>
      </c>
      <c r="BU130" s="385"/>
      <c r="BV130" s="369">
        <v>66</v>
      </c>
      <c r="BW130" s="385">
        <v>923.25642630103448</v>
      </c>
      <c r="BX130" s="385"/>
      <c r="BY130" s="369">
        <v>66</v>
      </c>
      <c r="BZ130" s="385">
        <v>923.25642630103448</v>
      </c>
      <c r="CA130" s="385"/>
      <c r="CB130" s="369">
        <v>66</v>
      </c>
      <c r="CC130" s="385">
        <v>923.25642630103448</v>
      </c>
      <c r="CD130" s="385"/>
      <c r="CE130" s="369">
        <v>66</v>
      </c>
      <c r="CF130" s="385">
        <v>923.25642630103448</v>
      </c>
      <c r="CG130" s="385"/>
      <c r="CH130" s="369">
        <v>66</v>
      </c>
      <c r="CI130" s="385">
        <v>923.25642630103448</v>
      </c>
      <c r="CJ130" s="385"/>
      <c r="CK130" s="369">
        <v>66</v>
      </c>
      <c r="CL130" s="385">
        <v>923.25642630103448</v>
      </c>
      <c r="CM130" s="385"/>
      <c r="CN130" s="369">
        <v>66</v>
      </c>
      <c r="CO130" s="385">
        <v>923.25642630103448</v>
      </c>
      <c r="CP130" s="385"/>
      <c r="CQ130" s="369">
        <v>66</v>
      </c>
      <c r="CR130" s="385">
        <v>923.25642630103448</v>
      </c>
      <c r="CS130" s="385"/>
      <c r="CT130" s="369">
        <v>66</v>
      </c>
      <c r="CU130" s="385">
        <v>923.25642630103448</v>
      </c>
      <c r="CV130" s="385"/>
      <c r="CW130" s="369">
        <v>66</v>
      </c>
      <c r="CX130" s="385">
        <v>923.25642630103448</v>
      </c>
      <c r="CY130" s="385"/>
      <c r="CZ130" s="369">
        <v>66</v>
      </c>
      <c r="DA130" s="385">
        <v>923.25642630103448</v>
      </c>
      <c r="DB130" s="385"/>
      <c r="DC130" s="369">
        <v>66</v>
      </c>
      <c r="DD130" s="385">
        <v>923.25642630103448</v>
      </c>
      <c r="DE130" s="385"/>
      <c r="DF130" s="369">
        <v>66</v>
      </c>
      <c r="DG130" s="385">
        <v>923.25642630103448</v>
      </c>
      <c r="DH130" s="385"/>
      <c r="DI130" s="369">
        <v>66</v>
      </c>
      <c r="DJ130" s="385">
        <v>923.25642630103448</v>
      </c>
      <c r="DK130" s="385"/>
      <c r="DL130" s="369">
        <v>66</v>
      </c>
      <c r="DM130" s="385">
        <v>923.25642630103448</v>
      </c>
      <c r="DN130" s="385"/>
      <c r="DO130" s="369">
        <v>66</v>
      </c>
      <c r="DP130" s="385">
        <v>923.25642630103448</v>
      </c>
      <c r="DQ130" s="385"/>
      <c r="DR130" s="369">
        <v>66</v>
      </c>
      <c r="DS130" s="385">
        <v>923.25642630103448</v>
      </c>
      <c r="DT130" s="385"/>
      <c r="DU130" s="369">
        <v>66</v>
      </c>
      <c r="DV130" s="385">
        <v>923.25642630103448</v>
      </c>
      <c r="DW130" s="385"/>
      <c r="DX130" s="369">
        <v>66</v>
      </c>
      <c r="DY130" s="385">
        <v>923.25642630103448</v>
      </c>
      <c r="DZ130" s="385"/>
      <c r="EA130" s="369">
        <v>66</v>
      </c>
      <c r="EB130" s="385">
        <v>923.25642630103448</v>
      </c>
      <c r="EC130" s="385"/>
      <c r="ED130" s="369">
        <v>66</v>
      </c>
      <c r="EE130" s="385">
        <v>923.25642630103448</v>
      </c>
      <c r="EF130" s="385"/>
      <c r="EG130" s="369">
        <v>66</v>
      </c>
      <c r="EH130" s="385">
        <v>923.25642630103448</v>
      </c>
      <c r="EI130" s="385"/>
      <c r="EJ130" s="369">
        <v>66</v>
      </c>
      <c r="EK130" s="385">
        <v>923.25642630103448</v>
      </c>
      <c r="EL130" s="385"/>
      <c r="EM130" s="369">
        <v>66</v>
      </c>
      <c r="EN130" s="385">
        <v>923.25642630103448</v>
      </c>
      <c r="EO130" s="385"/>
      <c r="EP130" s="369">
        <v>66</v>
      </c>
      <c r="EQ130" s="385">
        <v>923.25642630103448</v>
      </c>
      <c r="ER130" s="385"/>
      <c r="ES130" s="369">
        <v>66</v>
      </c>
      <c r="ET130" s="385">
        <v>923.25642630103448</v>
      </c>
      <c r="EU130" s="385"/>
      <c r="EV130" s="369">
        <v>66</v>
      </c>
      <c r="EW130" s="385">
        <v>923.25642630103448</v>
      </c>
      <c r="EX130" s="385"/>
      <c r="EY130" s="369">
        <v>66</v>
      </c>
      <c r="EZ130" s="385">
        <v>923.25642630103448</v>
      </c>
      <c r="FA130" s="385"/>
      <c r="FB130" s="369">
        <v>66</v>
      </c>
      <c r="FC130" s="385">
        <v>923.25642630103448</v>
      </c>
      <c r="FD130" s="385"/>
      <c r="FE130" s="369">
        <v>66</v>
      </c>
      <c r="FF130" s="385">
        <v>923.25642630103448</v>
      </c>
      <c r="FG130" s="385"/>
      <c r="FH130" s="369">
        <v>66</v>
      </c>
      <c r="FI130" s="385">
        <v>923.25642630103448</v>
      </c>
      <c r="FJ130" s="385"/>
      <c r="FK130" s="369">
        <v>66</v>
      </c>
      <c r="FL130" s="385">
        <v>923.25642630103448</v>
      </c>
      <c r="FM130" s="385"/>
      <c r="FN130" s="369">
        <v>66</v>
      </c>
      <c r="FO130" s="385">
        <v>923.25642630103448</v>
      </c>
      <c r="FP130" s="385"/>
      <c r="FQ130" s="369">
        <v>66</v>
      </c>
      <c r="FR130" s="386">
        <v>923.25642630103448</v>
      </c>
      <c r="FS130" s="386"/>
      <c r="FT130" s="370">
        <v>66</v>
      </c>
      <c r="FU130" s="387">
        <v>923.25642630103448</v>
      </c>
      <c r="FV130" s="387"/>
      <c r="FW130" s="358"/>
      <c r="FX130" s="387">
        <v>923.25642630103448</v>
      </c>
      <c r="FY130" s="387"/>
      <c r="FZ130" s="358"/>
      <c r="GA130" s="387">
        <v>923.25642630103448</v>
      </c>
      <c r="GB130" s="387"/>
      <c r="GC130" s="358"/>
      <c r="GD130" s="387">
        <v>923.25642630103448</v>
      </c>
      <c r="GE130" s="387"/>
      <c r="GF130" s="358"/>
      <c r="GG130" s="387">
        <v>923.25642630103448</v>
      </c>
      <c r="GH130" s="387"/>
      <c r="GI130" s="358"/>
      <c r="GJ130" s="387">
        <v>923.25642630103448</v>
      </c>
      <c r="GK130" s="387"/>
      <c r="GL130" s="358"/>
      <c r="GM130" s="387">
        <v>923.25642630103448</v>
      </c>
      <c r="GN130" s="387"/>
      <c r="GO130" s="358"/>
      <c r="GP130" s="387">
        <v>923.25642630103448</v>
      </c>
      <c r="GQ130" s="387"/>
      <c r="GR130" s="358"/>
      <c r="GS130" s="387">
        <v>923.25642630103448</v>
      </c>
      <c r="GT130" s="387"/>
      <c r="GU130" s="358"/>
      <c r="GV130" s="387">
        <v>923.25642630103448</v>
      </c>
      <c r="GW130" s="387"/>
      <c r="GX130" s="358"/>
      <c r="GY130" s="387">
        <v>923.25642630103448</v>
      </c>
      <c r="GZ130" s="387"/>
      <c r="HA130" s="358"/>
      <c r="HB130" s="387">
        <v>923.25642630103448</v>
      </c>
      <c r="HC130" s="387"/>
      <c r="HD130" s="358"/>
      <c r="HE130" s="387">
        <v>923.25642630103448</v>
      </c>
      <c r="HF130" s="387"/>
      <c r="HG130" s="358"/>
      <c r="HH130" s="387">
        <v>923.25642630103448</v>
      </c>
      <c r="HI130" s="358"/>
      <c r="HJ130" s="387">
        <v>923.25642630103448</v>
      </c>
      <c r="HK130" s="358"/>
      <c r="HL130" s="387">
        <v>923.25642630103448</v>
      </c>
      <c r="HM130" s="358"/>
      <c r="HN130" s="387">
        <v>923.25642630103448</v>
      </c>
      <c r="HO130" s="358"/>
      <c r="HP130" s="387">
        <v>923.25642630103448</v>
      </c>
      <c r="HQ130" s="358"/>
      <c r="HR130" s="387">
        <v>923.25642630103448</v>
      </c>
      <c r="HS130" s="358"/>
      <c r="HT130" s="387">
        <v>923.25642630103448</v>
      </c>
      <c r="HU130" s="358"/>
      <c r="HV130" s="388">
        <v>923.25642630103448</v>
      </c>
      <c r="HW130" s="425"/>
      <c r="HX130" s="423">
        <v>923.25642630103448</v>
      </c>
      <c r="HY130" s="425"/>
      <c r="HZ130" s="423">
        <v>923.25642630103448</v>
      </c>
      <c r="IA130" s="425"/>
      <c r="IB130" s="549">
        <v>1710.2946913445394</v>
      </c>
      <c r="IC130" s="425"/>
      <c r="ID130" s="399"/>
      <c r="IE130" s="361"/>
      <c r="IF130" s="399"/>
      <c r="IG130" s="426"/>
      <c r="IH130" s="537"/>
      <c r="II130" s="426"/>
      <c r="IJ130" s="537"/>
      <c r="IK130" s="426"/>
      <c r="IL130" s="499"/>
      <c r="IM130" s="427"/>
      <c r="IN130" s="499"/>
      <c r="IO130" s="427"/>
      <c r="IP130" s="496"/>
      <c r="IQ130" s="427"/>
      <c r="IR130" s="429" t="s">
        <v>3356</v>
      </c>
      <c r="IS130" s="364" t="s">
        <v>77</v>
      </c>
      <c r="IT130" s="365">
        <v>43621</v>
      </c>
      <c r="IU130" s="371">
        <v>43647</v>
      </c>
      <c r="IV130" s="552"/>
      <c r="IW130" s="526">
        <f t="shared" si="16"/>
        <v>26</v>
      </c>
      <c r="IX130" s="527">
        <f t="shared" si="21"/>
        <v>56.07523578178818</v>
      </c>
      <c r="IY130" s="553">
        <f t="shared" si="20"/>
        <v>1457.9561303264927</v>
      </c>
      <c r="IZ130" s="531"/>
      <c r="JA130" s="531"/>
    </row>
    <row r="131" spans="1:261" s="367" customFormat="1" ht="16.5" customHeight="1" x14ac:dyDescent="0.3">
      <c r="A131" s="354" t="s">
        <v>2735</v>
      </c>
      <c r="B131" s="465" t="s">
        <v>2751</v>
      </c>
      <c r="C131" s="993" t="s">
        <v>376</v>
      </c>
      <c r="D131" s="467">
        <v>568</v>
      </c>
      <c r="E131" s="468">
        <v>12</v>
      </c>
      <c r="F131" s="468">
        <v>0</v>
      </c>
      <c r="G131" s="468">
        <v>5</v>
      </c>
      <c r="H131" s="469">
        <v>0</v>
      </c>
      <c r="I131" s="858">
        <f>(580+3732)</f>
        <v>4312</v>
      </c>
      <c r="J131" s="859">
        <f>(5+36)</f>
        <v>41</v>
      </c>
      <c r="K131" s="827"/>
      <c r="L131" s="831">
        <v>269.41198185659005</v>
      </c>
      <c r="M131" s="831">
        <f>2</f>
        <v>2</v>
      </c>
      <c r="N131" s="827"/>
      <c r="O131" s="831">
        <v>269.41198185659005</v>
      </c>
      <c r="P131" s="831">
        <f>2</f>
        <v>2</v>
      </c>
      <c r="Q131" s="827"/>
      <c r="R131" s="831">
        <v>269.41198185659005</v>
      </c>
      <c r="S131" s="831">
        <f>2</f>
        <v>2</v>
      </c>
      <c r="T131" s="827"/>
      <c r="U131" s="831">
        <v>269.41198185659005</v>
      </c>
      <c r="V131" s="831">
        <f>2</f>
        <v>2</v>
      </c>
      <c r="W131" s="827"/>
      <c r="X131" s="831">
        <v>269.41198185659005</v>
      </c>
      <c r="Y131" s="831">
        <f>2</f>
        <v>2</v>
      </c>
      <c r="Z131" s="827"/>
      <c r="AA131" s="831">
        <v>269.41198185659005</v>
      </c>
      <c r="AB131" s="831">
        <f>2</f>
        <v>2</v>
      </c>
      <c r="AC131" s="827"/>
      <c r="AD131" s="831">
        <v>269.41198185659005</v>
      </c>
      <c r="AE131" s="831">
        <f>2</f>
        <v>2</v>
      </c>
      <c r="AF131" s="827"/>
      <c r="AG131" s="831">
        <v>269.41198185659005</v>
      </c>
      <c r="AH131" s="831">
        <f>2</f>
        <v>2</v>
      </c>
      <c r="AI131" s="827"/>
      <c r="AJ131" s="831">
        <v>269.41198185659005</v>
      </c>
      <c r="AK131" s="831">
        <f>2</f>
        <v>2</v>
      </c>
      <c r="AL131" s="827"/>
      <c r="AM131" s="831">
        <v>269.41198185659005</v>
      </c>
      <c r="AN131" s="831">
        <f>2</f>
        <v>2</v>
      </c>
      <c r="AO131" s="827"/>
      <c r="AP131" s="831">
        <v>269.41198185659005</v>
      </c>
      <c r="AQ131" s="831">
        <f>2</f>
        <v>2</v>
      </c>
      <c r="AR131" s="827"/>
      <c r="AS131" s="831">
        <v>269.41198185659005</v>
      </c>
      <c r="AT131" s="831">
        <f>2</f>
        <v>2</v>
      </c>
      <c r="AU131" s="827"/>
      <c r="AV131" s="831">
        <v>269.41198185659005</v>
      </c>
      <c r="AW131" s="831">
        <f>2</f>
        <v>2</v>
      </c>
      <c r="AX131" s="827"/>
      <c r="AY131" s="831">
        <v>269.41198185659005</v>
      </c>
      <c r="AZ131" s="831">
        <f>2</f>
        <v>2</v>
      </c>
      <c r="BA131" s="358"/>
      <c r="BB131" s="385">
        <v>269.41198185659005</v>
      </c>
      <c r="BC131" s="385">
        <f>2</f>
        <v>2</v>
      </c>
      <c r="BD131" s="358"/>
      <c r="BE131" s="385">
        <v>269.41198185659005</v>
      </c>
      <c r="BF131" s="385">
        <f>2</f>
        <v>2</v>
      </c>
      <c r="BG131" s="358"/>
      <c r="BH131" s="385">
        <v>269.41198185659005</v>
      </c>
      <c r="BI131" s="385">
        <f>2</f>
        <v>2</v>
      </c>
      <c r="BJ131" s="358"/>
      <c r="BK131" s="385">
        <v>269.41198185659005</v>
      </c>
      <c r="BL131" s="385">
        <f>2</f>
        <v>2</v>
      </c>
      <c r="BM131" s="358"/>
      <c r="BN131" s="385">
        <v>269.41198185659005</v>
      </c>
      <c r="BO131" s="385">
        <f>2</f>
        <v>2</v>
      </c>
      <c r="BP131" s="358"/>
      <c r="BQ131" s="385">
        <v>269.41198185659005</v>
      </c>
      <c r="BR131" s="385">
        <f>2</f>
        <v>2</v>
      </c>
      <c r="BS131" s="358"/>
      <c r="BT131" s="385">
        <v>269.41198185659005</v>
      </c>
      <c r="BU131" s="385">
        <f>2</f>
        <v>2</v>
      </c>
      <c r="BV131" s="358"/>
      <c r="BW131" s="385">
        <v>269.41198185659005</v>
      </c>
      <c r="BX131" s="385">
        <f>2</f>
        <v>2</v>
      </c>
      <c r="BY131" s="358"/>
      <c r="BZ131" s="385">
        <v>269.41198185659005</v>
      </c>
      <c r="CA131" s="385">
        <f>2</f>
        <v>2</v>
      </c>
      <c r="CB131" s="358"/>
      <c r="CC131" s="385">
        <v>269.41198185659005</v>
      </c>
      <c r="CD131" s="385">
        <f>2</f>
        <v>2</v>
      </c>
      <c r="CE131" s="358"/>
      <c r="CF131" s="385">
        <v>269.41198185659005</v>
      </c>
      <c r="CG131" s="385">
        <f>2</f>
        <v>2</v>
      </c>
      <c r="CH131" s="358"/>
      <c r="CI131" s="385">
        <v>269.41198185659005</v>
      </c>
      <c r="CJ131" s="385">
        <f>2</f>
        <v>2</v>
      </c>
      <c r="CK131" s="358"/>
      <c r="CL131" s="385">
        <v>269.41198185659005</v>
      </c>
      <c r="CM131" s="385">
        <f>2</f>
        <v>2</v>
      </c>
      <c r="CN131" s="358"/>
      <c r="CO131" s="385">
        <v>269.41198185659005</v>
      </c>
      <c r="CP131" s="385">
        <f>2</f>
        <v>2</v>
      </c>
      <c r="CQ131" s="358"/>
      <c r="CR131" s="385">
        <v>269.41198185659005</v>
      </c>
      <c r="CS131" s="385">
        <f>2</f>
        <v>2</v>
      </c>
      <c r="CT131" s="358"/>
      <c r="CU131" s="385">
        <v>269.41198185659005</v>
      </c>
      <c r="CV131" s="385">
        <f>2</f>
        <v>2</v>
      </c>
      <c r="CW131" s="358"/>
      <c r="CX131" s="385">
        <v>269.41198185659005</v>
      </c>
      <c r="CY131" s="385">
        <f>2</f>
        <v>2</v>
      </c>
      <c r="CZ131" s="358"/>
      <c r="DA131" s="385">
        <v>269.41198185659005</v>
      </c>
      <c r="DB131" s="385">
        <f>2</f>
        <v>2</v>
      </c>
      <c r="DC131" s="358"/>
      <c r="DD131" s="385">
        <v>269.41198185659005</v>
      </c>
      <c r="DE131" s="385">
        <f>2</f>
        <v>2</v>
      </c>
      <c r="DF131" s="358"/>
      <c r="DG131" s="385">
        <v>269.41198185659005</v>
      </c>
      <c r="DH131" s="385">
        <f>2</f>
        <v>2</v>
      </c>
      <c r="DI131" s="358"/>
      <c r="DJ131" s="385">
        <v>269.41198185659005</v>
      </c>
      <c r="DK131" s="385">
        <f>2</f>
        <v>2</v>
      </c>
      <c r="DL131" s="358"/>
      <c r="DM131" s="385">
        <v>269.41198185659005</v>
      </c>
      <c r="DN131" s="385">
        <f>2</f>
        <v>2</v>
      </c>
      <c r="DO131" s="358"/>
      <c r="DP131" s="385">
        <v>269.41198185659005</v>
      </c>
      <c r="DQ131" s="385">
        <f>2</f>
        <v>2</v>
      </c>
      <c r="DR131" s="358"/>
      <c r="DS131" s="385">
        <v>269.41198185659005</v>
      </c>
      <c r="DT131" s="385">
        <f>2</f>
        <v>2</v>
      </c>
      <c r="DU131" s="358"/>
      <c r="DV131" s="385">
        <v>269.41198185659005</v>
      </c>
      <c r="DW131" s="385">
        <f>2</f>
        <v>2</v>
      </c>
      <c r="DX131" s="358"/>
      <c r="DY131" s="385">
        <v>269.41198185659005</v>
      </c>
      <c r="DZ131" s="385">
        <f>2</f>
        <v>2</v>
      </c>
      <c r="EA131" s="358"/>
      <c r="EB131" s="385">
        <v>269.41198185659005</v>
      </c>
      <c r="EC131" s="385">
        <f>2</f>
        <v>2</v>
      </c>
      <c r="ED131" s="358"/>
      <c r="EE131" s="385">
        <v>269.41198185659005</v>
      </c>
      <c r="EF131" s="385">
        <f>2</f>
        <v>2</v>
      </c>
      <c r="EG131" s="358"/>
      <c r="EH131" s="385">
        <v>269.41198185659005</v>
      </c>
      <c r="EI131" s="385">
        <f>2</f>
        <v>2</v>
      </c>
      <c r="EJ131" s="358"/>
      <c r="EK131" s="385">
        <v>269.41198185659005</v>
      </c>
      <c r="EL131" s="385">
        <f>2</f>
        <v>2</v>
      </c>
      <c r="EM131" s="358"/>
      <c r="EN131" s="385">
        <v>269.41198185659005</v>
      </c>
      <c r="EO131" s="385">
        <f>2</f>
        <v>2</v>
      </c>
      <c r="EP131" s="358"/>
      <c r="EQ131" s="385">
        <v>269.41198185659005</v>
      </c>
      <c r="ER131" s="385">
        <f>2</f>
        <v>2</v>
      </c>
      <c r="ES131" s="358"/>
      <c r="ET131" s="385">
        <v>269.41198185659005</v>
      </c>
      <c r="EU131" s="385">
        <f>2</f>
        <v>2</v>
      </c>
      <c r="EV131" s="358"/>
      <c r="EW131" s="385">
        <v>269.41198185659005</v>
      </c>
      <c r="EX131" s="385">
        <f>2</f>
        <v>2</v>
      </c>
      <c r="EY131" s="358"/>
      <c r="EZ131" s="385">
        <v>269.41198185659005</v>
      </c>
      <c r="FA131" s="385">
        <f>2</f>
        <v>2</v>
      </c>
      <c r="FB131" s="358"/>
      <c r="FC131" s="385">
        <v>269.41198185659005</v>
      </c>
      <c r="FD131" s="385">
        <f>2</f>
        <v>2</v>
      </c>
      <c r="FE131" s="358"/>
      <c r="FF131" s="385">
        <v>269.41198185659005</v>
      </c>
      <c r="FG131" s="385">
        <f>2</f>
        <v>2</v>
      </c>
      <c r="FH131" s="358"/>
      <c r="FI131" s="385">
        <v>269.41198185659005</v>
      </c>
      <c r="FJ131" s="385">
        <f>2</f>
        <v>2</v>
      </c>
      <c r="FK131" s="358"/>
      <c r="FL131" s="385">
        <v>269.41198185659005</v>
      </c>
      <c r="FM131" s="385">
        <f>2</f>
        <v>2</v>
      </c>
      <c r="FN131" s="358"/>
      <c r="FO131" s="385">
        <v>269.41198185659005</v>
      </c>
      <c r="FP131" s="385">
        <f>2</f>
        <v>2</v>
      </c>
      <c r="FQ131" s="358"/>
      <c r="FR131" s="385">
        <v>269.41198185659005</v>
      </c>
      <c r="FS131" s="385">
        <f>2</f>
        <v>2</v>
      </c>
      <c r="FT131" s="358"/>
      <c r="FU131" s="385">
        <v>269.41198185659005</v>
      </c>
      <c r="FV131" s="385">
        <f>2</f>
        <v>2</v>
      </c>
      <c r="FW131" s="358"/>
      <c r="FX131" s="385">
        <v>269.41198185659005</v>
      </c>
      <c r="FY131" s="385">
        <f>2</f>
        <v>2</v>
      </c>
      <c r="FZ131" s="358"/>
      <c r="GA131" s="385">
        <v>269.41198185659005</v>
      </c>
      <c r="GB131" s="385">
        <f>2</f>
        <v>2</v>
      </c>
      <c r="GC131" s="358"/>
      <c r="GD131" s="385">
        <v>269.41198185659005</v>
      </c>
      <c r="GE131" s="385">
        <f>2</f>
        <v>2</v>
      </c>
      <c r="GF131" s="358"/>
      <c r="GG131" s="385">
        <v>269.41198185659005</v>
      </c>
      <c r="GH131" s="385">
        <f>2</f>
        <v>2</v>
      </c>
      <c r="GI131" s="358"/>
      <c r="GJ131" s="385">
        <v>269.41198185659005</v>
      </c>
      <c r="GK131" s="385">
        <f>2</f>
        <v>2</v>
      </c>
      <c r="GL131" s="358"/>
      <c r="GM131" s="385">
        <v>269.41198185659005</v>
      </c>
      <c r="GN131" s="385">
        <f>2</f>
        <v>2</v>
      </c>
      <c r="GO131" s="358"/>
      <c r="GP131" s="385">
        <v>269.41198185659005</v>
      </c>
      <c r="GQ131" s="385">
        <f>2</f>
        <v>2</v>
      </c>
      <c r="GR131" s="358"/>
      <c r="GS131" s="385">
        <v>269.41198185659005</v>
      </c>
      <c r="GT131" s="385">
        <f>2</f>
        <v>2</v>
      </c>
      <c r="GU131" s="358"/>
      <c r="GV131" s="385">
        <v>269.41198185659005</v>
      </c>
      <c r="GW131" s="385">
        <f>2</f>
        <v>2</v>
      </c>
      <c r="GX131" s="358"/>
      <c r="GY131" s="385">
        <v>269.41198185659005</v>
      </c>
      <c r="GZ131" s="385">
        <f>2</f>
        <v>2</v>
      </c>
      <c r="HA131" s="358"/>
      <c r="HB131" s="385">
        <v>269.41198185659005</v>
      </c>
      <c r="HC131" s="385">
        <f>2</f>
        <v>2</v>
      </c>
      <c r="HD131" s="358"/>
      <c r="HE131" s="387">
        <v>269.41198185659005</v>
      </c>
      <c r="HF131" s="386">
        <f>2*6</f>
        <v>12</v>
      </c>
      <c r="HG131" s="358"/>
      <c r="HH131" s="387">
        <v>269.41198185659005</v>
      </c>
      <c r="HI131" s="358"/>
      <c r="HJ131" s="387">
        <v>269.41198185659005</v>
      </c>
      <c r="HK131" s="358"/>
      <c r="HL131" s="387">
        <v>269.41198185659005</v>
      </c>
      <c r="HM131" s="358"/>
      <c r="HN131" s="387">
        <v>269.41198185659005</v>
      </c>
      <c r="HO131" s="358"/>
      <c r="HP131" s="387">
        <v>269.41198185659005</v>
      </c>
      <c r="HQ131" s="358"/>
      <c r="HR131" s="387">
        <v>269.41198185659005</v>
      </c>
      <c r="HS131" s="358"/>
      <c r="HT131" s="387">
        <v>269.41198185659005</v>
      </c>
      <c r="HU131" s="358"/>
      <c r="HV131" s="388">
        <v>269.41198185659005</v>
      </c>
      <c r="HW131" s="425"/>
      <c r="HX131" s="423">
        <v>269.41198185659005</v>
      </c>
      <c r="HY131" s="425"/>
      <c r="HZ131" s="423">
        <v>269.41198185659005</v>
      </c>
      <c r="IA131" s="425"/>
      <c r="IB131" s="549">
        <v>499.07465491466678</v>
      </c>
      <c r="IC131" s="425"/>
      <c r="ID131" s="399"/>
      <c r="IE131" s="361"/>
      <c r="IF131" s="399"/>
      <c r="IG131" s="426"/>
      <c r="IH131" s="537"/>
      <c r="II131" s="426"/>
      <c r="IJ131" s="537"/>
      <c r="IK131" s="426"/>
      <c r="IL131" s="499"/>
      <c r="IM131" s="427"/>
      <c r="IN131" s="499"/>
      <c r="IO131" s="427"/>
      <c r="IP131" s="496"/>
      <c r="IQ131" s="427"/>
      <c r="IR131" s="429" t="s">
        <v>3357</v>
      </c>
      <c r="IS131" s="364" t="s">
        <v>77</v>
      </c>
      <c r="IT131" s="365">
        <v>43621</v>
      </c>
      <c r="IU131" s="371">
        <v>43647</v>
      </c>
      <c r="IW131" s="372">
        <f t="shared" si="16"/>
        <v>26</v>
      </c>
      <c r="IX131" s="373">
        <f t="shared" si="21"/>
        <v>16.363103439825139</v>
      </c>
      <c r="IY131" s="531">
        <f t="shared" si="20"/>
        <v>425.44068943545358</v>
      </c>
      <c r="IZ131" s="531"/>
      <c r="JA131" s="531"/>
    </row>
    <row r="132" spans="1:261" s="367" customFormat="1" ht="16.5" customHeight="1" x14ac:dyDescent="0.3">
      <c r="A132" s="354" t="s">
        <v>2735</v>
      </c>
      <c r="B132" s="470" t="s">
        <v>2763</v>
      </c>
      <c r="C132" s="501" t="s">
        <v>780</v>
      </c>
      <c r="D132" s="502">
        <v>11047</v>
      </c>
      <c r="E132" s="503">
        <v>94</v>
      </c>
      <c r="F132" s="503">
        <v>16</v>
      </c>
      <c r="G132" s="503">
        <v>171</v>
      </c>
      <c r="H132" s="504">
        <v>66</v>
      </c>
      <c r="I132" s="869">
        <v>11157</v>
      </c>
      <c r="J132" s="870">
        <v>171</v>
      </c>
      <c r="K132" s="835">
        <v>66</v>
      </c>
      <c r="L132" s="870">
        <v>11157</v>
      </c>
      <c r="M132" s="870">
        <v>171</v>
      </c>
      <c r="N132" s="835">
        <v>66</v>
      </c>
      <c r="O132" s="870">
        <v>11157</v>
      </c>
      <c r="P132" s="870">
        <v>171</v>
      </c>
      <c r="Q132" s="835">
        <v>66</v>
      </c>
      <c r="R132" s="870">
        <v>11157</v>
      </c>
      <c r="S132" s="870">
        <v>171</v>
      </c>
      <c r="T132" s="835">
        <v>66</v>
      </c>
      <c r="U132" s="870">
        <v>11157</v>
      </c>
      <c r="V132" s="870">
        <v>171</v>
      </c>
      <c r="W132" s="835">
        <v>66</v>
      </c>
      <c r="X132" s="871">
        <f>((11157-10177)/30.5*60)+11157</f>
        <v>13084.868852459016</v>
      </c>
      <c r="Y132" s="871">
        <f>((171-108)/30.5*60)+171</f>
        <v>294.93442622950818</v>
      </c>
      <c r="Z132" s="835">
        <v>66</v>
      </c>
      <c r="AA132" s="874">
        <v>10177</v>
      </c>
      <c r="AB132" s="874">
        <v>108</v>
      </c>
      <c r="AC132" s="831">
        <v>66</v>
      </c>
      <c r="AD132" s="874">
        <v>10177</v>
      </c>
      <c r="AE132" s="874">
        <v>108</v>
      </c>
      <c r="AF132" s="831">
        <v>66</v>
      </c>
      <c r="AG132" s="874">
        <v>10177</v>
      </c>
      <c r="AH132" s="874">
        <v>108</v>
      </c>
      <c r="AI132" s="831">
        <v>66</v>
      </c>
      <c r="AJ132" s="874">
        <v>10177</v>
      </c>
      <c r="AK132" s="874">
        <v>108</v>
      </c>
      <c r="AL132" s="831">
        <v>66</v>
      </c>
      <c r="AM132" s="874">
        <v>10177</v>
      </c>
      <c r="AN132" s="874">
        <v>108</v>
      </c>
      <c r="AO132" s="831">
        <v>66</v>
      </c>
      <c r="AP132" s="874">
        <v>10177</v>
      </c>
      <c r="AQ132" s="874">
        <v>108</v>
      </c>
      <c r="AR132" s="831">
        <v>66</v>
      </c>
      <c r="AS132" s="874">
        <v>10177</v>
      </c>
      <c r="AT132" s="874">
        <v>108</v>
      </c>
      <c r="AU132" s="831">
        <v>66</v>
      </c>
      <c r="AV132" s="874">
        <v>10177</v>
      </c>
      <c r="AW132" s="874">
        <v>108</v>
      </c>
      <c r="AX132" s="831">
        <v>66</v>
      </c>
      <c r="AY132" s="874">
        <v>10177</v>
      </c>
      <c r="AZ132" s="874">
        <v>108</v>
      </c>
      <c r="BA132" s="385">
        <v>66</v>
      </c>
      <c r="BB132" s="484">
        <v>10177</v>
      </c>
      <c r="BC132" s="484">
        <v>108</v>
      </c>
      <c r="BD132" s="385">
        <v>66</v>
      </c>
      <c r="BE132" s="484">
        <v>10177</v>
      </c>
      <c r="BF132" s="484">
        <v>108</v>
      </c>
      <c r="BG132" s="385">
        <v>66</v>
      </c>
      <c r="BH132" s="484">
        <v>10177</v>
      </c>
      <c r="BI132" s="484">
        <v>108</v>
      </c>
      <c r="BJ132" s="385">
        <v>66</v>
      </c>
      <c r="BK132" s="484">
        <v>10177</v>
      </c>
      <c r="BL132" s="484">
        <v>108</v>
      </c>
      <c r="BM132" s="385">
        <v>66</v>
      </c>
      <c r="BN132" s="484">
        <v>10177</v>
      </c>
      <c r="BO132" s="484">
        <v>108</v>
      </c>
      <c r="BP132" s="385">
        <v>66</v>
      </c>
      <c r="BQ132" s="484">
        <v>10177</v>
      </c>
      <c r="BR132" s="484">
        <v>108</v>
      </c>
      <c r="BS132" s="385">
        <v>66</v>
      </c>
      <c r="BT132" s="484">
        <v>10177</v>
      </c>
      <c r="BU132" s="484">
        <v>108</v>
      </c>
      <c r="BV132" s="385">
        <v>66</v>
      </c>
      <c r="BW132" s="484">
        <v>10177</v>
      </c>
      <c r="BX132" s="484">
        <v>108</v>
      </c>
      <c r="BY132" s="385">
        <v>66</v>
      </c>
      <c r="BZ132" s="484">
        <v>10177</v>
      </c>
      <c r="CA132" s="484">
        <v>108</v>
      </c>
      <c r="CB132" s="385">
        <v>66</v>
      </c>
      <c r="CC132" s="484">
        <v>10177</v>
      </c>
      <c r="CD132" s="484">
        <v>108</v>
      </c>
      <c r="CE132" s="385">
        <v>66</v>
      </c>
      <c r="CF132" s="484">
        <v>10177</v>
      </c>
      <c r="CG132" s="484">
        <v>108</v>
      </c>
      <c r="CH132" s="385">
        <v>66</v>
      </c>
      <c r="CI132" s="484">
        <v>10177</v>
      </c>
      <c r="CJ132" s="484">
        <v>108</v>
      </c>
      <c r="CK132" s="385">
        <v>66</v>
      </c>
      <c r="CL132" s="484">
        <v>10177</v>
      </c>
      <c r="CM132" s="484">
        <v>108</v>
      </c>
      <c r="CN132" s="385">
        <v>66</v>
      </c>
      <c r="CO132" s="484">
        <v>10177</v>
      </c>
      <c r="CP132" s="484">
        <v>108</v>
      </c>
      <c r="CQ132" s="385">
        <v>66</v>
      </c>
      <c r="CR132" s="484">
        <v>10177</v>
      </c>
      <c r="CS132" s="484">
        <v>108</v>
      </c>
      <c r="CT132" s="385">
        <v>66</v>
      </c>
      <c r="CU132" s="484">
        <v>10177</v>
      </c>
      <c r="CV132" s="484">
        <v>108</v>
      </c>
      <c r="CW132" s="385">
        <v>66</v>
      </c>
      <c r="CX132" s="484">
        <v>10177</v>
      </c>
      <c r="CY132" s="484">
        <v>108</v>
      </c>
      <c r="CZ132" s="385">
        <v>66</v>
      </c>
      <c r="DA132" s="484">
        <v>10177</v>
      </c>
      <c r="DB132" s="484">
        <v>108</v>
      </c>
      <c r="DC132" s="385">
        <v>66</v>
      </c>
      <c r="DD132" s="484">
        <v>10177</v>
      </c>
      <c r="DE132" s="484">
        <v>108</v>
      </c>
      <c r="DF132" s="385">
        <v>66</v>
      </c>
      <c r="DG132" s="484">
        <v>10177</v>
      </c>
      <c r="DH132" s="484">
        <v>108</v>
      </c>
      <c r="DI132" s="385">
        <v>66</v>
      </c>
      <c r="DJ132" s="484">
        <v>10177</v>
      </c>
      <c r="DK132" s="484">
        <v>108</v>
      </c>
      <c r="DL132" s="385">
        <v>66</v>
      </c>
      <c r="DM132" s="484">
        <v>10177</v>
      </c>
      <c r="DN132" s="484">
        <v>108</v>
      </c>
      <c r="DO132" s="385">
        <v>66</v>
      </c>
      <c r="DP132" s="484">
        <v>10177</v>
      </c>
      <c r="DQ132" s="484">
        <v>108</v>
      </c>
      <c r="DR132" s="385">
        <v>66</v>
      </c>
      <c r="DS132" s="484">
        <v>10177</v>
      </c>
      <c r="DT132" s="484">
        <v>108</v>
      </c>
      <c r="DU132" s="385">
        <v>66</v>
      </c>
      <c r="DV132" s="484">
        <v>10177</v>
      </c>
      <c r="DW132" s="484">
        <v>108</v>
      </c>
      <c r="DX132" s="385">
        <v>66</v>
      </c>
      <c r="DY132" s="484">
        <v>10177</v>
      </c>
      <c r="DZ132" s="484">
        <v>108</v>
      </c>
      <c r="EA132" s="385">
        <v>66</v>
      </c>
      <c r="EB132" s="484">
        <v>10177</v>
      </c>
      <c r="EC132" s="484">
        <v>108</v>
      </c>
      <c r="ED132" s="385">
        <v>66</v>
      </c>
      <c r="EE132" s="484">
        <v>10177</v>
      </c>
      <c r="EF132" s="484">
        <v>108</v>
      </c>
      <c r="EG132" s="385">
        <v>66</v>
      </c>
      <c r="EH132" s="484">
        <v>10177</v>
      </c>
      <c r="EI132" s="484">
        <v>108</v>
      </c>
      <c r="EJ132" s="385">
        <v>66</v>
      </c>
      <c r="EK132" s="478">
        <f>(((10177/30.5)*22)-((2796/30.5)*22)+((10177-2796)*2)+10177)</f>
        <v>30263</v>
      </c>
      <c r="EL132" s="478">
        <f>((108/30.5)*22)+(108*3)</f>
        <v>401.90163934426232</v>
      </c>
      <c r="EM132" s="386">
        <v>66</v>
      </c>
      <c r="EN132" s="385">
        <v>2796</v>
      </c>
      <c r="EO132" s="385"/>
      <c r="EP132" s="385">
        <v>66</v>
      </c>
      <c r="EQ132" s="385">
        <v>2796</v>
      </c>
      <c r="ER132" s="385"/>
      <c r="ES132" s="385">
        <v>66</v>
      </c>
      <c r="ET132" s="385">
        <v>2796</v>
      </c>
      <c r="EU132" s="385"/>
      <c r="EV132" s="385">
        <v>66</v>
      </c>
      <c r="EW132" s="385">
        <v>2796</v>
      </c>
      <c r="EX132" s="385"/>
      <c r="EY132" s="385">
        <v>66</v>
      </c>
      <c r="EZ132" s="385">
        <v>2796</v>
      </c>
      <c r="FA132" s="385"/>
      <c r="FB132" s="385">
        <v>66</v>
      </c>
      <c r="FC132" s="385">
        <v>2796</v>
      </c>
      <c r="FD132" s="385"/>
      <c r="FE132" s="385">
        <v>66</v>
      </c>
      <c r="FF132" s="385">
        <v>2796</v>
      </c>
      <c r="FG132" s="385"/>
      <c r="FH132" s="385">
        <v>66</v>
      </c>
      <c r="FI132" s="385">
        <v>2796</v>
      </c>
      <c r="FJ132" s="385"/>
      <c r="FK132" s="385">
        <v>66</v>
      </c>
      <c r="FL132" s="385">
        <v>2796</v>
      </c>
      <c r="FM132" s="385"/>
      <c r="FN132" s="385">
        <v>66</v>
      </c>
      <c r="FO132" s="385">
        <v>2796</v>
      </c>
      <c r="FP132" s="385"/>
      <c r="FQ132" s="385">
        <v>66</v>
      </c>
      <c r="FR132" s="385">
        <v>2796</v>
      </c>
      <c r="FS132" s="385"/>
      <c r="FT132" s="385">
        <v>66</v>
      </c>
      <c r="FU132" s="386">
        <v>2796</v>
      </c>
      <c r="FV132" s="386"/>
      <c r="FW132" s="386">
        <v>66</v>
      </c>
      <c r="FX132" s="385">
        <v>2796</v>
      </c>
      <c r="FY132" s="385"/>
      <c r="FZ132" s="405"/>
      <c r="GA132" s="385">
        <v>2796</v>
      </c>
      <c r="GB132" s="385"/>
      <c r="GC132" s="405"/>
      <c r="GD132" s="385">
        <v>2796</v>
      </c>
      <c r="GE132" s="385"/>
      <c r="GF132" s="405"/>
      <c r="GG132" s="385">
        <v>2796</v>
      </c>
      <c r="GH132" s="385"/>
      <c r="GI132" s="405"/>
      <c r="GJ132" s="385">
        <v>2796</v>
      </c>
      <c r="GK132" s="385"/>
      <c r="GL132" s="405"/>
      <c r="GM132" s="385">
        <v>2796</v>
      </c>
      <c r="GN132" s="385"/>
      <c r="GO132" s="405"/>
      <c r="GP132" s="385">
        <v>2796</v>
      </c>
      <c r="GQ132" s="385"/>
      <c r="GR132" s="405"/>
      <c r="GS132" s="385">
        <v>2796</v>
      </c>
      <c r="GT132" s="385"/>
      <c r="GU132" s="405"/>
      <c r="GV132" s="386">
        <v>3696.98</v>
      </c>
      <c r="GW132" s="386"/>
      <c r="GX132" s="386"/>
      <c r="GY132" s="387">
        <v>2109.4564263010348</v>
      </c>
      <c r="GZ132" s="387"/>
      <c r="HA132" s="358"/>
      <c r="HB132" s="387">
        <v>2109.4564263010348</v>
      </c>
      <c r="HC132" s="387"/>
      <c r="HD132" s="358"/>
      <c r="HE132" s="387">
        <v>2109.4564263010348</v>
      </c>
      <c r="HF132" s="387"/>
      <c r="HG132" s="358"/>
      <c r="HH132" s="387">
        <v>2109.4564263010348</v>
      </c>
      <c r="HI132" s="358"/>
      <c r="HJ132" s="387">
        <v>2109.4564263010348</v>
      </c>
      <c r="HK132" s="358"/>
      <c r="HL132" s="387">
        <v>2109.4564263010348</v>
      </c>
      <c r="HM132" s="358"/>
      <c r="HN132" s="387">
        <v>2109.4564263010348</v>
      </c>
      <c r="HO132" s="358"/>
      <c r="HP132" s="387">
        <v>2109.4564263010348</v>
      </c>
      <c r="HQ132" s="358"/>
      <c r="HR132" s="387">
        <v>2109.4564263010348</v>
      </c>
      <c r="HS132" s="358"/>
      <c r="HT132" s="387">
        <v>2109.4564263010348</v>
      </c>
      <c r="HU132" s="358"/>
      <c r="HV132" s="388">
        <v>2109.4564263010348</v>
      </c>
      <c r="HW132" s="425"/>
      <c r="HX132" s="423">
        <v>2109.4564263010348</v>
      </c>
      <c r="HY132" s="425"/>
      <c r="HZ132" s="423">
        <v>2109.4564263010348</v>
      </c>
      <c r="IA132" s="425"/>
      <c r="IB132" s="549">
        <v>3838.5190708100799</v>
      </c>
      <c r="IC132" s="425"/>
      <c r="ID132" s="399"/>
      <c r="IE132" s="361"/>
      <c r="IF132" s="399"/>
      <c r="IG132" s="426"/>
      <c r="IH132" s="537"/>
      <c r="II132" s="426"/>
      <c r="IJ132" s="537"/>
      <c r="IK132" s="426"/>
      <c r="IL132" s="499"/>
      <c r="IM132" s="427"/>
      <c r="IN132" s="499"/>
      <c r="IO132" s="427"/>
      <c r="IP132" s="496"/>
      <c r="IQ132" s="427"/>
      <c r="IR132" s="429" t="s">
        <v>2925</v>
      </c>
      <c r="IS132" s="364" t="s">
        <v>77</v>
      </c>
      <c r="IT132" s="365">
        <v>43622</v>
      </c>
      <c r="IU132" s="554">
        <v>43647</v>
      </c>
      <c r="IV132" s="515">
        <v>44348</v>
      </c>
      <c r="IW132" s="526">
        <f t="shared" si="16"/>
        <v>25</v>
      </c>
      <c r="IX132" s="527">
        <f t="shared" si="21"/>
        <v>125.85308428885509</v>
      </c>
      <c r="IY132" s="553">
        <f t="shared" si="20"/>
        <v>3146.327107221377</v>
      </c>
      <c r="IZ132" s="531"/>
      <c r="JA132" s="531"/>
    </row>
    <row r="133" spans="1:261" s="367" customFormat="1" ht="16.5" customHeight="1" x14ac:dyDescent="0.3">
      <c r="A133" s="354" t="s">
        <v>2735</v>
      </c>
      <c r="B133" s="415" t="s">
        <v>2748</v>
      </c>
      <c r="C133" s="378" t="s">
        <v>598</v>
      </c>
      <c r="D133" s="846">
        <f>(517*12)+1229</f>
        <v>7433</v>
      </c>
      <c r="E133" s="868">
        <v>44</v>
      </c>
      <c r="F133" s="868">
        <v>16</v>
      </c>
      <c r="G133" s="868">
        <v>5</v>
      </c>
      <c r="H133" s="449">
        <v>66</v>
      </c>
      <c r="I133" s="830">
        <v>1735</v>
      </c>
      <c r="J133" s="831">
        <f>5</f>
        <v>5</v>
      </c>
      <c r="K133" s="831">
        <v>66</v>
      </c>
      <c r="L133" s="831">
        <v>1735</v>
      </c>
      <c r="M133" s="831">
        <f>5</f>
        <v>5</v>
      </c>
      <c r="N133" s="831">
        <v>66</v>
      </c>
      <c r="O133" s="831">
        <v>1735</v>
      </c>
      <c r="P133" s="831">
        <f>5</f>
        <v>5</v>
      </c>
      <c r="Q133" s="831">
        <v>66</v>
      </c>
      <c r="R133" s="831">
        <v>1735</v>
      </c>
      <c r="S133" s="831">
        <f>5</f>
        <v>5</v>
      </c>
      <c r="T133" s="831">
        <v>66</v>
      </c>
      <c r="U133" s="831">
        <v>1735</v>
      </c>
      <c r="V133" s="831">
        <f>5</f>
        <v>5</v>
      </c>
      <c r="W133" s="831">
        <v>66</v>
      </c>
      <c r="X133" s="831">
        <v>1735</v>
      </c>
      <c r="Y133" s="831">
        <f>5</f>
        <v>5</v>
      </c>
      <c r="Z133" s="831">
        <v>66</v>
      </c>
      <c r="AA133" s="831">
        <v>1735</v>
      </c>
      <c r="AB133" s="831">
        <f>5</f>
        <v>5</v>
      </c>
      <c r="AC133" s="831">
        <v>66</v>
      </c>
      <c r="AD133" s="831">
        <v>1735</v>
      </c>
      <c r="AE133" s="831">
        <f>5</f>
        <v>5</v>
      </c>
      <c r="AF133" s="831">
        <v>66</v>
      </c>
      <c r="AG133" s="831">
        <v>1735</v>
      </c>
      <c r="AH133" s="831">
        <f>5</f>
        <v>5</v>
      </c>
      <c r="AI133" s="831">
        <v>66</v>
      </c>
      <c r="AJ133" s="831">
        <v>1735</v>
      </c>
      <c r="AK133" s="831">
        <f>5</f>
        <v>5</v>
      </c>
      <c r="AL133" s="831">
        <v>66</v>
      </c>
      <c r="AM133" s="831">
        <v>1735</v>
      </c>
      <c r="AN133" s="831">
        <f>5</f>
        <v>5</v>
      </c>
      <c r="AO133" s="831">
        <v>66</v>
      </c>
      <c r="AP133" s="831">
        <v>1735</v>
      </c>
      <c r="AQ133" s="831">
        <f>5</f>
        <v>5</v>
      </c>
      <c r="AR133" s="831">
        <v>66</v>
      </c>
      <c r="AS133" s="831">
        <v>1735</v>
      </c>
      <c r="AT133" s="831">
        <f>5</f>
        <v>5</v>
      </c>
      <c r="AU133" s="831">
        <v>66</v>
      </c>
      <c r="AV133" s="831">
        <v>1735</v>
      </c>
      <c r="AW133" s="831">
        <f>5</f>
        <v>5</v>
      </c>
      <c r="AX133" s="831">
        <v>66</v>
      </c>
      <c r="AY133" s="831">
        <v>1735</v>
      </c>
      <c r="AZ133" s="831">
        <f>5</f>
        <v>5</v>
      </c>
      <c r="BA133" s="369">
        <v>66</v>
      </c>
      <c r="BB133" s="385">
        <v>1735</v>
      </c>
      <c r="BC133" s="385">
        <f>5</f>
        <v>5</v>
      </c>
      <c r="BD133" s="369">
        <v>66</v>
      </c>
      <c r="BE133" s="385">
        <v>1735</v>
      </c>
      <c r="BF133" s="385">
        <f>5</f>
        <v>5</v>
      </c>
      <c r="BG133" s="369">
        <v>66</v>
      </c>
      <c r="BH133" s="385">
        <v>1735</v>
      </c>
      <c r="BI133" s="385">
        <f>5</f>
        <v>5</v>
      </c>
      <c r="BJ133" s="369">
        <v>66</v>
      </c>
      <c r="BK133" s="385">
        <v>1735</v>
      </c>
      <c r="BL133" s="385">
        <f>5</f>
        <v>5</v>
      </c>
      <c r="BM133" s="369">
        <v>66</v>
      </c>
      <c r="BN133" s="385">
        <v>1735</v>
      </c>
      <c r="BO133" s="385">
        <f>5</f>
        <v>5</v>
      </c>
      <c r="BP133" s="369">
        <v>66</v>
      </c>
      <c r="BQ133" s="385">
        <v>1735</v>
      </c>
      <c r="BR133" s="385">
        <f>5</f>
        <v>5</v>
      </c>
      <c r="BS133" s="369">
        <v>66</v>
      </c>
      <c r="BT133" s="385">
        <v>1735</v>
      </c>
      <c r="BU133" s="385">
        <f>5</f>
        <v>5</v>
      </c>
      <c r="BV133" s="369">
        <v>66</v>
      </c>
      <c r="BW133" s="385">
        <v>1735</v>
      </c>
      <c r="BX133" s="385">
        <f>5</f>
        <v>5</v>
      </c>
      <c r="BY133" s="369">
        <v>66</v>
      </c>
      <c r="BZ133" s="385">
        <v>1735</v>
      </c>
      <c r="CA133" s="385">
        <f>5</f>
        <v>5</v>
      </c>
      <c r="CB133" s="369">
        <v>66</v>
      </c>
      <c r="CC133" s="385">
        <v>1735</v>
      </c>
      <c r="CD133" s="385">
        <f>5</f>
        <v>5</v>
      </c>
      <c r="CE133" s="369">
        <v>66</v>
      </c>
      <c r="CF133" s="385">
        <v>1735</v>
      </c>
      <c r="CG133" s="385">
        <f>5</f>
        <v>5</v>
      </c>
      <c r="CH133" s="369">
        <v>66</v>
      </c>
      <c r="CI133" s="385">
        <v>1735</v>
      </c>
      <c r="CJ133" s="385">
        <f>5</f>
        <v>5</v>
      </c>
      <c r="CK133" s="369">
        <v>66</v>
      </c>
      <c r="CL133" s="385">
        <v>1735</v>
      </c>
      <c r="CM133" s="385">
        <f>5</f>
        <v>5</v>
      </c>
      <c r="CN133" s="369">
        <v>66</v>
      </c>
      <c r="CO133" s="385">
        <v>1735</v>
      </c>
      <c r="CP133" s="385">
        <f>5</f>
        <v>5</v>
      </c>
      <c r="CQ133" s="369">
        <v>66</v>
      </c>
      <c r="CR133" s="385">
        <v>1735</v>
      </c>
      <c r="CS133" s="385">
        <f>5</f>
        <v>5</v>
      </c>
      <c r="CT133" s="369">
        <v>66</v>
      </c>
      <c r="CU133" s="385">
        <v>1735</v>
      </c>
      <c r="CV133" s="385">
        <f>5</f>
        <v>5</v>
      </c>
      <c r="CW133" s="369">
        <v>66</v>
      </c>
      <c r="CX133" s="385">
        <v>1735</v>
      </c>
      <c r="CY133" s="385">
        <f>5</f>
        <v>5</v>
      </c>
      <c r="CZ133" s="369">
        <v>66</v>
      </c>
      <c r="DA133" s="385">
        <v>1735</v>
      </c>
      <c r="DB133" s="385">
        <f>5</f>
        <v>5</v>
      </c>
      <c r="DC133" s="369">
        <v>66</v>
      </c>
      <c r="DD133" s="385">
        <v>1735</v>
      </c>
      <c r="DE133" s="385">
        <f>5</f>
        <v>5</v>
      </c>
      <c r="DF133" s="369">
        <v>66</v>
      </c>
      <c r="DG133" s="385">
        <v>1735</v>
      </c>
      <c r="DH133" s="385">
        <f>5</f>
        <v>5</v>
      </c>
      <c r="DI133" s="369">
        <v>66</v>
      </c>
      <c r="DJ133" s="385">
        <v>1735</v>
      </c>
      <c r="DK133" s="385">
        <f>5</f>
        <v>5</v>
      </c>
      <c r="DL133" s="369">
        <v>66</v>
      </c>
      <c r="DM133" s="385">
        <v>1735</v>
      </c>
      <c r="DN133" s="385">
        <f>5</f>
        <v>5</v>
      </c>
      <c r="DO133" s="369">
        <v>66</v>
      </c>
      <c r="DP133" s="385">
        <v>1735</v>
      </c>
      <c r="DQ133" s="385">
        <f>5</f>
        <v>5</v>
      </c>
      <c r="DR133" s="369">
        <v>66</v>
      </c>
      <c r="DS133" s="385">
        <v>1735</v>
      </c>
      <c r="DT133" s="385">
        <f>5</f>
        <v>5</v>
      </c>
      <c r="DU133" s="369">
        <v>66</v>
      </c>
      <c r="DV133" s="386">
        <f>((1735-1331)/30.5)*12+(1735-1331)*8+1735</f>
        <v>5125.9508196721308</v>
      </c>
      <c r="DW133" s="386">
        <f>5</f>
        <v>5</v>
      </c>
      <c r="DX133" s="370">
        <v>66</v>
      </c>
      <c r="DY133" s="385">
        <v>1331.2564263010345</v>
      </c>
      <c r="DZ133" s="385">
        <f>5</f>
        <v>5</v>
      </c>
      <c r="EA133" s="369">
        <v>66</v>
      </c>
      <c r="EB133" s="385">
        <v>1331.2564263010345</v>
      </c>
      <c r="EC133" s="385">
        <f>5</f>
        <v>5</v>
      </c>
      <c r="ED133" s="369">
        <v>66</v>
      </c>
      <c r="EE133" s="385">
        <v>1331.2564263010345</v>
      </c>
      <c r="EF133" s="385">
        <f>5</f>
        <v>5</v>
      </c>
      <c r="EG133" s="369">
        <v>66</v>
      </c>
      <c r="EH133" s="385">
        <v>1331.2564263010345</v>
      </c>
      <c r="EI133" s="385">
        <f>5</f>
        <v>5</v>
      </c>
      <c r="EJ133" s="369">
        <v>66</v>
      </c>
      <c r="EK133" s="385">
        <v>1331.2564263010345</v>
      </c>
      <c r="EL133" s="385">
        <f>5</f>
        <v>5</v>
      </c>
      <c r="EM133" s="369">
        <v>66</v>
      </c>
      <c r="EN133" s="385">
        <v>1331.2564263010345</v>
      </c>
      <c r="EO133" s="385">
        <f>5</f>
        <v>5</v>
      </c>
      <c r="EP133" s="369">
        <v>66</v>
      </c>
      <c r="EQ133" s="385">
        <v>1331.2564263010345</v>
      </c>
      <c r="ER133" s="385">
        <f>5</f>
        <v>5</v>
      </c>
      <c r="ES133" s="369">
        <v>66</v>
      </c>
      <c r="ET133" s="385">
        <v>1331.2564263010345</v>
      </c>
      <c r="EU133" s="385">
        <f>5</f>
        <v>5</v>
      </c>
      <c r="EV133" s="369">
        <v>66</v>
      </c>
      <c r="EW133" s="385">
        <v>1331.2564263010345</v>
      </c>
      <c r="EX133" s="385">
        <f>5</f>
        <v>5</v>
      </c>
      <c r="EY133" s="369">
        <v>66</v>
      </c>
      <c r="EZ133" s="385">
        <v>1331.2564263010345</v>
      </c>
      <c r="FA133" s="385">
        <f>5</f>
        <v>5</v>
      </c>
      <c r="FB133" s="369">
        <v>66</v>
      </c>
      <c r="FC133" s="385">
        <v>1331.2564263010345</v>
      </c>
      <c r="FD133" s="385">
        <f>5</f>
        <v>5</v>
      </c>
      <c r="FE133" s="369">
        <v>66</v>
      </c>
      <c r="FF133" s="385">
        <v>1331.2564263010345</v>
      </c>
      <c r="FG133" s="385">
        <f>5</f>
        <v>5</v>
      </c>
      <c r="FH133" s="369">
        <v>66</v>
      </c>
      <c r="FI133" s="385">
        <v>1331.2564263010345</v>
      </c>
      <c r="FJ133" s="385">
        <f>5</f>
        <v>5</v>
      </c>
      <c r="FK133" s="369">
        <v>66</v>
      </c>
      <c r="FL133" s="385">
        <v>1331.2564263010345</v>
      </c>
      <c r="FM133" s="385">
        <f>5</f>
        <v>5</v>
      </c>
      <c r="FN133" s="369">
        <v>66</v>
      </c>
      <c r="FO133" s="385">
        <v>1331.2564263010345</v>
      </c>
      <c r="FP133" s="385">
        <f>5</f>
        <v>5</v>
      </c>
      <c r="FQ133" s="369">
        <v>66</v>
      </c>
      <c r="FR133" s="386">
        <v>1331.2564263010345</v>
      </c>
      <c r="FS133" s="386">
        <f>5</f>
        <v>5</v>
      </c>
      <c r="FT133" s="370">
        <v>66</v>
      </c>
      <c r="FU133" s="385">
        <v>1331.2564263010345</v>
      </c>
      <c r="FV133" s="385">
        <f>5</f>
        <v>5</v>
      </c>
      <c r="FW133" s="358"/>
      <c r="FX133" s="385">
        <v>1331.2564263010345</v>
      </c>
      <c r="FY133" s="385">
        <f>5</f>
        <v>5</v>
      </c>
      <c r="FZ133" s="358"/>
      <c r="GA133" s="385">
        <v>1331.2564263010345</v>
      </c>
      <c r="GB133" s="385">
        <f>5</f>
        <v>5</v>
      </c>
      <c r="GC133" s="358"/>
      <c r="GD133" s="385">
        <v>1331.2564263010345</v>
      </c>
      <c r="GE133" s="385">
        <f>5</f>
        <v>5</v>
      </c>
      <c r="GF133" s="358"/>
      <c r="GG133" s="385">
        <v>1331.2564263010345</v>
      </c>
      <c r="GH133" s="385">
        <f>5</f>
        <v>5</v>
      </c>
      <c r="GI133" s="358"/>
      <c r="GJ133" s="385">
        <v>1331.2564263010345</v>
      </c>
      <c r="GK133" s="385">
        <f>5</f>
        <v>5</v>
      </c>
      <c r="GL133" s="358"/>
      <c r="GM133" s="385">
        <v>1331.2564263010345</v>
      </c>
      <c r="GN133" s="385">
        <f>5</f>
        <v>5</v>
      </c>
      <c r="GO133" s="358"/>
      <c r="GP133" s="385">
        <v>1331.2564263010345</v>
      </c>
      <c r="GQ133" s="385">
        <f>5</f>
        <v>5</v>
      </c>
      <c r="GR133" s="358"/>
      <c r="GS133" s="385">
        <v>1331.2564263010345</v>
      </c>
      <c r="GT133" s="385">
        <f>5</f>
        <v>5</v>
      </c>
      <c r="GU133" s="358"/>
      <c r="GV133" s="385">
        <v>1331.2564263010345</v>
      </c>
      <c r="GW133" s="385">
        <f>5</f>
        <v>5</v>
      </c>
      <c r="GX133" s="358"/>
      <c r="GY133" s="385">
        <v>1331.2564263010345</v>
      </c>
      <c r="GZ133" s="385">
        <f>5</f>
        <v>5</v>
      </c>
      <c r="HA133" s="358"/>
      <c r="HB133" s="385">
        <v>1331.2564263010345</v>
      </c>
      <c r="HC133" s="385">
        <f>5</f>
        <v>5</v>
      </c>
      <c r="HD133" s="358"/>
      <c r="HE133" s="387">
        <v>1331.2564263010345</v>
      </c>
      <c r="HF133" s="386">
        <f>5*6</f>
        <v>30</v>
      </c>
      <c r="HG133" s="358"/>
      <c r="HH133" s="387">
        <v>1331.2564263010345</v>
      </c>
      <c r="HI133" s="358"/>
      <c r="HJ133" s="387">
        <v>1331.2564263010345</v>
      </c>
      <c r="HK133" s="358"/>
      <c r="HL133" s="387">
        <v>1331.2564263010345</v>
      </c>
      <c r="HM133" s="358"/>
      <c r="HN133" s="387">
        <v>1331.2564263010345</v>
      </c>
      <c r="HO133" s="358"/>
      <c r="HP133" s="387">
        <v>1331.2564263010345</v>
      </c>
      <c r="HQ133" s="358"/>
      <c r="HR133" s="387">
        <v>1331.2564263010345</v>
      </c>
      <c r="HS133" s="358"/>
      <c r="HT133" s="387">
        <v>1331.2564263010345</v>
      </c>
      <c r="HU133" s="358"/>
      <c r="HV133" s="388">
        <v>1331.2564263010345</v>
      </c>
      <c r="HW133" s="425"/>
      <c r="HX133" s="423">
        <v>1331.2564263010345</v>
      </c>
      <c r="HY133" s="425"/>
      <c r="HZ133" s="423">
        <v>1331.2564263010345</v>
      </c>
      <c r="IA133" s="425"/>
      <c r="IB133" s="549">
        <v>2422.4502183510626</v>
      </c>
      <c r="IC133" s="425"/>
      <c r="ID133" s="399"/>
      <c r="IE133" s="361"/>
      <c r="IF133" s="399"/>
      <c r="IG133" s="426"/>
      <c r="IH133" s="537"/>
      <c r="II133" s="426"/>
      <c r="IJ133" s="537"/>
      <c r="IK133" s="426"/>
      <c r="IL133" s="499"/>
      <c r="IM133" s="427"/>
      <c r="IN133" s="499"/>
      <c r="IO133" s="427"/>
      <c r="IP133" s="496"/>
      <c r="IQ133" s="427"/>
      <c r="IR133" s="429" t="s">
        <v>3358</v>
      </c>
      <c r="IS133" s="364" t="s">
        <v>77</v>
      </c>
      <c r="IT133" s="365">
        <v>43622</v>
      </c>
      <c r="IU133" s="371">
        <v>43647</v>
      </c>
      <c r="IV133" s="555">
        <v>44609</v>
      </c>
      <c r="IW133" s="556">
        <f t="shared" si="16"/>
        <v>25</v>
      </c>
      <c r="IX133" s="557">
        <f t="shared" si="21"/>
        <v>79.424597322985662</v>
      </c>
      <c r="IY133" s="558">
        <f t="shared" si="20"/>
        <v>1985.6149330746416</v>
      </c>
      <c r="IZ133" s="531"/>
      <c r="JA133" s="531"/>
    </row>
    <row r="134" spans="1:261" s="367" customFormat="1" ht="16.5" customHeight="1" x14ac:dyDescent="0.3">
      <c r="A134" s="354" t="s">
        <v>2743</v>
      </c>
      <c r="B134" s="395" t="s">
        <v>2763</v>
      </c>
      <c r="C134" s="519" t="s">
        <v>1152</v>
      </c>
      <c r="D134" s="520">
        <v>1665</v>
      </c>
      <c r="E134" s="508">
        <v>84</v>
      </c>
      <c r="F134" s="508">
        <v>0</v>
      </c>
      <c r="G134" s="508">
        <v>171</v>
      </c>
      <c r="H134" s="510">
        <v>0</v>
      </c>
      <c r="I134" s="841">
        <v>1749</v>
      </c>
      <c r="J134" s="835">
        <v>171</v>
      </c>
      <c r="K134" s="835"/>
      <c r="L134" s="835">
        <v>1749</v>
      </c>
      <c r="M134" s="835">
        <v>171</v>
      </c>
      <c r="N134" s="835"/>
      <c r="O134" s="835">
        <v>1749</v>
      </c>
      <c r="P134" s="835">
        <v>171</v>
      </c>
      <c r="Q134" s="835"/>
      <c r="R134" s="835">
        <v>1749</v>
      </c>
      <c r="S134" s="835">
        <v>171</v>
      </c>
      <c r="T134" s="835"/>
      <c r="U134" s="835">
        <v>1749</v>
      </c>
      <c r="V134" s="835">
        <v>171</v>
      </c>
      <c r="W134" s="835"/>
      <c r="X134" s="835">
        <v>1749</v>
      </c>
      <c r="Y134" s="835">
        <v>171</v>
      </c>
      <c r="Z134" s="835"/>
      <c r="AA134" s="835">
        <v>1749</v>
      </c>
      <c r="AB134" s="835">
        <v>171</v>
      </c>
      <c r="AC134" s="835"/>
      <c r="AD134" s="835">
        <v>1749</v>
      </c>
      <c r="AE134" s="835">
        <v>171</v>
      </c>
      <c r="AF134" s="835"/>
      <c r="AG134" s="842">
        <f>((1749-1225)/30.5)*5+1749</f>
        <v>1834.9016393442623</v>
      </c>
      <c r="AH134" s="842">
        <f>(171/30.5)*5+171</f>
        <v>199.03278688524591</v>
      </c>
      <c r="AI134" s="842"/>
      <c r="AJ134" s="835">
        <v>1225</v>
      </c>
      <c r="AK134" s="835"/>
      <c r="AL134" s="827"/>
      <c r="AM134" s="835">
        <v>1225</v>
      </c>
      <c r="AN134" s="835"/>
      <c r="AO134" s="827"/>
      <c r="AP134" s="835">
        <v>1225</v>
      </c>
      <c r="AQ134" s="835"/>
      <c r="AR134" s="827"/>
      <c r="AS134" s="835">
        <v>1225</v>
      </c>
      <c r="AT134" s="835"/>
      <c r="AU134" s="827"/>
      <c r="AV134" s="835">
        <v>1225</v>
      </c>
      <c r="AW134" s="835"/>
      <c r="AX134" s="827"/>
      <c r="AY134" s="835">
        <v>1225</v>
      </c>
      <c r="AZ134" s="835"/>
      <c r="BA134" s="358"/>
      <c r="BB134" s="384">
        <v>1225</v>
      </c>
      <c r="BC134" s="384"/>
      <c r="BD134" s="358"/>
      <c r="BE134" s="384">
        <v>1225</v>
      </c>
      <c r="BF134" s="384"/>
      <c r="BG134" s="358"/>
      <c r="BH134" s="384">
        <v>1225</v>
      </c>
      <c r="BI134" s="384"/>
      <c r="BJ134" s="472"/>
      <c r="BK134" s="385">
        <v>1225</v>
      </c>
      <c r="BL134" s="385"/>
      <c r="BM134" s="358"/>
      <c r="BN134" s="385">
        <v>1225</v>
      </c>
      <c r="BO134" s="385"/>
      <c r="BP134" s="358"/>
      <c r="BQ134" s="385">
        <v>1225</v>
      </c>
      <c r="BR134" s="385"/>
      <c r="BS134" s="358"/>
      <c r="BT134" s="385">
        <v>1225</v>
      </c>
      <c r="BU134" s="385"/>
      <c r="BV134" s="358"/>
      <c r="BW134" s="385">
        <v>1225</v>
      </c>
      <c r="BX134" s="385"/>
      <c r="BY134" s="358"/>
      <c r="BZ134" s="385">
        <v>1225</v>
      </c>
      <c r="CA134" s="385"/>
      <c r="CB134" s="358"/>
      <c r="CC134" s="385">
        <v>1225</v>
      </c>
      <c r="CD134" s="385"/>
      <c r="CE134" s="358"/>
      <c r="CF134" s="385">
        <v>1225</v>
      </c>
      <c r="CG134" s="385"/>
      <c r="CH134" s="358"/>
      <c r="CI134" s="385">
        <v>1225</v>
      </c>
      <c r="CJ134" s="385"/>
      <c r="CK134" s="358"/>
      <c r="CL134" s="385">
        <v>1225</v>
      </c>
      <c r="CM134" s="385"/>
      <c r="CN134" s="358"/>
      <c r="CO134" s="385">
        <v>1225</v>
      </c>
      <c r="CP134" s="385"/>
      <c r="CQ134" s="358"/>
      <c r="CR134" s="385">
        <v>1225</v>
      </c>
      <c r="CS134" s="385"/>
      <c r="CT134" s="358"/>
      <c r="CU134" s="385">
        <v>1225</v>
      </c>
      <c r="CV134" s="385"/>
      <c r="CW134" s="358"/>
      <c r="CX134" s="385">
        <v>1225</v>
      </c>
      <c r="CY134" s="385"/>
      <c r="CZ134" s="358"/>
      <c r="DA134" s="385">
        <v>1225</v>
      </c>
      <c r="DB134" s="385"/>
      <c r="DC134" s="358"/>
      <c r="DD134" s="385">
        <v>1225</v>
      </c>
      <c r="DE134" s="385"/>
      <c r="DF134" s="358"/>
      <c r="DG134" s="385">
        <v>1225</v>
      </c>
      <c r="DH134" s="385"/>
      <c r="DI134" s="358"/>
      <c r="DJ134" s="385">
        <v>1225</v>
      </c>
      <c r="DK134" s="385"/>
      <c r="DL134" s="358"/>
      <c r="DM134" s="385">
        <v>1225</v>
      </c>
      <c r="DN134" s="385"/>
      <c r="DO134" s="358"/>
      <c r="DP134" s="385">
        <v>1225</v>
      </c>
      <c r="DQ134" s="385"/>
      <c r="DR134" s="358"/>
      <c r="DS134" s="385">
        <v>1225</v>
      </c>
      <c r="DT134" s="385"/>
      <c r="DU134" s="358"/>
      <c r="DV134" s="385">
        <v>1225</v>
      </c>
      <c r="DW134" s="385"/>
      <c r="DX134" s="358"/>
      <c r="DY134" s="385">
        <v>1225</v>
      </c>
      <c r="DZ134" s="385"/>
      <c r="EA134" s="358"/>
      <c r="EB134" s="385">
        <v>1225</v>
      </c>
      <c r="EC134" s="385"/>
      <c r="ED134" s="358"/>
      <c r="EE134" s="385">
        <v>1225</v>
      </c>
      <c r="EF134" s="385"/>
      <c r="EG134" s="358"/>
      <c r="EH134" s="385">
        <v>1225</v>
      </c>
      <c r="EI134" s="385"/>
      <c r="EJ134" s="358"/>
      <c r="EK134" s="385">
        <v>1225</v>
      </c>
      <c r="EL134" s="385"/>
      <c r="EM134" s="358"/>
      <c r="EN134" s="385">
        <v>1225</v>
      </c>
      <c r="EO134" s="385"/>
      <c r="EP134" s="358"/>
      <c r="EQ134" s="385">
        <v>1225</v>
      </c>
      <c r="ER134" s="385"/>
      <c r="ES134" s="358"/>
      <c r="ET134" s="385">
        <v>1225</v>
      </c>
      <c r="EU134" s="385"/>
      <c r="EV134" s="358"/>
      <c r="EW134" s="385">
        <v>1225</v>
      </c>
      <c r="EX134" s="385"/>
      <c r="EY134" s="358"/>
      <c r="EZ134" s="385">
        <v>1225</v>
      </c>
      <c r="FA134" s="385"/>
      <c r="FB134" s="358"/>
      <c r="FC134" s="385">
        <v>1225</v>
      </c>
      <c r="FD134" s="385"/>
      <c r="FE134" s="358"/>
      <c r="FF134" s="385">
        <v>1225</v>
      </c>
      <c r="FG134" s="385"/>
      <c r="FH134" s="358"/>
      <c r="FI134" s="385">
        <v>1225</v>
      </c>
      <c r="FJ134" s="385"/>
      <c r="FK134" s="358"/>
      <c r="FL134" s="385">
        <v>1225</v>
      </c>
      <c r="FM134" s="385"/>
      <c r="FN134" s="358"/>
      <c r="FO134" s="385">
        <v>1225</v>
      </c>
      <c r="FP134" s="385"/>
      <c r="FQ134" s="358"/>
      <c r="FR134" s="385">
        <v>1225</v>
      </c>
      <c r="FS134" s="385"/>
      <c r="FT134" s="358"/>
      <c r="FU134" s="385">
        <v>1225</v>
      </c>
      <c r="FV134" s="385"/>
      <c r="FW134" s="358"/>
      <c r="FX134" s="385">
        <v>1225</v>
      </c>
      <c r="FY134" s="385"/>
      <c r="FZ134" s="358"/>
      <c r="GA134" s="385">
        <v>1225</v>
      </c>
      <c r="GB134" s="385"/>
      <c r="GC134" s="358"/>
      <c r="GD134" s="385">
        <v>1225</v>
      </c>
      <c r="GE134" s="385"/>
      <c r="GF134" s="358"/>
      <c r="GG134" s="385">
        <v>1225</v>
      </c>
      <c r="GH134" s="385"/>
      <c r="GI134" s="358"/>
      <c r="GJ134" s="385">
        <v>1225</v>
      </c>
      <c r="GK134" s="385"/>
      <c r="GL134" s="358"/>
      <c r="GM134" s="385">
        <v>1225</v>
      </c>
      <c r="GN134" s="385"/>
      <c r="GO134" s="358"/>
      <c r="GP134" s="385">
        <v>1225</v>
      </c>
      <c r="GQ134" s="385"/>
      <c r="GR134" s="358"/>
      <c r="GS134" s="385">
        <v>1225</v>
      </c>
      <c r="GT134" s="385"/>
      <c r="GU134" s="358"/>
      <c r="GV134" s="385">
        <v>1225</v>
      </c>
      <c r="GW134" s="385"/>
      <c r="GX134" s="358"/>
      <c r="GY134" s="385">
        <v>1225</v>
      </c>
      <c r="GZ134" s="385"/>
      <c r="HA134" s="358"/>
      <c r="HB134" s="385">
        <v>1225</v>
      </c>
      <c r="HC134" s="385"/>
      <c r="HD134" s="358"/>
      <c r="HE134" s="385">
        <v>1225</v>
      </c>
      <c r="HF134" s="385"/>
      <c r="HG134" s="358"/>
      <c r="HH134" s="385">
        <v>1225</v>
      </c>
      <c r="HI134" s="358"/>
      <c r="HJ134" s="385">
        <v>1225</v>
      </c>
      <c r="HK134" s="358"/>
      <c r="HL134" s="385">
        <v>1225</v>
      </c>
      <c r="HM134" s="358"/>
      <c r="HN134" s="385">
        <v>1225</v>
      </c>
      <c r="HO134" s="358"/>
      <c r="HP134" s="385">
        <v>1225</v>
      </c>
      <c r="HQ134" s="358"/>
      <c r="HR134" s="385">
        <v>1225</v>
      </c>
      <c r="HS134" s="358"/>
      <c r="HT134" s="386">
        <f>1055+284.26</f>
        <v>1339.26</v>
      </c>
      <c r="HU134" s="358"/>
      <c r="HV134" s="388">
        <v>1055</v>
      </c>
      <c r="HW134" s="425"/>
      <c r="HX134" s="423">
        <v>1055.0564263010344</v>
      </c>
      <c r="HY134" s="425"/>
      <c r="HZ134" s="423">
        <v>1055.0564263010344</v>
      </c>
      <c r="IA134" s="425"/>
      <c r="IB134" s="549">
        <v>1746.8967058426965</v>
      </c>
      <c r="IC134" s="425"/>
      <c r="ID134" s="399"/>
      <c r="IE134" s="361"/>
      <c r="IF134" s="399"/>
      <c r="IG134" s="426"/>
      <c r="IH134" s="537"/>
      <c r="II134" s="426"/>
      <c r="IJ134" s="537"/>
      <c r="IK134" s="426"/>
      <c r="IL134" s="499"/>
      <c r="IM134" s="427"/>
      <c r="IN134" s="499"/>
      <c r="IO134" s="427"/>
      <c r="IP134" s="496"/>
      <c r="IQ134" s="427"/>
      <c r="IR134" s="429" t="s">
        <v>3359</v>
      </c>
      <c r="IS134" s="364" t="s">
        <v>77</v>
      </c>
      <c r="IT134" s="365">
        <v>43627</v>
      </c>
      <c r="IU134" s="371">
        <v>43647</v>
      </c>
      <c r="IW134" s="372">
        <f t="shared" si="16"/>
        <v>20</v>
      </c>
      <c r="IX134" s="373">
        <f t="shared" si="21"/>
        <v>57.275301830908084</v>
      </c>
      <c r="IY134" s="531">
        <f t="shared" si="20"/>
        <v>1145.5060366181617</v>
      </c>
      <c r="IZ134" s="531"/>
      <c r="JA134" s="531"/>
    </row>
    <row r="135" spans="1:261" s="367" customFormat="1" ht="16.5" customHeight="1" x14ac:dyDescent="0.3">
      <c r="A135" s="401" t="s">
        <v>3315</v>
      </c>
      <c r="B135" s="402" t="s">
        <v>3315</v>
      </c>
      <c r="C135" s="434" t="s">
        <v>2776</v>
      </c>
      <c r="D135" s="856"/>
      <c r="E135" s="751"/>
      <c r="F135" s="751"/>
      <c r="G135" s="751"/>
      <c r="H135" s="857"/>
      <c r="I135" s="896">
        <v>0</v>
      </c>
      <c r="J135" s="897">
        <v>0</v>
      </c>
      <c r="K135" s="833">
        <v>0</v>
      </c>
      <c r="L135" s="897">
        <v>0</v>
      </c>
      <c r="M135" s="897">
        <v>0</v>
      </c>
      <c r="N135" s="833">
        <v>0</v>
      </c>
      <c r="O135" s="897">
        <v>0</v>
      </c>
      <c r="P135" s="897">
        <v>0</v>
      </c>
      <c r="Q135" s="836">
        <v>0</v>
      </c>
      <c r="R135" s="897">
        <v>0</v>
      </c>
      <c r="S135" s="897">
        <v>0</v>
      </c>
      <c r="T135" s="836">
        <v>0</v>
      </c>
      <c r="U135" s="897">
        <v>0</v>
      </c>
      <c r="V135" s="897">
        <v>0</v>
      </c>
      <c r="W135" s="836">
        <v>0</v>
      </c>
      <c r="X135" s="897">
        <v>0</v>
      </c>
      <c r="Y135" s="897">
        <v>0</v>
      </c>
      <c r="Z135" s="836">
        <v>0</v>
      </c>
      <c r="AA135" s="876">
        <v>776</v>
      </c>
      <c r="AB135" s="876">
        <v>14</v>
      </c>
      <c r="AC135" s="836"/>
      <c r="AD135" s="876">
        <v>776</v>
      </c>
      <c r="AE135" s="876">
        <v>14</v>
      </c>
      <c r="AF135" s="836"/>
      <c r="AG135" s="876">
        <v>776</v>
      </c>
      <c r="AH135" s="876">
        <v>14</v>
      </c>
      <c r="AI135" s="836"/>
      <c r="AJ135" s="876">
        <v>776</v>
      </c>
      <c r="AK135" s="876">
        <v>14</v>
      </c>
      <c r="AL135" s="836"/>
      <c r="AM135" s="831">
        <v>776</v>
      </c>
      <c r="AN135" s="831">
        <v>14</v>
      </c>
      <c r="AO135" s="827"/>
      <c r="AP135" s="831">
        <v>776</v>
      </c>
      <c r="AQ135" s="831">
        <v>14</v>
      </c>
      <c r="AR135" s="827"/>
      <c r="AS135" s="831">
        <v>776</v>
      </c>
      <c r="AT135" s="831">
        <v>14</v>
      </c>
      <c r="AU135" s="827"/>
      <c r="AV135" s="831">
        <v>776</v>
      </c>
      <c r="AW135" s="831">
        <v>14</v>
      </c>
      <c r="AX135" s="827"/>
      <c r="AY135" s="831">
        <v>776</v>
      </c>
      <c r="AZ135" s="831">
        <v>14</v>
      </c>
      <c r="BA135" s="358"/>
      <c r="BB135" s="385">
        <v>776</v>
      </c>
      <c r="BC135" s="385">
        <v>14</v>
      </c>
      <c r="BD135" s="358"/>
      <c r="BE135" s="385">
        <v>776</v>
      </c>
      <c r="BF135" s="385">
        <v>14</v>
      </c>
      <c r="BG135" s="358"/>
      <c r="BH135" s="385">
        <v>776</v>
      </c>
      <c r="BI135" s="385">
        <v>14</v>
      </c>
      <c r="BJ135" s="369"/>
      <c r="BK135" s="385">
        <v>776</v>
      </c>
      <c r="BL135" s="385">
        <v>14</v>
      </c>
      <c r="BM135" s="369"/>
      <c r="BN135" s="385">
        <v>776</v>
      </c>
      <c r="BO135" s="385">
        <v>14</v>
      </c>
      <c r="BP135" s="369"/>
      <c r="BQ135" s="385">
        <v>776</v>
      </c>
      <c r="BR135" s="385">
        <v>14</v>
      </c>
      <c r="BS135" s="369"/>
      <c r="BT135" s="385">
        <v>776</v>
      </c>
      <c r="BU135" s="385">
        <v>14</v>
      </c>
      <c r="BV135" s="369"/>
      <c r="BW135" s="385">
        <v>776</v>
      </c>
      <c r="BX135" s="385">
        <v>14</v>
      </c>
      <c r="BY135" s="369"/>
      <c r="BZ135" s="385">
        <v>776</v>
      </c>
      <c r="CA135" s="385">
        <v>14</v>
      </c>
      <c r="CB135" s="369"/>
      <c r="CC135" s="385">
        <v>776</v>
      </c>
      <c r="CD135" s="385">
        <v>14</v>
      </c>
      <c r="CE135" s="369"/>
      <c r="CF135" s="385">
        <v>776</v>
      </c>
      <c r="CG135" s="385">
        <v>14</v>
      </c>
      <c r="CH135" s="369"/>
      <c r="CI135" s="385">
        <v>776</v>
      </c>
      <c r="CJ135" s="385">
        <v>14</v>
      </c>
      <c r="CK135" s="369"/>
      <c r="CL135" s="385">
        <v>776</v>
      </c>
      <c r="CM135" s="385">
        <v>14</v>
      </c>
      <c r="CN135" s="369"/>
      <c r="CO135" s="385">
        <v>776</v>
      </c>
      <c r="CP135" s="385">
        <v>14</v>
      </c>
      <c r="CQ135" s="369"/>
      <c r="CR135" s="385">
        <v>776</v>
      </c>
      <c r="CS135" s="385">
        <v>14</v>
      </c>
      <c r="CT135" s="369"/>
      <c r="CU135" s="385">
        <v>776</v>
      </c>
      <c r="CV135" s="385">
        <v>14</v>
      </c>
      <c r="CW135" s="369"/>
      <c r="CX135" s="385">
        <v>776</v>
      </c>
      <c r="CY135" s="385">
        <v>14</v>
      </c>
      <c r="CZ135" s="369"/>
      <c r="DA135" s="385">
        <v>776</v>
      </c>
      <c r="DB135" s="385">
        <v>14</v>
      </c>
      <c r="DC135" s="369"/>
      <c r="DD135" s="386">
        <f>((776-713)/30.5)*14+776</f>
        <v>804.91803278688531</v>
      </c>
      <c r="DE135" s="386">
        <f>(14/30.5*14)+14</f>
        <v>20.42622950819672</v>
      </c>
      <c r="DF135" s="370"/>
      <c r="DG135" s="387">
        <v>713</v>
      </c>
      <c r="DH135" s="387"/>
      <c r="DI135" s="358"/>
      <c r="DJ135" s="387">
        <v>713</v>
      </c>
      <c r="DK135" s="387"/>
      <c r="DL135" s="358"/>
      <c r="DM135" s="387">
        <v>713</v>
      </c>
      <c r="DN135" s="387"/>
      <c r="DO135" s="358"/>
      <c r="DP135" s="387">
        <v>713</v>
      </c>
      <c r="DQ135" s="387"/>
      <c r="DR135" s="358"/>
      <c r="DS135" s="387">
        <v>713</v>
      </c>
      <c r="DT135" s="387"/>
      <c r="DU135" s="358"/>
      <c r="DV135" s="387">
        <v>713</v>
      </c>
      <c r="DW135" s="387"/>
      <c r="DX135" s="358"/>
      <c r="DY135" s="387">
        <v>713</v>
      </c>
      <c r="DZ135" s="387"/>
      <c r="EA135" s="358"/>
      <c r="EB135" s="387">
        <v>713</v>
      </c>
      <c r="EC135" s="387"/>
      <c r="ED135" s="358"/>
      <c r="EE135" s="387">
        <v>713</v>
      </c>
      <c r="EF135" s="387"/>
      <c r="EG135" s="358"/>
      <c r="EH135" s="387">
        <v>713</v>
      </c>
      <c r="EI135" s="387"/>
      <c r="EJ135" s="358"/>
      <c r="EK135" s="387">
        <v>713</v>
      </c>
      <c r="EL135" s="387"/>
      <c r="EM135" s="358"/>
      <c r="EN135" s="387">
        <v>713</v>
      </c>
      <c r="EO135" s="387"/>
      <c r="EP135" s="358"/>
      <c r="EQ135" s="387">
        <v>713</v>
      </c>
      <c r="ER135" s="387"/>
      <c r="ES135" s="358"/>
      <c r="ET135" s="387">
        <v>713</v>
      </c>
      <c r="EU135" s="387"/>
      <c r="EV135" s="358"/>
      <c r="EW135" s="387">
        <v>713</v>
      </c>
      <c r="EX135" s="387"/>
      <c r="EY135" s="358"/>
      <c r="EZ135" s="387">
        <v>713</v>
      </c>
      <c r="FA135" s="387"/>
      <c r="FB135" s="358"/>
      <c r="FC135" s="387">
        <v>713</v>
      </c>
      <c r="FD135" s="387"/>
      <c r="FE135" s="358"/>
      <c r="FF135" s="387">
        <v>713</v>
      </c>
      <c r="FG135" s="387"/>
      <c r="FH135" s="358"/>
      <c r="FI135" s="387">
        <v>713</v>
      </c>
      <c r="FJ135" s="387"/>
      <c r="FK135" s="358"/>
      <c r="FL135" s="387">
        <v>713</v>
      </c>
      <c r="FM135" s="387"/>
      <c r="FN135" s="358"/>
      <c r="FO135" s="387">
        <v>713</v>
      </c>
      <c r="FP135" s="387"/>
      <c r="FQ135" s="358"/>
      <c r="FR135" s="387">
        <v>713</v>
      </c>
      <c r="FS135" s="387"/>
      <c r="FT135" s="358"/>
      <c r="FU135" s="387">
        <v>713</v>
      </c>
      <c r="FV135" s="387"/>
      <c r="FW135" s="358"/>
      <c r="FX135" s="387">
        <v>713</v>
      </c>
      <c r="FY135" s="387"/>
      <c r="FZ135" s="358"/>
      <c r="GA135" s="387">
        <v>713</v>
      </c>
      <c r="GB135" s="387"/>
      <c r="GC135" s="358"/>
      <c r="GD135" s="387">
        <v>713</v>
      </c>
      <c r="GE135" s="387"/>
      <c r="GF135" s="358"/>
      <c r="GG135" s="387">
        <v>713</v>
      </c>
      <c r="GH135" s="387"/>
      <c r="GI135" s="358"/>
      <c r="GJ135" s="387">
        <v>713</v>
      </c>
      <c r="GK135" s="387"/>
      <c r="GL135" s="358"/>
      <c r="GM135" s="387">
        <v>713</v>
      </c>
      <c r="GN135" s="387"/>
      <c r="GO135" s="358"/>
      <c r="GP135" s="387">
        <v>713</v>
      </c>
      <c r="GQ135" s="387"/>
      <c r="GR135" s="358"/>
      <c r="GS135" s="387">
        <v>713</v>
      </c>
      <c r="GT135" s="387"/>
      <c r="GU135" s="358"/>
      <c r="GV135" s="387">
        <v>713</v>
      </c>
      <c r="GW135" s="387"/>
      <c r="GX135" s="358"/>
      <c r="GY135" s="387">
        <v>713</v>
      </c>
      <c r="GZ135" s="387"/>
      <c r="HA135" s="358"/>
      <c r="HB135" s="387">
        <v>713</v>
      </c>
      <c r="HC135" s="387"/>
      <c r="HD135" s="358"/>
      <c r="HE135" s="387">
        <v>713</v>
      </c>
      <c r="HF135" s="387"/>
      <c r="HG135" s="358"/>
      <c r="HH135" s="387">
        <v>713</v>
      </c>
      <c r="HI135" s="358"/>
      <c r="HJ135" s="387">
        <v>713</v>
      </c>
      <c r="HK135" s="358"/>
      <c r="HL135" s="387">
        <v>713</v>
      </c>
      <c r="HM135" s="358"/>
      <c r="HN135" s="387">
        <v>713</v>
      </c>
      <c r="HO135" s="358"/>
      <c r="HP135" s="387">
        <v>713</v>
      </c>
      <c r="HQ135" s="358"/>
      <c r="HR135" s="387">
        <v>713</v>
      </c>
      <c r="HS135" s="358"/>
      <c r="HT135" s="387">
        <v>713</v>
      </c>
      <c r="HU135" s="358"/>
      <c r="HV135" s="388">
        <v>713</v>
      </c>
      <c r="HW135" s="425"/>
      <c r="HX135" s="423">
        <v>712.81198185659002</v>
      </c>
      <c r="HY135" s="425"/>
      <c r="HZ135" s="423">
        <v>712.81198185659002</v>
      </c>
      <c r="IA135" s="425"/>
      <c r="IB135" s="549">
        <v>1157.1639344262294</v>
      </c>
      <c r="IC135" s="425"/>
      <c r="ID135" s="399"/>
      <c r="IE135" s="361"/>
      <c r="IF135" s="399"/>
      <c r="IG135" s="426"/>
      <c r="IH135" s="537"/>
      <c r="II135" s="426"/>
      <c r="IJ135" s="537"/>
      <c r="IK135" s="426"/>
      <c r="IL135" s="499"/>
      <c r="IM135" s="427"/>
      <c r="IN135" s="499"/>
      <c r="IO135" s="427"/>
      <c r="IP135" s="496"/>
      <c r="IQ135" s="427"/>
      <c r="IR135" s="429" t="s">
        <v>3360</v>
      </c>
      <c r="IS135" s="364" t="s">
        <v>77</v>
      </c>
      <c r="IT135" s="365">
        <v>43628</v>
      </c>
      <c r="IU135" s="371">
        <v>43647</v>
      </c>
      <c r="IW135" s="372">
        <f t="shared" si="16"/>
        <v>19</v>
      </c>
      <c r="IX135" s="373">
        <f t="shared" si="21"/>
        <v>37.939801128728831</v>
      </c>
      <c r="IY135" s="531">
        <f t="shared" si="20"/>
        <v>720.85622144584784</v>
      </c>
      <c r="IZ135" s="531"/>
      <c r="JA135" s="531"/>
    </row>
    <row r="136" spans="1:261" s="367" customFormat="1" ht="16.5" customHeight="1" x14ac:dyDescent="0.3">
      <c r="A136" s="354" t="s">
        <v>2735</v>
      </c>
      <c r="B136" s="465" t="s">
        <v>2867</v>
      </c>
      <c r="C136" s="466" t="s">
        <v>440</v>
      </c>
      <c r="D136" s="467">
        <v>290</v>
      </c>
      <c r="E136" s="468">
        <v>35</v>
      </c>
      <c r="F136" s="468">
        <v>36</v>
      </c>
      <c r="G136" s="468">
        <v>9</v>
      </c>
      <c r="H136" s="469">
        <v>0</v>
      </c>
      <c r="I136" s="847">
        <v>361</v>
      </c>
      <c r="J136" s="837">
        <v>9</v>
      </c>
      <c r="K136" s="837"/>
      <c r="L136" s="837">
        <v>361</v>
      </c>
      <c r="M136" s="837">
        <v>9</v>
      </c>
      <c r="N136" s="837"/>
      <c r="O136" s="837">
        <v>361</v>
      </c>
      <c r="P136" s="837">
        <v>9</v>
      </c>
      <c r="Q136" s="837"/>
      <c r="R136" s="837">
        <v>361</v>
      </c>
      <c r="S136" s="837">
        <v>9</v>
      </c>
      <c r="T136" s="837"/>
      <c r="U136" s="837">
        <v>361</v>
      </c>
      <c r="V136" s="837">
        <v>9</v>
      </c>
      <c r="W136" s="837"/>
      <c r="X136" s="837">
        <v>361</v>
      </c>
      <c r="Y136" s="837">
        <v>9</v>
      </c>
      <c r="Z136" s="837"/>
      <c r="AA136" s="837">
        <v>361</v>
      </c>
      <c r="AB136" s="837">
        <v>9</v>
      </c>
      <c r="AC136" s="837"/>
      <c r="AD136" s="837">
        <v>361</v>
      </c>
      <c r="AE136" s="837">
        <v>9</v>
      </c>
      <c r="AF136" s="837"/>
      <c r="AG136" s="837">
        <v>361</v>
      </c>
      <c r="AH136" s="837">
        <v>9</v>
      </c>
      <c r="AI136" s="837"/>
      <c r="AJ136" s="838">
        <f>((639-361)/30.5)*21+361</f>
        <v>552.40983606557381</v>
      </c>
      <c r="AK136" s="838">
        <f>((5-9)/30.5)*21+9</f>
        <v>6.2459016393442628</v>
      </c>
      <c r="AL136" s="838"/>
      <c r="AM136" s="830">
        <v>639</v>
      </c>
      <c r="AN136" s="831">
        <v>5</v>
      </c>
      <c r="AO136" s="827"/>
      <c r="AP136" s="831">
        <v>639</v>
      </c>
      <c r="AQ136" s="831">
        <v>5</v>
      </c>
      <c r="AR136" s="827"/>
      <c r="AS136" s="831">
        <v>639</v>
      </c>
      <c r="AT136" s="831">
        <v>5</v>
      </c>
      <c r="AU136" s="827"/>
      <c r="AV136" s="831">
        <v>639</v>
      </c>
      <c r="AW136" s="831">
        <v>5</v>
      </c>
      <c r="AX136" s="827"/>
      <c r="AY136" s="831">
        <v>639</v>
      </c>
      <c r="AZ136" s="831">
        <v>5</v>
      </c>
      <c r="BA136" s="358"/>
      <c r="BB136" s="385">
        <v>639</v>
      </c>
      <c r="BC136" s="385">
        <v>5</v>
      </c>
      <c r="BD136" s="358"/>
      <c r="BE136" s="385">
        <v>639</v>
      </c>
      <c r="BF136" s="385">
        <v>5</v>
      </c>
      <c r="BG136" s="358"/>
      <c r="BH136" s="385">
        <v>639</v>
      </c>
      <c r="BI136" s="385">
        <v>5</v>
      </c>
      <c r="BJ136" s="369"/>
      <c r="BK136" s="385">
        <v>639</v>
      </c>
      <c r="BL136" s="385">
        <v>5</v>
      </c>
      <c r="BM136" s="369"/>
      <c r="BN136" s="385">
        <v>639</v>
      </c>
      <c r="BO136" s="385">
        <v>5</v>
      </c>
      <c r="BP136" s="369"/>
      <c r="BQ136" s="385">
        <v>639</v>
      </c>
      <c r="BR136" s="385">
        <v>5</v>
      </c>
      <c r="BS136" s="369"/>
      <c r="BT136" s="385">
        <v>639</v>
      </c>
      <c r="BU136" s="385">
        <v>5</v>
      </c>
      <c r="BV136" s="369"/>
      <c r="BW136" s="385">
        <v>639</v>
      </c>
      <c r="BX136" s="385">
        <v>5</v>
      </c>
      <c r="BY136" s="369"/>
      <c r="BZ136" s="385">
        <v>639</v>
      </c>
      <c r="CA136" s="385">
        <v>5</v>
      </c>
      <c r="CB136" s="369"/>
      <c r="CC136" s="385">
        <v>639</v>
      </c>
      <c r="CD136" s="385">
        <v>5</v>
      </c>
      <c r="CE136" s="369"/>
      <c r="CF136" s="385">
        <v>639</v>
      </c>
      <c r="CG136" s="385">
        <v>5</v>
      </c>
      <c r="CH136" s="369"/>
      <c r="CI136" s="385">
        <v>639</v>
      </c>
      <c r="CJ136" s="385">
        <v>5</v>
      </c>
      <c r="CK136" s="369"/>
      <c r="CL136" s="385">
        <v>639</v>
      </c>
      <c r="CM136" s="385">
        <v>5</v>
      </c>
      <c r="CN136" s="369"/>
      <c r="CO136" s="385">
        <v>639</v>
      </c>
      <c r="CP136" s="385">
        <v>5</v>
      </c>
      <c r="CQ136" s="369"/>
      <c r="CR136" s="385">
        <v>639</v>
      </c>
      <c r="CS136" s="385">
        <v>5</v>
      </c>
      <c r="CT136" s="369"/>
      <c r="CU136" s="385">
        <v>639</v>
      </c>
      <c r="CV136" s="385">
        <v>5</v>
      </c>
      <c r="CW136" s="369"/>
      <c r="CX136" s="385">
        <v>639</v>
      </c>
      <c r="CY136" s="385">
        <v>5</v>
      </c>
      <c r="CZ136" s="369"/>
      <c r="DA136" s="385">
        <v>639</v>
      </c>
      <c r="DB136" s="385">
        <v>5</v>
      </c>
      <c r="DC136" s="369"/>
      <c r="DD136" s="385">
        <v>639</v>
      </c>
      <c r="DE136" s="385">
        <v>5</v>
      </c>
      <c r="DF136" s="369"/>
      <c r="DG136" s="385">
        <v>639</v>
      </c>
      <c r="DH136" s="385">
        <v>5</v>
      </c>
      <c r="DI136" s="369"/>
      <c r="DJ136" s="385">
        <v>639</v>
      </c>
      <c r="DK136" s="385">
        <v>5</v>
      </c>
      <c r="DL136" s="369"/>
      <c r="DM136" s="385">
        <v>639</v>
      </c>
      <c r="DN136" s="385">
        <v>5</v>
      </c>
      <c r="DO136" s="369"/>
      <c r="DP136" s="385">
        <v>639</v>
      </c>
      <c r="DQ136" s="385">
        <v>5</v>
      </c>
      <c r="DR136" s="369"/>
      <c r="DS136" s="386">
        <f>((639-1121)/30.5)*9+639</f>
        <v>496.77049180327867</v>
      </c>
      <c r="DT136" s="386">
        <v>5</v>
      </c>
      <c r="DU136" s="370"/>
      <c r="DV136" s="385">
        <v>1121</v>
      </c>
      <c r="DW136" s="385">
        <v>5</v>
      </c>
      <c r="DX136" s="369"/>
      <c r="DY136" s="385">
        <v>1121</v>
      </c>
      <c r="DZ136" s="385">
        <v>5</v>
      </c>
      <c r="EA136" s="369"/>
      <c r="EB136" s="385">
        <v>1121</v>
      </c>
      <c r="EC136" s="385">
        <v>5</v>
      </c>
      <c r="ED136" s="369"/>
      <c r="EE136" s="385">
        <v>1121</v>
      </c>
      <c r="EF136" s="385">
        <v>5</v>
      </c>
      <c r="EG136" s="369"/>
      <c r="EH136" s="385">
        <v>1121</v>
      </c>
      <c r="EI136" s="385">
        <v>5</v>
      </c>
      <c r="EJ136" s="369"/>
      <c r="EK136" s="385">
        <v>1121</v>
      </c>
      <c r="EL136" s="385">
        <v>5</v>
      </c>
      <c r="EM136" s="369"/>
      <c r="EN136" s="385">
        <v>1121</v>
      </c>
      <c r="EO136" s="385">
        <v>5</v>
      </c>
      <c r="EP136" s="369"/>
      <c r="EQ136" s="385">
        <v>1121</v>
      </c>
      <c r="ER136" s="385">
        <v>5</v>
      </c>
      <c r="ES136" s="369"/>
      <c r="ET136" s="385">
        <v>1121</v>
      </c>
      <c r="EU136" s="385">
        <v>5</v>
      </c>
      <c r="EV136" s="369"/>
      <c r="EW136" s="385">
        <v>1121</v>
      </c>
      <c r="EX136" s="385">
        <v>5</v>
      </c>
      <c r="EY136" s="369"/>
      <c r="EZ136" s="385">
        <v>1121</v>
      </c>
      <c r="FA136" s="385">
        <v>5</v>
      </c>
      <c r="FB136" s="369"/>
      <c r="FC136" s="385">
        <v>1121</v>
      </c>
      <c r="FD136" s="385">
        <v>5</v>
      </c>
      <c r="FE136" s="369"/>
      <c r="FF136" s="385">
        <v>1121</v>
      </c>
      <c r="FG136" s="385">
        <v>5</v>
      </c>
      <c r="FH136" s="369"/>
      <c r="FI136" s="385">
        <v>1121</v>
      </c>
      <c r="FJ136" s="385">
        <v>5</v>
      </c>
      <c r="FK136" s="369"/>
      <c r="FL136" s="385">
        <v>1121</v>
      </c>
      <c r="FM136" s="385">
        <v>5</v>
      </c>
      <c r="FN136" s="369"/>
      <c r="FO136" s="385">
        <v>1121</v>
      </c>
      <c r="FP136" s="385">
        <v>5</v>
      </c>
      <c r="FQ136" s="369"/>
      <c r="FR136" s="385">
        <v>1121</v>
      </c>
      <c r="FS136" s="385">
        <v>5</v>
      </c>
      <c r="FT136" s="369"/>
      <c r="FU136" s="386">
        <v>1121</v>
      </c>
      <c r="FV136" s="386">
        <v>5</v>
      </c>
      <c r="FW136" s="370"/>
      <c r="FX136" s="385">
        <v>1375</v>
      </c>
      <c r="FY136" s="385">
        <f>14</f>
        <v>14</v>
      </c>
      <c r="FZ136" s="358"/>
      <c r="GA136" s="385">
        <v>1375</v>
      </c>
      <c r="GB136" s="385">
        <f>14</f>
        <v>14</v>
      </c>
      <c r="GC136" s="358"/>
      <c r="GD136" s="385">
        <v>1375</v>
      </c>
      <c r="GE136" s="385">
        <f>14</f>
        <v>14</v>
      </c>
      <c r="GF136" s="358"/>
      <c r="GG136" s="385">
        <v>1375</v>
      </c>
      <c r="GH136" s="385">
        <f>14</f>
        <v>14</v>
      </c>
      <c r="GI136" s="358"/>
      <c r="GJ136" s="385">
        <v>1375</v>
      </c>
      <c r="GK136" s="385">
        <f>14</f>
        <v>14</v>
      </c>
      <c r="GL136" s="358"/>
      <c r="GM136" s="385">
        <v>1375</v>
      </c>
      <c r="GN136" s="385">
        <f>14</f>
        <v>14</v>
      </c>
      <c r="GO136" s="358"/>
      <c r="GP136" s="385">
        <v>1375</v>
      </c>
      <c r="GQ136" s="385">
        <f>14</f>
        <v>14</v>
      </c>
      <c r="GR136" s="358"/>
      <c r="GS136" s="385">
        <v>1375</v>
      </c>
      <c r="GT136" s="385">
        <f>14</f>
        <v>14</v>
      </c>
      <c r="GU136" s="358"/>
      <c r="GV136" s="385">
        <v>1375</v>
      </c>
      <c r="GW136" s="385">
        <f>14</f>
        <v>14</v>
      </c>
      <c r="GX136" s="358"/>
      <c r="GY136" s="385">
        <v>1375</v>
      </c>
      <c r="GZ136" s="385">
        <f>14</f>
        <v>14</v>
      </c>
      <c r="HA136" s="358"/>
      <c r="HB136" s="385">
        <v>1375</v>
      </c>
      <c r="HC136" s="385">
        <f>14</f>
        <v>14</v>
      </c>
      <c r="HD136" s="358"/>
      <c r="HE136" s="385">
        <v>1375</v>
      </c>
      <c r="HF136" s="386">
        <f>14*6</f>
        <v>84</v>
      </c>
      <c r="HG136" s="358"/>
      <c r="HH136" s="385">
        <v>1375</v>
      </c>
      <c r="HI136" s="358"/>
      <c r="HJ136" s="385">
        <v>1375</v>
      </c>
      <c r="HK136" s="358"/>
      <c r="HL136" s="385">
        <v>1375</v>
      </c>
      <c r="HM136" s="358"/>
      <c r="HN136" s="385">
        <v>1375</v>
      </c>
      <c r="HO136" s="358"/>
      <c r="HP136" s="386">
        <v>1401.23</v>
      </c>
      <c r="HQ136" s="358"/>
      <c r="HR136" s="387">
        <v>1335.4564263010345</v>
      </c>
      <c r="HS136" s="358"/>
      <c r="HT136" s="387">
        <v>1335.4564263010345</v>
      </c>
      <c r="HU136" s="358"/>
      <c r="HV136" s="388">
        <v>1335.4564263010345</v>
      </c>
      <c r="HW136" s="425"/>
      <c r="HX136" s="423">
        <v>1335.4564263010345</v>
      </c>
      <c r="HY136" s="425"/>
      <c r="HZ136" s="423">
        <v>1335.4564263010345</v>
      </c>
      <c r="IA136" s="425"/>
      <c r="IB136" s="549">
        <v>2167.380101701679</v>
      </c>
      <c r="IC136" s="425"/>
      <c r="ID136" s="399"/>
      <c r="IE136" s="361"/>
      <c r="IF136" s="399"/>
      <c r="IG136" s="426"/>
      <c r="IH136" s="537"/>
      <c r="II136" s="426"/>
      <c r="IJ136" s="537"/>
      <c r="IK136" s="426"/>
      <c r="IL136" s="499"/>
      <c r="IM136" s="427"/>
      <c r="IN136" s="499"/>
      <c r="IO136" s="427"/>
      <c r="IP136" s="496"/>
      <c r="IQ136" s="427"/>
      <c r="IR136" s="429" t="s">
        <v>2996</v>
      </c>
      <c r="IS136" s="364" t="s">
        <v>77</v>
      </c>
      <c r="IT136" s="365">
        <v>43628</v>
      </c>
      <c r="IU136" s="439">
        <v>43647</v>
      </c>
      <c r="IV136" s="518">
        <v>44348</v>
      </c>
      <c r="IW136" s="372">
        <f t="shared" si="16"/>
        <v>19</v>
      </c>
      <c r="IX136" s="373">
        <f t="shared" si="21"/>
        <v>71.061642678743567</v>
      </c>
      <c r="IY136" s="531">
        <f t="shared" si="20"/>
        <v>1350.1712108961278</v>
      </c>
      <c r="IZ136" s="531"/>
      <c r="JA136" s="531"/>
    </row>
    <row r="137" spans="1:261" s="367" customFormat="1" ht="16.5" customHeight="1" x14ac:dyDescent="0.3">
      <c r="A137" s="354" t="s">
        <v>2743</v>
      </c>
      <c r="B137" s="415" t="s">
        <v>2765</v>
      </c>
      <c r="C137" s="447" t="s">
        <v>1403</v>
      </c>
      <c r="D137" s="448">
        <v>1249</v>
      </c>
      <c r="E137" s="449">
        <v>71</v>
      </c>
      <c r="F137" s="449">
        <v>32</v>
      </c>
      <c r="G137" s="449">
        <v>14</v>
      </c>
      <c r="H137" s="450">
        <v>0</v>
      </c>
      <c r="I137" s="873">
        <v>1351</v>
      </c>
      <c r="J137" s="874">
        <v>14</v>
      </c>
      <c r="K137" s="827"/>
      <c r="L137" s="874">
        <v>1351</v>
      </c>
      <c r="M137" s="874">
        <v>14</v>
      </c>
      <c r="N137" s="827"/>
      <c r="O137" s="874">
        <v>1351</v>
      </c>
      <c r="P137" s="874">
        <v>14</v>
      </c>
      <c r="Q137" s="827"/>
      <c r="R137" s="874">
        <v>1351</v>
      </c>
      <c r="S137" s="874">
        <v>14</v>
      </c>
      <c r="T137" s="827"/>
      <c r="U137" s="874">
        <v>1351</v>
      </c>
      <c r="V137" s="874">
        <v>14</v>
      </c>
      <c r="W137" s="827"/>
      <c r="X137" s="874">
        <v>1351</v>
      </c>
      <c r="Y137" s="874">
        <v>14</v>
      </c>
      <c r="Z137" s="827"/>
      <c r="AA137" s="874">
        <v>1351</v>
      </c>
      <c r="AB137" s="874">
        <v>14</v>
      </c>
      <c r="AC137" s="827"/>
      <c r="AD137" s="874">
        <v>1351</v>
      </c>
      <c r="AE137" s="874">
        <v>14</v>
      </c>
      <c r="AF137" s="827"/>
      <c r="AG137" s="874">
        <v>1351</v>
      </c>
      <c r="AH137" s="874">
        <v>14</v>
      </c>
      <c r="AI137" s="827"/>
      <c r="AJ137" s="874">
        <v>1351</v>
      </c>
      <c r="AK137" s="874">
        <v>14</v>
      </c>
      <c r="AL137" s="827"/>
      <c r="AM137" s="874">
        <v>1351</v>
      </c>
      <c r="AN137" s="874">
        <v>14</v>
      </c>
      <c r="AO137" s="827"/>
      <c r="AP137" s="874">
        <v>1351</v>
      </c>
      <c r="AQ137" s="874">
        <v>14</v>
      </c>
      <c r="AR137" s="827"/>
      <c r="AS137" s="874">
        <v>1351</v>
      </c>
      <c r="AT137" s="874">
        <v>14</v>
      </c>
      <c r="AU137" s="827"/>
      <c r="AV137" s="874">
        <v>1351</v>
      </c>
      <c r="AW137" s="874">
        <v>14</v>
      </c>
      <c r="AX137" s="827"/>
      <c r="AY137" s="874">
        <v>1351</v>
      </c>
      <c r="AZ137" s="874">
        <v>14</v>
      </c>
      <c r="BA137" s="358"/>
      <c r="BB137" s="484">
        <v>1351</v>
      </c>
      <c r="BC137" s="484">
        <v>14</v>
      </c>
      <c r="BD137" s="358"/>
      <c r="BE137" s="484">
        <v>1351</v>
      </c>
      <c r="BF137" s="484">
        <v>14</v>
      </c>
      <c r="BG137" s="358"/>
      <c r="BH137" s="484">
        <v>1351</v>
      </c>
      <c r="BI137" s="484">
        <v>14</v>
      </c>
      <c r="BJ137" s="369"/>
      <c r="BK137" s="484">
        <v>1351</v>
      </c>
      <c r="BL137" s="484">
        <v>14</v>
      </c>
      <c r="BM137" s="369"/>
      <c r="BN137" s="484">
        <v>1351</v>
      </c>
      <c r="BO137" s="484">
        <v>14</v>
      </c>
      <c r="BP137" s="369"/>
      <c r="BQ137" s="484">
        <v>1351</v>
      </c>
      <c r="BR137" s="484">
        <v>14</v>
      </c>
      <c r="BS137" s="369"/>
      <c r="BT137" s="484">
        <v>1351</v>
      </c>
      <c r="BU137" s="484">
        <v>14</v>
      </c>
      <c r="BV137" s="369"/>
      <c r="BW137" s="484">
        <v>1351</v>
      </c>
      <c r="BX137" s="484">
        <v>14</v>
      </c>
      <c r="BY137" s="369"/>
      <c r="BZ137" s="484">
        <v>1351</v>
      </c>
      <c r="CA137" s="484">
        <v>14</v>
      </c>
      <c r="CB137" s="369"/>
      <c r="CC137" s="484">
        <v>1351</v>
      </c>
      <c r="CD137" s="484">
        <v>14</v>
      </c>
      <c r="CE137" s="369"/>
      <c r="CF137" s="484">
        <v>1351</v>
      </c>
      <c r="CG137" s="484">
        <v>14</v>
      </c>
      <c r="CH137" s="369"/>
      <c r="CI137" s="484">
        <v>1351</v>
      </c>
      <c r="CJ137" s="484">
        <v>14</v>
      </c>
      <c r="CK137" s="369"/>
      <c r="CL137" s="484">
        <v>1351</v>
      </c>
      <c r="CM137" s="484">
        <v>14</v>
      </c>
      <c r="CN137" s="369"/>
      <c r="CO137" s="484">
        <v>1351</v>
      </c>
      <c r="CP137" s="484">
        <v>14</v>
      </c>
      <c r="CQ137" s="369"/>
      <c r="CR137" s="484">
        <v>1351</v>
      </c>
      <c r="CS137" s="484">
        <v>14</v>
      </c>
      <c r="CT137" s="369"/>
      <c r="CU137" s="484">
        <v>1351</v>
      </c>
      <c r="CV137" s="484">
        <v>14</v>
      </c>
      <c r="CW137" s="369"/>
      <c r="CX137" s="484">
        <v>1351</v>
      </c>
      <c r="CY137" s="484">
        <v>14</v>
      </c>
      <c r="CZ137" s="369"/>
      <c r="DA137" s="484">
        <v>1351</v>
      </c>
      <c r="DB137" s="484">
        <v>14</v>
      </c>
      <c r="DC137" s="369"/>
      <c r="DD137" s="484">
        <v>1351</v>
      </c>
      <c r="DE137" s="484">
        <v>14</v>
      </c>
      <c r="DF137" s="369"/>
      <c r="DG137" s="484">
        <v>1351</v>
      </c>
      <c r="DH137" s="484">
        <v>14</v>
      </c>
      <c r="DI137" s="369"/>
      <c r="DJ137" s="484">
        <v>1351</v>
      </c>
      <c r="DK137" s="484">
        <v>14</v>
      </c>
      <c r="DL137" s="369"/>
      <c r="DM137" s="484">
        <v>1351</v>
      </c>
      <c r="DN137" s="484">
        <v>14</v>
      </c>
      <c r="DO137" s="369"/>
      <c r="DP137" s="484">
        <v>1351</v>
      </c>
      <c r="DQ137" s="484">
        <v>14</v>
      </c>
      <c r="DR137" s="369"/>
      <c r="DS137" s="484">
        <v>1351</v>
      </c>
      <c r="DT137" s="484">
        <v>14</v>
      </c>
      <c r="DU137" s="369"/>
      <c r="DV137" s="484">
        <v>1351</v>
      </c>
      <c r="DW137" s="484">
        <v>14</v>
      </c>
      <c r="DX137" s="369"/>
      <c r="DY137" s="484">
        <v>1351</v>
      </c>
      <c r="DZ137" s="484">
        <v>14</v>
      </c>
      <c r="EA137" s="369"/>
      <c r="EB137" s="484">
        <v>1351</v>
      </c>
      <c r="EC137" s="484">
        <v>14</v>
      </c>
      <c r="ED137" s="369"/>
      <c r="EE137" s="484">
        <v>1351</v>
      </c>
      <c r="EF137" s="484">
        <v>14</v>
      </c>
      <c r="EG137" s="369"/>
      <c r="EH137" s="484">
        <v>1351</v>
      </c>
      <c r="EI137" s="484">
        <v>14</v>
      </c>
      <c r="EJ137" s="369"/>
      <c r="EK137" s="478">
        <f>(((1351/30.5)*24)-((1251/30.5)*24)+(1351-1251)+1351)</f>
        <v>1529.688524590164</v>
      </c>
      <c r="EL137" s="478">
        <f>(((14/30.5)*24)-((5/30.5)*24)+(14-5)+14)</f>
        <v>30.081967213114755</v>
      </c>
      <c r="EM137" s="370"/>
      <c r="EN137" s="385">
        <v>1251.4564263010345</v>
      </c>
      <c r="EO137" s="385">
        <v>5</v>
      </c>
      <c r="EP137" s="358"/>
      <c r="EQ137" s="385">
        <v>1251.4564263010345</v>
      </c>
      <c r="ER137" s="385">
        <v>5</v>
      </c>
      <c r="ES137" s="358"/>
      <c r="ET137" s="385">
        <v>1251.4564263010345</v>
      </c>
      <c r="EU137" s="385">
        <v>5</v>
      </c>
      <c r="EV137" s="358"/>
      <c r="EW137" s="385">
        <v>1251.4564263010345</v>
      </c>
      <c r="EX137" s="385">
        <v>5</v>
      </c>
      <c r="EY137" s="358"/>
      <c r="EZ137" s="385">
        <v>1251.4564263010345</v>
      </c>
      <c r="FA137" s="385">
        <v>5</v>
      </c>
      <c r="FB137" s="358"/>
      <c r="FC137" s="385">
        <v>1251.4564263010345</v>
      </c>
      <c r="FD137" s="385">
        <v>5</v>
      </c>
      <c r="FE137" s="358"/>
      <c r="FF137" s="385">
        <v>1251.4564263010345</v>
      </c>
      <c r="FG137" s="385">
        <v>5</v>
      </c>
      <c r="FH137" s="358"/>
      <c r="FI137" s="385">
        <v>1251.4564263010345</v>
      </c>
      <c r="FJ137" s="385">
        <v>5</v>
      </c>
      <c r="FK137" s="358"/>
      <c r="FL137" s="385">
        <v>1251.4564263010345</v>
      </c>
      <c r="FM137" s="385">
        <v>5</v>
      </c>
      <c r="FN137" s="358"/>
      <c r="FO137" s="385">
        <v>1251.4564263010345</v>
      </c>
      <c r="FP137" s="385">
        <v>5</v>
      </c>
      <c r="FQ137" s="358"/>
      <c r="FR137" s="385">
        <v>1251.4564263010345</v>
      </c>
      <c r="FS137" s="385">
        <v>5</v>
      </c>
      <c r="FT137" s="358"/>
      <c r="FU137" s="385">
        <v>1251.4564263010345</v>
      </c>
      <c r="FV137" s="385">
        <v>5</v>
      </c>
      <c r="FW137" s="358"/>
      <c r="FX137" s="385">
        <v>1251.4564263010345</v>
      </c>
      <c r="FY137" s="385">
        <v>5</v>
      </c>
      <c r="FZ137" s="358"/>
      <c r="GA137" s="385">
        <v>1251.4564263010345</v>
      </c>
      <c r="GB137" s="385">
        <v>5</v>
      </c>
      <c r="GC137" s="358"/>
      <c r="GD137" s="385">
        <v>1251.4564263010345</v>
      </c>
      <c r="GE137" s="385">
        <v>5</v>
      </c>
      <c r="GF137" s="358"/>
      <c r="GG137" s="385">
        <v>1251.4564263010345</v>
      </c>
      <c r="GH137" s="385">
        <v>5</v>
      </c>
      <c r="GI137" s="358"/>
      <c r="GJ137" s="385">
        <v>1251.4564263010345</v>
      </c>
      <c r="GK137" s="385">
        <v>5</v>
      </c>
      <c r="GL137" s="358"/>
      <c r="GM137" s="385">
        <v>1251.4564263010345</v>
      </c>
      <c r="GN137" s="385">
        <v>5</v>
      </c>
      <c r="GO137" s="358"/>
      <c r="GP137" s="385">
        <v>1251.4564263010345</v>
      </c>
      <c r="GQ137" s="385">
        <v>5</v>
      </c>
      <c r="GR137" s="358"/>
      <c r="GS137" s="386">
        <v>1251.4564263010345</v>
      </c>
      <c r="GT137" s="386">
        <v>8.3606557377049171</v>
      </c>
      <c r="GU137" s="358"/>
      <c r="GV137" s="387">
        <v>1251.4564263010345</v>
      </c>
      <c r="GW137" s="387"/>
      <c r="GX137" s="358"/>
      <c r="GY137" s="387">
        <v>1251.4564263010345</v>
      </c>
      <c r="GZ137" s="387"/>
      <c r="HA137" s="358"/>
      <c r="HB137" s="387">
        <v>1251.4564263010345</v>
      </c>
      <c r="HC137" s="387"/>
      <c r="HD137" s="358"/>
      <c r="HE137" s="387">
        <v>1251.4564263010345</v>
      </c>
      <c r="HF137" s="387"/>
      <c r="HG137" s="358"/>
      <c r="HH137" s="387">
        <v>1251.4564263010345</v>
      </c>
      <c r="HI137" s="358"/>
      <c r="HJ137" s="387">
        <v>1251.4564263010345</v>
      </c>
      <c r="HK137" s="358"/>
      <c r="HL137" s="387">
        <v>1251.4564263010345</v>
      </c>
      <c r="HM137" s="358"/>
      <c r="HN137" s="387">
        <v>1251.4564263010345</v>
      </c>
      <c r="HO137" s="358"/>
      <c r="HP137" s="387">
        <v>1251.4564263010345</v>
      </c>
      <c r="HQ137" s="358"/>
      <c r="HR137" s="387">
        <v>1251.4564263010345</v>
      </c>
      <c r="HS137" s="358"/>
      <c r="HT137" s="387">
        <v>1251.4564263010345</v>
      </c>
      <c r="HU137" s="358"/>
      <c r="HV137" s="388">
        <v>1251.4564263010345</v>
      </c>
      <c r="HW137" s="425"/>
      <c r="HX137" s="423">
        <v>1251.4564263010345</v>
      </c>
      <c r="HY137" s="425"/>
      <c r="HZ137" s="423">
        <v>1251.4564263010345</v>
      </c>
      <c r="IA137" s="425"/>
      <c r="IB137" s="549">
        <v>1990.0208746098417</v>
      </c>
      <c r="IC137" s="425"/>
      <c r="ID137" s="399"/>
      <c r="IE137" s="361"/>
      <c r="IF137" s="399"/>
      <c r="IG137" s="426"/>
      <c r="IH137" s="537"/>
      <c r="II137" s="426"/>
      <c r="IJ137" s="537"/>
      <c r="IK137" s="426"/>
      <c r="IL137" s="499"/>
      <c r="IM137" s="427"/>
      <c r="IN137" s="499"/>
      <c r="IO137" s="427"/>
      <c r="IP137" s="496"/>
      <c r="IQ137" s="427"/>
      <c r="IR137" s="429" t="s">
        <v>3361</v>
      </c>
      <c r="IS137" s="364" t="s">
        <v>77</v>
      </c>
      <c r="IT137" s="365">
        <v>43629</v>
      </c>
      <c r="IU137" s="371">
        <v>43647</v>
      </c>
      <c r="IV137" s="518">
        <v>44085</v>
      </c>
      <c r="IW137" s="526">
        <f t="shared" si="16"/>
        <v>18</v>
      </c>
      <c r="IX137" s="527">
        <f t="shared" si="21"/>
        <v>65.246586052781694</v>
      </c>
      <c r="IY137" s="553">
        <f t="shared" si="20"/>
        <v>1174.4385489500705</v>
      </c>
      <c r="IZ137" s="531"/>
      <c r="JA137" s="531"/>
    </row>
    <row r="138" spans="1:261" s="367" customFormat="1" ht="16.5" customHeight="1" x14ac:dyDescent="0.3">
      <c r="A138" s="401" t="s">
        <v>3315</v>
      </c>
      <c r="B138" s="402" t="s">
        <v>3315</v>
      </c>
      <c r="C138" s="434" t="s">
        <v>3362</v>
      </c>
      <c r="D138" s="856"/>
      <c r="E138" s="751"/>
      <c r="F138" s="751"/>
      <c r="G138" s="751"/>
      <c r="H138" s="857"/>
      <c r="I138" s="853">
        <v>0</v>
      </c>
      <c r="J138" s="833">
        <v>0</v>
      </c>
      <c r="K138" s="833">
        <v>0</v>
      </c>
      <c r="L138" s="833">
        <v>0</v>
      </c>
      <c r="M138" s="833">
        <v>0</v>
      </c>
      <c r="N138" s="833">
        <v>0</v>
      </c>
      <c r="O138" s="833">
        <v>0</v>
      </c>
      <c r="P138" s="833">
        <v>0</v>
      </c>
      <c r="Q138" s="833">
        <v>0</v>
      </c>
      <c r="R138" s="833">
        <v>0</v>
      </c>
      <c r="S138" s="833">
        <v>0</v>
      </c>
      <c r="T138" s="833">
        <v>0</v>
      </c>
      <c r="U138" s="833">
        <v>0</v>
      </c>
      <c r="V138" s="833">
        <v>0</v>
      </c>
      <c r="W138" s="833">
        <v>0</v>
      </c>
      <c r="X138" s="833">
        <v>0</v>
      </c>
      <c r="Y138" s="833">
        <v>0</v>
      </c>
      <c r="Z138" s="833">
        <v>0</v>
      </c>
      <c r="AA138" s="833">
        <v>0</v>
      </c>
      <c r="AB138" s="833">
        <v>0</v>
      </c>
      <c r="AC138" s="833">
        <v>0</v>
      </c>
      <c r="AD138" s="833">
        <v>0</v>
      </c>
      <c r="AE138" s="833">
        <v>0</v>
      </c>
      <c r="AF138" s="833">
        <v>0</v>
      </c>
      <c r="AG138" s="833">
        <v>0</v>
      </c>
      <c r="AH138" s="833">
        <v>0</v>
      </c>
      <c r="AI138" s="833">
        <v>0</v>
      </c>
      <c r="AJ138" s="833">
        <v>0</v>
      </c>
      <c r="AK138" s="833">
        <v>0</v>
      </c>
      <c r="AL138" s="833">
        <v>0</v>
      </c>
      <c r="AM138" s="833">
        <v>0</v>
      </c>
      <c r="AN138" s="833">
        <v>0</v>
      </c>
      <c r="AO138" s="833">
        <v>0</v>
      </c>
      <c r="AP138" s="833">
        <v>0</v>
      </c>
      <c r="AQ138" s="833">
        <v>0</v>
      </c>
      <c r="AR138" s="833">
        <v>0</v>
      </c>
      <c r="AS138" s="833">
        <v>0</v>
      </c>
      <c r="AT138" s="833">
        <v>0</v>
      </c>
      <c r="AU138" s="833">
        <v>0</v>
      </c>
      <c r="AV138" s="635"/>
      <c r="AW138" s="635"/>
      <c r="AX138" s="833"/>
      <c r="AY138" s="635"/>
      <c r="AZ138" s="635"/>
      <c r="BA138" s="455"/>
      <c r="BB138" s="511"/>
      <c r="BC138" s="511"/>
      <c r="BD138" s="455"/>
      <c r="BE138" s="511"/>
      <c r="BF138" s="511"/>
      <c r="BG138" s="455"/>
      <c r="BH138" s="511"/>
      <c r="BI138" s="511"/>
      <c r="BJ138" s="455"/>
      <c r="BK138" s="511"/>
      <c r="BL138" s="511"/>
      <c r="BM138" s="455"/>
      <c r="BN138" s="511"/>
      <c r="BO138" s="511"/>
      <c r="BP138" s="455"/>
      <c r="BQ138" s="511"/>
      <c r="BR138" s="511"/>
      <c r="BS138" s="455"/>
      <c r="BT138" s="511"/>
      <c r="BU138" s="511"/>
      <c r="BV138" s="455"/>
      <c r="BW138" s="511"/>
      <c r="BX138" s="511"/>
      <c r="BY138" s="455"/>
      <c r="BZ138" s="511"/>
      <c r="CA138" s="511"/>
      <c r="CB138" s="455"/>
      <c r="CC138" s="511"/>
      <c r="CD138" s="511"/>
      <c r="CE138" s="455"/>
      <c r="CF138" s="511"/>
      <c r="CG138" s="511"/>
      <c r="CH138" s="455"/>
      <c r="CI138" s="511"/>
      <c r="CJ138" s="511"/>
      <c r="CK138" s="455"/>
      <c r="CL138" s="511"/>
      <c r="CM138" s="511"/>
      <c r="CN138" s="455"/>
      <c r="CO138" s="511"/>
      <c r="CP138" s="511"/>
      <c r="CQ138" s="455"/>
      <c r="CR138" s="511"/>
      <c r="CS138" s="511"/>
      <c r="CT138" s="455"/>
      <c r="CU138" s="511"/>
      <c r="CV138" s="511"/>
      <c r="CW138" s="455"/>
      <c r="CX138" s="511"/>
      <c r="CY138" s="511"/>
      <c r="CZ138" s="455"/>
      <c r="DA138" s="511"/>
      <c r="DB138" s="511"/>
      <c r="DC138" s="455"/>
      <c r="DD138" s="421">
        <v>611</v>
      </c>
      <c r="DE138" s="421">
        <v>5</v>
      </c>
      <c r="DF138" s="369"/>
      <c r="DG138" s="421">
        <v>611</v>
      </c>
      <c r="DH138" s="421">
        <v>5</v>
      </c>
      <c r="DI138" s="369"/>
      <c r="DJ138" s="421">
        <v>611</v>
      </c>
      <c r="DK138" s="421">
        <v>5</v>
      </c>
      <c r="DL138" s="369"/>
      <c r="DM138" s="421">
        <v>611</v>
      </c>
      <c r="DN138" s="421">
        <v>5</v>
      </c>
      <c r="DO138" s="369"/>
      <c r="DP138" s="422">
        <f>((611-1335)/30.5)*12+611</f>
        <v>326.14754098360658</v>
      </c>
      <c r="DQ138" s="422">
        <f>((5-14)/30.5)*12+5</f>
        <v>1.459016393442623</v>
      </c>
      <c r="DR138" s="370"/>
      <c r="DS138" s="385">
        <v>1335</v>
      </c>
      <c r="DT138" s="385">
        <f>14</f>
        <v>14</v>
      </c>
      <c r="DU138" s="358"/>
      <c r="DV138" s="385">
        <v>1335</v>
      </c>
      <c r="DW138" s="385">
        <f>14</f>
        <v>14</v>
      </c>
      <c r="DX138" s="358"/>
      <c r="DY138" s="385">
        <v>1335</v>
      </c>
      <c r="DZ138" s="385">
        <f>14</f>
        <v>14</v>
      </c>
      <c r="EA138" s="358"/>
      <c r="EB138" s="385">
        <v>1335</v>
      </c>
      <c r="EC138" s="385">
        <f>14</f>
        <v>14</v>
      </c>
      <c r="ED138" s="358"/>
      <c r="EE138" s="385">
        <v>1335</v>
      </c>
      <c r="EF138" s="385">
        <f>14</f>
        <v>14</v>
      </c>
      <c r="EG138" s="358"/>
      <c r="EH138" s="385">
        <v>1335</v>
      </c>
      <c r="EI138" s="385">
        <f>14</f>
        <v>14</v>
      </c>
      <c r="EJ138" s="358"/>
      <c r="EK138" s="385">
        <v>1335</v>
      </c>
      <c r="EL138" s="385">
        <f>14</f>
        <v>14</v>
      </c>
      <c r="EM138" s="358"/>
      <c r="EN138" s="385">
        <v>1335</v>
      </c>
      <c r="EO138" s="385">
        <f>14</f>
        <v>14</v>
      </c>
      <c r="EP138" s="358"/>
      <c r="EQ138" s="385">
        <v>1335</v>
      </c>
      <c r="ER138" s="385">
        <f>14</f>
        <v>14</v>
      </c>
      <c r="ES138" s="358"/>
      <c r="ET138" s="385">
        <v>1335</v>
      </c>
      <c r="EU138" s="385">
        <f>14</f>
        <v>14</v>
      </c>
      <c r="EV138" s="358"/>
      <c r="EW138" s="385">
        <v>1335</v>
      </c>
      <c r="EX138" s="385">
        <f>14</f>
        <v>14</v>
      </c>
      <c r="EY138" s="358"/>
      <c r="EZ138" s="385">
        <v>1335</v>
      </c>
      <c r="FA138" s="385">
        <f>14</f>
        <v>14</v>
      </c>
      <c r="FB138" s="358"/>
      <c r="FC138" s="385">
        <v>1335</v>
      </c>
      <c r="FD138" s="385">
        <f>14</f>
        <v>14</v>
      </c>
      <c r="FE138" s="358"/>
      <c r="FF138" s="385">
        <v>1335</v>
      </c>
      <c r="FG138" s="385">
        <f>14</f>
        <v>14</v>
      </c>
      <c r="FH138" s="358"/>
      <c r="FI138" s="385">
        <v>1335</v>
      </c>
      <c r="FJ138" s="385">
        <f>14</f>
        <v>14</v>
      </c>
      <c r="FK138" s="358"/>
      <c r="FL138" s="385">
        <v>1335</v>
      </c>
      <c r="FM138" s="385">
        <f>14</f>
        <v>14</v>
      </c>
      <c r="FN138" s="358"/>
      <c r="FO138" s="385">
        <v>1335</v>
      </c>
      <c r="FP138" s="385">
        <f>14</f>
        <v>14</v>
      </c>
      <c r="FQ138" s="358"/>
      <c r="FR138" s="385">
        <v>1335</v>
      </c>
      <c r="FS138" s="385">
        <f>14</f>
        <v>14</v>
      </c>
      <c r="FT138" s="358"/>
      <c r="FU138" s="385">
        <v>1335</v>
      </c>
      <c r="FV138" s="385">
        <f>14</f>
        <v>14</v>
      </c>
      <c r="FW138" s="358"/>
      <c r="FX138" s="385">
        <v>1335</v>
      </c>
      <c r="FY138" s="385">
        <f>14</f>
        <v>14</v>
      </c>
      <c r="FZ138" s="358"/>
      <c r="GA138" s="385">
        <v>1335</v>
      </c>
      <c r="GB138" s="385">
        <f>14</f>
        <v>14</v>
      </c>
      <c r="GC138" s="358"/>
      <c r="GD138" s="385">
        <v>1335</v>
      </c>
      <c r="GE138" s="385">
        <f>14</f>
        <v>14</v>
      </c>
      <c r="GF138" s="358"/>
      <c r="GG138" s="385">
        <v>1335</v>
      </c>
      <c r="GH138" s="385">
        <f>14</f>
        <v>14</v>
      </c>
      <c r="GI138" s="358"/>
      <c r="GJ138" s="385">
        <v>1335</v>
      </c>
      <c r="GK138" s="385">
        <f>14</f>
        <v>14</v>
      </c>
      <c r="GL138" s="358"/>
      <c r="GM138" s="385">
        <v>1335</v>
      </c>
      <c r="GN138" s="385">
        <f>14</f>
        <v>14</v>
      </c>
      <c r="GO138" s="358"/>
      <c r="GP138" s="385">
        <v>1335</v>
      </c>
      <c r="GQ138" s="385">
        <f>14</f>
        <v>14</v>
      </c>
      <c r="GR138" s="358"/>
      <c r="GS138" s="385">
        <v>1335</v>
      </c>
      <c r="GT138" s="385">
        <f>14</f>
        <v>14</v>
      </c>
      <c r="GU138" s="358"/>
      <c r="GV138" s="385">
        <v>1335</v>
      </c>
      <c r="GW138" s="385">
        <f>14</f>
        <v>14</v>
      </c>
      <c r="GX138" s="358"/>
      <c r="GY138" s="385">
        <v>1335</v>
      </c>
      <c r="GZ138" s="385">
        <f>14</f>
        <v>14</v>
      </c>
      <c r="HA138" s="358"/>
      <c r="HB138" s="385">
        <v>1335</v>
      </c>
      <c r="HC138" s="385">
        <f>14</f>
        <v>14</v>
      </c>
      <c r="HD138" s="358"/>
      <c r="HE138" s="387">
        <v>1335</v>
      </c>
      <c r="HF138" s="386">
        <f>14*6</f>
        <v>84</v>
      </c>
      <c r="HG138" s="358"/>
      <c r="HH138" s="387">
        <v>1335</v>
      </c>
      <c r="HI138" s="358"/>
      <c r="HJ138" s="387">
        <v>1335</v>
      </c>
      <c r="HK138" s="358"/>
      <c r="HL138" s="387">
        <v>1335</v>
      </c>
      <c r="HM138" s="358"/>
      <c r="HN138" s="387">
        <v>1335</v>
      </c>
      <c r="HO138" s="358"/>
      <c r="HP138" s="387">
        <v>1335</v>
      </c>
      <c r="HQ138" s="358"/>
      <c r="HR138" s="387">
        <v>1335</v>
      </c>
      <c r="HS138" s="358"/>
      <c r="HT138" s="387">
        <v>1335</v>
      </c>
      <c r="HU138" s="358"/>
      <c r="HV138" s="388">
        <v>1335</v>
      </c>
      <c r="HW138" s="425"/>
      <c r="HX138" s="423">
        <v>1335</v>
      </c>
      <c r="HY138" s="425"/>
      <c r="HZ138" s="423">
        <v>1335</v>
      </c>
      <c r="IA138" s="425"/>
      <c r="IB138" s="549">
        <v>2122.8688524590161</v>
      </c>
      <c r="IC138" s="425"/>
      <c r="ID138" s="399"/>
      <c r="IE138" s="361"/>
      <c r="IF138" s="399"/>
      <c r="IG138" s="426"/>
      <c r="IH138" s="537"/>
      <c r="II138" s="426"/>
      <c r="IJ138" s="537"/>
      <c r="IK138" s="426"/>
      <c r="IL138" s="499"/>
      <c r="IM138" s="427"/>
      <c r="IN138" s="499"/>
      <c r="IO138" s="427"/>
      <c r="IP138" s="496"/>
      <c r="IQ138" s="427"/>
      <c r="IR138" s="429" t="s">
        <v>3363</v>
      </c>
      <c r="IS138" s="364" t="s">
        <v>77</v>
      </c>
      <c r="IT138" s="365">
        <v>43629</v>
      </c>
      <c r="IU138" s="371">
        <v>43647</v>
      </c>
      <c r="IV138" s="464">
        <v>44915</v>
      </c>
      <c r="IW138" s="372">
        <f t="shared" si="16"/>
        <v>18</v>
      </c>
      <c r="IX138" s="373">
        <f t="shared" si="21"/>
        <v>69.602257457672664</v>
      </c>
      <c r="IY138" s="531">
        <f t="shared" si="20"/>
        <v>1252.8406342381079</v>
      </c>
      <c r="IZ138" s="531"/>
      <c r="JA138" s="531"/>
    </row>
    <row r="139" spans="1:261" s="367" customFormat="1" ht="16.5" customHeight="1" x14ac:dyDescent="0.3">
      <c r="A139" s="401" t="s">
        <v>3315</v>
      </c>
      <c r="B139" s="402" t="s">
        <v>3315</v>
      </c>
      <c r="C139" s="434" t="s">
        <v>3364</v>
      </c>
      <c r="D139" s="856"/>
      <c r="E139" s="751"/>
      <c r="F139" s="751"/>
      <c r="G139" s="751"/>
      <c r="H139" s="857"/>
      <c r="I139" s="853">
        <v>0</v>
      </c>
      <c r="J139" s="833">
        <v>0</v>
      </c>
      <c r="K139" s="833">
        <v>0</v>
      </c>
      <c r="L139" s="833">
        <v>0</v>
      </c>
      <c r="M139" s="833">
        <v>0</v>
      </c>
      <c r="N139" s="833">
        <v>0</v>
      </c>
      <c r="O139" s="833">
        <v>0</v>
      </c>
      <c r="P139" s="833">
        <v>0</v>
      </c>
      <c r="Q139" s="833">
        <v>0</v>
      </c>
      <c r="R139" s="833">
        <v>0</v>
      </c>
      <c r="S139" s="833">
        <v>0</v>
      </c>
      <c r="T139" s="833">
        <v>0</v>
      </c>
      <c r="U139" s="833">
        <v>0</v>
      </c>
      <c r="V139" s="833">
        <v>0</v>
      </c>
      <c r="W139" s="833">
        <v>0</v>
      </c>
      <c r="X139" s="833">
        <v>0</v>
      </c>
      <c r="Y139" s="833">
        <v>0</v>
      </c>
      <c r="Z139" s="833">
        <v>0</v>
      </c>
      <c r="AA139" s="833">
        <v>0</v>
      </c>
      <c r="AB139" s="833">
        <v>0</v>
      </c>
      <c r="AC139" s="833">
        <v>0</v>
      </c>
      <c r="AD139" s="833">
        <v>0</v>
      </c>
      <c r="AE139" s="833">
        <v>0</v>
      </c>
      <c r="AF139" s="833">
        <v>0</v>
      </c>
      <c r="AG139" s="833">
        <v>0</v>
      </c>
      <c r="AH139" s="833">
        <v>0</v>
      </c>
      <c r="AI139" s="833">
        <v>0</v>
      </c>
      <c r="AJ139" s="833">
        <v>0</v>
      </c>
      <c r="AK139" s="833">
        <v>0</v>
      </c>
      <c r="AL139" s="833">
        <v>0</v>
      </c>
      <c r="AM139" s="833">
        <v>0</v>
      </c>
      <c r="AN139" s="833">
        <v>0</v>
      </c>
      <c r="AO139" s="833">
        <v>0</v>
      </c>
      <c r="AP139" s="833">
        <v>0</v>
      </c>
      <c r="AQ139" s="833">
        <v>0</v>
      </c>
      <c r="AR139" s="833">
        <v>0</v>
      </c>
      <c r="AS139" s="833">
        <v>0</v>
      </c>
      <c r="AT139" s="833">
        <v>0</v>
      </c>
      <c r="AU139" s="833">
        <v>0</v>
      </c>
      <c r="AV139" s="833"/>
      <c r="AW139" s="833"/>
      <c r="AX139" s="833"/>
      <c r="AY139" s="833"/>
      <c r="AZ139" s="833"/>
      <c r="BA139" s="455"/>
      <c r="BB139" s="404"/>
      <c r="BC139" s="404"/>
      <c r="BD139" s="455"/>
      <c r="BE139" s="404"/>
      <c r="BF139" s="404"/>
      <c r="BG139" s="455"/>
      <c r="BH139" s="404"/>
      <c r="BI139" s="404"/>
      <c r="BJ139" s="455"/>
      <c r="BK139" s="404"/>
      <c r="BL139" s="404"/>
      <c r="BM139" s="455"/>
      <c r="BN139" s="404"/>
      <c r="BO139" s="404"/>
      <c r="BP139" s="455"/>
      <c r="BQ139" s="404"/>
      <c r="BR139" s="404"/>
      <c r="BS139" s="455"/>
      <c r="BT139" s="404"/>
      <c r="BU139" s="404"/>
      <c r="BV139" s="455"/>
      <c r="BW139" s="404"/>
      <c r="BX139" s="404"/>
      <c r="BY139" s="455"/>
      <c r="BZ139" s="404"/>
      <c r="CA139" s="404"/>
      <c r="CB139" s="455"/>
      <c r="CC139" s="404"/>
      <c r="CD139" s="404"/>
      <c r="CE139" s="455"/>
      <c r="CF139" s="404"/>
      <c r="CG139" s="404"/>
      <c r="CH139" s="455"/>
      <c r="CI139" s="404"/>
      <c r="CJ139" s="404"/>
      <c r="CK139" s="455"/>
      <c r="CL139" s="404"/>
      <c r="CM139" s="404"/>
      <c r="CN139" s="455"/>
      <c r="CO139" s="404"/>
      <c r="CP139" s="404"/>
      <c r="CQ139" s="455"/>
      <c r="CR139" s="404"/>
      <c r="CS139" s="404"/>
      <c r="CT139" s="455"/>
      <c r="CU139" s="404"/>
      <c r="CV139" s="404"/>
      <c r="CW139" s="455"/>
      <c r="CX139" s="404"/>
      <c r="CY139" s="404"/>
      <c r="CZ139" s="455"/>
      <c r="DA139" s="404"/>
      <c r="DB139" s="404"/>
      <c r="DC139" s="455"/>
      <c r="DD139" s="404"/>
      <c r="DE139" s="404"/>
      <c r="DF139" s="455"/>
      <c r="DG139" s="404"/>
      <c r="DH139" s="404"/>
      <c r="DI139" s="455"/>
      <c r="DJ139" s="404"/>
      <c r="DK139" s="404"/>
      <c r="DL139" s="455"/>
      <c r="DM139" s="404"/>
      <c r="DN139" s="404"/>
      <c r="DO139" s="455"/>
      <c r="DP139" s="404"/>
      <c r="DQ139" s="404"/>
      <c r="DR139" s="455"/>
      <c r="DS139" s="404"/>
      <c r="DT139" s="404"/>
      <c r="DU139" s="455"/>
      <c r="DV139" s="404"/>
      <c r="DW139" s="404"/>
      <c r="DX139" s="455"/>
      <c r="DY139" s="404"/>
      <c r="DZ139" s="404"/>
      <c r="EA139" s="455"/>
      <c r="EB139" s="404"/>
      <c r="EC139" s="404"/>
      <c r="ED139" s="455"/>
      <c r="EE139" s="404"/>
      <c r="EF139" s="404"/>
      <c r="EG139" s="455"/>
      <c r="EH139" s="404"/>
      <c r="EI139" s="404"/>
      <c r="EJ139" s="455"/>
      <c r="EK139" s="404"/>
      <c r="EL139" s="404"/>
      <c r="EM139" s="455"/>
      <c r="EN139" s="404"/>
      <c r="EO139" s="404"/>
      <c r="EP139" s="455"/>
      <c r="EQ139" s="404"/>
      <c r="ER139" s="404"/>
      <c r="ES139" s="455"/>
      <c r="ET139" s="404"/>
      <c r="EU139" s="404"/>
      <c r="EV139" s="455"/>
      <c r="EW139" s="404"/>
      <c r="EX139" s="404"/>
      <c r="EY139" s="455"/>
      <c r="EZ139" s="404"/>
      <c r="FA139" s="404"/>
      <c r="FB139" s="455"/>
      <c r="FC139" s="404"/>
      <c r="FD139" s="404"/>
      <c r="FE139" s="455"/>
      <c r="FF139" s="404"/>
      <c r="FG139" s="404"/>
      <c r="FH139" s="455"/>
      <c r="FI139" s="404"/>
      <c r="FJ139" s="404"/>
      <c r="FK139" s="455"/>
      <c r="FL139" s="387">
        <v>1225.2564263010347</v>
      </c>
      <c r="FM139" s="387"/>
      <c r="FN139" s="358"/>
      <c r="FO139" s="387">
        <v>1225.2564263010347</v>
      </c>
      <c r="FP139" s="387"/>
      <c r="FQ139" s="358"/>
      <c r="FR139" s="387">
        <v>1225.2564263010347</v>
      </c>
      <c r="FS139" s="387"/>
      <c r="FT139" s="358"/>
      <c r="FU139" s="387">
        <v>1225.2564263010347</v>
      </c>
      <c r="FV139" s="387"/>
      <c r="FW139" s="358"/>
      <c r="FX139" s="387">
        <v>1225.2564263010347</v>
      </c>
      <c r="FY139" s="387"/>
      <c r="FZ139" s="358"/>
      <c r="GA139" s="387">
        <v>1225.2564263010347</v>
      </c>
      <c r="GB139" s="387"/>
      <c r="GC139" s="358"/>
      <c r="GD139" s="387">
        <v>1225.2564263010347</v>
      </c>
      <c r="GE139" s="387"/>
      <c r="GF139" s="358"/>
      <c r="GG139" s="387">
        <v>1225.2564263010347</v>
      </c>
      <c r="GH139" s="387"/>
      <c r="GI139" s="358"/>
      <c r="GJ139" s="387">
        <v>1225.2564263010347</v>
      </c>
      <c r="GK139" s="387"/>
      <c r="GL139" s="358"/>
      <c r="GM139" s="387">
        <v>1225.2564263010347</v>
      </c>
      <c r="GN139" s="387"/>
      <c r="GO139" s="358"/>
      <c r="GP139" s="387">
        <v>1225.2564263010347</v>
      </c>
      <c r="GQ139" s="387"/>
      <c r="GR139" s="358"/>
      <c r="GS139" s="387">
        <v>1225.2564263010347</v>
      </c>
      <c r="GT139" s="387"/>
      <c r="GU139" s="358"/>
      <c r="GV139" s="387">
        <v>1225.2564263010347</v>
      </c>
      <c r="GW139" s="387"/>
      <c r="GX139" s="358"/>
      <c r="GY139" s="387">
        <v>1225.2564263010347</v>
      </c>
      <c r="GZ139" s="387"/>
      <c r="HA139" s="358"/>
      <c r="HB139" s="387">
        <v>1225.2564263010347</v>
      </c>
      <c r="HC139" s="387"/>
      <c r="HD139" s="358"/>
      <c r="HE139" s="387">
        <v>1225.2564263010347</v>
      </c>
      <c r="HF139" s="387"/>
      <c r="HG139" s="358"/>
      <c r="HH139" s="387">
        <v>1225.2564263010347</v>
      </c>
      <c r="HI139" s="358"/>
      <c r="HJ139" s="387">
        <v>1225.2564263010347</v>
      </c>
      <c r="HK139" s="358"/>
      <c r="HL139" s="387">
        <v>1225.2564263010347</v>
      </c>
      <c r="HM139" s="358"/>
      <c r="HN139" s="387">
        <v>1225.2564263010347</v>
      </c>
      <c r="HO139" s="358"/>
      <c r="HP139" s="387">
        <v>1225.2564263010347</v>
      </c>
      <c r="HQ139" s="358"/>
      <c r="HR139" s="387">
        <v>1225.2564263010347</v>
      </c>
      <c r="HS139" s="358"/>
      <c r="HT139" s="387">
        <v>1225.2564263010347</v>
      </c>
      <c r="HU139" s="358"/>
      <c r="HV139" s="388">
        <v>1225.2564263010347</v>
      </c>
      <c r="HW139" s="425"/>
      <c r="HX139" s="423">
        <v>1225.2564263010347</v>
      </c>
      <c r="HY139" s="425"/>
      <c r="HZ139" s="423">
        <v>1225.2564263010347</v>
      </c>
      <c r="IA139" s="425"/>
      <c r="IB139" s="549">
        <v>1908.1862376819392</v>
      </c>
      <c r="IC139" s="425"/>
      <c r="ID139" s="399"/>
      <c r="IE139" s="361"/>
      <c r="IF139" s="399"/>
      <c r="IG139" s="426"/>
      <c r="IH139" s="537"/>
      <c r="II139" s="426"/>
      <c r="IJ139" s="537"/>
      <c r="IK139" s="426"/>
      <c r="IL139" s="499"/>
      <c r="IM139" s="427"/>
      <c r="IN139" s="499"/>
      <c r="IO139" s="427"/>
      <c r="IP139" s="496"/>
      <c r="IQ139" s="427"/>
      <c r="IR139" s="429" t="s">
        <v>3365</v>
      </c>
      <c r="IS139" s="364" t="s">
        <v>77</v>
      </c>
      <c r="IT139" s="365">
        <v>43630</v>
      </c>
      <c r="IU139" s="371">
        <v>43647</v>
      </c>
      <c r="IW139" s="372">
        <f t="shared" si="16"/>
        <v>17</v>
      </c>
      <c r="IX139" s="373">
        <f t="shared" si="21"/>
        <v>62.563483202686534</v>
      </c>
      <c r="IY139" s="531">
        <f t="shared" si="20"/>
        <v>1063.5792144456711</v>
      </c>
      <c r="IZ139" s="531"/>
      <c r="JA139" s="531"/>
    </row>
    <row r="140" spans="1:261" s="367" customFormat="1" ht="16.5" customHeight="1" x14ac:dyDescent="0.3">
      <c r="A140" s="354" t="s">
        <v>2743</v>
      </c>
      <c r="B140" s="465" t="s">
        <v>2745</v>
      </c>
      <c r="C140" s="466" t="s">
        <v>1226</v>
      </c>
      <c r="D140" s="467">
        <v>1628</v>
      </c>
      <c r="E140" s="468">
        <v>95</v>
      </c>
      <c r="F140" s="468">
        <v>16</v>
      </c>
      <c r="G140" s="468">
        <v>108</v>
      </c>
      <c r="H140" s="469">
        <v>0</v>
      </c>
      <c r="I140" s="883">
        <v>1738</v>
      </c>
      <c r="J140" s="884">
        <v>108</v>
      </c>
      <c r="K140" s="836"/>
      <c r="L140" s="884">
        <v>1738</v>
      </c>
      <c r="M140" s="884">
        <v>108</v>
      </c>
      <c r="N140" s="836"/>
      <c r="O140" s="884">
        <v>1738</v>
      </c>
      <c r="P140" s="884">
        <v>108</v>
      </c>
      <c r="Q140" s="836"/>
      <c r="R140" s="884">
        <v>1738</v>
      </c>
      <c r="S140" s="884">
        <v>108</v>
      </c>
      <c r="T140" s="836"/>
      <c r="U140" s="884">
        <v>1738</v>
      </c>
      <c r="V140" s="884">
        <v>108</v>
      </c>
      <c r="W140" s="836"/>
      <c r="X140" s="884">
        <v>1738</v>
      </c>
      <c r="Y140" s="884">
        <v>108</v>
      </c>
      <c r="Z140" s="836"/>
      <c r="AA140" s="884">
        <v>1738</v>
      </c>
      <c r="AB140" s="884">
        <v>108</v>
      </c>
      <c r="AC140" s="836"/>
      <c r="AD140" s="884">
        <v>1738</v>
      </c>
      <c r="AE140" s="884">
        <v>108</v>
      </c>
      <c r="AF140" s="836"/>
      <c r="AG140" s="884">
        <v>1738</v>
      </c>
      <c r="AH140" s="884">
        <v>108</v>
      </c>
      <c r="AI140" s="836"/>
      <c r="AJ140" s="884">
        <v>1738</v>
      </c>
      <c r="AK140" s="884">
        <v>108</v>
      </c>
      <c r="AL140" s="836"/>
      <c r="AM140" s="835">
        <v>1738</v>
      </c>
      <c r="AN140" s="835">
        <v>108</v>
      </c>
      <c r="AO140" s="827"/>
      <c r="AP140" s="835">
        <v>1738</v>
      </c>
      <c r="AQ140" s="835">
        <v>108</v>
      </c>
      <c r="AR140" s="827"/>
      <c r="AS140" s="835">
        <v>1738</v>
      </c>
      <c r="AT140" s="835">
        <v>108</v>
      </c>
      <c r="AU140" s="827"/>
      <c r="AV140" s="835">
        <v>1738</v>
      </c>
      <c r="AW140" s="835">
        <v>108</v>
      </c>
      <c r="AX140" s="827"/>
      <c r="AY140" s="835">
        <v>1738</v>
      </c>
      <c r="AZ140" s="835">
        <v>108</v>
      </c>
      <c r="BA140" s="358"/>
      <c r="BB140" s="384">
        <v>1738</v>
      </c>
      <c r="BC140" s="384">
        <v>108</v>
      </c>
      <c r="BD140" s="358"/>
      <c r="BE140" s="384">
        <v>1738</v>
      </c>
      <c r="BF140" s="384">
        <v>108</v>
      </c>
      <c r="BG140" s="358"/>
      <c r="BH140" s="384">
        <v>1738</v>
      </c>
      <c r="BI140" s="384">
        <v>108</v>
      </c>
      <c r="BJ140" s="559"/>
      <c r="BK140" s="384">
        <v>1738</v>
      </c>
      <c r="BL140" s="384">
        <v>108</v>
      </c>
      <c r="BM140" s="559"/>
      <c r="BN140" s="384">
        <v>1738</v>
      </c>
      <c r="BO140" s="384">
        <v>108</v>
      </c>
      <c r="BP140" s="559"/>
      <c r="BQ140" s="385">
        <v>1738</v>
      </c>
      <c r="BR140" s="385">
        <v>108</v>
      </c>
      <c r="BS140" s="358"/>
      <c r="BT140" s="385">
        <v>1738</v>
      </c>
      <c r="BU140" s="385">
        <v>108</v>
      </c>
      <c r="BV140" s="358"/>
      <c r="BW140" s="385">
        <v>1738</v>
      </c>
      <c r="BX140" s="385">
        <v>108</v>
      </c>
      <c r="BY140" s="358"/>
      <c r="BZ140" s="385">
        <v>1738</v>
      </c>
      <c r="CA140" s="385">
        <v>108</v>
      </c>
      <c r="CB140" s="358"/>
      <c r="CC140" s="385">
        <v>1738</v>
      </c>
      <c r="CD140" s="385">
        <v>108</v>
      </c>
      <c r="CE140" s="358"/>
      <c r="CF140" s="385">
        <v>1738</v>
      </c>
      <c r="CG140" s="385">
        <v>108</v>
      </c>
      <c r="CH140" s="358"/>
      <c r="CI140" s="385">
        <v>1738</v>
      </c>
      <c r="CJ140" s="385">
        <v>108</v>
      </c>
      <c r="CK140" s="358"/>
      <c r="CL140" s="385">
        <v>1738</v>
      </c>
      <c r="CM140" s="385">
        <v>108</v>
      </c>
      <c r="CN140" s="358"/>
      <c r="CO140" s="385">
        <v>1738</v>
      </c>
      <c r="CP140" s="385">
        <v>108</v>
      </c>
      <c r="CQ140" s="358"/>
      <c r="CR140" s="385">
        <v>1738</v>
      </c>
      <c r="CS140" s="385">
        <v>108</v>
      </c>
      <c r="CT140" s="358"/>
      <c r="CU140" s="385">
        <v>1738</v>
      </c>
      <c r="CV140" s="385">
        <v>108</v>
      </c>
      <c r="CW140" s="358"/>
      <c r="CX140" s="385">
        <v>1738</v>
      </c>
      <c r="CY140" s="385">
        <v>108</v>
      </c>
      <c r="CZ140" s="358"/>
      <c r="DA140" s="385">
        <v>1738</v>
      </c>
      <c r="DB140" s="385">
        <v>108</v>
      </c>
      <c r="DC140" s="358"/>
      <c r="DD140" s="385">
        <v>1738</v>
      </c>
      <c r="DE140" s="385">
        <v>108</v>
      </c>
      <c r="DF140" s="358"/>
      <c r="DG140" s="385">
        <v>1738</v>
      </c>
      <c r="DH140" s="385">
        <v>108</v>
      </c>
      <c r="DI140" s="358"/>
      <c r="DJ140" s="385">
        <v>1738</v>
      </c>
      <c r="DK140" s="385">
        <v>108</v>
      </c>
      <c r="DL140" s="358"/>
      <c r="DM140" s="385">
        <v>1738</v>
      </c>
      <c r="DN140" s="385">
        <v>108</v>
      </c>
      <c r="DO140" s="358"/>
      <c r="DP140" s="385">
        <v>1738</v>
      </c>
      <c r="DQ140" s="385">
        <v>108</v>
      </c>
      <c r="DR140" s="358"/>
      <c r="DS140" s="385">
        <v>1738</v>
      </c>
      <c r="DT140" s="385">
        <v>108</v>
      </c>
      <c r="DU140" s="358"/>
      <c r="DV140" s="385">
        <v>1738</v>
      </c>
      <c r="DW140" s="385">
        <v>108</v>
      </c>
      <c r="DX140" s="358"/>
      <c r="DY140" s="385">
        <v>1738</v>
      </c>
      <c r="DZ140" s="385">
        <v>108</v>
      </c>
      <c r="EA140" s="358"/>
      <c r="EB140" s="385">
        <v>1738</v>
      </c>
      <c r="EC140" s="385">
        <v>108</v>
      </c>
      <c r="ED140" s="358"/>
      <c r="EE140" s="385">
        <v>1738</v>
      </c>
      <c r="EF140" s="385">
        <v>108</v>
      </c>
      <c r="EG140" s="358"/>
      <c r="EH140" s="385">
        <v>1738</v>
      </c>
      <c r="EI140" s="385">
        <v>108</v>
      </c>
      <c r="EJ140" s="358"/>
      <c r="EK140" s="385">
        <v>1738</v>
      </c>
      <c r="EL140" s="385">
        <v>108</v>
      </c>
      <c r="EM140" s="358"/>
      <c r="EN140" s="385">
        <v>1738</v>
      </c>
      <c r="EO140" s="385">
        <v>108</v>
      </c>
      <c r="EP140" s="358"/>
      <c r="EQ140" s="385">
        <v>1738</v>
      </c>
      <c r="ER140" s="385">
        <v>108</v>
      </c>
      <c r="ES140" s="358"/>
      <c r="ET140" s="385">
        <v>1738</v>
      </c>
      <c r="EU140" s="385">
        <v>108</v>
      </c>
      <c r="EV140" s="358"/>
      <c r="EW140" s="385">
        <v>1738</v>
      </c>
      <c r="EX140" s="385">
        <v>108</v>
      </c>
      <c r="EY140" s="358"/>
      <c r="EZ140" s="385">
        <v>1738</v>
      </c>
      <c r="FA140" s="385">
        <v>108</v>
      </c>
      <c r="FB140" s="358"/>
      <c r="FC140" s="385">
        <v>1738</v>
      </c>
      <c r="FD140" s="385">
        <v>108</v>
      </c>
      <c r="FE140" s="358"/>
      <c r="FF140" s="385">
        <v>1738</v>
      </c>
      <c r="FG140" s="385">
        <v>108</v>
      </c>
      <c r="FH140" s="358"/>
      <c r="FI140" s="385">
        <v>1738</v>
      </c>
      <c r="FJ140" s="385">
        <v>108</v>
      </c>
      <c r="FK140" s="358"/>
      <c r="FL140" s="385">
        <v>1738</v>
      </c>
      <c r="FM140" s="385">
        <v>108</v>
      </c>
      <c r="FN140" s="358"/>
      <c r="FO140" s="385">
        <v>1738</v>
      </c>
      <c r="FP140" s="385">
        <v>108</v>
      </c>
      <c r="FQ140" s="358"/>
      <c r="FR140" s="385">
        <v>1738</v>
      </c>
      <c r="FS140" s="385">
        <v>108</v>
      </c>
      <c r="FT140" s="358"/>
      <c r="FU140" s="385">
        <v>1738</v>
      </c>
      <c r="FV140" s="385">
        <v>108</v>
      </c>
      <c r="FW140" s="358"/>
      <c r="FX140" s="385">
        <v>1738</v>
      </c>
      <c r="FY140" s="385">
        <v>108</v>
      </c>
      <c r="FZ140" s="358"/>
      <c r="GA140" s="385">
        <v>1738</v>
      </c>
      <c r="GB140" s="385">
        <v>108</v>
      </c>
      <c r="GC140" s="358"/>
      <c r="GD140" s="385">
        <v>1738</v>
      </c>
      <c r="GE140" s="385">
        <v>108</v>
      </c>
      <c r="GF140" s="358"/>
      <c r="GG140" s="385">
        <v>1738</v>
      </c>
      <c r="GH140" s="385">
        <v>108</v>
      </c>
      <c r="GI140" s="358"/>
      <c r="GJ140" s="385">
        <v>1738</v>
      </c>
      <c r="GK140" s="385">
        <v>108</v>
      </c>
      <c r="GL140" s="358"/>
      <c r="GM140" s="385">
        <v>1738</v>
      </c>
      <c r="GN140" s="385">
        <v>108</v>
      </c>
      <c r="GO140" s="358"/>
      <c r="GP140" s="385">
        <v>1738</v>
      </c>
      <c r="GQ140" s="385">
        <v>108</v>
      </c>
      <c r="GR140" s="358"/>
      <c r="GS140" s="385">
        <v>1738</v>
      </c>
      <c r="GT140" s="385">
        <v>108</v>
      </c>
      <c r="GU140" s="358"/>
      <c r="GV140" s="385">
        <v>1738</v>
      </c>
      <c r="GW140" s="385">
        <v>108</v>
      </c>
      <c r="GX140" s="358"/>
      <c r="GY140" s="386">
        <v>1738</v>
      </c>
      <c r="GZ140" s="386">
        <v>108</v>
      </c>
      <c r="HA140" s="358"/>
      <c r="HB140" s="385">
        <v>1738</v>
      </c>
      <c r="HC140" s="385"/>
      <c r="HD140" s="358"/>
      <c r="HE140" s="385">
        <v>1738</v>
      </c>
      <c r="HF140" s="385"/>
      <c r="HG140" s="358"/>
      <c r="HH140" s="385">
        <v>1738</v>
      </c>
      <c r="HI140" s="358"/>
      <c r="HJ140" s="386">
        <v>1823.57</v>
      </c>
      <c r="HK140" s="358"/>
      <c r="HL140" s="387">
        <v>1564.4564263010345</v>
      </c>
      <c r="HM140" s="358"/>
      <c r="HN140" s="387">
        <v>1564.4564263010345</v>
      </c>
      <c r="HO140" s="358"/>
      <c r="HP140" s="387">
        <v>1564.4564263010345</v>
      </c>
      <c r="HQ140" s="358"/>
      <c r="HR140" s="387">
        <v>1564.4564263010345</v>
      </c>
      <c r="HS140" s="358"/>
      <c r="HT140" s="387">
        <v>1564.4564263010345</v>
      </c>
      <c r="HU140" s="358"/>
      <c r="HV140" s="388">
        <v>1564.4564263010345</v>
      </c>
      <c r="HW140" s="425"/>
      <c r="HX140" s="423">
        <v>1564.4564263010345</v>
      </c>
      <c r="HY140" s="425"/>
      <c r="HZ140" s="423">
        <v>1564.4564263010345</v>
      </c>
      <c r="IA140" s="425"/>
      <c r="IB140" s="549">
        <v>2231.2739194785245</v>
      </c>
      <c r="IC140" s="425"/>
      <c r="ID140" s="399"/>
      <c r="IE140" s="361"/>
      <c r="IF140" s="399"/>
      <c r="IG140" s="426"/>
      <c r="IH140" s="537"/>
      <c r="II140" s="426"/>
      <c r="IJ140" s="537"/>
      <c r="IK140" s="426"/>
      <c r="IL140" s="499"/>
      <c r="IM140" s="427"/>
      <c r="IN140" s="499"/>
      <c r="IO140" s="427"/>
      <c r="IP140" s="496"/>
      <c r="IQ140" s="427"/>
      <c r="IR140" s="429" t="s">
        <v>3366</v>
      </c>
      <c r="IS140" s="364" t="s">
        <v>77</v>
      </c>
      <c r="IT140" s="365">
        <v>43634</v>
      </c>
      <c r="IU140" s="371">
        <v>43647</v>
      </c>
      <c r="IV140" s="464">
        <v>43907</v>
      </c>
      <c r="IW140" s="372">
        <f t="shared" si="16"/>
        <v>13</v>
      </c>
      <c r="IX140" s="373">
        <f t="shared" si="21"/>
        <v>73.156521950115561</v>
      </c>
      <c r="IY140" s="531">
        <f t="shared" si="20"/>
        <v>951.03478535150225</v>
      </c>
      <c r="IZ140" s="531"/>
      <c r="JA140" s="531"/>
    </row>
    <row r="141" spans="1:261" s="367" customFormat="1" ht="16.5" customHeight="1" x14ac:dyDescent="0.3">
      <c r="A141" s="354" t="s">
        <v>2743</v>
      </c>
      <c r="B141" s="470" t="s">
        <v>2916</v>
      </c>
      <c r="C141" s="501" t="s">
        <v>1355</v>
      </c>
      <c r="D141" s="502">
        <v>645</v>
      </c>
      <c r="E141" s="503">
        <v>54</v>
      </c>
      <c r="F141" s="503">
        <v>0</v>
      </c>
      <c r="G141" s="503">
        <v>27</v>
      </c>
      <c r="H141" s="504">
        <v>66</v>
      </c>
      <c r="I141" s="841">
        <v>699</v>
      </c>
      <c r="J141" s="837">
        <v>27</v>
      </c>
      <c r="K141" s="837">
        <v>66</v>
      </c>
      <c r="L141" s="835">
        <v>699</v>
      </c>
      <c r="M141" s="837">
        <v>27</v>
      </c>
      <c r="N141" s="837">
        <v>66</v>
      </c>
      <c r="O141" s="835">
        <v>699</v>
      </c>
      <c r="P141" s="837">
        <v>27</v>
      </c>
      <c r="Q141" s="837">
        <v>66</v>
      </c>
      <c r="R141" s="835">
        <v>699</v>
      </c>
      <c r="S141" s="837">
        <v>27</v>
      </c>
      <c r="T141" s="837">
        <v>66</v>
      </c>
      <c r="U141" s="835">
        <v>699</v>
      </c>
      <c r="V141" s="837">
        <v>27</v>
      </c>
      <c r="W141" s="837">
        <v>66</v>
      </c>
      <c r="X141" s="842">
        <f>((699-503)/30.5*24)+699</f>
        <v>853.22950819672133</v>
      </c>
      <c r="Y141" s="838">
        <f>((27/30.5)*24)+27</f>
        <v>48.245901639344261</v>
      </c>
      <c r="Z141" s="837">
        <v>66</v>
      </c>
      <c r="AA141" s="837">
        <v>503</v>
      </c>
      <c r="AB141" s="837"/>
      <c r="AC141" s="837">
        <v>66</v>
      </c>
      <c r="AD141" s="837">
        <v>503</v>
      </c>
      <c r="AE141" s="837"/>
      <c r="AF141" s="837">
        <v>66</v>
      </c>
      <c r="AG141" s="837">
        <v>503</v>
      </c>
      <c r="AH141" s="837"/>
      <c r="AI141" s="837">
        <v>66</v>
      </c>
      <c r="AJ141" s="837">
        <v>503</v>
      </c>
      <c r="AK141" s="837"/>
      <c r="AL141" s="837">
        <v>66</v>
      </c>
      <c r="AM141" s="841">
        <v>503</v>
      </c>
      <c r="AN141" s="831"/>
      <c r="AO141" s="827">
        <v>66</v>
      </c>
      <c r="AP141" s="835">
        <v>503</v>
      </c>
      <c r="AQ141" s="831"/>
      <c r="AR141" s="827">
        <v>66</v>
      </c>
      <c r="AS141" s="881">
        <f>((503-418)/30.5)*31+503</f>
        <v>589.39344262295083</v>
      </c>
      <c r="AT141" s="831"/>
      <c r="AU141" s="827">
        <v>66</v>
      </c>
      <c r="AV141" s="831">
        <v>417.65642630103451</v>
      </c>
      <c r="AW141" s="831"/>
      <c r="AX141" s="827">
        <v>66</v>
      </c>
      <c r="AY141" s="831">
        <v>417.65642630103451</v>
      </c>
      <c r="AZ141" s="831"/>
      <c r="BA141" s="358">
        <v>66</v>
      </c>
      <c r="BB141" s="385">
        <v>417.65642630103451</v>
      </c>
      <c r="BC141" s="385"/>
      <c r="BD141" s="358">
        <v>66</v>
      </c>
      <c r="BE141" s="385">
        <v>417.65642630103451</v>
      </c>
      <c r="BF141" s="385"/>
      <c r="BG141" s="358">
        <v>66</v>
      </c>
      <c r="BH141" s="385">
        <v>417.65642630103451</v>
      </c>
      <c r="BI141" s="385"/>
      <c r="BJ141" s="369">
        <v>66</v>
      </c>
      <c r="BK141" s="385">
        <v>417.65642630103451</v>
      </c>
      <c r="BL141" s="385"/>
      <c r="BM141" s="369">
        <v>66</v>
      </c>
      <c r="BN141" s="385">
        <v>417.65642630103451</v>
      </c>
      <c r="BO141" s="385"/>
      <c r="BP141" s="369">
        <v>66</v>
      </c>
      <c r="BQ141" s="385">
        <v>417.65642630103451</v>
      </c>
      <c r="BR141" s="385"/>
      <c r="BS141" s="369">
        <v>66</v>
      </c>
      <c r="BT141" s="385">
        <v>417.65642630103451</v>
      </c>
      <c r="BU141" s="385"/>
      <c r="BV141" s="369">
        <v>66</v>
      </c>
      <c r="BW141" s="385">
        <v>417.65642630103451</v>
      </c>
      <c r="BX141" s="385"/>
      <c r="BY141" s="369">
        <v>66</v>
      </c>
      <c r="BZ141" s="385">
        <v>417.65642630103451</v>
      </c>
      <c r="CA141" s="385"/>
      <c r="CB141" s="369">
        <v>66</v>
      </c>
      <c r="CC141" s="385">
        <v>417.65642630103451</v>
      </c>
      <c r="CD141" s="385"/>
      <c r="CE141" s="369">
        <v>66</v>
      </c>
      <c r="CF141" s="385">
        <v>417.65642630103451</v>
      </c>
      <c r="CG141" s="385"/>
      <c r="CH141" s="369">
        <v>66</v>
      </c>
      <c r="CI141" s="385">
        <v>417.65642630103451</v>
      </c>
      <c r="CJ141" s="385"/>
      <c r="CK141" s="369">
        <v>66</v>
      </c>
      <c r="CL141" s="385">
        <v>417.65642630103451</v>
      </c>
      <c r="CM141" s="385"/>
      <c r="CN141" s="369">
        <v>66</v>
      </c>
      <c r="CO141" s="385">
        <v>417.65642630103451</v>
      </c>
      <c r="CP141" s="385"/>
      <c r="CQ141" s="369">
        <v>66</v>
      </c>
      <c r="CR141" s="385">
        <v>417.65642630103451</v>
      </c>
      <c r="CS141" s="385"/>
      <c r="CT141" s="369">
        <v>66</v>
      </c>
      <c r="CU141" s="385">
        <v>417.65642630103451</v>
      </c>
      <c r="CV141" s="385"/>
      <c r="CW141" s="369">
        <v>66</v>
      </c>
      <c r="CX141" s="385">
        <v>417.65642630103451</v>
      </c>
      <c r="CY141" s="385"/>
      <c r="CZ141" s="369">
        <v>66</v>
      </c>
      <c r="DA141" s="385">
        <v>417.65642630103451</v>
      </c>
      <c r="DB141" s="385"/>
      <c r="DC141" s="369">
        <v>66</v>
      </c>
      <c r="DD141" s="385">
        <v>417.65642630103451</v>
      </c>
      <c r="DE141" s="385"/>
      <c r="DF141" s="369">
        <v>66</v>
      </c>
      <c r="DG141" s="385">
        <v>417.65642630103451</v>
      </c>
      <c r="DH141" s="385"/>
      <c r="DI141" s="369">
        <v>66</v>
      </c>
      <c r="DJ141" s="385">
        <v>417.65642630103451</v>
      </c>
      <c r="DK141" s="385"/>
      <c r="DL141" s="369">
        <v>66</v>
      </c>
      <c r="DM141" s="385">
        <v>417.65642630103451</v>
      </c>
      <c r="DN141" s="385"/>
      <c r="DO141" s="369">
        <v>66</v>
      </c>
      <c r="DP141" s="385">
        <v>417.65642630103451</v>
      </c>
      <c r="DQ141" s="385"/>
      <c r="DR141" s="369">
        <v>66</v>
      </c>
      <c r="DS141" s="385">
        <v>417.65642630103451</v>
      </c>
      <c r="DT141" s="385"/>
      <c r="DU141" s="369">
        <v>66</v>
      </c>
      <c r="DV141" s="385">
        <v>417.65642630103451</v>
      </c>
      <c r="DW141" s="385"/>
      <c r="DX141" s="369">
        <v>66</v>
      </c>
      <c r="DY141" s="385">
        <v>417.65642630103451</v>
      </c>
      <c r="DZ141" s="385"/>
      <c r="EA141" s="369">
        <v>66</v>
      </c>
      <c r="EB141" s="385">
        <v>417.65642630103451</v>
      </c>
      <c r="EC141" s="385"/>
      <c r="ED141" s="369">
        <v>66</v>
      </c>
      <c r="EE141" s="385">
        <v>417.65642630103451</v>
      </c>
      <c r="EF141" s="385"/>
      <c r="EG141" s="369">
        <v>66</v>
      </c>
      <c r="EH141" s="385">
        <v>417.65642630103451</v>
      </c>
      <c r="EI141" s="385"/>
      <c r="EJ141" s="369">
        <v>66</v>
      </c>
      <c r="EK141" s="385">
        <v>417.65642630103451</v>
      </c>
      <c r="EL141" s="385"/>
      <c r="EM141" s="369">
        <v>66</v>
      </c>
      <c r="EN141" s="385">
        <v>417.65642630103451</v>
      </c>
      <c r="EO141" s="385"/>
      <c r="EP141" s="369">
        <v>66</v>
      </c>
      <c r="EQ141" s="385">
        <v>417.65642630103451</v>
      </c>
      <c r="ER141" s="385"/>
      <c r="ES141" s="369">
        <v>66</v>
      </c>
      <c r="ET141" s="385">
        <v>417.65642630103451</v>
      </c>
      <c r="EU141" s="385"/>
      <c r="EV141" s="369">
        <v>66</v>
      </c>
      <c r="EW141" s="385">
        <v>417.65642630103451</v>
      </c>
      <c r="EX141" s="385"/>
      <c r="EY141" s="369">
        <v>66</v>
      </c>
      <c r="EZ141" s="385">
        <v>417.65642630103451</v>
      </c>
      <c r="FA141" s="385"/>
      <c r="FB141" s="369">
        <v>66</v>
      </c>
      <c r="FC141" s="385">
        <v>417.65642630103451</v>
      </c>
      <c r="FD141" s="385"/>
      <c r="FE141" s="369">
        <v>66</v>
      </c>
      <c r="FF141" s="385">
        <v>417.65642630103451</v>
      </c>
      <c r="FG141" s="385"/>
      <c r="FH141" s="369">
        <v>66</v>
      </c>
      <c r="FI141" s="385">
        <v>417.65642630103451</v>
      </c>
      <c r="FJ141" s="385"/>
      <c r="FK141" s="369">
        <v>66</v>
      </c>
      <c r="FL141" s="385">
        <v>417.65642630103451</v>
      </c>
      <c r="FM141" s="385"/>
      <c r="FN141" s="369">
        <v>66</v>
      </c>
      <c r="FO141" s="385">
        <v>417.65642630103451</v>
      </c>
      <c r="FP141" s="385"/>
      <c r="FQ141" s="369">
        <v>66</v>
      </c>
      <c r="FR141" s="385">
        <v>417.65642630103451</v>
      </c>
      <c r="FS141" s="385"/>
      <c r="FT141" s="369">
        <v>66</v>
      </c>
      <c r="FU141" s="386">
        <v>417.65642630103451</v>
      </c>
      <c r="FV141" s="386"/>
      <c r="FW141" s="370">
        <v>66</v>
      </c>
      <c r="FX141" s="387">
        <v>417.65642630103451</v>
      </c>
      <c r="FY141" s="387"/>
      <c r="FZ141" s="358"/>
      <c r="GA141" s="387">
        <v>417.65642630103451</v>
      </c>
      <c r="GB141" s="387"/>
      <c r="GC141" s="358"/>
      <c r="GD141" s="387">
        <v>417.65642630103451</v>
      </c>
      <c r="GE141" s="387"/>
      <c r="GF141" s="358"/>
      <c r="GG141" s="387">
        <v>417.65642630103451</v>
      </c>
      <c r="GH141" s="387"/>
      <c r="GI141" s="358"/>
      <c r="GJ141" s="387">
        <v>417.65642630103451</v>
      </c>
      <c r="GK141" s="387"/>
      <c r="GL141" s="358"/>
      <c r="GM141" s="387">
        <v>417.65642630103451</v>
      </c>
      <c r="GN141" s="387"/>
      <c r="GO141" s="358"/>
      <c r="GP141" s="387">
        <v>417.65642630103451</v>
      </c>
      <c r="GQ141" s="387"/>
      <c r="GR141" s="358"/>
      <c r="GS141" s="387">
        <v>417.65642630103451</v>
      </c>
      <c r="GT141" s="387"/>
      <c r="GU141" s="358"/>
      <c r="GV141" s="387">
        <v>417.65642630103451</v>
      </c>
      <c r="GW141" s="387"/>
      <c r="GX141" s="358"/>
      <c r="GY141" s="387">
        <v>417.65642630103451</v>
      </c>
      <c r="GZ141" s="387"/>
      <c r="HA141" s="358"/>
      <c r="HB141" s="387">
        <v>417.65642630103451</v>
      </c>
      <c r="HC141" s="387"/>
      <c r="HD141" s="358"/>
      <c r="HE141" s="387">
        <v>417.65642630103451</v>
      </c>
      <c r="HF141" s="387"/>
      <c r="HG141" s="358"/>
      <c r="HH141" s="387">
        <v>417.65642630103451</v>
      </c>
      <c r="HI141" s="358"/>
      <c r="HJ141" s="387">
        <v>417.65642630103451</v>
      </c>
      <c r="HK141" s="358"/>
      <c r="HL141" s="387">
        <v>417.65642630103451</v>
      </c>
      <c r="HM141" s="358"/>
      <c r="HN141" s="387">
        <v>417.65642630103451</v>
      </c>
      <c r="HO141" s="358"/>
      <c r="HP141" s="387">
        <v>417.65642630103451</v>
      </c>
      <c r="HQ141" s="358"/>
      <c r="HR141" s="387">
        <v>417.65642630103451</v>
      </c>
      <c r="HS141" s="358"/>
      <c r="HT141" s="387">
        <v>417.65642630103451</v>
      </c>
      <c r="HU141" s="358"/>
      <c r="HV141" s="388">
        <v>417.65642630103451</v>
      </c>
      <c r="HW141" s="425"/>
      <c r="HX141" s="423">
        <v>417.65642630103451</v>
      </c>
      <c r="HY141" s="425"/>
      <c r="HZ141" s="423">
        <v>417.65642630103451</v>
      </c>
      <c r="IA141" s="425"/>
      <c r="IB141" s="549">
        <v>581.98026615717924</v>
      </c>
      <c r="IC141" s="425"/>
      <c r="ID141" s="399"/>
      <c r="IE141" s="361"/>
      <c r="IF141" s="399"/>
      <c r="IG141" s="426"/>
      <c r="IH141" s="537"/>
      <c r="II141" s="426"/>
      <c r="IJ141" s="537"/>
      <c r="IK141" s="426"/>
      <c r="IL141" s="499"/>
      <c r="IM141" s="427"/>
      <c r="IN141" s="499"/>
      <c r="IO141" s="427"/>
      <c r="IP141" s="496"/>
      <c r="IQ141" s="427"/>
      <c r="IR141" s="429" t="s">
        <v>3367</v>
      </c>
      <c r="IS141" s="364" t="s">
        <v>77</v>
      </c>
      <c r="IT141" s="365">
        <v>43635</v>
      </c>
      <c r="IU141" s="439">
        <v>43647</v>
      </c>
      <c r="IV141" s="550">
        <v>44348</v>
      </c>
      <c r="IW141" s="372">
        <f t="shared" si="16"/>
        <v>12</v>
      </c>
      <c r="IX141" s="373">
        <f t="shared" si="21"/>
        <v>19.081320201874728</v>
      </c>
      <c r="IY141" s="531">
        <f t="shared" si="20"/>
        <v>228.97584242249673</v>
      </c>
      <c r="IZ141" s="531"/>
      <c r="JA141" s="531"/>
    </row>
    <row r="142" spans="1:261" s="367" customFormat="1" ht="16.5" customHeight="1" x14ac:dyDescent="0.3">
      <c r="A142" s="354" t="s">
        <v>2735</v>
      </c>
      <c r="B142" s="355" t="s">
        <v>2809</v>
      </c>
      <c r="C142" s="378" t="s">
        <v>688</v>
      </c>
      <c r="D142" s="543">
        <v>645</v>
      </c>
      <c r="E142" s="543">
        <v>30</v>
      </c>
      <c r="F142" s="543">
        <v>0</v>
      </c>
      <c r="G142" s="468">
        <v>0</v>
      </c>
      <c r="H142" s="468">
        <v>66</v>
      </c>
      <c r="I142" s="841">
        <v>672</v>
      </c>
      <c r="J142" s="835">
        <f>1</f>
        <v>1</v>
      </c>
      <c r="K142" s="827">
        <v>66</v>
      </c>
      <c r="L142" s="835">
        <v>672</v>
      </c>
      <c r="M142" s="835">
        <f>1</f>
        <v>1</v>
      </c>
      <c r="N142" s="827">
        <v>66</v>
      </c>
      <c r="O142" s="835">
        <v>672</v>
      </c>
      <c r="P142" s="835">
        <f>1</f>
        <v>1</v>
      </c>
      <c r="Q142" s="827">
        <v>66</v>
      </c>
      <c r="R142" s="835">
        <v>672</v>
      </c>
      <c r="S142" s="835">
        <f>1</f>
        <v>1</v>
      </c>
      <c r="T142" s="827">
        <v>66</v>
      </c>
      <c r="U142" s="835">
        <v>672</v>
      </c>
      <c r="V142" s="835">
        <f>1</f>
        <v>1</v>
      </c>
      <c r="W142" s="827">
        <v>66</v>
      </c>
      <c r="X142" s="835">
        <v>672</v>
      </c>
      <c r="Y142" s="835">
        <f>1</f>
        <v>1</v>
      </c>
      <c r="Z142" s="827">
        <v>66</v>
      </c>
      <c r="AA142" s="835">
        <v>672</v>
      </c>
      <c r="AB142" s="835">
        <f>1</f>
        <v>1</v>
      </c>
      <c r="AC142" s="827">
        <v>66</v>
      </c>
      <c r="AD142" s="835">
        <v>672</v>
      </c>
      <c r="AE142" s="835">
        <f>1</f>
        <v>1</v>
      </c>
      <c r="AF142" s="827">
        <v>66</v>
      </c>
      <c r="AG142" s="835">
        <v>672</v>
      </c>
      <c r="AH142" s="835">
        <f>1</f>
        <v>1</v>
      </c>
      <c r="AI142" s="827">
        <v>66</v>
      </c>
      <c r="AJ142" s="835">
        <v>672</v>
      </c>
      <c r="AK142" s="835">
        <f>1</f>
        <v>1</v>
      </c>
      <c r="AL142" s="827">
        <v>66</v>
      </c>
      <c r="AM142" s="835">
        <v>672</v>
      </c>
      <c r="AN142" s="835">
        <f>1</f>
        <v>1</v>
      </c>
      <c r="AO142" s="827">
        <v>66</v>
      </c>
      <c r="AP142" s="835">
        <v>672</v>
      </c>
      <c r="AQ142" s="835">
        <f>1</f>
        <v>1</v>
      </c>
      <c r="AR142" s="827">
        <v>66</v>
      </c>
      <c r="AS142" s="881">
        <f>((672-611)/30.5)*31+672</f>
        <v>734</v>
      </c>
      <c r="AT142" s="835">
        <f>1</f>
        <v>1</v>
      </c>
      <c r="AU142" s="827">
        <v>66</v>
      </c>
      <c r="AV142" s="835">
        <v>611.45642630103453</v>
      </c>
      <c r="AW142" s="835">
        <f>1</f>
        <v>1</v>
      </c>
      <c r="AX142" s="827">
        <v>66</v>
      </c>
      <c r="AY142" s="835">
        <v>611.45642630103453</v>
      </c>
      <c r="AZ142" s="835">
        <f>1</f>
        <v>1</v>
      </c>
      <c r="BA142" s="358">
        <v>66</v>
      </c>
      <c r="BB142" s="384">
        <v>611.45642630103453</v>
      </c>
      <c r="BC142" s="384">
        <f>1</f>
        <v>1</v>
      </c>
      <c r="BD142" s="358">
        <v>66</v>
      </c>
      <c r="BE142" s="384">
        <v>611.45642630103453</v>
      </c>
      <c r="BF142" s="384">
        <f>1</f>
        <v>1</v>
      </c>
      <c r="BG142" s="358">
        <v>66</v>
      </c>
      <c r="BH142" s="384">
        <v>611.45642630103453</v>
      </c>
      <c r="BI142" s="384">
        <f>1</f>
        <v>1</v>
      </c>
      <c r="BJ142" s="472">
        <v>66</v>
      </c>
      <c r="BK142" s="384">
        <v>611.45642630103453</v>
      </c>
      <c r="BL142" s="384">
        <f>1</f>
        <v>1</v>
      </c>
      <c r="BM142" s="472">
        <v>66</v>
      </c>
      <c r="BN142" s="384">
        <v>611.45642630103453</v>
      </c>
      <c r="BO142" s="384">
        <f>1</f>
        <v>1</v>
      </c>
      <c r="BP142" s="472">
        <v>66</v>
      </c>
      <c r="BQ142" s="385">
        <v>611.45642630103453</v>
      </c>
      <c r="BR142" s="385">
        <f>1</f>
        <v>1</v>
      </c>
      <c r="BS142" s="369">
        <v>66</v>
      </c>
      <c r="BT142" s="385">
        <v>611.45642630103453</v>
      </c>
      <c r="BU142" s="385">
        <f>1</f>
        <v>1</v>
      </c>
      <c r="BV142" s="369">
        <v>66</v>
      </c>
      <c r="BW142" s="385">
        <v>611.45642630103453</v>
      </c>
      <c r="BX142" s="385">
        <f>1</f>
        <v>1</v>
      </c>
      <c r="BY142" s="369">
        <v>66</v>
      </c>
      <c r="BZ142" s="385">
        <v>611.45642630103453</v>
      </c>
      <c r="CA142" s="385">
        <f>1</f>
        <v>1</v>
      </c>
      <c r="CB142" s="369">
        <v>66</v>
      </c>
      <c r="CC142" s="385">
        <v>611.45642630103453</v>
      </c>
      <c r="CD142" s="385">
        <f>1</f>
        <v>1</v>
      </c>
      <c r="CE142" s="369">
        <v>66</v>
      </c>
      <c r="CF142" s="385">
        <v>611.45642630103453</v>
      </c>
      <c r="CG142" s="385">
        <f>1</f>
        <v>1</v>
      </c>
      <c r="CH142" s="369">
        <v>66</v>
      </c>
      <c r="CI142" s="385">
        <v>611.45642630103453</v>
      </c>
      <c r="CJ142" s="385">
        <f>1</f>
        <v>1</v>
      </c>
      <c r="CK142" s="369">
        <v>66</v>
      </c>
      <c r="CL142" s="385">
        <v>611.45642630103453</v>
      </c>
      <c r="CM142" s="385">
        <f>1</f>
        <v>1</v>
      </c>
      <c r="CN142" s="369">
        <v>66</v>
      </c>
      <c r="CO142" s="385">
        <v>611.45642630103453</v>
      </c>
      <c r="CP142" s="385">
        <f>1</f>
        <v>1</v>
      </c>
      <c r="CQ142" s="369">
        <v>66</v>
      </c>
      <c r="CR142" s="385">
        <v>611.45642630103453</v>
      </c>
      <c r="CS142" s="385">
        <f>1</f>
        <v>1</v>
      </c>
      <c r="CT142" s="369">
        <v>66</v>
      </c>
      <c r="CU142" s="385">
        <v>611.45642630103453</v>
      </c>
      <c r="CV142" s="385">
        <f>1</f>
        <v>1</v>
      </c>
      <c r="CW142" s="369">
        <v>66</v>
      </c>
      <c r="CX142" s="385">
        <v>611.45642630103453</v>
      </c>
      <c r="CY142" s="385">
        <f>1</f>
        <v>1</v>
      </c>
      <c r="CZ142" s="369">
        <v>66</v>
      </c>
      <c r="DA142" s="385">
        <v>611.45642630103453</v>
      </c>
      <c r="DB142" s="385">
        <f>1</f>
        <v>1</v>
      </c>
      <c r="DC142" s="369">
        <v>66</v>
      </c>
      <c r="DD142" s="385">
        <v>611.45642630103453</v>
      </c>
      <c r="DE142" s="385">
        <f>1</f>
        <v>1</v>
      </c>
      <c r="DF142" s="369">
        <v>66</v>
      </c>
      <c r="DG142" s="385">
        <v>611.45642630103453</v>
      </c>
      <c r="DH142" s="385">
        <f>1</f>
        <v>1</v>
      </c>
      <c r="DI142" s="369">
        <v>66</v>
      </c>
      <c r="DJ142" s="385">
        <v>611.45642630103453</v>
      </c>
      <c r="DK142" s="385">
        <f>1</f>
        <v>1</v>
      </c>
      <c r="DL142" s="369">
        <v>66</v>
      </c>
      <c r="DM142" s="385">
        <v>611.45642630103453</v>
      </c>
      <c r="DN142" s="385">
        <f>1</f>
        <v>1</v>
      </c>
      <c r="DO142" s="369">
        <v>66</v>
      </c>
      <c r="DP142" s="385">
        <v>611.45642630103453</v>
      </c>
      <c r="DQ142" s="385">
        <f>1</f>
        <v>1</v>
      </c>
      <c r="DR142" s="369">
        <v>66</v>
      </c>
      <c r="DS142" s="385">
        <v>611.45642630103453</v>
      </c>
      <c r="DT142" s="385">
        <f>1</f>
        <v>1</v>
      </c>
      <c r="DU142" s="369">
        <v>66</v>
      </c>
      <c r="DV142" s="385">
        <v>611.45642630103453</v>
      </c>
      <c r="DW142" s="385">
        <f>1</f>
        <v>1</v>
      </c>
      <c r="DX142" s="369">
        <v>66</v>
      </c>
      <c r="DY142" s="385">
        <v>611.45642630103453</v>
      </c>
      <c r="DZ142" s="385">
        <f>1</f>
        <v>1</v>
      </c>
      <c r="EA142" s="369">
        <v>66</v>
      </c>
      <c r="EB142" s="385">
        <v>611.45642630103453</v>
      </c>
      <c r="EC142" s="385">
        <f>1</f>
        <v>1</v>
      </c>
      <c r="ED142" s="369">
        <v>66</v>
      </c>
      <c r="EE142" s="385">
        <v>611.45642630103453</v>
      </c>
      <c r="EF142" s="385">
        <f>1</f>
        <v>1</v>
      </c>
      <c r="EG142" s="369">
        <v>66</v>
      </c>
      <c r="EH142" s="385">
        <v>611.45642630103453</v>
      </c>
      <c r="EI142" s="385">
        <f>1</f>
        <v>1</v>
      </c>
      <c r="EJ142" s="369">
        <v>66</v>
      </c>
      <c r="EK142" s="385">
        <v>611.45642630103453</v>
      </c>
      <c r="EL142" s="385">
        <f>1</f>
        <v>1</v>
      </c>
      <c r="EM142" s="369">
        <v>66</v>
      </c>
      <c r="EN142" s="385">
        <v>611.45642630103453</v>
      </c>
      <c r="EO142" s="385">
        <f>1</f>
        <v>1</v>
      </c>
      <c r="EP142" s="369">
        <v>66</v>
      </c>
      <c r="EQ142" s="385">
        <v>611.45642630103453</v>
      </c>
      <c r="ER142" s="385">
        <f>1</f>
        <v>1</v>
      </c>
      <c r="ES142" s="369">
        <v>66</v>
      </c>
      <c r="ET142" s="385">
        <v>611.45642630103453</v>
      </c>
      <c r="EU142" s="385">
        <f>1</f>
        <v>1</v>
      </c>
      <c r="EV142" s="369">
        <v>66</v>
      </c>
      <c r="EW142" s="385">
        <v>611.45642630103453</v>
      </c>
      <c r="EX142" s="385">
        <f>1</f>
        <v>1</v>
      </c>
      <c r="EY142" s="369">
        <v>66</v>
      </c>
      <c r="EZ142" s="385">
        <v>611.45642630103453</v>
      </c>
      <c r="FA142" s="385">
        <f>1</f>
        <v>1</v>
      </c>
      <c r="FB142" s="369">
        <v>66</v>
      </c>
      <c r="FC142" s="385">
        <v>611.45642630103453</v>
      </c>
      <c r="FD142" s="385">
        <f>1</f>
        <v>1</v>
      </c>
      <c r="FE142" s="369">
        <v>66</v>
      </c>
      <c r="FF142" s="385">
        <v>611.45642630103453</v>
      </c>
      <c r="FG142" s="385">
        <f>1</f>
        <v>1</v>
      </c>
      <c r="FH142" s="369">
        <v>66</v>
      </c>
      <c r="FI142" s="385">
        <v>611.45642630103453</v>
      </c>
      <c r="FJ142" s="385">
        <f>1</f>
        <v>1</v>
      </c>
      <c r="FK142" s="369">
        <v>66</v>
      </c>
      <c r="FL142" s="385">
        <v>611.45642630103453</v>
      </c>
      <c r="FM142" s="385">
        <f>1</f>
        <v>1</v>
      </c>
      <c r="FN142" s="369">
        <v>66</v>
      </c>
      <c r="FO142" s="385">
        <v>611.45642630103453</v>
      </c>
      <c r="FP142" s="385">
        <f>1</f>
        <v>1</v>
      </c>
      <c r="FQ142" s="369">
        <v>66</v>
      </c>
      <c r="FR142" s="386">
        <v>611.45642630103453</v>
      </c>
      <c r="FS142" s="386">
        <f>1</f>
        <v>1</v>
      </c>
      <c r="FT142" s="370">
        <v>66</v>
      </c>
      <c r="FU142" s="385">
        <v>611.45642630103453</v>
      </c>
      <c r="FV142" s="385">
        <f>1</f>
        <v>1</v>
      </c>
      <c r="FW142" s="358"/>
      <c r="FX142" s="385">
        <v>611.45642630103453</v>
      </c>
      <c r="FY142" s="385">
        <f>1</f>
        <v>1</v>
      </c>
      <c r="FZ142" s="358"/>
      <c r="GA142" s="385">
        <v>611.45642630103453</v>
      </c>
      <c r="GB142" s="385">
        <f>1</f>
        <v>1</v>
      </c>
      <c r="GC142" s="358"/>
      <c r="GD142" s="385">
        <v>611.45642630103453</v>
      </c>
      <c r="GE142" s="385">
        <f>1</f>
        <v>1</v>
      </c>
      <c r="GF142" s="358"/>
      <c r="GG142" s="385">
        <v>611.45642630103453</v>
      </c>
      <c r="GH142" s="385">
        <f>1</f>
        <v>1</v>
      </c>
      <c r="GI142" s="358"/>
      <c r="GJ142" s="385">
        <v>611.45642630103453</v>
      </c>
      <c r="GK142" s="385">
        <f>1</f>
        <v>1</v>
      </c>
      <c r="GL142" s="358"/>
      <c r="GM142" s="385">
        <v>611.45642630103453</v>
      </c>
      <c r="GN142" s="385">
        <f>1</f>
        <v>1</v>
      </c>
      <c r="GO142" s="358"/>
      <c r="GP142" s="385">
        <v>611.45642630103453</v>
      </c>
      <c r="GQ142" s="385">
        <f>1</f>
        <v>1</v>
      </c>
      <c r="GR142" s="358"/>
      <c r="GS142" s="385">
        <v>611.45642630103453</v>
      </c>
      <c r="GT142" s="385">
        <f>1</f>
        <v>1</v>
      </c>
      <c r="GU142" s="358"/>
      <c r="GV142" s="385">
        <v>611.45642630103453</v>
      </c>
      <c r="GW142" s="385">
        <f>1</f>
        <v>1</v>
      </c>
      <c r="GX142" s="358"/>
      <c r="GY142" s="385">
        <v>611.45642630103453</v>
      </c>
      <c r="GZ142" s="385">
        <f>1</f>
        <v>1</v>
      </c>
      <c r="HA142" s="358"/>
      <c r="HB142" s="385">
        <v>611.45642630103453</v>
      </c>
      <c r="HC142" s="385">
        <f>1</f>
        <v>1</v>
      </c>
      <c r="HD142" s="358"/>
      <c r="HE142" s="387">
        <v>611.45642630103453</v>
      </c>
      <c r="HF142" s="386">
        <f>1*6</f>
        <v>6</v>
      </c>
      <c r="HG142" s="358"/>
      <c r="HH142" s="387">
        <v>611.45642630103453</v>
      </c>
      <c r="HI142" s="358"/>
      <c r="HJ142" s="387">
        <v>611.45642630103453</v>
      </c>
      <c r="HK142" s="358"/>
      <c r="HL142" s="387">
        <v>611.45642630103453</v>
      </c>
      <c r="HM142" s="358"/>
      <c r="HN142" s="387">
        <v>611.45642630103453</v>
      </c>
      <c r="HO142" s="358"/>
      <c r="HP142" s="387">
        <v>611.45642630103453</v>
      </c>
      <c r="HQ142" s="358"/>
      <c r="HR142" s="387">
        <v>611.45642630103453</v>
      </c>
      <c r="HS142" s="358"/>
      <c r="HT142" s="387">
        <v>611.45642630103453</v>
      </c>
      <c r="HU142" s="358"/>
      <c r="HV142" s="388">
        <v>611.45642630103453</v>
      </c>
      <c r="HW142" s="425"/>
      <c r="HX142" s="423">
        <v>611.45642630103453</v>
      </c>
      <c r="HY142" s="425"/>
      <c r="HZ142" s="423">
        <v>611.45642630103453</v>
      </c>
      <c r="IA142" s="425"/>
      <c r="IB142" s="549">
        <v>751.79068807504245</v>
      </c>
      <c r="IC142" s="425"/>
      <c r="ID142" s="399"/>
      <c r="IE142" s="361"/>
      <c r="IF142" s="399"/>
      <c r="IG142" s="426"/>
      <c r="IH142" s="537"/>
      <c r="II142" s="426"/>
      <c r="IJ142" s="537"/>
      <c r="IK142" s="426"/>
      <c r="IL142" s="499"/>
      <c r="IM142" s="427"/>
      <c r="IN142" s="499"/>
      <c r="IO142" s="427"/>
      <c r="IP142" s="496"/>
      <c r="IQ142" s="427"/>
      <c r="IR142" s="429" t="s">
        <v>3368</v>
      </c>
      <c r="IS142" s="364" t="s">
        <v>77</v>
      </c>
      <c r="IT142" s="365">
        <v>43640</v>
      </c>
      <c r="IU142" s="371">
        <v>43647</v>
      </c>
      <c r="IV142" s="552"/>
      <c r="IW142" s="526">
        <f t="shared" si="16"/>
        <v>7</v>
      </c>
      <c r="IX142" s="527">
        <f t="shared" si="21"/>
        <v>24.64887501885385</v>
      </c>
      <c r="IY142" s="553">
        <f t="shared" si="20"/>
        <v>172.54212513197695</v>
      </c>
      <c r="IZ142" s="531"/>
      <c r="JA142" s="531"/>
    </row>
    <row r="143" spans="1:261" s="367" customFormat="1" ht="16.5" customHeight="1" x14ac:dyDescent="0.3">
      <c r="A143" s="354" t="s">
        <v>2743</v>
      </c>
      <c r="B143" s="355" t="s">
        <v>2867</v>
      </c>
      <c r="C143" s="560" t="s">
        <v>1180</v>
      </c>
      <c r="D143" s="543">
        <v>290</v>
      </c>
      <c r="E143" s="543">
        <v>12</v>
      </c>
      <c r="F143" s="543">
        <v>18</v>
      </c>
      <c r="G143" s="543">
        <v>0</v>
      </c>
      <c r="H143" s="468">
        <v>0</v>
      </c>
      <c r="I143" s="841">
        <v>320</v>
      </c>
      <c r="J143" s="827"/>
      <c r="K143" s="827"/>
      <c r="L143" s="835">
        <v>320</v>
      </c>
      <c r="M143" s="827"/>
      <c r="N143" s="827"/>
      <c r="O143" s="835">
        <v>320</v>
      </c>
      <c r="P143" s="827"/>
      <c r="Q143" s="827"/>
      <c r="R143" s="835">
        <v>320</v>
      </c>
      <c r="S143" s="827"/>
      <c r="T143" s="827"/>
      <c r="U143" s="835">
        <v>320</v>
      </c>
      <c r="V143" s="827"/>
      <c r="W143" s="827"/>
      <c r="X143" s="835">
        <v>320</v>
      </c>
      <c r="Y143" s="827"/>
      <c r="Z143" s="827"/>
      <c r="AA143" s="835">
        <v>320</v>
      </c>
      <c r="AB143" s="827"/>
      <c r="AC143" s="827"/>
      <c r="AD143" s="835">
        <v>320</v>
      </c>
      <c r="AE143" s="827"/>
      <c r="AF143" s="827"/>
      <c r="AG143" s="835">
        <v>320</v>
      </c>
      <c r="AH143" s="827"/>
      <c r="AI143" s="827"/>
      <c r="AJ143" s="835">
        <v>320</v>
      </c>
      <c r="AK143" s="827"/>
      <c r="AL143" s="827"/>
      <c r="AM143" s="835">
        <v>320</v>
      </c>
      <c r="AN143" s="827"/>
      <c r="AO143" s="827"/>
      <c r="AP143" s="835">
        <v>320</v>
      </c>
      <c r="AQ143" s="827"/>
      <c r="AR143" s="827"/>
      <c r="AS143" s="881">
        <f>((320-272)/30.5)*31+320</f>
        <v>368.78688524590166</v>
      </c>
      <c r="AT143" s="827"/>
      <c r="AU143" s="827"/>
      <c r="AV143" s="829">
        <v>272.41198185659005</v>
      </c>
      <c r="AW143" s="827"/>
      <c r="AX143" s="827"/>
      <c r="AY143" s="829">
        <v>272.41198185659005</v>
      </c>
      <c r="AZ143" s="827"/>
      <c r="BA143" s="358"/>
      <c r="BB143" s="387">
        <v>272.41198185659005</v>
      </c>
      <c r="BC143" s="358"/>
      <c r="BD143" s="358"/>
      <c r="BE143" s="387">
        <v>272.41198185659005</v>
      </c>
      <c r="BF143" s="358"/>
      <c r="BG143" s="358"/>
      <c r="BH143" s="387">
        <v>272.41198185659005</v>
      </c>
      <c r="BI143" s="387"/>
      <c r="BJ143" s="358"/>
      <c r="BK143" s="387">
        <v>272.41198185659005</v>
      </c>
      <c r="BL143" s="387"/>
      <c r="BM143" s="358"/>
      <c r="BN143" s="387">
        <v>272.41198185659005</v>
      </c>
      <c r="BO143" s="387"/>
      <c r="BP143" s="358"/>
      <c r="BQ143" s="387">
        <v>272.41198185659005</v>
      </c>
      <c r="BR143" s="387"/>
      <c r="BS143" s="358"/>
      <c r="BT143" s="387">
        <v>272.41198185659005</v>
      </c>
      <c r="BU143" s="387"/>
      <c r="BV143" s="358"/>
      <c r="BW143" s="387">
        <v>272.41198185659005</v>
      </c>
      <c r="BX143" s="387"/>
      <c r="BY143" s="358"/>
      <c r="BZ143" s="387">
        <v>272.41198185659005</v>
      </c>
      <c r="CA143" s="387"/>
      <c r="CB143" s="358"/>
      <c r="CC143" s="387">
        <v>272.41198185659005</v>
      </c>
      <c r="CD143" s="387"/>
      <c r="CE143" s="358"/>
      <c r="CF143" s="387">
        <v>272.41198185659005</v>
      </c>
      <c r="CG143" s="387"/>
      <c r="CH143" s="358"/>
      <c r="CI143" s="387">
        <v>272.41198185659005</v>
      </c>
      <c r="CJ143" s="387"/>
      <c r="CK143" s="358"/>
      <c r="CL143" s="387">
        <v>272.41198185659005</v>
      </c>
      <c r="CM143" s="387"/>
      <c r="CN143" s="358"/>
      <c r="CO143" s="387">
        <v>272.41198185659005</v>
      </c>
      <c r="CP143" s="387"/>
      <c r="CQ143" s="358"/>
      <c r="CR143" s="387">
        <v>272.41198185659005</v>
      </c>
      <c r="CS143" s="387"/>
      <c r="CT143" s="358"/>
      <c r="CU143" s="387">
        <v>272.41198185659005</v>
      </c>
      <c r="CV143" s="387"/>
      <c r="CW143" s="358"/>
      <c r="CX143" s="387">
        <v>272.41198185659005</v>
      </c>
      <c r="CY143" s="387"/>
      <c r="CZ143" s="358"/>
      <c r="DA143" s="387">
        <v>272.41198185659005</v>
      </c>
      <c r="DB143" s="387"/>
      <c r="DC143" s="358"/>
      <c r="DD143" s="387">
        <v>272.41198185659005</v>
      </c>
      <c r="DE143" s="387"/>
      <c r="DF143" s="358"/>
      <c r="DG143" s="387">
        <v>272.41198185659005</v>
      </c>
      <c r="DH143" s="387"/>
      <c r="DI143" s="358"/>
      <c r="DJ143" s="387">
        <v>272.41198185659005</v>
      </c>
      <c r="DK143" s="387"/>
      <c r="DL143" s="358"/>
      <c r="DM143" s="387">
        <v>272.41198185659005</v>
      </c>
      <c r="DN143" s="387"/>
      <c r="DO143" s="358"/>
      <c r="DP143" s="387">
        <v>272.41198185659005</v>
      </c>
      <c r="DQ143" s="387"/>
      <c r="DR143" s="358"/>
      <c r="DS143" s="387">
        <v>272.41198185659005</v>
      </c>
      <c r="DT143" s="387"/>
      <c r="DU143" s="358"/>
      <c r="DV143" s="387">
        <v>272.41198185659005</v>
      </c>
      <c r="DW143" s="387"/>
      <c r="DX143" s="358"/>
      <c r="DY143" s="387">
        <v>272.41198185659005</v>
      </c>
      <c r="DZ143" s="387"/>
      <c r="EA143" s="358"/>
      <c r="EB143" s="387">
        <v>272.41198185659005</v>
      </c>
      <c r="EC143" s="387"/>
      <c r="ED143" s="358"/>
      <c r="EE143" s="387">
        <v>272.41198185659005</v>
      </c>
      <c r="EF143" s="387"/>
      <c r="EG143" s="358"/>
      <c r="EH143" s="387">
        <v>272.41198185659005</v>
      </c>
      <c r="EI143" s="387"/>
      <c r="EJ143" s="358"/>
      <c r="EK143" s="387">
        <v>272.41198185659005</v>
      </c>
      <c r="EL143" s="387"/>
      <c r="EM143" s="358"/>
      <c r="EN143" s="387">
        <v>272.41198185659005</v>
      </c>
      <c r="EO143" s="387"/>
      <c r="EP143" s="358"/>
      <c r="EQ143" s="387">
        <v>272.41198185659005</v>
      </c>
      <c r="ER143" s="387"/>
      <c r="ES143" s="358"/>
      <c r="ET143" s="387">
        <v>272.41198185659005</v>
      </c>
      <c r="EU143" s="387"/>
      <c r="EV143" s="358"/>
      <c r="EW143" s="387">
        <v>272.41198185659005</v>
      </c>
      <c r="EX143" s="387"/>
      <c r="EY143" s="358"/>
      <c r="EZ143" s="387">
        <v>272.41198185659005</v>
      </c>
      <c r="FA143" s="387"/>
      <c r="FB143" s="358"/>
      <c r="FC143" s="387">
        <v>272.41198185659005</v>
      </c>
      <c r="FD143" s="387"/>
      <c r="FE143" s="358"/>
      <c r="FF143" s="387">
        <v>272.41198185659005</v>
      </c>
      <c r="FG143" s="387"/>
      <c r="FH143" s="358"/>
      <c r="FI143" s="387">
        <v>272.41198185659005</v>
      </c>
      <c r="FJ143" s="387"/>
      <c r="FK143" s="358"/>
      <c r="FL143" s="387">
        <v>272.41198185659005</v>
      </c>
      <c r="FM143" s="387"/>
      <c r="FN143" s="358"/>
      <c r="FO143" s="387">
        <v>272.41198185659005</v>
      </c>
      <c r="FP143" s="387"/>
      <c r="FQ143" s="358"/>
      <c r="FR143" s="387">
        <v>272.41198185659005</v>
      </c>
      <c r="FS143" s="387"/>
      <c r="FT143" s="358"/>
      <c r="FU143" s="387">
        <v>272.41198185659005</v>
      </c>
      <c r="FV143" s="387"/>
      <c r="FW143" s="358"/>
      <c r="FX143" s="387">
        <v>272.41198185659005</v>
      </c>
      <c r="FY143" s="387"/>
      <c r="FZ143" s="358"/>
      <c r="GA143" s="387">
        <v>272.41198185659005</v>
      </c>
      <c r="GB143" s="387"/>
      <c r="GC143" s="358"/>
      <c r="GD143" s="387">
        <v>272.41198185659005</v>
      </c>
      <c r="GE143" s="387"/>
      <c r="GF143" s="358"/>
      <c r="GG143" s="387">
        <v>272.41198185659005</v>
      </c>
      <c r="GH143" s="387"/>
      <c r="GI143" s="358"/>
      <c r="GJ143" s="387">
        <v>272.41198185659005</v>
      </c>
      <c r="GK143" s="387"/>
      <c r="GL143" s="358"/>
      <c r="GM143" s="387">
        <v>272.41198185659005</v>
      </c>
      <c r="GN143" s="387"/>
      <c r="GO143" s="358"/>
      <c r="GP143" s="387">
        <v>272.41198185659005</v>
      </c>
      <c r="GQ143" s="387"/>
      <c r="GR143" s="358"/>
      <c r="GS143" s="387">
        <v>272.41198185659005</v>
      </c>
      <c r="GT143" s="387"/>
      <c r="GU143" s="358"/>
      <c r="GV143" s="387">
        <v>272.41198185659005</v>
      </c>
      <c r="GW143" s="387"/>
      <c r="GX143" s="358"/>
      <c r="GY143" s="387">
        <v>272.41198185659005</v>
      </c>
      <c r="GZ143" s="387"/>
      <c r="HA143" s="358"/>
      <c r="HB143" s="387">
        <v>272.41198185659005</v>
      </c>
      <c r="HC143" s="387"/>
      <c r="HD143" s="358"/>
      <c r="HE143" s="387">
        <v>272.41198185659005</v>
      </c>
      <c r="HF143" s="387"/>
      <c r="HG143" s="358"/>
      <c r="HH143" s="387">
        <v>272.41198185659005</v>
      </c>
      <c r="HI143" s="358"/>
      <c r="HJ143" s="387">
        <v>272.41198185659005</v>
      </c>
      <c r="HK143" s="358"/>
      <c r="HL143" s="387">
        <v>272.41198185659005</v>
      </c>
      <c r="HM143" s="358"/>
      <c r="HN143" s="387">
        <v>272.41198185659005</v>
      </c>
      <c r="HO143" s="358"/>
      <c r="HP143" s="387">
        <v>272.41198185659005</v>
      </c>
      <c r="HQ143" s="358"/>
      <c r="HR143" s="387">
        <v>272.41198185659005</v>
      </c>
      <c r="HS143" s="358"/>
      <c r="HT143" s="387">
        <v>272.41198185659005</v>
      </c>
      <c r="HU143" s="358"/>
      <c r="HV143" s="388">
        <v>272.41198185659005</v>
      </c>
      <c r="HW143" s="425"/>
      <c r="HX143" s="423">
        <v>272.41198185659005</v>
      </c>
      <c r="HY143" s="425"/>
      <c r="HZ143" s="423">
        <v>272.41198185659005</v>
      </c>
      <c r="IA143" s="425"/>
      <c r="IB143" s="549">
        <v>326.00122418903402</v>
      </c>
      <c r="IC143" s="425"/>
      <c r="ID143" s="399"/>
      <c r="IE143" s="361"/>
      <c r="IF143" s="399"/>
      <c r="IG143" s="426"/>
      <c r="IH143" s="537"/>
      <c r="II143" s="426"/>
      <c r="IJ143" s="537"/>
      <c r="IK143" s="426"/>
      <c r="IL143" s="499"/>
      <c r="IM143" s="427"/>
      <c r="IN143" s="499"/>
      <c r="IO143" s="427"/>
      <c r="IP143" s="496"/>
      <c r="IQ143" s="427"/>
      <c r="IR143" s="429" t="s">
        <v>3369</v>
      </c>
      <c r="IS143" s="364" t="s">
        <v>77</v>
      </c>
      <c r="IT143" s="365">
        <v>43641</v>
      </c>
      <c r="IU143" s="371">
        <v>43647</v>
      </c>
      <c r="IW143" s="372">
        <f t="shared" si="16"/>
        <v>6</v>
      </c>
      <c r="IX143" s="373">
        <f t="shared" si="21"/>
        <v>10.688564727509313</v>
      </c>
      <c r="IY143" s="531">
        <f t="shared" si="20"/>
        <v>64.131388365055869</v>
      </c>
      <c r="IZ143" s="531"/>
      <c r="JA143" s="531"/>
    </row>
    <row r="144" spans="1:261" s="367" customFormat="1" ht="16.5" customHeight="1" x14ac:dyDescent="0.3">
      <c r="A144" s="354" t="s">
        <v>2735</v>
      </c>
      <c r="B144" s="355" t="s">
        <v>2809</v>
      </c>
      <c r="C144" s="519" t="s">
        <v>815</v>
      </c>
      <c r="D144" s="520">
        <v>645</v>
      </c>
      <c r="E144" s="508">
        <v>54</v>
      </c>
      <c r="F144" s="508">
        <v>0</v>
      </c>
      <c r="G144" s="508">
        <v>27</v>
      </c>
      <c r="H144" s="510">
        <v>66</v>
      </c>
      <c r="I144" s="841">
        <v>699</v>
      </c>
      <c r="J144" s="831">
        <v>27</v>
      </c>
      <c r="K144" s="827">
        <v>66</v>
      </c>
      <c r="L144" s="835">
        <v>699</v>
      </c>
      <c r="M144" s="831">
        <v>27</v>
      </c>
      <c r="N144" s="827">
        <v>66</v>
      </c>
      <c r="O144" s="835">
        <v>699</v>
      </c>
      <c r="P144" s="831">
        <v>27</v>
      </c>
      <c r="Q144" s="827">
        <v>66</v>
      </c>
      <c r="R144" s="835">
        <v>699</v>
      </c>
      <c r="S144" s="831">
        <v>27</v>
      </c>
      <c r="T144" s="827">
        <v>66</v>
      </c>
      <c r="U144" s="835">
        <v>699</v>
      </c>
      <c r="V144" s="831">
        <v>27</v>
      </c>
      <c r="W144" s="827">
        <v>66</v>
      </c>
      <c r="X144" s="835">
        <v>699</v>
      </c>
      <c r="Y144" s="831">
        <v>27</v>
      </c>
      <c r="Z144" s="827">
        <v>66</v>
      </c>
      <c r="AA144" s="835">
        <v>699</v>
      </c>
      <c r="AB144" s="831">
        <v>27</v>
      </c>
      <c r="AC144" s="827">
        <v>66</v>
      </c>
      <c r="AD144" s="835">
        <v>699</v>
      </c>
      <c r="AE144" s="831">
        <v>27</v>
      </c>
      <c r="AF144" s="827">
        <v>66</v>
      </c>
      <c r="AG144" s="835">
        <v>699</v>
      </c>
      <c r="AH144" s="831">
        <v>27</v>
      </c>
      <c r="AI144" s="827">
        <v>66</v>
      </c>
      <c r="AJ144" s="835">
        <v>699</v>
      </c>
      <c r="AK144" s="831">
        <v>27</v>
      </c>
      <c r="AL144" s="827">
        <v>66</v>
      </c>
      <c r="AM144" s="835">
        <v>699</v>
      </c>
      <c r="AN144" s="831">
        <v>27</v>
      </c>
      <c r="AO144" s="827">
        <v>66</v>
      </c>
      <c r="AP144" s="835">
        <v>699</v>
      </c>
      <c r="AQ144" s="831">
        <v>27</v>
      </c>
      <c r="AR144" s="827">
        <v>66</v>
      </c>
      <c r="AS144" s="881">
        <v>699</v>
      </c>
      <c r="AT144" s="831">
        <v>27</v>
      </c>
      <c r="AU144" s="827">
        <v>66</v>
      </c>
      <c r="AV144" s="831">
        <v>699</v>
      </c>
      <c r="AW144" s="831">
        <v>27</v>
      </c>
      <c r="AX144" s="827">
        <v>66</v>
      </c>
      <c r="AY144" s="831">
        <v>699</v>
      </c>
      <c r="AZ144" s="831">
        <v>27</v>
      </c>
      <c r="BA144" s="358">
        <v>66</v>
      </c>
      <c r="BB144" s="385">
        <v>699</v>
      </c>
      <c r="BC144" s="385">
        <v>27</v>
      </c>
      <c r="BD144" s="358">
        <v>66</v>
      </c>
      <c r="BE144" s="385">
        <v>699</v>
      </c>
      <c r="BF144" s="385">
        <v>27</v>
      </c>
      <c r="BG144" s="358">
        <v>66</v>
      </c>
      <c r="BH144" s="385">
        <v>699</v>
      </c>
      <c r="BI144" s="385">
        <v>27</v>
      </c>
      <c r="BJ144" s="369">
        <v>66</v>
      </c>
      <c r="BK144" s="385">
        <v>699</v>
      </c>
      <c r="BL144" s="385">
        <v>27</v>
      </c>
      <c r="BM144" s="369">
        <v>66</v>
      </c>
      <c r="BN144" s="385">
        <v>699</v>
      </c>
      <c r="BO144" s="385">
        <v>27</v>
      </c>
      <c r="BP144" s="369">
        <v>66</v>
      </c>
      <c r="BQ144" s="385">
        <v>699</v>
      </c>
      <c r="BR144" s="385">
        <v>27</v>
      </c>
      <c r="BS144" s="369">
        <v>66</v>
      </c>
      <c r="BT144" s="385">
        <v>699</v>
      </c>
      <c r="BU144" s="385">
        <v>27</v>
      </c>
      <c r="BV144" s="369">
        <v>66</v>
      </c>
      <c r="BW144" s="385">
        <v>699</v>
      </c>
      <c r="BX144" s="385">
        <v>27</v>
      </c>
      <c r="BY144" s="369">
        <v>66</v>
      </c>
      <c r="BZ144" s="385">
        <v>699</v>
      </c>
      <c r="CA144" s="385">
        <v>27</v>
      </c>
      <c r="CB144" s="369">
        <v>66</v>
      </c>
      <c r="CC144" s="385">
        <v>699</v>
      </c>
      <c r="CD144" s="385">
        <v>27</v>
      </c>
      <c r="CE144" s="369">
        <v>66</v>
      </c>
      <c r="CF144" s="385">
        <v>699</v>
      </c>
      <c r="CG144" s="385">
        <v>27</v>
      </c>
      <c r="CH144" s="369">
        <v>66</v>
      </c>
      <c r="CI144" s="385">
        <v>699</v>
      </c>
      <c r="CJ144" s="385">
        <v>27</v>
      </c>
      <c r="CK144" s="369">
        <v>66</v>
      </c>
      <c r="CL144" s="385">
        <v>699</v>
      </c>
      <c r="CM144" s="385">
        <v>27</v>
      </c>
      <c r="CN144" s="369">
        <v>66</v>
      </c>
      <c r="CO144" s="385">
        <v>699</v>
      </c>
      <c r="CP144" s="385">
        <v>27</v>
      </c>
      <c r="CQ144" s="369">
        <v>66</v>
      </c>
      <c r="CR144" s="385">
        <v>699</v>
      </c>
      <c r="CS144" s="385">
        <v>27</v>
      </c>
      <c r="CT144" s="369">
        <v>66</v>
      </c>
      <c r="CU144" s="385">
        <v>699</v>
      </c>
      <c r="CV144" s="385">
        <v>27</v>
      </c>
      <c r="CW144" s="369">
        <v>66</v>
      </c>
      <c r="CX144" s="385">
        <v>699</v>
      </c>
      <c r="CY144" s="385">
        <v>27</v>
      </c>
      <c r="CZ144" s="369">
        <v>66</v>
      </c>
      <c r="DA144" s="385">
        <v>699</v>
      </c>
      <c r="DB144" s="385">
        <v>27</v>
      </c>
      <c r="DC144" s="369">
        <v>66</v>
      </c>
      <c r="DD144" s="386">
        <f>((699-448)/30.5)*20+699</f>
        <v>863.5901639344263</v>
      </c>
      <c r="DE144" s="386">
        <f>((27-1)/30.5)*20+27</f>
        <v>44.049180327868854</v>
      </c>
      <c r="DF144" s="370">
        <v>66</v>
      </c>
      <c r="DG144" s="385">
        <v>447.65642630103451</v>
      </c>
      <c r="DH144" s="385">
        <f>1</f>
        <v>1</v>
      </c>
      <c r="DI144" s="369">
        <v>66</v>
      </c>
      <c r="DJ144" s="385">
        <v>447.65642630103451</v>
      </c>
      <c r="DK144" s="385">
        <f>1</f>
        <v>1</v>
      </c>
      <c r="DL144" s="369">
        <v>66</v>
      </c>
      <c r="DM144" s="385">
        <v>447.65642630103451</v>
      </c>
      <c r="DN144" s="385">
        <f>1</f>
        <v>1</v>
      </c>
      <c r="DO144" s="369">
        <v>66</v>
      </c>
      <c r="DP144" s="385">
        <v>447.65642630103451</v>
      </c>
      <c r="DQ144" s="385">
        <f>1</f>
        <v>1</v>
      </c>
      <c r="DR144" s="369">
        <v>66</v>
      </c>
      <c r="DS144" s="385">
        <v>447.65642630103451</v>
      </c>
      <c r="DT144" s="385">
        <f>1</f>
        <v>1</v>
      </c>
      <c r="DU144" s="369">
        <v>66</v>
      </c>
      <c r="DV144" s="385">
        <v>447.65642630103451</v>
      </c>
      <c r="DW144" s="385">
        <f>1</f>
        <v>1</v>
      </c>
      <c r="DX144" s="369">
        <v>66</v>
      </c>
      <c r="DY144" s="385">
        <v>447.65642630103451</v>
      </c>
      <c r="DZ144" s="385">
        <f>1</f>
        <v>1</v>
      </c>
      <c r="EA144" s="369">
        <v>66</v>
      </c>
      <c r="EB144" s="385">
        <v>447.65642630103451</v>
      </c>
      <c r="EC144" s="385">
        <f>1</f>
        <v>1</v>
      </c>
      <c r="ED144" s="369">
        <v>66</v>
      </c>
      <c r="EE144" s="385">
        <v>447.65642630103451</v>
      </c>
      <c r="EF144" s="385">
        <f>1</f>
        <v>1</v>
      </c>
      <c r="EG144" s="369">
        <v>66</v>
      </c>
      <c r="EH144" s="385">
        <v>447.65642630103451</v>
      </c>
      <c r="EI144" s="385">
        <f>1</f>
        <v>1</v>
      </c>
      <c r="EJ144" s="369">
        <v>66</v>
      </c>
      <c r="EK144" s="385">
        <v>447.65642630103451</v>
      </c>
      <c r="EL144" s="385">
        <f>1</f>
        <v>1</v>
      </c>
      <c r="EM144" s="369">
        <v>66</v>
      </c>
      <c r="EN144" s="385">
        <v>447.65642630103451</v>
      </c>
      <c r="EO144" s="385">
        <f>1</f>
        <v>1</v>
      </c>
      <c r="EP144" s="369">
        <v>66</v>
      </c>
      <c r="EQ144" s="385">
        <v>447.65642630103451</v>
      </c>
      <c r="ER144" s="385">
        <f>1</f>
        <v>1</v>
      </c>
      <c r="ES144" s="369">
        <v>66</v>
      </c>
      <c r="ET144" s="385">
        <v>447.65642630103451</v>
      </c>
      <c r="EU144" s="385">
        <f>1</f>
        <v>1</v>
      </c>
      <c r="EV144" s="369">
        <v>66</v>
      </c>
      <c r="EW144" s="385">
        <v>447.65642630103451</v>
      </c>
      <c r="EX144" s="385">
        <f>1</f>
        <v>1</v>
      </c>
      <c r="EY144" s="369">
        <v>66</v>
      </c>
      <c r="EZ144" s="385">
        <v>447.65642630103451</v>
      </c>
      <c r="FA144" s="385">
        <f>1</f>
        <v>1</v>
      </c>
      <c r="FB144" s="369">
        <v>66</v>
      </c>
      <c r="FC144" s="385">
        <v>447.65642630103451</v>
      </c>
      <c r="FD144" s="385">
        <f>1</f>
        <v>1</v>
      </c>
      <c r="FE144" s="369">
        <v>66</v>
      </c>
      <c r="FF144" s="385">
        <v>447.65642630103451</v>
      </c>
      <c r="FG144" s="385">
        <f>1</f>
        <v>1</v>
      </c>
      <c r="FH144" s="369">
        <v>66</v>
      </c>
      <c r="FI144" s="385">
        <v>447.65642630103451</v>
      </c>
      <c r="FJ144" s="385">
        <f>1</f>
        <v>1</v>
      </c>
      <c r="FK144" s="369">
        <v>66</v>
      </c>
      <c r="FL144" s="385">
        <v>447.65642630103451</v>
      </c>
      <c r="FM144" s="385">
        <f>1</f>
        <v>1</v>
      </c>
      <c r="FN144" s="369">
        <v>66</v>
      </c>
      <c r="FO144" s="385">
        <v>447.65642630103451</v>
      </c>
      <c r="FP144" s="385">
        <f>1</f>
        <v>1</v>
      </c>
      <c r="FQ144" s="369">
        <v>66</v>
      </c>
      <c r="FR144" s="385">
        <v>447.65642630103451</v>
      </c>
      <c r="FS144" s="385">
        <f>1</f>
        <v>1</v>
      </c>
      <c r="FT144" s="369">
        <v>66</v>
      </c>
      <c r="FU144" s="386">
        <v>447.65642630103451</v>
      </c>
      <c r="FV144" s="386">
        <f>1</f>
        <v>1</v>
      </c>
      <c r="FW144" s="370">
        <v>66</v>
      </c>
      <c r="FX144" s="385">
        <v>447.65642630103451</v>
      </c>
      <c r="FY144" s="385">
        <f>1</f>
        <v>1</v>
      </c>
      <c r="FZ144" s="358"/>
      <c r="GA144" s="385">
        <v>447.65642630103451</v>
      </c>
      <c r="GB144" s="385">
        <f>1</f>
        <v>1</v>
      </c>
      <c r="GC144" s="358"/>
      <c r="GD144" s="385">
        <v>447.65642630103451</v>
      </c>
      <c r="GE144" s="385">
        <f>1</f>
        <v>1</v>
      </c>
      <c r="GF144" s="358"/>
      <c r="GG144" s="385">
        <v>447.65642630103451</v>
      </c>
      <c r="GH144" s="385">
        <f>1</f>
        <v>1</v>
      </c>
      <c r="GI144" s="358"/>
      <c r="GJ144" s="385">
        <v>447.65642630103451</v>
      </c>
      <c r="GK144" s="385">
        <f>1</f>
        <v>1</v>
      </c>
      <c r="GL144" s="358"/>
      <c r="GM144" s="385">
        <v>447.65642630103451</v>
      </c>
      <c r="GN144" s="385">
        <f>1</f>
        <v>1</v>
      </c>
      <c r="GO144" s="358"/>
      <c r="GP144" s="385">
        <v>447.65642630103451</v>
      </c>
      <c r="GQ144" s="385">
        <f>1</f>
        <v>1</v>
      </c>
      <c r="GR144" s="358"/>
      <c r="GS144" s="385">
        <v>447.65642630103451</v>
      </c>
      <c r="GT144" s="385">
        <f>1</f>
        <v>1</v>
      </c>
      <c r="GU144" s="358"/>
      <c r="GV144" s="385">
        <v>447.65642630103451</v>
      </c>
      <c r="GW144" s="385">
        <f>1</f>
        <v>1</v>
      </c>
      <c r="GX144" s="358"/>
      <c r="GY144" s="385">
        <v>447.65642630103451</v>
      </c>
      <c r="GZ144" s="385">
        <f>1</f>
        <v>1</v>
      </c>
      <c r="HA144" s="358"/>
      <c r="HB144" s="385">
        <v>447.65642630103451</v>
      </c>
      <c r="HC144" s="385">
        <f>1</f>
        <v>1</v>
      </c>
      <c r="HD144" s="358"/>
      <c r="HE144" s="387">
        <v>447.65642630103451</v>
      </c>
      <c r="HF144" s="386">
        <f>1*6</f>
        <v>6</v>
      </c>
      <c r="HG144" s="358"/>
      <c r="HH144" s="387">
        <v>447.65642630103451</v>
      </c>
      <c r="HI144" s="358"/>
      <c r="HJ144" s="387">
        <v>447.65642630103451</v>
      </c>
      <c r="HK144" s="358"/>
      <c r="HL144" s="387">
        <v>447.65642630103451</v>
      </c>
      <c r="HM144" s="358"/>
      <c r="HN144" s="387">
        <v>447.65642630103451</v>
      </c>
      <c r="HO144" s="358"/>
      <c r="HP144" s="387">
        <v>447.65642630103451</v>
      </c>
      <c r="HQ144" s="358"/>
      <c r="HR144" s="387">
        <v>447.65642630103451</v>
      </c>
      <c r="HS144" s="358"/>
      <c r="HT144" s="387">
        <v>447.65642630103451</v>
      </c>
      <c r="HU144" s="358"/>
      <c r="HV144" s="388">
        <v>447.65642630103451</v>
      </c>
      <c r="HW144" s="425"/>
      <c r="HX144" s="423">
        <v>447.65642630103451</v>
      </c>
      <c r="HY144" s="425"/>
      <c r="HZ144" s="423">
        <v>447.65642630103451</v>
      </c>
      <c r="IA144" s="425"/>
      <c r="IB144" s="549">
        <v>535.71998557336917</v>
      </c>
      <c r="IC144" s="425"/>
      <c r="ID144" s="399"/>
      <c r="IE144" s="361"/>
      <c r="IF144" s="399"/>
      <c r="IG144" s="426"/>
      <c r="IH144" s="537"/>
      <c r="II144" s="426"/>
      <c r="IJ144" s="537"/>
      <c r="IK144" s="426"/>
      <c r="IL144" s="499"/>
      <c r="IM144" s="427"/>
      <c r="IN144" s="499"/>
      <c r="IO144" s="427"/>
      <c r="IP144" s="496"/>
      <c r="IQ144" s="427"/>
      <c r="IR144" s="429" t="s">
        <v>2918</v>
      </c>
      <c r="IS144" s="364" t="s">
        <v>77</v>
      </c>
      <c r="IT144" s="365">
        <v>43641</v>
      </c>
      <c r="IU144" s="561">
        <v>43647</v>
      </c>
      <c r="IV144" s="562">
        <v>44348</v>
      </c>
      <c r="IW144" s="372">
        <f t="shared" si="16"/>
        <v>6</v>
      </c>
      <c r="IX144" s="373">
        <f t="shared" si="21"/>
        <v>17.564589690930138</v>
      </c>
      <c r="IY144" s="531">
        <f t="shared" si="20"/>
        <v>105.38753814558083</v>
      </c>
      <c r="IZ144" s="531"/>
      <c r="JA144" s="531"/>
    </row>
    <row r="145" spans="1:261" s="367" customFormat="1" ht="16.5" customHeight="1" x14ac:dyDescent="0.3">
      <c r="A145" s="354" t="s">
        <v>2735</v>
      </c>
      <c r="B145" s="465" t="s">
        <v>2777</v>
      </c>
      <c r="C145" s="466" t="s">
        <v>348</v>
      </c>
      <c r="D145" s="467">
        <v>675</v>
      </c>
      <c r="E145" s="468">
        <v>12</v>
      </c>
      <c r="F145" s="468">
        <v>0</v>
      </c>
      <c r="G145" s="468">
        <v>5</v>
      </c>
      <c r="H145" s="469">
        <v>0</v>
      </c>
      <c r="I145" s="841">
        <v>687</v>
      </c>
      <c r="J145" s="835">
        <v>5</v>
      </c>
      <c r="K145" s="827"/>
      <c r="L145" s="835">
        <v>687</v>
      </c>
      <c r="M145" s="835">
        <v>5</v>
      </c>
      <c r="N145" s="827"/>
      <c r="O145" s="835">
        <v>687</v>
      </c>
      <c r="P145" s="835">
        <v>5</v>
      </c>
      <c r="Q145" s="827"/>
      <c r="R145" s="835">
        <v>687</v>
      </c>
      <c r="S145" s="835">
        <v>5</v>
      </c>
      <c r="T145" s="827"/>
      <c r="U145" s="835">
        <v>687</v>
      </c>
      <c r="V145" s="835">
        <v>5</v>
      </c>
      <c r="W145" s="827"/>
      <c r="X145" s="835">
        <v>687</v>
      </c>
      <c r="Y145" s="835">
        <v>5</v>
      </c>
      <c r="Z145" s="827"/>
      <c r="AA145" s="835">
        <v>687</v>
      </c>
      <c r="AB145" s="835">
        <v>5</v>
      </c>
      <c r="AC145" s="827"/>
      <c r="AD145" s="835">
        <v>687</v>
      </c>
      <c r="AE145" s="835">
        <v>5</v>
      </c>
      <c r="AF145" s="827"/>
      <c r="AG145" s="835">
        <v>687</v>
      </c>
      <c r="AH145" s="835">
        <v>5</v>
      </c>
      <c r="AI145" s="827"/>
      <c r="AJ145" s="835">
        <v>687</v>
      </c>
      <c r="AK145" s="835">
        <v>5</v>
      </c>
      <c r="AL145" s="827"/>
      <c r="AM145" s="835">
        <v>687</v>
      </c>
      <c r="AN145" s="835">
        <v>5</v>
      </c>
      <c r="AO145" s="827"/>
      <c r="AP145" s="835">
        <v>687</v>
      </c>
      <c r="AQ145" s="835">
        <v>5</v>
      </c>
      <c r="AR145" s="827"/>
      <c r="AS145" s="835">
        <v>687</v>
      </c>
      <c r="AT145" s="835">
        <v>5</v>
      </c>
      <c r="AU145" s="827"/>
      <c r="AV145" s="835">
        <v>687</v>
      </c>
      <c r="AW145" s="835">
        <v>5</v>
      </c>
      <c r="AX145" s="827"/>
      <c r="AY145" s="835">
        <v>687</v>
      </c>
      <c r="AZ145" s="835">
        <v>5</v>
      </c>
      <c r="BA145" s="358"/>
      <c r="BB145" s="384">
        <v>687</v>
      </c>
      <c r="BC145" s="384">
        <v>5</v>
      </c>
      <c r="BD145" s="358"/>
      <c r="BE145" s="384">
        <v>687</v>
      </c>
      <c r="BF145" s="384">
        <v>5</v>
      </c>
      <c r="BG145" s="358"/>
      <c r="BH145" s="384">
        <v>687</v>
      </c>
      <c r="BI145" s="384">
        <v>5</v>
      </c>
      <c r="BJ145" s="472"/>
      <c r="BK145" s="385">
        <v>687</v>
      </c>
      <c r="BL145" s="385">
        <v>5</v>
      </c>
      <c r="BM145" s="369"/>
      <c r="BN145" s="385">
        <v>687</v>
      </c>
      <c r="BO145" s="385">
        <v>5</v>
      </c>
      <c r="BP145" s="369"/>
      <c r="BQ145" s="385">
        <v>687</v>
      </c>
      <c r="BR145" s="385">
        <v>5</v>
      </c>
      <c r="BS145" s="369"/>
      <c r="BT145" s="385">
        <v>687</v>
      </c>
      <c r="BU145" s="385">
        <v>5</v>
      </c>
      <c r="BV145" s="369"/>
      <c r="BW145" s="385">
        <v>687</v>
      </c>
      <c r="BX145" s="385">
        <v>5</v>
      </c>
      <c r="BY145" s="369"/>
      <c r="BZ145" s="385">
        <v>687</v>
      </c>
      <c r="CA145" s="385">
        <v>5</v>
      </c>
      <c r="CB145" s="369"/>
      <c r="CC145" s="385">
        <v>687</v>
      </c>
      <c r="CD145" s="385">
        <v>5</v>
      </c>
      <c r="CE145" s="369"/>
      <c r="CF145" s="385">
        <v>687</v>
      </c>
      <c r="CG145" s="385">
        <v>5</v>
      </c>
      <c r="CH145" s="369"/>
      <c r="CI145" s="385">
        <v>687</v>
      </c>
      <c r="CJ145" s="385">
        <v>5</v>
      </c>
      <c r="CK145" s="369"/>
      <c r="CL145" s="385">
        <v>687</v>
      </c>
      <c r="CM145" s="385">
        <v>5</v>
      </c>
      <c r="CN145" s="369"/>
      <c r="CO145" s="385">
        <v>687</v>
      </c>
      <c r="CP145" s="385">
        <v>5</v>
      </c>
      <c r="CQ145" s="369"/>
      <c r="CR145" s="385">
        <v>687</v>
      </c>
      <c r="CS145" s="385">
        <v>5</v>
      </c>
      <c r="CT145" s="369"/>
      <c r="CU145" s="385">
        <v>687</v>
      </c>
      <c r="CV145" s="385">
        <v>5</v>
      </c>
      <c r="CW145" s="369"/>
      <c r="CX145" s="385">
        <v>687</v>
      </c>
      <c r="CY145" s="385">
        <v>5</v>
      </c>
      <c r="CZ145" s="369"/>
      <c r="DA145" s="385">
        <v>687</v>
      </c>
      <c r="DB145" s="385">
        <v>5</v>
      </c>
      <c r="DC145" s="369"/>
      <c r="DD145" s="385">
        <v>687</v>
      </c>
      <c r="DE145" s="385">
        <v>5</v>
      </c>
      <c r="DF145" s="369"/>
      <c r="DG145" s="385">
        <v>687</v>
      </c>
      <c r="DH145" s="385">
        <v>5</v>
      </c>
      <c r="DI145" s="369"/>
      <c r="DJ145" s="385">
        <v>687</v>
      </c>
      <c r="DK145" s="385">
        <v>5</v>
      </c>
      <c r="DL145" s="369"/>
      <c r="DM145" s="385">
        <v>687</v>
      </c>
      <c r="DN145" s="385">
        <v>5</v>
      </c>
      <c r="DO145" s="369"/>
      <c r="DP145" s="385">
        <v>687</v>
      </c>
      <c r="DQ145" s="385">
        <v>5</v>
      </c>
      <c r="DR145" s="369"/>
      <c r="DS145" s="386">
        <v>687</v>
      </c>
      <c r="DT145" s="386">
        <v>5</v>
      </c>
      <c r="DU145" s="370"/>
      <c r="DV145" s="386">
        <f>((481-254)/30.5)*10+(481-254)*4+481</f>
        <v>1463.4262295081967</v>
      </c>
      <c r="DW145" s="386">
        <f>((36-2)/30.5)*10+(36-2)*4+36</f>
        <v>183.14754098360655</v>
      </c>
      <c r="DX145" s="370"/>
      <c r="DY145" s="385">
        <v>254.41198185659007</v>
      </c>
      <c r="DZ145" s="385">
        <f>2</f>
        <v>2</v>
      </c>
      <c r="EA145" s="358"/>
      <c r="EB145" s="385">
        <v>254.41198185659007</v>
      </c>
      <c r="EC145" s="385">
        <f>2</f>
        <v>2</v>
      </c>
      <c r="ED145" s="358"/>
      <c r="EE145" s="385">
        <v>254.41198185659007</v>
      </c>
      <c r="EF145" s="385">
        <f>2</f>
        <v>2</v>
      </c>
      <c r="EG145" s="358"/>
      <c r="EH145" s="385">
        <v>254.41198185659007</v>
      </c>
      <c r="EI145" s="385">
        <f>2</f>
        <v>2</v>
      </c>
      <c r="EJ145" s="358"/>
      <c r="EK145" s="385">
        <v>254.41198185659007</v>
      </c>
      <c r="EL145" s="385">
        <f>2</f>
        <v>2</v>
      </c>
      <c r="EM145" s="358"/>
      <c r="EN145" s="385">
        <v>254.41198185659007</v>
      </c>
      <c r="EO145" s="385">
        <f>2</f>
        <v>2</v>
      </c>
      <c r="EP145" s="358"/>
      <c r="EQ145" s="385">
        <v>254.41198185659007</v>
      </c>
      <c r="ER145" s="385">
        <f>2</f>
        <v>2</v>
      </c>
      <c r="ES145" s="358"/>
      <c r="ET145" s="385">
        <v>254.41198185659007</v>
      </c>
      <c r="EU145" s="385">
        <f>2</f>
        <v>2</v>
      </c>
      <c r="EV145" s="358"/>
      <c r="EW145" s="385">
        <v>254.41198185659007</v>
      </c>
      <c r="EX145" s="385">
        <f>2</f>
        <v>2</v>
      </c>
      <c r="EY145" s="358"/>
      <c r="EZ145" s="385">
        <v>254.41198185659007</v>
      </c>
      <c r="FA145" s="385">
        <f>2</f>
        <v>2</v>
      </c>
      <c r="FB145" s="358"/>
      <c r="FC145" s="385">
        <v>254.41198185659007</v>
      </c>
      <c r="FD145" s="385">
        <f>2</f>
        <v>2</v>
      </c>
      <c r="FE145" s="358"/>
      <c r="FF145" s="385">
        <v>254.41198185659007</v>
      </c>
      <c r="FG145" s="385">
        <f>2</f>
        <v>2</v>
      </c>
      <c r="FH145" s="358"/>
      <c r="FI145" s="385">
        <v>254.41198185659007</v>
      </c>
      <c r="FJ145" s="385">
        <f>2</f>
        <v>2</v>
      </c>
      <c r="FK145" s="358"/>
      <c r="FL145" s="385">
        <v>254.41198185659007</v>
      </c>
      <c r="FM145" s="385">
        <f>2</f>
        <v>2</v>
      </c>
      <c r="FN145" s="358"/>
      <c r="FO145" s="385">
        <v>254.41198185659007</v>
      </c>
      <c r="FP145" s="385">
        <f>2</f>
        <v>2</v>
      </c>
      <c r="FQ145" s="358"/>
      <c r="FR145" s="385">
        <v>254.41198185659007</v>
      </c>
      <c r="FS145" s="385">
        <f>2</f>
        <v>2</v>
      </c>
      <c r="FT145" s="358"/>
      <c r="FU145" s="385">
        <v>254.41198185659007</v>
      </c>
      <c r="FV145" s="385">
        <f>2</f>
        <v>2</v>
      </c>
      <c r="FW145" s="358"/>
      <c r="FX145" s="385">
        <v>254.41198185659007</v>
      </c>
      <c r="FY145" s="385">
        <f>2</f>
        <v>2</v>
      </c>
      <c r="FZ145" s="358"/>
      <c r="GA145" s="385">
        <v>254.41198185659007</v>
      </c>
      <c r="GB145" s="385">
        <f>2</f>
        <v>2</v>
      </c>
      <c r="GC145" s="358"/>
      <c r="GD145" s="385">
        <v>254.41198185659007</v>
      </c>
      <c r="GE145" s="385">
        <f>2</f>
        <v>2</v>
      </c>
      <c r="GF145" s="358"/>
      <c r="GG145" s="385">
        <v>254.41198185659007</v>
      </c>
      <c r="GH145" s="385">
        <f>2</f>
        <v>2</v>
      </c>
      <c r="GI145" s="358"/>
      <c r="GJ145" s="385">
        <v>254.41198185659007</v>
      </c>
      <c r="GK145" s="385">
        <f>2</f>
        <v>2</v>
      </c>
      <c r="GL145" s="358"/>
      <c r="GM145" s="385">
        <v>254.41198185659007</v>
      </c>
      <c r="GN145" s="385">
        <f>2</f>
        <v>2</v>
      </c>
      <c r="GO145" s="358"/>
      <c r="GP145" s="385">
        <v>254.41198185659007</v>
      </c>
      <c r="GQ145" s="385">
        <f>2</f>
        <v>2</v>
      </c>
      <c r="GR145" s="358"/>
      <c r="GS145" s="385">
        <v>254.41198185659007</v>
      </c>
      <c r="GT145" s="385">
        <f>2</f>
        <v>2</v>
      </c>
      <c r="GU145" s="358"/>
      <c r="GV145" s="385">
        <v>254.41198185659007</v>
      </c>
      <c r="GW145" s="385">
        <f>2</f>
        <v>2</v>
      </c>
      <c r="GX145" s="358"/>
      <c r="GY145" s="385">
        <v>254.41198185659007</v>
      </c>
      <c r="GZ145" s="385">
        <f>2</f>
        <v>2</v>
      </c>
      <c r="HA145" s="358"/>
      <c r="HB145" s="385">
        <v>254.41198185659007</v>
      </c>
      <c r="HC145" s="385">
        <f>2</f>
        <v>2</v>
      </c>
      <c r="HD145" s="358"/>
      <c r="HE145" s="387">
        <v>254.41198185659007</v>
      </c>
      <c r="HF145" s="386">
        <f>2*6</f>
        <v>12</v>
      </c>
      <c r="HG145" s="358"/>
      <c r="HH145" s="387">
        <v>254.41198185659007</v>
      </c>
      <c r="HI145" s="358"/>
      <c r="HJ145" s="387">
        <v>254.41198185659007</v>
      </c>
      <c r="HK145" s="358"/>
      <c r="HL145" s="387">
        <v>254.41198185659007</v>
      </c>
      <c r="HM145" s="358"/>
      <c r="HN145" s="387">
        <v>254.41198185659007</v>
      </c>
      <c r="HO145" s="358"/>
      <c r="HP145" s="387">
        <v>254.41198185659007</v>
      </c>
      <c r="HQ145" s="358"/>
      <c r="HR145" s="387">
        <v>254.41198185659007</v>
      </c>
      <c r="HS145" s="358"/>
      <c r="HT145" s="387">
        <v>254.41198185659007</v>
      </c>
      <c r="HU145" s="358"/>
      <c r="HV145" s="388">
        <v>254.41198185659007</v>
      </c>
      <c r="HW145" s="425"/>
      <c r="HX145" s="423">
        <v>254.41198185659007</v>
      </c>
      <c r="HY145" s="425"/>
      <c r="HZ145" s="423">
        <v>254.41198185659007</v>
      </c>
      <c r="IA145" s="425"/>
      <c r="IB145" s="549">
        <v>296.11886412816222</v>
      </c>
      <c r="IC145" s="425"/>
      <c r="ID145" s="399"/>
      <c r="IE145" s="361"/>
      <c r="IF145" s="399"/>
      <c r="IG145" s="426"/>
      <c r="IH145" s="537"/>
      <c r="II145" s="426"/>
      <c r="IJ145" s="537"/>
      <c r="IK145" s="426"/>
      <c r="IL145" s="499"/>
      <c r="IM145" s="427"/>
      <c r="IN145" s="499"/>
      <c r="IO145" s="427"/>
      <c r="IP145" s="496"/>
      <c r="IQ145" s="427"/>
      <c r="IR145" s="429" t="s">
        <v>3370</v>
      </c>
      <c r="IS145" s="364" t="s">
        <v>77</v>
      </c>
      <c r="IT145" s="365">
        <v>43642</v>
      </c>
      <c r="IU145" s="371">
        <v>43647</v>
      </c>
      <c r="IV145" s="464">
        <v>44733</v>
      </c>
      <c r="IW145" s="372">
        <f t="shared" ref="IW145:IW208" si="22">IU145-IT145</f>
        <v>5</v>
      </c>
      <c r="IX145" s="373">
        <f t="shared" si="21"/>
        <v>9.7088152173167934</v>
      </c>
      <c r="IY145" s="531">
        <f t="shared" si="20"/>
        <v>48.544076086583971</v>
      </c>
      <c r="IZ145" s="531"/>
      <c r="JA145" s="531"/>
    </row>
    <row r="146" spans="1:261" s="367" customFormat="1" ht="16.5" customHeight="1" x14ac:dyDescent="0.3">
      <c r="A146" s="354" t="s">
        <v>2735</v>
      </c>
      <c r="B146" s="415" t="s">
        <v>2765</v>
      </c>
      <c r="C146" s="447" t="s">
        <v>431</v>
      </c>
      <c r="D146" s="448">
        <v>1249</v>
      </c>
      <c r="E146" s="449">
        <v>71</v>
      </c>
      <c r="F146" s="449">
        <v>16</v>
      </c>
      <c r="G146" s="449">
        <v>14</v>
      </c>
      <c r="H146" s="450">
        <v>0</v>
      </c>
      <c r="I146" s="830">
        <v>1335.4564263010345</v>
      </c>
      <c r="J146" s="831">
        <f>14</f>
        <v>14</v>
      </c>
      <c r="K146" s="827"/>
      <c r="L146" s="831">
        <v>1335.4564263010345</v>
      </c>
      <c r="M146" s="831">
        <f>14</f>
        <v>14</v>
      </c>
      <c r="N146" s="827"/>
      <c r="O146" s="831">
        <v>1335.4564263010345</v>
      </c>
      <c r="P146" s="831">
        <f>14</f>
        <v>14</v>
      </c>
      <c r="Q146" s="827"/>
      <c r="R146" s="831">
        <v>1335.4564263010345</v>
      </c>
      <c r="S146" s="831">
        <f>14</f>
        <v>14</v>
      </c>
      <c r="T146" s="827"/>
      <c r="U146" s="831">
        <v>1335.4564263010345</v>
      </c>
      <c r="V146" s="831">
        <f>14</f>
        <v>14</v>
      </c>
      <c r="W146" s="827"/>
      <c r="X146" s="831">
        <v>1335.4564263010345</v>
      </c>
      <c r="Y146" s="831">
        <f>14</f>
        <v>14</v>
      </c>
      <c r="Z146" s="827"/>
      <c r="AA146" s="831">
        <v>1335.4564263010345</v>
      </c>
      <c r="AB146" s="831">
        <f>14</f>
        <v>14</v>
      </c>
      <c r="AC146" s="827"/>
      <c r="AD146" s="831">
        <v>1335.4564263010345</v>
      </c>
      <c r="AE146" s="831">
        <f>14</f>
        <v>14</v>
      </c>
      <c r="AF146" s="827"/>
      <c r="AG146" s="831">
        <v>1335.4564263010345</v>
      </c>
      <c r="AH146" s="831">
        <f>14</f>
        <v>14</v>
      </c>
      <c r="AI146" s="827"/>
      <c r="AJ146" s="831">
        <v>1335.4564263010345</v>
      </c>
      <c r="AK146" s="831">
        <f>14</f>
        <v>14</v>
      </c>
      <c r="AL146" s="827"/>
      <c r="AM146" s="831">
        <v>1335.4564263010345</v>
      </c>
      <c r="AN146" s="831">
        <f>14</f>
        <v>14</v>
      </c>
      <c r="AO146" s="827"/>
      <c r="AP146" s="831">
        <v>1335.4564263010345</v>
      </c>
      <c r="AQ146" s="831">
        <f>14</f>
        <v>14</v>
      </c>
      <c r="AR146" s="827"/>
      <c r="AS146" s="831">
        <v>1335.4564263010345</v>
      </c>
      <c r="AT146" s="831">
        <f>14</f>
        <v>14</v>
      </c>
      <c r="AU146" s="827"/>
      <c r="AV146" s="831">
        <v>1335.4564263010345</v>
      </c>
      <c r="AW146" s="831">
        <f>14</f>
        <v>14</v>
      </c>
      <c r="AX146" s="827"/>
      <c r="AY146" s="831">
        <v>1335.4564263010345</v>
      </c>
      <c r="AZ146" s="831">
        <f>14</f>
        <v>14</v>
      </c>
      <c r="BA146" s="358"/>
      <c r="BB146" s="385">
        <v>1335.4564263010345</v>
      </c>
      <c r="BC146" s="385">
        <f>14</f>
        <v>14</v>
      </c>
      <c r="BD146" s="358"/>
      <c r="BE146" s="385">
        <v>1335.4564263010345</v>
      </c>
      <c r="BF146" s="385">
        <f>14</f>
        <v>14</v>
      </c>
      <c r="BG146" s="358"/>
      <c r="BH146" s="385">
        <v>1335.4564263010345</v>
      </c>
      <c r="BI146" s="385">
        <f>14</f>
        <v>14</v>
      </c>
      <c r="BJ146" s="358"/>
      <c r="BK146" s="385">
        <v>1335.4564263010345</v>
      </c>
      <c r="BL146" s="385">
        <f>14</f>
        <v>14</v>
      </c>
      <c r="BM146" s="358"/>
      <c r="BN146" s="385">
        <v>1335.4564263010345</v>
      </c>
      <c r="BO146" s="385">
        <f>14</f>
        <v>14</v>
      </c>
      <c r="BP146" s="358"/>
      <c r="BQ146" s="385">
        <v>1335.4564263010345</v>
      </c>
      <c r="BR146" s="385">
        <f>14</f>
        <v>14</v>
      </c>
      <c r="BS146" s="358"/>
      <c r="BT146" s="385">
        <v>1335.4564263010345</v>
      </c>
      <c r="BU146" s="385">
        <f>14</f>
        <v>14</v>
      </c>
      <c r="BV146" s="358"/>
      <c r="BW146" s="385">
        <v>1335.4564263010345</v>
      </c>
      <c r="BX146" s="385">
        <f>14</f>
        <v>14</v>
      </c>
      <c r="BY146" s="358"/>
      <c r="BZ146" s="385">
        <v>1335.4564263010345</v>
      </c>
      <c r="CA146" s="385">
        <f>14</f>
        <v>14</v>
      </c>
      <c r="CB146" s="358"/>
      <c r="CC146" s="385">
        <v>1335.4564263010345</v>
      </c>
      <c r="CD146" s="385">
        <f>14</f>
        <v>14</v>
      </c>
      <c r="CE146" s="358"/>
      <c r="CF146" s="385">
        <v>1335.4564263010345</v>
      </c>
      <c r="CG146" s="385">
        <f>14</f>
        <v>14</v>
      </c>
      <c r="CH146" s="358"/>
      <c r="CI146" s="385">
        <v>1335.4564263010345</v>
      </c>
      <c r="CJ146" s="385">
        <f>14</f>
        <v>14</v>
      </c>
      <c r="CK146" s="358"/>
      <c r="CL146" s="385">
        <v>1335.4564263010345</v>
      </c>
      <c r="CM146" s="385">
        <f>14</f>
        <v>14</v>
      </c>
      <c r="CN146" s="358"/>
      <c r="CO146" s="385">
        <v>1335.4564263010345</v>
      </c>
      <c r="CP146" s="385">
        <f>14</f>
        <v>14</v>
      </c>
      <c r="CQ146" s="358"/>
      <c r="CR146" s="385">
        <v>1335.4564263010345</v>
      </c>
      <c r="CS146" s="385">
        <f>14</f>
        <v>14</v>
      </c>
      <c r="CT146" s="358"/>
      <c r="CU146" s="385">
        <v>1335.4564263010345</v>
      </c>
      <c r="CV146" s="385">
        <f>14</f>
        <v>14</v>
      </c>
      <c r="CW146" s="358"/>
      <c r="CX146" s="385">
        <v>1335.4564263010345</v>
      </c>
      <c r="CY146" s="385">
        <f>14</f>
        <v>14</v>
      </c>
      <c r="CZ146" s="358"/>
      <c r="DA146" s="385">
        <v>1335.4564263010345</v>
      </c>
      <c r="DB146" s="385">
        <f>14</f>
        <v>14</v>
      </c>
      <c r="DC146" s="358"/>
      <c r="DD146" s="385">
        <v>1335.4564263010345</v>
      </c>
      <c r="DE146" s="385">
        <f>14</f>
        <v>14</v>
      </c>
      <c r="DF146" s="358"/>
      <c r="DG146" s="385">
        <v>1335.4564263010345</v>
      </c>
      <c r="DH146" s="385">
        <f>14</f>
        <v>14</v>
      </c>
      <c r="DI146" s="358"/>
      <c r="DJ146" s="385">
        <v>1335.4564263010345</v>
      </c>
      <c r="DK146" s="385">
        <f>14</f>
        <v>14</v>
      </c>
      <c r="DL146" s="358"/>
      <c r="DM146" s="385">
        <v>1335.4564263010345</v>
      </c>
      <c r="DN146" s="385">
        <f>14</f>
        <v>14</v>
      </c>
      <c r="DO146" s="358"/>
      <c r="DP146" s="385">
        <v>1335.4564263010345</v>
      </c>
      <c r="DQ146" s="385">
        <f>14</f>
        <v>14</v>
      </c>
      <c r="DR146" s="358"/>
      <c r="DS146" s="385">
        <v>1335.4564263010345</v>
      </c>
      <c r="DT146" s="385">
        <f>14</f>
        <v>14</v>
      </c>
      <c r="DU146" s="358"/>
      <c r="DV146" s="385">
        <v>1335.4564263010345</v>
      </c>
      <c r="DW146" s="385">
        <f>14</f>
        <v>14</v>
      </c>
      <c r="DX146" s="358"/>
      <c r="DY146" s="385">
        <v>1335.4564263010345</v>
      </c>
      <c r="DZ146" s="385">
        <f>14</f>
        <v>14</v>
      </c>
      <c r="EA146" s="358"/>
      <c r="EB146" s="385">
        <v>1335.4564263010345</v>
      </c>
      <c r="EC146" s="385">
        <f>14</f>
        <v>14</v>
      </c>
      <c r="ED146" s="358"/>
      <c r="EE146" s="385">
        <v>1335.4564263010345</v>
      </c>
      <c r="EF146" s="385">
        <f>14</f>
        <v>14</v>
      </c>
      <c r="EG146" s="358"/>
      <c r="EH146" s="385">
        <v>1335.4564263010345</v>
      </c>
      <c r="EI146" s="385">
        <f>14</f>
        <v>14</v>
      </c>
      <c r="EJ146" s="358"/>
      <c r="EK146" s="385">
        <v>1335.4564263010345</v>
      </c>
      <c r="EL146" s="385">
        <f>14</f>
        <v>14</v>
      </c>
      <c r="EM146" s="358"/>
      <c r="EN146" s="385">
        <v>1335.4564263010345</v>
      </c>
      <c r="EO146" s="385">
        <f>14</f>
        <v>14</v>
      </c>
      <c r="EP146" s="358"/>
      <c r="EQ146" s="385">
        <v>1335.4564263010345</v>
      </c>
      <c r="ER146" s="385">
        <f>14</f>
        <v>14</v>
      </c>
      <c r="ES146" s="358"/>
      <c r="ET146" s="385">
        <v>1335.4564263010345</v>
      </c>
      <c r="EU146" s="385">
        <f>14</f>
        <v>14</v>
      </c>
      <c r="EV146" s="358"/>
      <c r="EW146" s="385">
        <v>1335.4564263010345</v>
      </c>
      <c r="EX146" s="385">
        <f>14</f>
        <v>14</v>
      </c>
      <c r="EY146" s="358"/>
      <c r="EZ146" s="385">
        <v>1335.4564263010345</v>
      </c>
      <c r="FA146" s="385">
        <f>14</f>
        <v>14</v>
      </c>
      <c r="FB146" s="358"/>
      <c r="FC146" s="385">
        <v>1335.4564263010345</v>
      </c>
      <c r="FD146" s="385">
        <f>14</f>
        <v>14</v>
      </c>
      <c r="FE146" s="358"/>
      <c r="FF146" s="385">
        <v>1335.4564263010345</v>
      </c>
      <c r="FG146" s="385">
        <f>14</f>
        <v>14</v>
      </c>
      <c r="FH146" s="358"/>
      <c r="FI146" s="385">
        <v>1335.4564263010345</v>
      </c>
      <c r="FJ146" s="385">
        <f>14</f>
        <v>14</v>
      </c>
      <c r="FK146" s="358"/>
      <c r="FL146" s="385">
        <v>1335.4564263010345</v>
      </c>
      <c r="FM146" s="385">
        <f>14</f>
        <v>14</v>
      </c>
      <c r="FN146" s="358"/>
      <c r="FO146" s="385">
        <v>1335.4564263010345</v>
      </c>
      <c r="FP146" s="385">
        <f>14</f>
        <v>14</v>
      </c>
      <c r="FQ146" s="358"/>
      <c r="FR146" s="385">
        <v>1335.4564263010345</v>
      </c>
      <c r="FS146" s="385">
        <f>14</f>
        <v>14</v>
      </c>
      <c r="FT146" s="358"/>
      <c r="FU146" s="385">
        <v>1335.4564263010345</v>
      </c>
      <c r="FV146" s="385">
        <f>14</f>
        <v>14</v>
      </c>
      <c r="FW146" s="358"/>
      <c r="FX146" s="385">
        <v>1335.4564263010345</v>
      </c>
      <c r="FY146" s="385">
        <f>14</f>
        <v>14</v>
      </c>
      <c r="FZ146" s="358"/>
      <c r="GA146" s="385">
        <v>1335.4564263010345</v>
      </c>
      <c r="GB146" s="385">
        <f>14</f>
        <v>14</v>
      </c>
      <c r="GC146" s="358"/>
      <c r="GD146" s="385">
        <v>1335.4564263010345</v>
      </c>
      <c r="GE146" s="385">
        <f>14</f>
        <v>14</v>
      </c>
      <c r="GF146" s="358"/>
      <c r="GG146" s="385">
        <v>1335.4564263010345</v>
      </c>
      <c r="GH146" s="385">
        <f>14</f>
        <v>14</v>
      </c>
      <c r="GI146" s="358"/>
      <c r="GJ146" s="385">
        <v>1335.4564263010345</v>
      </c>
      <c r="GK146" s="385">
        <f>14</f>
        <v>14</v>
      </c>
      <c r="GL146" s="358"/>
      <c r="GM146" s="385">
        <v>1335.4564263010345</v>
      </c>
      <c r="GN146" s="385">
        <f>14</f>
        <v>14</v>
      </c>
      <c r="GO146" s="358"/>
      <c r="GP146" s="385">
        <v>1335.4564263010345</v>
      </c>
      <c r="GQ146" s="385">
        <f>14</f>
        <v>14</v>
      </c>
      <c r="GR146" s="358"/>
      <c r="GS146" s="385">
        <v>1335.4564263010345</v>
      </c>
      <c r="GT146" s="385">
        <f>14</f>
        <v>14</v>
      </c>
      <c r="GU146" s="358"/>
      <c r="GV146" s="385">
        <v>1335.4564263010345</v>
      </c>
      <c r="GW146" s="385">
        <f>14</f>
        <v>14</v>
      </c>
      <c r="GX146" s="358"/>
      <c r="GY146" s="385">
        <v>1335.4564263010345</v>
      </c>
      <c r="GZ146" s="385">
        <f>14</f>
        <v>14</v>
      </c>
      <c r="HA146" s="358"/>
      <c r="HB146" s="385">
        <v>1335.4564263010345</v>
      </c>
      <c r="HC146" s="385">
        <f>14</f>
        <v>14</v>
      </c>
      <c r="HD146" s="358"/>
      <c r="HE146" s="387">
        <v>1335.4564263010345</v>
      </c>
      <c r="HF146" s="386">
        <f>14*6</f>
        <v>84</v>
      </c>
      <c r="HG146" s="358"/>
      <c r="HH146" s="387">
        <v>1335.4564263010345</v>
      </c>
      <c r="HI146" s="358"/>
      <c r="HJ146" s="387">
        <v>1335.4564263010345</v>
      </c>
      <c r="HK146" s="358"/>
      <c r="HL146" s="387">
        <v>1335.4564263010345</v>
      </c>
      <c r="HM146" s="358"/>
      <c r="HN146" s="387">
        <v>1335.4564263010345</v>
      </c>
      <c r="HO146" s="358"/>
      <c r="HP146" s="387">
        <v>1335.4564263010345</v>
      </c>
      <c r="HQ146" s="358"/>
      <c r="HR146" s="387">
        <v>1335.4564263010345</v>
      </c>
      <c r="HS146" s="358"/>
      <c r="HT146" s="387">
        <v>1335.4564263010345</v>
      </c>
      <c r="HU146" s="358"/>
      <c r="HV146" s="388">
        <v>1335.4564263010345</v>
      </c>
      <c r="HW146" s="425"/>
      <c r="HX146" s="423">
        <v>1335.4564263010345</v>
      </c>
      <c r="HY146" s="425"/>
      <c r="HZ146" s="423">
        <v>1335.4564263010345</v>
      </c>
      <c r="IA146" s="425"/>
      <c r="IB146" s="549">
        <v>1554.3837093012041</v>
      </c>
      <c r="IC146" s="425"/>
      <c r="ID146" s="399"/>
      <c r="IE146" s="361"/>
      <c r="IF146" s="399"/>
      <c r="IG146" s="426"/>
      <c r="IH146" s="537"/>
      <c r="II146" s="426"/>
      <c r="IJ146" s="537"/>
      <c r="IK146" s="426"/>
      <c r="IL146" s="499"/>
      <c r="IM146" s="427"/>
      <c r="IN146" s="499"/>
      <c r="IO146" s="427"/>
      <c r="IP146" s="496"/>
      <c r="IQ146" s="427"/>
      <c r="IR146" s="429" t="s">
        <v>3371</v>
      </c>
      <c r="IS146" s="364" t="s">
        <v>77</v>
      </c>
      <c r="IT146" s="365">
        <v>43642</v>
      </c>
      <c r="IU146" s="371">
        <v>43647</v>
      </c>
      <c r="IW146" s="372">
        <f t="shared" si="22"/>
        <v>5</v>
      </c>
      <c r="IX146" s="373">
        <f t="shared" si="21"/>
        <v>50.96340030495751</v>
      </c>
      <c r="IY146" s="531">
        <f t="shared" si="20"/>
        <v>254.81700152478754</v>
      </c>
      <c r="IZ146" s="531"/>
      <c r="JA146" s="531"/>
    </row>
    <row r="147" spans="1:261" s="367" customFormat="1" ht="16.5" customHeight="1" x14ac:dyDescent="0.3">
      <c r="A147" s="401" t="s">
        <v>3315</v>
      </c>
      <c r="B147" s="402" t="s">
        <v>3315</v>
      </c>
      <c r="C147" s="434" t="s">
        <v>3372</v>
      </c>
      <c r="D147" s="856"/>
      <c r="E147" s="751"/>
      <c r="F147" s="751"/>
      <c r="G147" s="751"/>
      <c r="H147" s="857"/>
      <c r="I147" s="853">
        <v>0</v>
      </c>
      <c r="J147" s="833">
        <v>0</v>
      </c>
      <c r="K147" s="833">
        <v>0</v>
      </c>
      <c r="L147" s="833">
        <v>0</v>
      </c>
      <c r="M147" s="833">
        <v>0</v>
      </c>
      <c r="N147" s="833">
        <v>0</v>
      </c>
      <c r="O147" s="833">
        <v>0</v>
      </c>
      <c r="P147" s="833">
        <v>0</v>
      </c>
      <c r="Q147" s="833">
        <v>0</v>
      </c>
      <c r="R147" s="833">
        <v>0</v>
      </c>
      <c r="S147" s="833">
        <v>0</v>
      </c>
      <c r="T147" s="833">
        <v>0</v>
      </c>
      <c r="U147" s="833">
        <v>0</v>
      </c>
      <c r="V147" s="833">
        <v>0</v>
      </c>
      <c r="W147" s="833">
        <v>0</v>
      </c>
      <c r="X147" s="833">
        <v>0</v>
      </c>
      <c r="Y147" s="833">
        <v>0</v>
      </c>
      <c r="Z147" s="833">
        <v>0</v>
      </c>
      <c r="AA147" s="833">
        <v>0</v>
      </c>
      <c r="AB147" s="833">
        <v>0</v>
      </c>
      <c r="AC147" s="833">
        <v>0</v>
      </c>
      <c r="AD147" s="833">
        <v>0</v>
      </c>
      <c r="AE147" s="833">
        <v>0</v>
      </c>
      <c r="AF147" s="833">
        <v>0</v>
      </c>
      <c r="AG147" s="833">
        <v>0</v>
      </c>
      <c r="AH147" s="833">
        <v>0</v>
      </c>
      <c r="AI147" s="833">
        <v>0</v>
      </c>
      <c r="AJ147" s="833">
        <v>0</v>
      </c>
      <c r="AK147" s="833">
        <v>0</v>
      </c>
      <c r="AL147" s="833">
        <v>0</v>
      </c>
      <c r="AM147" s="833">
        <v>0</v>
      </c>
      <c r="AN147" s="833">
        <v>0</v>
      </c>
      <c r="AO147" s="833">
        <v>0</v>
      </c>
      <c r="AP147" s="833">
        <v>0</v>
      </c>
      <c r="AQ147" s="833">
        <v>0</v>
      </c>
      <c r="AR147" s="833">
        <v>0</v>
      </c>
      <c r="AS147" s="833">
        <v>0</v>
      </c>
      <c r="AT147" s="833">
        <v>0</v>
      </c>
      <c r="AU147" s="833">
        <v>0</v>
      </c>
      <c r="AV147" s="833"/>
      <c r="AW147" s="833"/>
      <c r="AX147" s="833"/>
      <c r="AY147" s="833"/>
      <c r="AZ147" s="833"/>
      <c r="BA147" s="455"/>
      <c r="BB147" s="404"/>
      <c r="BC147" s="404"/>
      <c r="BD147" s="455"/>
      <c r="BE147" s="404"/>
      <c r="BF147" s="404"/>
      <c r="BG147" s="455"/>
      <c r="BH147" s="404"/>
      <c r="BI147" s="404"/>
      <c r="BJ147" s="455"/>
      <c r="BK147" s="404"/>
      <c r="BL147" s="404"/>
      <c r="BM147" s="455"/>
      <c r="BN147" s="404"/>
      <c r="BO147" s="404"/>
      <c r="BP147" s="455"/>
      <c r="BQ147" s="404"/>
      <c r="BR147" s="404"/>
      <c r="BS147" s="455"/>
      <c r="BT147" s="404"/>
      <c r="BU147" s="404"/>
      <c r="BV147" s="455"/>
      <c r="BW147" s="404"/>
      <c r="BX147" s="404"/>
      <c r="BY147" s="455"/>
      <c r="BZ147" s="404"/>
      <c r="CA147" s="404"/>
      <c r="CB147" s="455"/>
      <c r="CC147" s="404"/>
      <c r="CD147" s="404"/>
      <c r="CE147" s="455"/>
      <c r="CF147" s="404"/>
      <c r="CG147" s="404"/>
      <c r="CH147" s="455"/>
      <c r="CI147" s="404"/>
      <c r="CJ147" s="404"/>
      <c r="CK147" s="455"/>
      <c r="CL147" s="404"/>
      <c r="CM147" s="404"/>
      <c r="CN147" s="455"/>
      <c r="CO147" s="404"/>
      <c r="CP147" s="404"/>
      <c r="CQ147" s="455"/>
      <c r="CR147" s="404"/>
      <c r="CS147" s="404"/>
      <c r="CT147" s="455"/>
      <c r="CU147" s="404"/>
      <c r="CV147" s="404"/>
      <c r="CW147" s="455"/>
      <c r="CX147" s="404"/>
      <c r="CY147" s="404"/>
      <c r="CZ147" s="455"/>
      <c r="DA147" s="404"/>
      <c r="DB147" s="404"/>
      <c r="DC147" s="455"/>
      <c r="DD147" s="404"/>
      <c r="DE147" s="404"/>
      <c r="DF147" s="455"/>
      <c r="DG147" s="404"/>
      <c r="DH147" s="404"/>
      <c r="DI147" s="455"/>
      <c r="DJ147" s="404"/>
      <c r="DK147" s="404"/>
      <c r="DL147" s="455"/>
      <c r="DM147" s="404"/>
      <c r="DN147" s="404"/>
      <c r="DO147" s="455"/>
      <c r="DP147" s="404"/>
      <c r="DQ147" s="404"/>
      <c r="DR147" s="455"/>
      <c r="DS147" s="404"/>
      <c r="DT147" s="404"/>
      <c r="DU147" s="455"/>
      <c r="DV147" s="404"/>
      <c r="DW147" s="404"/>
      <c r="DX147" s="455"/>
      <c r="DY147" s="404"/>
      <c r="DZ147" s="404"/>
      <c r="EA147" s="455"/>
      <c r="EB147" s="404"/>
      <c r="EC147" s="404"/>
      <c r="ED147" s="455"/>
      <c r="EE147" s="404"/>
      <c r="EF147" s="404"/>
      <c r="EG147" s="455"/>
      <c r="EH147" s="404"/>
      <c r="EI147" s="404"/>
      <c r="EJ147" s="455"/>
      <c r="EK147" s="404"/>
      <c r="EL147" s="404"/>
      <c r="EM147" s="455"/>
      <c r="EN147" s="404"/>
      <c r="EO147" s="404"/>
      <c r="EP147" s="455"/>
      <c r="EQ147" s="404"/>
      <c r="ER147" s="404"/>
      <c r="ES147" s="455"/>
      <c r="ET147" s="404"/>
      <c r="EU147" s="404"/>
      <c r="EV147" s="455"/>
      <c r="EW147" s="404"/>
      <c r="EX147" s="404"/>
      <c r="EY147" s="455"/>
      <c r="EZ147" s="404"/>
      <c r="FA147" s="404"/>
      <c r="FB147" s="455"/>
      <c r="FC147" s="404"/>
      <c r="FD147" s="404"/>
      <c r="FE147" s="455"/>
      <c r="FF147" s="404"/>
      <c r="FG147" s="404"/>
      <c r="FH147" s="455"/>
      <c r="FI147" s="404"/>
      <c r="FJ147" s="404"/>
      <c r="FK147" s="455"/>
      <c r="FL147" s="404"/>
      <c r="FM147" s="404"/>
      <c r="FN147" s="455"/>
      <c r="FO147" s="404"/>
      <c r="FP147" s="404"/>
      <c r="FQ147" s="455"/>
      <c r="FR147" s="404"/>
      <c r="FS147" s="404"/>
      <c r="FT147" s="455"/>
      <c r="FU147" s="404"/>
      <c r="FV147" s="404"/>
      <c r="FW147" s="455"/>
      <c r="FX147" s="404"/>
      <c r="FY147" s="404"/>
      <c r="FZ147" s="455"/>
      <c r="GA147" s="404"/>
      <c r="GB147" s="404"/>
      <c r="GC147" s="455"/>
      <c r="GD147" s="404"/>
      <c r="GE147" s="404"/>
      <c r="GF147" s="455"/>
      <c r="GG147" s="404"/>
      <c r="GH147" s="404"/>
      <c r="GI147" s="455"/>
      <c r="GJ147" s="404"/>
      <c r="GK147" s="404"/>
      <c r="GL147" s="455"/>
      <c r="GM147" s="404"/>
      <c r="GN147" s="404"/>
      <c r="GO147" s="455"/>
      <c r="GP147" s="404"/>
      <c r="GQ147" s="404"/>
      <c r="GR147" s="455"/>
      <c r="GS147" s="404"/>
      <c r="GT147" s="404"/>
      <c r="GU147" s="455"/>
      <c r="GV147" s="385">
        <v>1335.4564263010345</v>
      </c>
      <c r="GW147" s="385">
        <f>14</f>
        <v>14</v>
      </c>
      <c r="GX147" s="358"/>
      <c r="GY147" s="385">
        <v>1335.4564263010345</v>
      </c>
      <c r="GZ147" s="385">
        <f>14</f>
        <v>14</v>
      </c>
      <c r="HA147" s="358"/>
      <c r="HB147" s="385">
        <v>1335.4564263010345</v>
      </c>
      <c r="HC147" s="385">
        <f>14</f>
        <v>14</v>
      </c>
      <c r="HD147" s="358"/>
      <c r="HE147" s="387">
        <v>1335.4564263010345</v>
      </c>
      <c r="HF147" s="386">
        <f>14*6</f>
        <v>84</v>
      </c>
      <c r="HG147" s="358"/>
      <c r="HH147" s="387">
        <v>1335.4564263010345</v>
      </c>
      <c r="HI147" s="358"/>
      <c r="HJ147" s="387">
        <v>1335.4564263010345</v>
      </c>
      <c r="HK147" s="358"/>
      <c r="HL147" s="387">
        <v>1335.4564263010345</v>
      </c>
      <c r="HM147" s="358"/>
      <c r="HN147" s="387">
        <v>1335.4564263010345</v>
      </c>
      <c r="HO147" s="358"/>
      <c r="HP147" s="387">
        <v>1335.4564263010345</v>
      </c>
      <c r="HQ147" s="358"/>
      <c r="HR147" s="387">
        <v>1335.4564263010345</v>
      </c>
      <c r="HS147" s="358"/>
      <c r="HT147" s="387">
        <v>1335.4564263010345</v>
      </c>
      <c r="HU147" s="358"/>
      <c r="HV147" s="388">
        <v>1335.4564263010345</v>
      </c>
      <c r="HW147" s="425"/>
      <c r="HX147" s="423">
        <v>1335.4564263010345</v>
      </c>
      <c r="HY147" s="425"/>
      <c r="HZ147" s="423">
        <v>1335.4564263010345</v>
      </c>
      <c r="IA147" s="425"/>
      <c r="IB147" s="549">
        <v>1510.5982527011702</v>
      </c>
      <c r="IC147" s="425"/>
      <c r="ID147" s="399"/>
      <c r="IE147" s="361"/>
      <c r="IF147" s="399"/>
      <c r="IG147" s="426"/>
      <c r="IH147" s="537"/>
      <c r="II147" s="426"/>
      <c r="IJ147" s="537"/>
      <c r="IK147" s="426"/>
      <c r="IL147" s="499"/>
      <c r="IM147" s="427"/>
      <c r="IN147" s="499"/>
      <c r="IO147" s="427"/>
      <c r="IP147" s="496"/>
      <c r="IQ147" s="427"/>
      <c r="IR147" s="429" t="s">
        <v>3373</v>
      </c>
      <c r="IS147" s="364" t="s">
        <v>77</v>
      </c>
      <c r="IT147" s="365">
        <v>43643</v>
      </c>
      <c r="IU147" s="371">
        <v>43647</v>
      </c>
      <c r="IW147" s="372">
        <f t="shared" si="22"/>
        <v>4</v>
      </c>
      <c r="IX147" s="373">
        <f t="shared" si="21"/>
        <v>49.52781156397279</v>
      </c>
      <c r="IY147" s="531">
        <f t="shared" si="20"/>
        <v>198.11124625589116</v>
      </c>
      <c r="IZ147" s="531"/>
      <c r="JA147" s="531"/>
    </row>
    <row r="148" spans="1:261" s="367" customFormat="1" ht="16.5" customHeight="1" x14ac:dyDescent="0.3">
      <c r="A148" s="401" t="s">
        <v>3315</v>
      </c>
      <c r="B148" s="402" t="s">
        <v>3315</v>
      </c>
      <c r="C148" s="434" t="s">
        <v>3374</v>
      </c>
      <c r="D148" s="856"/>
      <c r="E148" s="751"/>
      <c r="F148" s="751"/>
      <c r="G148" s="751"/>
      <c r="H148" s="857"/>
      <c r="I148" s="853">
        <v>0</v>
      </c>
      <c r="J148" s="833">
        <v>0</v>
      </c>
      <c r="K148" s="833">
        <v>0</v>
      </c>
      <c r="L148" s="833">
        <v>0</v>
      </c>
      <c r="M148" s="833">
        <v>0</v>
      </c>
      <c r="N148" s="833">
        <v>0</v>
      </c>
      <c r="O148" s="833">
        <v>0</v>
      </c>
      <c r="P148" s="833">
        <v>0</v>
      </c>
      <c r="Q148" s="833">
        <v>0</v>
      </c>
      <c r="R148" s="833">
        <v>0</v>
      </c>
      <c r="S148" s="833">
        <v>0</v>
      </c>
      <c r="T148" s="833">
        <v>0</v>
      </c>
      <c r="U148" s="833">
        <v>0</v>
      </c>
      <c r="V148" s="833">
        <v>0</v>
      </c>
      <c r="W148" s="833">
        <v>0</v>
      </c>
      <c r="X148" s="833">
        <v>0</v>
      </c>
      <c r="Y148" s="833">
        <v>0</v>
      </c>
      <c r="Z148" s="833">
        <v>0</v>
      </c>
      <c r="AA148" s="833">
        <v>0</v>
      </c>
      <c r="AB148" s="833">
        <v>0</v>
      </c>
      <c r="AC148" s="833">
        <v>0</v>
      </c>
      <c r="AD148" s="833">
        <v>0</v>
      </c>
      <c r="AE148" s="833">
        <v>0</v>
      </c>
      <c r="AF148" s="833">
        <v>0</v>
      </c>
      <c r="AG148" s="833">
        <v>0</v>
      </c>
      <c r="AH148" s="833">
        <v>0</v>
      </c>
      <c r="AI148" s="833">
        <v>0</v>
      </c>
      <c r="AJ148" s="833">
        <v>0</v>
      </c>
      <c r="AK148" s="833">
        <v>0</v>
      </c>
      <c r="AL148" s="833">
        <v>0</v>
      </c>
      <c r="AM148" s="833">
        <v>0</v>
      </c>
      <c r="AN148" s="833">
        <v>0</v>
      </c>
      <c r="AO148" s="833">
        <v>0</v>
      </c>
      <c r="AP148" s="833">
        <v>0</v>
      </c>
      <c r="AQ148" s="833">
        <v>0</v>
      </c>
      <c r="AR148" s="833">
        <v>0</v>
      </c>
      <c r="AS148" s="833">
        <v>0</v>
      </c>
      <c r="AT148" s="833">
        <v>0</v>
      </c>
      <c r="AU148" s="833">
        <v>0</v>
      </c>
      <c r="AV148" s="833"/>
      <c r="AW148" s="833"/>
      <c r="AX148" s="833"/>
      <c r="AY148" s="833"/>
      <c r="AZ148" s="833"/>
      <c r="BA148" s="455"/>
      <c r="BB148" s="404"/>
      <c r="BC148" s="404"/>
      <c r="BD148" s="455"/>
      <c r="BE148" s="404"/>
      <c r="BF148" s="404"/>
      <c r="BG148" s="455"/>
      <c r="BH148" s="404"/>
      <c r="BI148" s="404"/>
      <c r="BJ148" s="455"/>
      <c r="BK148" s="404"/>
      <c r="BL148" s="404"/>
      <c r="BM148" s="455"/>
      <c r="BN148" s="404"/>
      <c r="BO148" s="404"/>
      <c r="BP148" s="455"/>
      <c r="BQ148" s="404"/>
      <c r="BR148" s="404"/>
      <c r="BS148" s="455"/>
      <c r="BT148" s="404"/>
      <c r="BU148" s="404"/>
      <c r="BV148" s="455"/>
      <c r="BW148" s="404"/>
      <c r="BX148" s="404"/>
      <c r="BY148" s="455"/>
      <c r="BZ148" s="404"/>
      <c r="CA148" s="404"/>
      <c r="CB148" s="455"/>
      <c r="CC148" s="404"/>
      <c r="CD148" s="404"/>
      <c r="CE148" s="455"/>
      <c r="CF148" s="404"/>
      <c r="CG148" s="404"/>
      <c r="CH148" s="455"/>
      <c r="CI148" s="404"/>
      <c r="CJ148" s="404"/>
      <c r="CK148" s="455"/>
      <c r="CL148" s="404"/>
      <c r="CM148" s="404"/>
      <c r="CN148" s="455"/>
      <c r="CO148" s="404"/>
      <c r="CP148" s="404"/>
      <c r="CQ148" s="455"/>
      <c r="CR148" s="404"/>
      <c r="CS148" s="404"/>
      <c r="CT148" s="455"/>
      <c r="CU148" s="404"/>
      <c r="CV148" s="404"/>
      <c r="CW148" s="455"/>
      <c r="CX148" s="404"/>
      <c r="CY148" s="404"/>
      <c r="CZ148" s="455"/>
      <c r="DA148" s="404"/>
      <c r="DB148" s="404"/>
      <c r="DC148" s="455"/>
      <c r="DD148" s="404"/>
      <c r="DE148" s="404"/>
      <c r="DF148" s="455"/>
      <c r="DG148" s="404"/>
      <c r="DH148" s="404"/>
      <c r="DI148" s="455"/>
      <c r="DJ148" s="404"/>
      <c r="DK148" s="404"/>
      <c r="DL148" s="455"/>
      <c r="DM148" s="404"/>
      <c r="DN148" s="404"/>
      <c r="DO148" s="455"/>
      <c r="DP148" s="404"/>
      <c r="DQ148" s="404"/>
      <c r="DR148" s="455"/>
      <c r="DS148" s="404"/>
      <c r="DT148" s="404"/>
      <c r="DU148" s="455"/>
      <c r="DV148" s="404"/>
      <c r="DW148" s="404"/>
      <c r="DX148" s="455"/>
      <c r="DY148" s="404"/>
      <c r="DZ148" s="404"/>
      <c r="EA148" s="455"/>
      <c r="EB148" s="404"/>
      <c r="EC148" s="404"/>
      <c r="ED148" s="455"/>
      <c r="EE148" s="404"/>
      <c r="EF148" s="404"/>
      <c r="EG148" s="455"/>
      <c r="EH148" s="404"/>
      <c r="EI148" s="404"/>
      <c r="EJ148" s="455"/>
      <c r="EK148" s="404"/>
      <c r="EL148" s="404"/>
      <c r="EM148" s="455"/>
      <c r="EN148" s="404"/>
      <c r="EO148" s="404"/>
      <c r="EP148" s="455"/>
      <c r="EQ148" s="404"/>
      <c r="ER148" s="404"/>
      <c r="ES148" s="455"/>
      <c r="ET148" s="404"/>
      <c r="EU148" s="404"/>
      <c r="EV148" s="455"/>
      <c r="EW148" s="404"/>
      <c r="EX148" s="404"/>
      <c r="EY148" s="455"/>
      <c r="EZ148" s="404"/>
      <c r="FA148" s="404"/>
      <c r="FB148" s="455"/>
      <c r="FC148" s="404"/>
      <c r="FD148" s="404"/>
      <c r="FE148" s="455"/>
      <c r="FF148" s="404"/>
      <c r="FG148" s="404"/>
      <c r="FH148" s="455"/>
      <c r="FI148" s="404"/>
      <c r="FJ148" s="404"/>
      <c r="FK148" s="455"/>
      <c r="FL148" s="404"/>
      <c r="FM148" s="404"/>
      <c r="FN148" s="455"/>
      <c r="FO148" s="404"/>
      <c r="FP148" s="404"/>
      <c r="FQ148" s="455"/>
      <c r="FR148" s="404"/>
      <c r="FS148" s="404"/>
      <c r="FT148" s="455"/>
      <c r="FU148" s="404"/>
      <c r="FV148" s="404"/>
      <c r="FW148" s="455"/>
      <c r="FX148" s="404"/>
      <c r="FY148" s="404"/>
      <c r="FZ148" s="455"/>
      <c r="GA148" s="404"/>
      <c r="GB148" s="404"/>
      <c r="GC148" s="455"/>
      <c r="GD148" s="404"/>
      <c r="GE148" s="404"/>
      <c r="GF148" s="455"/>
      <c r="GG148" s="404"/>
      <c r="GH148" s="404"/>
      <c r="GI148" s="455"/>
      <c r="GJ148" s="404"/>
      <c r="GK148" s="404"/>
      <c r="GL148" s="455"/>
      <c r="GM148" s="404"/>
      <c r="GN148" s="404"/>
      <c r="GO148" s="455"/>
      <c r="GP148" s="385">
        <v>1564</v>
      </c>
      <c r="GQ148" s="385">
        <f>36</f>
        <v>36</v>
      </c>
      <c r="GR148" s="358"/>
      <c r="GS148" s="385">
        <v>1564</v>
      </c>
      <c r="GT148" s="385">
        <f>36</f>
        <v>36</v>
      </c>
      <c r="GU148" s="358"/>
      <c r="GV148" s="385">
        <v>1564</v>
      </c>
      <c r="GW148" s="385">
        <f>36</f>
        <v>36</v>
      </c>
      <c r="GX148" s="358"/>
      <c r="GY148" s="385">
        <v>1564</v>
      </c>
      <c r="GZ148" s="385">
        <f>36</f>
        <v>36</v>
      </c>
      <c r="HA148" s="358"/>
      <c r="HB148" s="385">
        <v>1564</v>
      </c>
      <c r="HC148" s="385">
        <f>36</f>
        <v>36</v>
      </c>
      <c r="HD148" s="358"/>
      <c r="HE148" s="387">
        <v>1564</v>
      </c>
      <c r="HF148" s="386">
        <f>36*6</f>
        <v>216</v>
      </c>
      <c r="HG148" s="358"/>
      <c r="HH148" s="387">
        <v>1564</v>
      </c>
      <c r="HI148" s="358"/>
      <c r="HJ148" s="387">
        <v>1564</v>
      </c>
      <c r="HK148" s="358"/>
      <c r="HL148" s="387">
        <v>1564</v>
      </c>
      <c r="HM148" s="358"/>
      <c r="HN148" s="387">
        <v>1564</v>
      </c>
      <c r="HO148" s="358"/>
      <c r="HP148" s="387">
        <v>1564</v>
      </c>
      <c r="HQ148" s="358"/>
      <c r="HR148" s="387">
        <v>1564</v>
      </c>
      <c r="HS148" s="358"/>
      <c r="HT148" s="387">
        <v>1564</v>
      </c>
      <c r="HU148" s="358"/>
      <c r="HV148" s="388">
        <v>1564</v>
      </c>
      <c r="HW148" s="563"/>
      <c r="HX148" s="564">
        <v>1757</v>
      </c>
      <c r="HY148" s="563"/>
      <c r="HZ148" s="565">
        <v>1872.2131147540983</v>
      </c>
      <c r="IA148" s="563"/>
      <c r="IB148" s="566"/>
      <c r="IC148" s="566"/>
      <c r="ID148" s="567"/>
      <c r="IE148" s="567"/>
      <c r="IF148" s="567"/>
      <c r="IG148" s="567"/>
      <c r="IH148" s="568"/>
      <c r="II148" s="569"/>
      <c r="IJ148" s="568"/>
      <c r="IK148" s="569"/>
      <c r="IL148" s="568"/>
      <c r="IM148" s="569"/>
      <c r="IN148" s="568"/>
      <c r="IO148" s="569"/>
      <c r="IP148" s="568"/>
      <c r="IQ148" s="569"/>
      <c r="IR148" s="429" t="s">
        <v>3375</v>
      </c>
      <c r="IS148" s="364" t="s">
        <v>77</v>
      </c>
      <c r="IT148" s="365">
        <v>43676</v>
      </c>
      <c r="IU148" s="393">
        <v>43678</v>
      </c>
      <c r="IW148" s="372">
        <f t="shared" si="22"/>
        <v>2</v>
      </c>
      <c r="IX148" s="373">
        <f t="shared" ref="IX148:IX167" si="23">HZ148/30.5</f>
        <v>61.3840365493147</v>
      </c>
      <c r="IY148" s="531">
        <f t="shared" si="20"/>
        <v>122.7680730986294</v>
      </c>
      <c r="IZ148" s="531"/>
      <c r="JA148" s="531"/>
    </row>
    <row r="149" spans="1:261" s="367" customFormat="1" ht="16.5" customHeight="1" x14ac:dyDescent="0.3">
      <c r="A149" s="354" t="s">
        <v>2743</v>
      </c>
      <c r="B149" s="415" t="s">
        <v>2745</v>
      </c>
      <c r="C149" s="447" t="s">
        <v>1944</v>
      </c>
      <c r="D149" s="448">
        <v>1628</v>
      </c>
      <c r="E149" s="449">
        <v>239</v>
      </c>
      <c r="F149" s="449">
        <v>32</v>
      </c>
      <c r="G149" s="449">
        <v>108</v>
      </c>
      <c r="H149" s="450">
        <v>66</v>
      </c>
      <c r="I149" s="830">
        <v>1899.0564263010347</v>
      </c>
      <c r="J149" s="831">
        <f>108</f>
        <v>108</v>
      </c>
      <c r="K149" s="831">
        <v>65.615106286748087</v>
      </c>
      <c r="L149" s="831">
        <v>1899.0564263010347</v>
      </c>
      <c r="M149" s="831">
        <f>108</f>
        <v>108</v>
      </c>
      <c r="N149" s="831">
        <v>65.615106286748087</v>
      </c>
      <c r="O149" s="831">
        <v>1899.0564263010347</v>
      </c>
      <c r="P149" s="831">
        <f>108</f>
        <v>108</v>
      </c>
      <c r="Q149" s="831">
        <v>65.615106286748087</v>
      </c>
      <c r="R149" s="831">
        <v>1899.0564263010347</v>
      </c>
      <c r="S149" s="831">
        <f>108</f>
        <v>108</v>
      </c>
      <c r="T149" s="831">
        <v>65.615106286748087</v>
      </c>
      <c r="U149" s="831">
        <v>1899.0564263010347</v>
      </c>
      <c r="V149" s="831">
        <f>108</f>
        <v>108</v>
      </c>
      <c r="W149" s="831">
        <v>65.615106286748087</v>
      </c>
      <c r="X149" s="831">
        <v>1899.0564263010347</v>
      </c>
      <c r="Y149" s="831">
        <f>108</f>
        <v>108</v>
      </c>
      <c r="Z149" s="831">
        <v>65.615106286748087</v>
      </c>
      <c r="AA149" s="831">
        <v>1899.0564263010347</v>
      </c>
      <c r="AB149" s="831">
        <f>108</f>
        <v>108</v>
      </c>
      <c r="AC149" s="831">
        <v>65.615106286748087</v>
      </c>
      <c r="AD149" s="831">
        <v>1899.0564263010347</v>
      </c>
      <c r="AE149" s="831">
        <f>108</f>
        <v>108</v>
      </c>
      <c r="AF149" s="831">
        <v>65.615106286748087</v>
      </c>
      <c r="AG149" s="831">
        <v>1899.0564263010347</v>
      </c>
      <c r="AH149" s="831">
        <f>108</f>
        <v>108</v>
      </c>
      <c r="AI149" s="831">
        <v>65.615106286748087</v>
      </c>
      <c r="AJ149" s="831">
        <v>1899.0564263010347</v>
      </c>
      <c r="AK149" s="831">
        <f>108</f>
        <v>108</v>
      </c>
      <c r="AL149" s="831">
        <v>65.615106286748087</v>
      </c>
      <c r="AM149" s="831">
        <v>1899.0564263010347</v>
      </c>
      <c r="AN149" s="831">
        <f>108</f>
        <v>108</v>
      </c>
      <c r="AO149" s="831">
        <v>65.615106286748087</v>
      </c>
      <c r="AP149" s="831">
        <v>1899.0564263010347</v>
      </c>
      <c r="AQ149" s="831">
        <f>108</f>
        <v>108</v>
      </c>
      <c r="AR149" s="831">
        <v>65.615106286748087</v>
      </c>
      <c r="AS149" s="831">
        <v>1899.0564263010347</v>
      </c>
      <c r="AT149" s="831">
        <f>108</f>
        <v>108</v>
      </c>
      <c r="AU149" s="831">
        <v>65.615106286748087</v>
      </c>
      <c r="AV149" s="831">
        <v>1899.0564263010347</v>
      </c>
      <c r="AW149" s="831">
        <f>108</f>
        <v>108</v>
      </c>
      <c r="AX149" s="831">
        <v>65.615106286748087</v>
      </c>
      <c r="AY149" s="831">
        <v>1899.0564263010347</v>
      </c>
      <c r="AZ149" s="831">
        <f>108</f>
        <v>108</v>
      </c>
      <c r="BA149" s="369">
        <v>65.615106286748087</v>
      </c>
      <c r="BB149" s="385">
        <v>1899.0564263010347</v>
      </c>
      <c r="BC149" s="385">
        <f>108</f>
        <v>108</v>
      </c>
      <c r="BD149" s="369">
        <v>65.615106286748087</v>
      </c>
      <c r="BE149" s="385">
        <v>1899.0564263010347</v>
      </c>
      <c r="BF149" s="385">
        <f>108</f>
        <v>108</v>
      </c>
      <c r="BG149" s="369">
        <v>65.615106286748087</v>
      </c>
      <c r="BH149" s="385">
        <v>1899.0564263010347</v>
      </c>
      <c r="BI149" s="385">
        <f>108</f>
        <v>108</v>
      </c>
      <c r="BJ149" s="369">
        <v>65.615106286748087</v>
      </c>
      <c r="BK149" s="385">
        <v>1899.0564263010347</v>
      </c>
      <c r="BL149" s="385">
        <f>108</f>
        <v>108</v>
      </c>
      <c r="BM149" s="369">
        <v>65.615106286748087</v>
      </c>
      <c r="BN149" s="385">
        <v>1899.0564263010347</v>
      </c>
      <c r="BO149" s="385">
        <f>108</f>
        <v>108</v>
      </c>
      <c r="BP149" s="369">
        <v>65.615106286748087</v>
      </c>
      <c r="BQ149" s="385">
        <v>1899.0564263010347</v>
      </c>
      <c r="BR149" s="385">
        <f>108</f>
        <v>108</v>
      </c>
      <c r="BS149" s="369">
        <v>65.615106286748087</v>
      </c>
      <c r="BT149" s="385">
        <v>1899.0564263010347</v>
      </c>
      <c r="BU149" s="385">
        <f>108</f>
        <v>108</v>
      </c>
      <c r="BV149" s="369">
        <v>65.615106286748087</v>
      </c>
      <c r="BW149" s="385">
        <v>1899.0564263010347</v>
      </c>
      <c r="BX149" s="385">
        <f>108</f>
        <v>108</v>
      </c>
      <c r="BY149" s="369">
        <v>65.615106286748087</v>
      </c>
      <c r="BZ149" s="385">
        <v>1899.0564263010347</v>
      </c>
      <c r="CA149" s="385">
        <f>108</f>
        <v>108</v>
      </c>
      <c r="CB149" s="369">
        <v>65.615106286748087</v>
      </c>
      <c r="CC149" s="385">
        <v>1899.0564263010347</v>
      </c>
      <c r="CD149" s="385">
        <f>108</f>
        <v>108</v>
      </c>
      <c r="CE149" s="369">
        <v>65.615106286748087</v>
      </c>
      <c r="CF149" s="385">
        <v>1899.0564263010347</v>
      </c>
      <c r="CG149" s="385">
        <f>108</f>
        <v>108</v>
      </c>
      <c r="CH149" s="369">
        <v>65.615106286748087</v>
      </c>
      <c r="CI149" s="385">
        <v>1899.0564263010347</v>
      </c>
      <c r="CJ149" s="385">
        <f>108</f>
        <v>108</v>
      </c>
      <c r="CK149" s="369">
        <v>65.615106286748087</v>
      </c>
      <c r="CL149" s="385">
        <v>1899.0564263010347</v>
      </c>
      <c r="CM149" s="385">
        <f>108</f>
        <v>108</v>
      </c>
      <c r="CN149" s="369">
        <v>65.615106286748087</v>
      </c>
      <c r="CO149" s="385">
        <v>1899.0564263010347</v>
      </c>
      <c r="CP149" s="385">
        <f>108</f>
        <v>108</v>
      </c>
      <c r="CQ149" s="369">
        <v>65.615106286748087</v>
      </c>
      <c r="CR149" s="385">
        <v>1899.0564263010347</v>
      </c>
      <c r="CS149" s="385">
        <f>108</f>
        <v>108</v>
      </c>
      <c r="CT149" s="369">
        <v>65.615106286748087</v>
      </c>
      <c r="CU149" s="385">
        <v>1899.0564263010347</v>
      </c>
      <c r="CV149" s="385">
        <f>108</f>
        <v>108</v>
      </c>
      <c r="CW149" s="369">
        <v>65.615106286748087</v>
      </c>
      <c r="CX149" s="385">
        <v>1899.0564263010347</v>
      </c>
      <c r="CY149" s="385">
        <f>108</f>
        <v>108</v>
      </c>
      <c r="CZ149" s="369">
        <v>65.615106286748087</v>
      </c>
      <c r="DA149" s="385">
        <v>1899.0564263010347</v>
      </c>
      <c r="DB149" s="385">
        <f>108</f>
        <v>108</v>
      </c>
      <c r="DC149" s="369">
        <v>65.615106286748087</v>
      </c>
      <c r="DD149" s="385">
        <v>1899.0564263010347</v>
      </c>
      <c r="DE149" s="385">
        <f>108</f>
        <v>108</v>
      </c>
      <c r="DF149" s="369">
        <v>65.615106286748087</v>
      </c>
      <c r="DG149" s="385">
        <v>1899.0564263010347</v>
      </c>
      <c r="DH149" s="385">
        <f>108</f>
        <v>108</v>
      </c>
      <c r="DI149" s="369">
        <v>65.615106286748087</v>
      </c>
      <c r="DJ149" s="385">
        <v>1899.0564263010347</v>
      </c>
      <c r="DK149" s="385">
        <f>108</f>
        <v>108</v>
      </c>
      <c r="DL149" s="369">
        <v>65.615106286748087</v>
      </c>
      <c r="DM149" s="385">
        <v>1899.0564263010347</v>
      </c>
      <c r="DN149" s="385">
        <f>108</f>
        <v>108</v>
      </c>
      <c r="DO149" s="369">
        <v>65.615106286748087</v>
      </c>
      <c r="DP149" s="385">
        <v>1899.0564263010347</v>
      </c>
      <c r="DQ149" s="385">
        <f>108</f>
        <v>108</v>
      </c>
      <c r="DR149" s="369">
        <v>65.615106286748087</v>
      </c>
      <c r="DS149" s="385">
        <v>1899.0564263010347</v>
      </c>
      <c r="DT149" s="385">
        <f>108</f>
        <v>108</v>
      </c>
      <c r="DU149" s="369">
        <v>65.615106286748087</v>
      </c>
      <c r="DV149" s="385">
        <v>1899.0564263010347</v>
      </c>
      <c r="DW149" s="385">
        <f>108</f>
        <v>108</v>
      </c>
      <c r="DX149" s="369">
        <v>65.615106286748087</v>
      </c>
      <c r="DY149" s="385">
        <v>1899.0564263010347</v>
      </c>
      <c r="DZ149" s="385">
        <f>108</f>
        <v>108</v>
      </c>
      <c r="EA149" s="369">
        <v>65.615106286748087</v>
      </c>
      <c r="EB149" s="385">
        <v>1899.0564263010347</v>
      </c>
      <c r="EC149" s="385">
        <f>108</f>
        <v>108</v>
      </c>
      <c r="ED149" s="369">
        <v>65.615106286748087</v>
      </c>
      <c r="EE149" s="385">
        <v>1899.0564263010347</v>
      </c>
      <c r="EF149" s="385">
        <f>108</f>
        <v>108</v>
      </c>
      <c r="EG149" s="369">
        <v>65.615106286748087</v>
      </c>
      <c r="EH149" s="385">
        <v>1899.0564263010347</v>
      </c>
      <c r="EI149" s="385">
        <f>108</f>
        <v>108</v>
      </c>
      <c r="EJ149" s="369">
        <v>65.615106286748087</v>
      </c>
      <c r="EK149" s="385">
        <v>1899.0564263010347</v>
      </c>
      <c r="EL149" s="385">
        <f>108</f>
        <v>108</v>
      </c>
      <c r="EM149" s="369">
        <v>65.615106286748087</v>
      </c>
      <c r="EN149" s="385">
        <v>1899.0564263010347</v>
      </c>
      <c r="EO149" s="385">
        <f>108</f>
        <v>108</v>
      </c>
      <c r="EP149" s="369">
        <v>65.615106286748087</v>
      </c>
      <c r="EQ149" s="385">
        <v>1899.0564263010347</v>
      </c>
      <c r="ER149" s="385">
        <f>108</f>
        <v>108</v>
      </c>
      <c r="ES149" s="369">
        <v>65.615106286748087</v>
      </c>
      <c r="ET149" s="385">
        <v>1899.0564263010347</v>
      </c>
      <c r="EU149" s="385">
        <f>108</f>
        <v>108</v>
      </c>
      <c r="EV149" s="369">
        <v>65.615106286748087</v>
      </c>
      <c r="EW149" s="385">
        <v>1899.0564263010347</v>
      </c>
      <c r="EX149" s="385">
        <f>108</f>
        <v>108</v>
      </c>
      <c r="EY149" s="369">
        <v>65.615106286748087</v>
      </c>
      <c r="EZ149" s="385">
        <v>1899.0564263010347</v>
      </c>
      <c r="FA149" s="385">
        <f>108</f>
        <v>108</v>
      </c>
      <c r="FB149" s="369">
        <v>65.615106286748087</v>
      </c>
      <c r="FC149" s="385">
        <v>1899.0564263010347</v>
      </c>
      <c r="FD149" s="385">
        <f>108</f>
        <v>108</v>
      </c>
      <c r="FE149" s="369">
        <v>65.615106286748087</v>
      </c>
      <c r="FF149" s="385">
        <v>1899.0564263010347</v>
      </c>
      <c r="FG149" s="385">
        <f>108</f>
        <v>108</v>
      </c>
      <c r="FH149" s="369">
        <v>65.615106286748087</v>
      </c>
      <c r="FI149" s="385">
        <v>1899.0564263010347</v>
      </c>
      <c r="FJ149" s="385">
        <f>108</f>
        <v>108</v>
      </c>
      <c r="FK149" s="369">
        <v>65.615106286748087</v>
      </c>
      <c r="FL149" s="385">
        <v>1899.0564263010347</v>
      </c>
      <c r="FM149" s="385">
        <f>108</f>
        <v>108</v>
      </c>
      <c r="FN149" s="369">
        <v>65.615106286748087</v>
      </c>
      <c r="FO149" s="385">
        <v>1899.0564263010347</v>
      </c>
      <c r="FP149" s="385">
        <f>108</f>
        <v>108</v>
      </c>
      <c r="FQ149" s="369">
        <v>65.615106286748087</v>
      </c>
      <c r="FR149" s="385">
        <v>1899.0564263010347</v>
      </c>
      <c r="FS149" s="385">
        <f>108</f>
        <v>108</v>
      </c>
      <c r="FT149" s="369">
        <v>65.615106286748087</v>
      </c>
      <c r="FU149" s="385">
        <v>1899.0564263010347</v>
      </c>
      <c r="FV149" s="385">
        <f>108</f>
        <v>108</v>
      </c>
      <c r="FW149" s="369">
        <v>65.615106286748087</v>
      </c>
      <c r="FX149" s="385">
        <v>1899.0564263010347</v>
      </c>
      <c r="FY149" s="385">
        <f>108</f>
        <v>108</v>
      </c>
      <c r="FZ149" s="369">
        <v>65.615106286748087</v>
      </c>
      <c r="GA149" s="385">
        <v>1899.0564263010347</v>
      </c>
      <c r="GB149" s="385">
        <f>108</f>
        <v>108</v>
      </c>
      <c r="GC149" s="369">
        <v>65.615106286748087</v>
      </c>
      <c r="GD149" s="385">
        <v>1899.0564263010347</v>
      </c>
      <c r="GE149" s="385">
        <f>108</f>
        <v>108</v>
      </c>
      <c r="GF149" s="369">
        <v>65.615106286748087</v>
      </c>
      <c r="GG149" s="385">
        <v>1899.0564263010347</v>
      </c>
      <c r="GH149" s="385">
        <f>108</f>
        <v>108</v>
      </c>
      <c r="GI149" s="369">
        <v>65.615106286748087</v>
      </c>
      <c r="GJ149" s="385">
        <v>1899.0564263010347</v>
      </c>
      <c r="GK149" s="385">
        <f>108</f>
        <v>108</v>
      </c>
      <c r="GL149" s="369">
        <v>65.615106286748087</v>
      </c>
      <c r="GM149" s="385">
        <v>1899.0564263010347</v>
      </c>
      <c r="GN149" s="385">
        <f>108</f>
        <v>108</v>
      </c>
      <c r="GO149" s="369">
        <v>65.615106286748087</v>
      </c>
      <c r="GP149" s="385">
        <v>1899.0564263010347</v>
      </c>
      <c r="GQ149" s="385">
        <f>108</f>
        <v>108</v>
      </c>
      <c r="GR149" s="369">
        <v>65.615106286748087</v>
      </c>
      <c r="GS149" s="385">
        <v>1899.0564263010347</v>
      </c>
      <c r="GT149" s="385">
        <f>108</f>
        <v>108</v>
      </c>
      <c r="GU149" s="369">
        <v>65.615106286748087</v>
      </c>
      <c r="GV149" s="385">
        <v>1899.0564263010347</v>
      </c>
      <c r="GW149" s="385">
        <f>108</f>
        <v>108</v>
      </c>
      <c r="GX149" s="369">
        <v>65.615106286748087</v>
      </c>
      <c r="GY149" s="385">
        <v>1899.0564263010347</v>
      </c>
      <c r="GZ149" s="385">
        <f>108</f>
        <v>108</v>
      </c>
      <c r="HA149" s="369">
        <v>65.615106286748087</v>
      </c>
      <c r="HB149" s="385">
        <v>1899.0564263010347</v>
      </c>
      <c r="HC149" s="385">
        <f>108</f>
        <v>108</v>
      </c>
      <c r="HD149" s="369">
        <v>65.615106286748087</v>
      </c>
      <c r="HE149" s="387">
        <v>1899.0564263010347</v>
      </c>
      <c r="HF149" s="386">
        <f>108*6</f>
        <v>648</v>
      </c>
      <c r="HG149" s="369">
        <v>65.615106286748087</v>
      </c>
      <c r="HH149" s="387">
        <v>1899.0564263010347</v>
      </c>
      <c r="HI149" s="369">
        <v>65.615106286748087</v>
      </c>
      <c r="HJ149" s="387">
        <v>1899.0564263010347</v>
      </c>
      <c r="HK149" s="369">
        <v>65.615106286748087</v>
      </c>
      <c r="HL149" s="387">
        <v>1899.0564263010347</v>
      </c>
      <c r="HM149" s="369">
        <v>65.615106286748087</v>
      </c>
      <c r="HN149" s="387">
        <v>1899.0564263010347</v>
      </c>
      <c r="HO149" s="369">
        <v>65.615106286748087</v>
      </c>
      <c r="HP149" s="387">
        <v>1899.0564263010347</v>
      </c>
      <c r="HQ149" s="369">
        <v>65.615106286748087</v>
      </c>
      <c r="HR149" s="387">
        <v>1899.0564263010347</v>
      </c>
      <c r="HS149" s="369">
        <v>65.615106286748087</v>
      </c>
      <c r="HT149" s="387">
        <v>1899.0564263010347</v>
      </c>
      <c r="HU149" s="369">
        <v>65.615106286748087</v>
      </c>
      <c r="HV149" s="388">
        <v>1899.0564263010347</v>
      </c>
      <c r="HW149" s="570">
        <v>66</v>
      </c>
      <c r="HX149" s="564">
        <v>1899.0564263010347</v>
      </c>
      <c r="HY149" s="570">
        <v>66</v>
      </c>
      <c r="HZ149" s="565">
        <v>3642.4524897905094</v>
      </c>
      <c r="IA149" s="571">
        <v>125.85192517294306</v>
      </c>
      <c r="IB149" s="572"/>
      <c r="IC149" s="566"/>
      <c r="ID149" s="567"/>
      <c r="IE149" s="567"/>
      <c r="IF149" s="567"/>
      <c r="IG149" s="567"/>
      <c r="IH149" s="568"/>
      <c r="II149" s="569"/>
      <c r="IJ149" s="568"/>
      <c r="IK149" s="569"/>
      <c r="IL149" s="568"/>
      <c r="IM149" s="569"/>
      <c r="IN149" s="568"/>
      <c r="IO149" s="569"/>
      <c r="IP149" s="568"/>
      <c r="IQ149" s="569"/>
      <c r="IR149" s="429" t="s">
        <v>3162</v>
      </c>
      <c r="IS149" s="364" t="s">
        <v>77</v>
      </c>
      <c r="IT149" s="365">
        <v>43650</v>
      </c>
      <c r="IU149" s="393">
        <v>43678</v>
      </c>
      <c r="IW149" s="372">
        <f t="shared" si="22"/>
        <v>28</v>
      </c>
      <c r="IX149" s="373">
        <f t="shared" si="23"/>
        <v>119.42467179641014</v>
      </c>
      <c r="IY149" s="531">
        <f t="shared" si="20"/>
        <v>3343.8908102994837</v>
      </c>
      <c r="IZ149" s="531"/>
      <c r="JA149" s="531"/>
    </row>
    <row r="150" spans="1:261" s="367" customFormat="1" ht="16.5" customHeight="1" x14ac:dyDescent="0.3">
      <c r="A150" s="354" t="s">
        <v>2743</v>
      </c>
      <c r="B150" s="415" t="s">
        <v>2813</v>
      </c>
      <c r="C150" s="447" t="s">
        <v>2614</v>
      </c>
      <c r="D150" s="448">
        <v>2384</v>
      </c>
      <c r="E150" s="449">
        <v>44</v>
      </c>
      <c r="F150" s="449">
        <v>32</v>
      </c>
      <c r="G150" s="449">
        <v>0</v>
      </c>
      <c r="H150" s="450">
        <v>0</v>
      </c>
      <c r="I150" s="828">
        <v>2460.2564263010345</v>
      </c>
      <c r="J150" s="827"/>
      <c r="K150" s="827"/>
      <c r="L150" s="829">
        <v>2460.2564263010345</v>
      </c>
      <c r="M150" s="827"/>
      <c r="N150" s="827"/>
      <c r="O150" s="829">
        <v>2460.2564263010345</v>
      </c>
      <c r="P150" s="827"/>
      <c r="Q150" s="827"/>
      <c r="R150" s="829">
        <v>2460.2564263010345</v>
      </c>
      <c r="S150" s="827"/>
      <c r="T150" s="827"/>
      <c r="U150" s="829">
        <v>2460.2564263010345</v>
      </c>
      <c r="V150" s="827"/>
      <c r="W150" s="827"/>
      <c r="X150" s="829">
        <v>2460.2564263010345</v>
      </c>
      <c r="Y150" s="827"/>
      <c r="Z150" s="827"/>
      <c r="AA150" s="829">
        <v>2460.2564263010345</v>
      </c>
      <c r="AB150" s="827"/>
      <c r="AC150" s="827"/>
      <c r="AD150" s="829">
        <v>2460.2564263010345</v>
      </c>
      <c r="AE150" s="827"/>
      <c r="AF150" s="827"/>
      <c r="AG150" s="829">
        <v>2460.2564263010345</v>
      </c>
      <c r="AH150" s="827"/>
      <c r="AI150" s="827"/>
      <c r="AJ150" s="829">
        <v>2460.2564263010345</v>
      </c>
      <c r="AK150" s="827"/>
      <c r="AL150" s="827"/>
      <c r="AM150" s="829">
        <v>2460.2564263010345</v>
      </c>
      <c r="AN150" s="827"/>
      <c r="AO150" s="827"/>
      <c r="AP150" s="829">
        <v>2460.2564263010345</v>
      </c>
      <c r="AQ150" s="827"/>
      <c r="AR150" s="827"/>
      <c r="AS150" s="829">
        <v>2460.2564263010345</v>
      </c>
      <c r="AT150" s="827"/>
      <c r="AU150" s="827"/>
      <c r="AV150" s="829">
        <v>2460.2564263010345</v>
      </c>
      <c r="AW150" s="827"/>
      <c r="AX150" s="827"/>
      <c r="AY150" s="829">
        <v>2460.2564263010345</v>
      </c>
      <c r="AZ150" s="827"/>
      <c r="BA150" s="358"/>
      <c r="BB150" s="387">
        <v>2460.2564263010345</v>
      </c>
      <c r="BC150" s="358"/>
      <c r="BD150" s="358"/>
      <c r="BE150" s="387">
        <v>2460.2564263010345</v>
      </c>
      <c r="BF150" s="358"/>
      <c r="BG150" s="358"/>
      <c r="BH150" s="387">
        <v>2460.2564263010345</v>
      </c>
      <c r="BI150" s="387"/>
      <c r="BJ150" s="358"/>
      <c r="BK150" s="387">
        <v>2460.2564263010345</v>
      </c>
      <c r="BL150" s="387"/>
      <c r="BM150" s="358"/>
      <c r="BN150" s="387">
        <v>2460.2564263010345</v>
      </c>
      <c r="BO150" s="387"/>
      <c r="BP150" s="358"/>
      <c r="BQ150" s="387">
        <v>2460.2564263010345</v>
      </c>
      <c r="BR150" s="387"/>
      <c r="BS150" s="358"/>
      <c r="BT150" s="387">
        <v>2460.2564263010345</v>
      </c>
      <c r="BU150" s="387"/>
      <c r="BV150" s="358"/>
      <c r="BW150" s="387">
        <v>2460.2564263010345</v>
      </c>
      <c r="BX150" s="387"/>
      <c r="BY150" s="358"/>
      <c r="BZ150" s="387">
        <v>2460.2564263010345</v>
      </c>
      <c r="CA150" s="387"/>
      <c r="CB150" s="358"/>
      <c r="CC150" s="387">
        <v>2460.2564263010345</v>
      </c>
      <c r="CD150" s="387"/>
      <c r="CE150" s="358"/>
      <c r="CF150" s="387">
        <v>2460.2564263010345</v>
      </c>
      <c r="CG150" s="387"/>
      <c r="CH150" s="358"/>
      <c r="CI150" s="387">
        <v>2460.2564263010345</v>
      </c>
      <c r="CJ150" s="387"/>
      <c r="CK150" s="358"/>
      <c r="CL150" s="387">
        <v>2460.2564263010345</v>
      </c>
      <c r="CM150" s="387"/>
      <c r="CN150" s="358"/>
      <c r="CO150" s="387">
        <v>2460.2564263010345</v>
      </c>
      <c r="CP150" s="387"/>
      <c r="CQ150" s="358"/>
      <c r="CR150" s="387">
        <v>2460.2564263010345</v>
      </c>
      <c r="CS150" s="387"/>
      <c r="CT150" s="358"/>
      <c r="CU150" s="387">
        <v>2460.2564263010345</v>
      </c>
      <c r="CV150" s="387"/>
      <c r="CW150" s="358"/>
      <c r="CX150" s="387">
        <v>2460.2564263010345</v>
      </c>
      <c r="CY150" s="387"/>
      <c r="CZ150" s="358"/>
      <c r="DA150" s="387">
        <v>2460.2564263010345</v>
      </c>
      <c r="DB150" s="387"/>
      <c r="DC150" s="358"/>
      <c r="DD150" s="387">
        <v>2460.2564263010345</v>
      </c>
      <c r="DE150" s="387"/>
      <c r="DF150" s="358"/>
      <c r="DG150" s="387">
        <v>2460.2564263010345</v>
      </c>
      <c r="DH150" s="387"/>
      <c r="DI150" s="358"/>
      <c r="DJ150" s="387">
        <v>2460.2564263010345</v>
      </c>
      <c r="DK150" s="387"/>
      <c r="DL150" s="358"/>
      <c r="DM150" s="387">
        <v>2460.2564263010345</v>
      </c>
      <c r="DN150" s="387"/>
      <c r="DO150" s="358"/>
      <c r="DP150" s="387">
        <v>2460.2564263010345</v>
      </c>
      <c r="DQ150" s="387"/>
      <c r="DR150" s="358"/>
      <c r="DS150" s="387">
        <v>2460.2564263010345</v>
      </c>
      <c r="DT150" s="387"/>
      <c r="DU150" s="358"/>
      <c r="DV150" s="387">
        <v>2460.2564263010345</v>
      </c>
      <c r="DW150" s="387"/>
      <c r="DX150" s="358"/>
      <c r="DY150" s="387">
        <v>2460.2564263010345</v>
      </c>
      <c r="DZ150" s="387"/>
      <c r="EA150" s="358"/>
      <c r="EB150" s="387">
        <v>2460.2564263010345</v>
      </c>
      <c r="EC150" s="387"/>
      <c r="ED150" s="358"/>
      <c r="EE150" s="387">
        <v>2460.2564263010345</v>
      </c>
      <c r="EF150" s="387"/>
      <c r="EG150" s="358"/>
      <c r="EH150" s="387">
        <v>2460.2564263010345</v>
      </c>
      <c r="EI150" s="387"/>
      <c r="EJ150" s="358"/>
      <c r="EK150" s="387">
        <v>2460.2564263010345</v>
      </c>
      <c r="EL150" s="387"/>
      <c r="EM150" s="358"/>
      <c r="EN150" s="387">
        <v>2460.2564263010345</v>
      </c>
      <c r="EO150" s="387"/>
      <c r="EP150" s="358"/>
      <c r="EQ150" s="387">
        <v>2460.2564263010345</v>
      </c>
      <c r="ER150" s="387"/>
      <c r="ES150" s="358"/>
      <c r="ET150" s="387">
        <v>2460.2564263010345</v>
      </c>
      <c r="EU150" s="387"/>
      <c r="EV150" s="358"/>
      <c r="EW150" s="387">
        <v>2460.2564263010345</v>
      </c>
      <c r="EX150" s="387"/>
      <c r="EY150" s="358"/>
      <c r="EZ150" s="387">
        <v>2460.2564263010345</v>
      </c>
      <c r="FA150" s="387"/>
      <c r="FB150" s="358"/>
      <c r="FC150" s="387">
        <v>2460.2564263010345</v>
      </c>
      <c r="FD150" s="387"/>
      <c r="FE150" s="358"/>
      <c r="FF150" s="387">
        <v>2460.2564263010345</v>
      </c>
      <c r="FG150" s="387"/>
      <c r="FH150" s="358"/>
      <c r="FI150" s="387">
        <v>2460.2564263010345</v>
      </c>
      <c r="FJ150" s="387"/>
      <c r="FK150" s="358"/>
      <c r="FL150" s="387">
        <v>2460.2564263010345</v>
      </c>
      <c r="FM150" s="387"/>
      <c r="FN150" s="358"/>
      <c r="FO150" s="387">
        <v>2460.2564263010345</v>
      </c>
      <c r="FP150" s="387"/>
      <c r="FQ150" s="358"/>
      <c r="FR150" s="387">
        <v>2460.2564263010345</v>
      </c>
      <c r="FS150" s="387"/>
      <c r="FT150" s="358"/>
      <c r="FU150" s="387">
        <v>2460.2564263010345</v>
      </c>
      <c r="FV150" s="387"/>
      <c r="FW150" s="358"/>
      <c r="FX150" s="387">
        <v>2460.2564263010345</v>
      </c>
      <c r="FY150" s="387"/>
      <c r="FZ150" s="358"/>
      <c r="GA150" s="387">
        <v>2460.2564263010345</v>
      </c>
      <c r="GB150" s="387"/>
      <c r="GC150" s="358"/>
      <c r="GD150" s="387">
        <v>2460.2564263010345</v>
      </c>
      <c r="GE150" s="387"/>
      <c r="GF150" s="358"/>
      <c r="GG150" s="387">
        <v>2460.2564263010345</v>
      </c>
      <c r="GH150" s="387"/>
      <c r="GI150" s="358"/>
      <c r="GJ150" s="387">
        <v>2460.2564263010345</v>
      </c>
      <c r="GK150" s="387"/>
      <c r="GL150" s="358"/>
      <c r="GM150" s="387">
        <v>2460.2564263010345</v>
      </c>
      <c r="GN150" s="387"/>
      <c r="GO150" s="358"/>
      <c r="GP150" s="387">
        <v>2460.2564263010345</v>
      </c>
      <c r="GQ150" s="387"/>
      <c r="GR150" s="358"/>
      <c r="GS150" s="387">
        <v>2460.2564263010345</v>
      </c>
      <c r="GT150" s="387"/>
      <c r="GU150" s="358"/>
      <c r="GV150" s="387">
        <v>2460.2564263010345</v>
      </c>
      <c r="GW150" s="387"/>
      <c r="GX150" s="358"/>
      <c r="GY150" s="387">
        <v>2460.2564263010345</v>
      </c>
      <c r="GZ150" s="387"/>
      <c r="HA150" s="358"/>
      <c r="HB150" s="387">
        <v>2460.2564263010345</v>
      </c>
      <c r="HC150" s="387"/>
      <c r="HD150" s="358"/>
      <c r="HE150" s="387">
        <v>2460.2564263010345</v>
      </c>
      <c r="HF150" s="387"/>
      <c r="HG150" s="358"/>
      <c r="HH150" s="387">
        <v>2460.2564263010345</v>
      </c>
      <c r="HI150" s="358"/>
      <c r="HJ150" s="387">
        <v>2460.2564263010345</v>
      </c>
      <c r="HK150" s="358"/>
      <c r="HL150" s="387">
        <v>2460.2564263010345</v>
      </c>
      <c r="HM150" s="358"/>
      <c r="HN150" s="387">
        <v>2460.2564263010345</v>
      </c>
      <c r="HO150" s="358"/>
      <c r="HP150" s="387">
        <v>2460.2564263010345</v>
      </c>
      <c r="HQ150" s="358"/>
      <c r="HR150" s="387">
        <v>2460.2564263010345</v>
      </c>
      <c r="HS150" s="358"/>
      <c r="HT150" s="387">
        <v>2460.2564263010345</v>
      </c>
      <c r="HU150" s="358"/>
      <c r="HV150" s="388">
        <v>2460.2564263010345</v>
      </c>
      <c r="HW150" s="563"/>
      <c r="HX150" s="564">
        <v>2460.2564263010345</v>
      </c>
      <c r="HY150" s="563"/>
      <c r="HZ150" s="565">
        <v>4799.5166349151332</v>
      </c>
      <c r="IA150" s="563"/>
      <c r="IB150" s="572"/>
      <c r="IC150" s="566"/>
      <c r="ID150" s="567"/>
      <c r="IE150" s="567"/>
      <c r="IF150" s="567"/>
      <c r="IG150" s="567"/>
      <c r="IH150" s="568"/>
      <c r="II150" s="569"/>
      <c r="IJ150" s="568"/>
      <c r="IK150" s="569"/>
      <c r="IL150" s="568"/>
      <c r="IM150" s="569"/>
      <c r="IN150" s="568"/>
      <c r="IO150" s="569"/>
      <c r="IP150" s="568"/>
      <c r="IQ150" s="569"/>
      <c r="IR150" s="429" t="s">
        <v>3159</v>
      </c>
      <c r="IS150" s="364" t="s">
        <v>77</v>
      </c>
      <c r="IT150" s="365">
        <v>43649</v>
      </c>
      <c r="IU150" s="393">
        <v>43678</v>
      </c>
      <c r="IW150" s="372">
        <f t="shared" si="22"/>
        <v>29</v>
      </c>
      <c r="IX150" s="373">
        <f t="shared" si="23"/>
        <v>157.36120114475847</v>
      </c>
      <c r="IY150" s="531">
        <f t="shared" si="20"/>
        <v>4563.4748331979954</v>
      </c>
      <c r="IZ150" s="531"/>
      <c r="JA150" s="531"/>
    </row>
    <row r="151" spans="1:261" s="367" customFormat="1" ht="16.5" customHeight="1" x14ac:dyDescent="0.3">
      <c r="A151" s="401" t="s">
        <v>3315</v>
      </c>
      <c r="B151" s="402" t="s">
        <v>3315</v>
      </c>
      <c r="C151" s="434" t="s">
        <v>3376</v>
      </c>
      <c r="D151" s="856"/>
      <c r="E151" s="751"/>
      <c r="F151" s="751"/>
      <c r="G151" s="751"/>
      <c r="H151" s="857"/>
      <c r="I151" s="853">
        <v>0</v>
      </c>
      <c r="J151" s="833">
        <v>0</v>
      </c>
      <c r="K151" s="833">
        <v>0</v>
      </c>
      <c r="L151" s="833">
        <v>0</v>
      </c>
      <c r="M151" s="833">
        <v>0</v>
      </c>
      <c r="N151" s="833">
        <v>0</v>
      </c>
      <c r="O151" s="833">
        <v>0</v>
      </c>
      <c r="P151" s="833">
        <v>0</v>
      </c>
      <c r="Q151" s="833">
        <v>0</v>
      </c>
      <c r="R151" s="833">
        <v>0</v>
      </c>
      <c r="S151" s="833">
        <v>0</v>
      </c>
      <c r="T151" s="833">
        <v>0</v>
      </c>
      <c r="U151" s="833">
        <v>0</v>
      </c>
      <c r="V151" s="833">
        <v>0</v>
      </c>
      <c r="W151" s="833">
        <v>0</v>
      </c>
      <c r="X151" s="833">
        <v>0</v>
      </c>
      <c r="Y151" s="833">
        <v>0</v>
      </c>
      <c r="Z151" s="833">
        <v>0</v>
      </c>
      <c r="AA151" s="833">
        <v>0</v>
      </c>
      <c r="AB151" s="833">
        <v>0</v>
      </c>
      <c r="AC151" s="833">
        <v>0</v>
      </c>
      <c r="AD151" s="833">
        <v>0</v>
      </c>
      <c r="AE151" s="833">
        <v>0</v>
      </c>
      <c r="AF151" s="833">
        <v>0</v>
      </c>
      <c r="AG151" s="833">
        <v>0</v>
      </c>
      <c r="AH151" s="833">
        <v>0</v>
      </c>
      <c r="AI151" s="833">
        <v>0</v>
      </c>
      <c r="AJ151" s="833">
        <v>0</v>
      </c>
      <c r="AK151" s="833">
        <v>0</v>
      </c>
      <c r="AL151" s="833">
        <v>0</v>
      </c>
      <c r="AM151" s="833">
        <v>0</v>
      </c>
      <c r="AN151" s="833">
        <v>0</v>
      </c>
      <c r="AO151" s="833">
        <v>0</v>
      </c>
      <c r="AP151" s="833">
        <v>0</v>
      </c>
      <c r="AQ151" s="833">
        <v>0</v>
      </c>
      <c r="AR151" s="833">
        <v>0</v>
      </c>
      <c r="AS151" s="833">
        <v>0</v>
      </c>
      <c r="AT151" s="833">
        <v>0</v>
      </c>
      <c r="AU151" s="833">
        <v>0</v>
      </c>
      <c r="AV151" s="833"/>
      <c r="AW151" s="833"/>
      <c r="AX151" s="833"/>
      <c r="AY151" s="833"/>
      <c r="AZ151" s="833"/>
      <c r="BA151" s="455"/>
      <c r="BB151" s="404"/>
      <c r="BC151" s="404"/>
      <c r="BD151" s="455"/>
      <c r="BE151" s="404"/>
      <c r="BF151" s="404"/>
      <c r="BG151" s="455"/>
      <c r="BH151" s="404"/>
      <c r="BI151" s="404"/>
      <c r="BJ151" s="455"/>
      <c r="BK151" s="404"/>
      <c r="BL151" s="404"/>
      <c r="BM151" s="455"/>
      <c r="BN151" s="404"/>
      <c r="BO151" s="404"/>
      <c r="BP151" s="455"/>
      <c r="BQ151" s="404"/>
      <c r="BR151" s="404"/>
      <c r="BS151" s="455"/>
      <c r="BT151" s="404"/>
      <c r="BU151" s="404"/>
      <c r="BV151" s="455"/>
      <c r="BW151" s="404"/>
      <c r="BX151" s="404"/>
      <c r="BY151" s="455"/>
      <c r="BZ151" s="404"/>
      <c r="CA151" s="404"/>
      <c r="CB151" s="455"/>
      <c r="CC151" s="404"/>
      <c r="CD151" s="404"/>
      <c r="CE151" s="455"/>
      <c r="CF151" s="404"/>
      <c r="CG151" s="404"/>
      <c r="CH151" s="455"/>
      <c r="CI151" s="404"/>
      <c r="CJ151" s="404"/>
      <c r="CK151" s="455"/>
      <c r="CL151" s="404"/>
      <c r="CM151" s="404"/>
      <c r="CN151" s="455"/>
      <c r="CO151" s="404"/>
      <c r="CP151" s="404"/>
      <c r="CQ151" s="455"/>
      <c r="CR151" s="404"/>
      <c r="CS151" s="404"/>
      <c r="CT151" s="455"/>
      <c r="CU151" s="404"/>
      <c r="CV151" s="404"/>
      <c r="CW151" s="455"/>
      <c r="CX151" s="404"/>
      <c r="CY151" s="404"/>
      <c r="CZ151" s="455"/>
      <c r="DA151" s="404"/>
      <c r="DB151" s="404"/>
      <c r="DC151" s="455"/>
      <c r="DD151" s="404"/>
      <c r="DE151" s="404"/>
      <c r="DF151" s="455"/>
      <c r="DG151" s="404"/>
      <c r="DH151" s="404"/>
      <c r="DI151" s="455"/>
      <c r="DJ151" s="404"/>
      <c r="DK151" s="404"/>
      <c r="DL151" s="455"/>
      <c r="DM151" s="404"/>
      <c r="DN151" s="404"/>
      <c r="DO151" s="455"/>
      <c r="DP151" s="404"/>
      <c r="DQ151" s="404"/>
      <c r="DR151" s="455"/>
      <c r="DS151" s="404"/>
      <c r="DT151" s="404"/>
      <c r="DU151" s="455"/>
      <c r="DV151" s="404"/>
      <c r="DW151" s="404"/>
      <c r="DX151" s="455"/>
      <c r="DY151" s="404"/>
      <c r="DZ151" s="404"/>
      <c r="EA151" s="455"/>
      <c r="EB151" s="404"/>
      <c r="EC151" s="404"/>
      <c r="ED151" s="455"/>
      <c r="EE151" s="404"/>
      <c r="EF151" s="404"/>
      <c r="EG151" s="455"/>
      <c r="EH151" s="404"/>
      <c r="EI151" s="404"/>
      <c r="EJ151" s="455"/>
      <c r="EK151" s="404"/>
      <c r="EL151" s="404"/>
      <c r="EM151" s="455"/>
      <c r="EN151" s="404"/>
      <c r="EO151" s="404"/>
      <c r="EP151" s="455"/>
      <c r="EQ151" s="404"/>
      <c r="ER151" s="404"/>
      <c r="ES151" s="455"/>
      <c r="ET151" s="404"/>
      <c r="EU151" s="404"/>
      <c r="EV151" s="455"/>
      <c r="EW151" s="404"/>
      <c r="EX151" s="404"/>
      <c r="EY151" s="455"/>
      <c r="EZ151" s="404"/>
      <c r="FA151" s="404"/>
      <c r="FB151" s="455"/>
      <c r="FC151" s="404"/>
      <c r="FD151" s="404"/>
      <c r="FE151" s="455"/>
      <c r="FF151" s="404"/>
      <c r="FG151" s="404"/>
      <c r="FH151" s="455"/>
      <c r="FI151" s="404"/>
      <c r="FJ151" s="404"/>
      <c r="FK151" s="455"/>
      <c r="FL151" s="404"/>
      <c r="FM151" s="404"/>
      <c r="FN151" s="455"/>
      <c r="FO151" s="404"/>
      <c r="FP151" s="404"/>
      <c r="FQ151" s="455"/>
      <c r="FR151" s="404"/>
      <c r="FS151" s="404"/>
      <c r="FT151" s="455"/>
      <c r="FU151" s="404"/>
      <c r="FV151" s="404"/>
      <c r="FW151" s="455"/>
      <c r="FX151" s="404"/>
      <c r="FY151" s="404"/>
      <c r="FZ151" s="455"/>
      <c r="GA151" s="404"/>
      <c r="GB151" s="404"/>
      <c r="GC151" s="455"/>
      <c r="GD151" s="385">
        <v>1233</v>
      </c>
      <c r="GE151" s="385">
        <f>5</f>
        <v>5</v>
      </c>
      <c r="GF151" s="358"/>
      <c r="GG151" s="385">
        <v>1233</v>
      </c>
      <c r="GH151" s="385">
        <f>5</f>
        <v>5</v>
      </c>
      <c r="GI151" s="358"/>
      <c r="GJ151" s="385">
        <v>1233</v>
      </c>
      <c r="GK151" s="385">
        <f>5</f>
        <v>5</v>
      </c>
      <c r="GL151" s="358"/>
      <c r="GM151" s="385">
        <v>1233</v>
      </c>
      <c r="GN151" s="385">
        <f>5</f>
        <v>5</v>
      </c>
      <c r="GO151" s="358"/>
      <c r="GP151" s="385">
        <v>1233</v>
      </c>
      <c r="GQ151" s="385">
        <f>5</f>
        <v>5</v>
      </c>
      <c r="GR151" s="358"/>
      <c r="GS151" s="385">
        <v>1233</v>
      </c>
      <c r="GT151" s="385">
        <f>5</f>
        <v>5</v>
      </c>
      <c r="GU151" s="358"/>
      <c r="GV151" s="385">
        <v>1233</v>
      </c>
      <c r="GW151" s="385">
        <f>5</f>
        <v>5</v>
      </c>
      <c r="GX151" s="358"/>
      <c r="GY151" s="385">
        <v>1233</v>
      </c>
      <c r="GZ151" s="385">
        <f>5</f>
        <v>5</v>
      </c>
      <c r="HA151" s="358"/>
      <c r="HB151" s="385">
        <v>1233</v>
      </c>
      <c r="HC151" s="385">
        <f>5</f>
        <v>5</v>
      </c>
      <c r="HD151" s="358"/>
      <c r="HE151" s="387">
        <v>1233</v>
      </c>
      <c r="HF151" s="386">
        <f>5*6</f>
        <v>30</v>
      </c>
      <c r="HG151" s="358"/>
      <c r="HH151" s="387">
        <v>1233</v>
      </c>
      <c r="HI151" s="358"/>
      <c r="HJ151" s="387">
        <v>1233</v>
      </c>
      <c r="HK151" s="358"/>
      <c r="HL151" s="387">
        <v>1233</v>
      </c>
      <c r="HM151" s="358"/>
      <c r="HN151" s="387">
        <v>1233</v>
      </c>
      <c r="HO151" s="358"/>
      <c r="HP151" s="387">
        <v>1233</v>
      </c>
      <c r="HQ151" s="358"/>
      <c r="HR151" s="387">
        <v>1233</v>
      </c>
      <c r="HS151" s="358"/>
      <c r="HT151" s="387">
        <v>1233</v>
      </c>
      <c r="HU151" s="358"/>
      <c r="HV151" s="388">
        <v>1233</v>
      </c>
      <c r="HW151" s="563"/>
      <c r="HX151" s="564">
        <v>1233</v>
      </c>
      <c r="HY151" s="563"/>
      <c r="HZ151" s="565">
        <v>2081.9508196721313</v>
      </c>
      <c r="IA151" s="563"/>
      <c r="IB151" s="572"/>
      <c r="IC151" s="566"/>
      <c r="ID151" s="567"/>
      <c r="IE151" s="567"/>
      <c r="IF151" s="567"/>
      <c r="IG151" s="567"/>
      <c r="IH151" s="568"/>
      <c r="II151" s="569"/>
      <c r="IJ151" s="568"/>
      <c r="IK151" s="569"/>
      <c r="IL151" s="568"/>
      <c r="IM151" s="569"/>
      <c r="IN151" s="568"/>
      <c r="IO151" s="569"/>
      <c r="IP151" s="568"/>
      <c r="IQ151" s="569"/>
      <c r="IR151" s="429" t="s">
        <v>3377</v>
      </c>
      <c r="IS151" s="364" t="s">
        <v>77</v>
      </c>
      <c r="IT151" s="365">
        <v>43657</v>
      </c>
      <c r="IU151" s="393">
        <v>43678</v>
      </c>
      <c r="IW151" s="372">
        <f t="shared" si="22"/>
        <v>21</v>
      </c>
      <c r="IX151" s="373">
        <f t="shared" si="23"/>
        <v>68.260682612201023</v>
      </c>
      <c r="IY151" s="531">
        <f t="shared" si="20"/>
        <v>1433.4743348562215</v>
      </c>
      <c r="IZ151" s="531"/>
      <c r="JA151" s="531"/>
    </row>
    <row r="152" spans="1:261" s="367" customFormat="1" ht="16.5" customHeight="1" x14ac:dyDescent="0.3">
      <c r="A152" s="401" t="s">
        <v>3315</v>
      </c>
      <c r="B152" s="402" t="s">
        <v>3315</v>
      </c>
      <c r="C152" s="434" t="s">
        <v>3378</v>
      </c>
      <c r="D152" s="856"/>
      <c r="E152" s="751"/>
      <c r="F152" s="751"/>
      <c r="G152" s="751"/>
      <c r="H152" s="857"/>
      <c r="I152" s="853">
        <v>0</v>
      </c>
      <c r="J152" s="833">
        <v>0</v>
      </c>
      <c r="K152" s="833">
        <v>0</v>
      </c>
      <c r="L152" s="833">
        <v>0</v>
      </c>
      <c r="M152" s="833">
        <v>0</v>
      </c>
      <c r="N152" s="833">
        <v>0</v>
      </c>
      <c r="O152" s="833">
        <v>0</v>
      </c>
      <c r="P152" s="833">
        <v>0</v>
      </c>
      <c r="Q152" s="833">
        <v>0</v>
      </c>
      <c r="R152" s="833">
        <v>0</v>
      </c>
      <c r="S152" s="833">
        <v>0</v>
      </c>
      <c r="T152" s="833">
        <v>0</v>
      </c>
      <c r="U152" s="833">
        <v>0</v>
      </c>
      <c r="V152" s="833">
        <v>0</v>
      </c>
      <c r="W152" s="833">
        <v>0</v>
      </c>
      <c r="X152" s="833">
        <v>0</v>
      </c>
      <c r="Y152" s="833">
        <v>0</v>
      </c>
      <c r="Z152" s="833">
        <v>0</v>
      </c>
      <c r="AA152" s="833">
        <v>0</v>
      </c>
      <c r="AB152" s="833">
        <v>0</v>
      </c>
      <c r="AC152" s="833">
        <v>0</v>
      </c>
      <c r="AD152" s="833">
        <v>0</v>
      </c>
      <c r="AE152" s="833">
        <v>0</v>
      </c>
      <c r="AF152" s="833">
        <v>0</v>
      </c>
      <c r="AG152" s="833">
        <v>0</v>
      </c>
      <c r="AH152" s="833">
        <v>0</v>
      </c>
      <c r="AI152" s="833">
        <v>0</v>
      </c>
      <c r="AJ152" s="833">
        <v>0</v>
      </c>
      <c r="AK152" s="833">
        <v>0</v>
      </c>
      <c r="AL152" s="833">
        <v>0</v>
      </c>
      <c r="AM152" s="833">
        <v>0</v>
      </c>
      <c r="AN152" s="833">
        <v>0</v>
      </c>
      <c r="AO152" s="833">
        <v>0</v>
      </c>
      <c r="AP152" s="833">
        <v>0</v>
      </c>
      <c r="AQ152" s="833">
        <v>0</v>
      </c>
      <c r="AR152" s="833">
        <v>0</v>
      </c>
      <c r="AS152" s="833">
        <v>0</v>
      </c>
      <c r="AT152" s="833">
        <v>0</v>
      </c>
      <c r="AU152" s="833">
        <v>0</v>
      </c>
      <c r="AV152" s="833"/>
      <c r="AW152" s="833"/>
      <c r="AX152" s="833"/>
      <c r="AY152" s="833"/>
      <c r="AZ152" s="833"/>
      <c r="BA152" s="455"/>
      <c r="BB152" s="404"/>
      <c r="BC152" s="404"/>
      <c r="BD152" s="455"/>
      <c r="BE152" s="404"/>
      <c r="BF152" s="404"/>
      <c r="BG152" s="455"/>
      <c r="BH152" s="404"/>
      <c r="BI152" s="404"/>
      <c r="BJ152" s="455"/>
      <c r="BK152" s="404"/>
      <c r="BL152" s="404"/>
      <c r="BM152" s="455"/>
      <c r="BN152" s="404"/>
      <c r="BO152" s="404"/>
      <c r="BP152" s="455"/>
      <c r="BQ152" s="404"/>
      <c r="BR152" s="404"/>
      <c r="BS152" s="455"/>
      <c r="BT152" s="404"/>
      <c r="BU152" s="404"/>
      <c r="BV152" s="455"/>
      <c r="BW152" s="404"/>
      <c r="BX152" s="404"/>
      <c r="BY152" s="455"/>
      <c r="BZ152" s="404"/>
      <c r="CA152" s="404"/>
      <c r="CB152" s="455"/>
      <c r="CC152" s="404"/>
      <c r="CD152" s="404"/>
      <c r="CE152" s="455"/>
      <c r="CF152" s="404"/>
      <c r="CG152" s="404"/>
      <c r="CH152" s="455"/>
      <c r="CI152" s="404"/>
      <c r="CJ152" s="404"/>
      <c r="CK152" s="455"/>
      <c r="CL152" s="404"/>
      <c r="CM152" s="404"/>
      <c r="CN152" s="455"/>
      <c r="CO152" s="404"/>
      <c r="CP152" s="404"/>
      <c r="CQ152" s="455"/>
      <c r="CR152" s="404"/>
      <c r="CS152" s="404"/>
      <c r="CT152" s="455"/>
      <c r="CU152" s="404"/>
      <c r="CV152" s="404"/>
      <c r="CW152" s="455"/>
      <c r="CX152" s="404"/>
      <c r="CY152" s="404"/>
      <c r="CZ152" s="455"/>
      <c r="DA152" s="404"/>
      <c r="DB152" s="404"/>
      <c r="DC152" s="455"/>
      <c r="DD152" s="404"/>
      <c r="DE152" s="404"/>
      <c r="DF152" s="455"/>
      <c r="DG152" s="404"/>
      <c r="DH152" s="404"/>
      <c r="DI152" s="455"/>
      <c r="DJ152" s="404"/>
      <c r="DK152" s="404"/>
      <c r="DL152" s="455"/>
      <c r="DM152" s="404"/>
      <c r="DN152" s="404"/>
      <c r="DO152" s="455"/>
      <c r="DP152" s="404"/>
      <c r="DQ152" s="404"/>
      <c r="DR152" s="455"/>
      <c r="DS152" s="404"/>
      <c r="DT152" s="404"/>
      <c r="DU152" s="455"/>
      <c r="DV152" s="404"/>
      <c r="DW152" s="404"/>
      <c r="DX152" s="455"/>
      <c r="DY152" s="404"/>
      <c r="DZ152" s="404"/>
      <c r="EA152" s="455"/>
      <c r="EB152" s="404"/>
      <c r="EC152" s="404"/>
      <c r="ED152" s="455"/>
      <c r="EE152" s="404"/>
      <c r="EF152" s="404"/>
      <c r="EG152" s="455"/>
      <c r="EH152" s="404"/>
      <c r="EI152" s="404"/>
      <c r="EJ152" s="455"/>
      <c r="EK152" s="404"/>
      <c r="EL152" s="404"/>
      <c r="EM152" s="455"/>
      <c r="EN152" s="404"/>
      <c r="EO152" s="404"/>
      <c r="EP152" s="455"/>
      <c r="EQ152" s="404"/>
      <c r="ER152" s="404"/>
      <c r="ES152" s="455"/>
      <c r="ET152" s="404"/>
      <c r="EU152" s="404"/>
      <c r="EV152" s="455"/>
      <c r="EW152" s="404"/>
      <c r="EX152" s="404"/>
      <c r="EY152" s="455"/>
      <c r="EZ152" s="404"/>
      <c r="FA152" s="404"/>
      <c r="FB152" s="455"/>
      <c r="FC152" s="404"/>
      <c r="FD152" s="404"/>
      <c r="FE152" s="455"/>
      <c r="FF152" s="404"/>
      <c r="FG152" s="404"/>
      <c r="FH152" s="455"/>
      <c r="FI152" s="404"/>
      <c r="FJ152" s="404"/>
      <c r="FK152" s="455"/>
      <c r="FL152" s="404"/>
      <c r="FM152" s="404"/>
      <c r="FN152" s="455"/>
      <c r="FO152" s="404"/>
      <c r="FP152" s="404"/>
      <c r="FQ152" s="455"/>
      <c r="FR152" s="404"/>
      <c r="FS152" s="404"/>
      <c r="FT152" s="455"/>
      <c r="FU152" s="404"/>
      <c r="FV152" s="404"/>
      <c r="FW152" s="455"/>
      <c r="FX152" s="404"/>
      <c r="FY152" s="404"/>
      <c r="FZ152" s="455"/>
      <c r="GA152" s="404"/>
      <c r="GB152" s="404"/>
      <c r="GC152" s="455"/>
      <c r="GD152" s="404"/>
      <c r="GE152" s="404"/>
      <c r="GF152" s="455"/>
      <c r="GG152" s="404"/>
      <c r="GH152" s="404"/>
      <c r="GI152" s="455"/>
      <c r="GJ152" s="404"/>
      <c r="GK152" s="404"/>
      <c r="GL152" s="455"/>
      <c r="GM152" s="404">
        <v>0</v>
      </c>
      <c r="GN152" s="404"/>
      <c r="GO152" s="455"/>
      <c r="GP152" s="404">
        <v>0</v>
      </c>
      <c r="GQ152" s="404"/>
      <c r="GR152" s="455"/>
      <c r="GS152" s="404">
        <v>0</v>
      </c>
      <c r="GT152" s="404"/>
      <c r="GU152" s="358"/>
      <c r="GV152" s="404">
        <v>0</v>
      </c>
      <c r="GW152" s="404"/>
      <c r="GX152" s="358"/>
      <c r="GY152" s="404">
        <v>0</v>
      </c>
      <c r="GZ152" s="404"/>
      <c r="HA152" s="358"/>
      <c r="HB152" s="404">
        <v>0</v>
      </c>
      <c r="HC152" s="404"/>
      <c r="HD152" s="358"/>
      <c r="HE152" s="404">
        <v>0</v>
      </c>
      <c r="HF152" s="404"/>
      <c r="HG152" s="358"/>
      <c r="HH152" s="404">
        <v>0</v>
      </c>
      <c r="HI152" s="358"/>
      <c r="HJ152" s="404">
        <v>0</v>
      </c>
      <c r="HK152" s="358"/>
      <c r="HL152" s="387">
        <v>1564.4564263010345</v>
      </c>
      <c r="HM152" s="358"/>
      <c r="HN152" s="387">
        <v>1564.4564263010345</v>
      </c>
      <c r="HO152" s="358"/>
      <c r="HP152" s="387">
        <v>1564.4564263010345</v>
      </c>
      <c r="HQ152" s="358"/>
      <c r="HR152" s="387">
        <v>1564.4564263010345</v>
      </c>
      <c r="HS152" s="358"/>
      <c r="HT152" s="387">
        <v>1564.4564263010345</v>
      </c>
      <c r="HU152" s="358"/>
      <c r="HV152" s="388">
        <v>1564.4564263010345</v>
      </c>
      <c r="HW152" s="563"/>
      <c r="HX152" s="564">
        <v>1564.4564263010345</v>
      </c>
      <c r="HY152" s="563"/>
      <c r="HZ152" s="565">
        <v>3000.6787192987058</v>
      </c>
      <c r="IA152" s="563"/>
      <c r="IB152" s="572"/>
      <c r="IC152" s="566"/>
      <c r="ID152" s="567"/>
      <c r="IE152" s="567"/>
      <c r="IF152" s="567"/>
      <c r="IG152" s="567"/>
      <c r="IH152" s="568"/>
      <c r="II152" s="569"/>
      <c r="IJ152" s="568"/>
      <c r="IK152" s="569"/>
      <c r="IL152" s="568"/>
      <c r="IM152" s="569"/>
      <c r="IN152" s="568"/>
      <c r="IO152" s="569"/>
      <c r="IP152" s="568"/>
      <c r="IQ152" s="569"/>
      <c r="IR152" s="429" t="s">
        <v>3379</v>
      </c>
      <c r="IS152" s="364" t="s">
        <v>77</v>
      </c>
      <c r="IT152" s="365">
        <v>43650</v>
      </c>
      <c r="IU152" s="393">
        <v>43678</v>
      </c>
      <c r="IW152" s="372">
        <f t="shared" si="22"/>
        <v>28</v>
      </c>
      <c r="IX152" s="373">
        <f t="shared" si="23"/>
        <v>98.382908829465762</v>
      </c>
      <c r="IY152" s="531">
        <f t="shared" si="20"/>
        <v>2754.7214472250412</v>
      </c>
      <c r="IZ152" s="531"/>
      <c r="JA152" s="531"/>
    </row>
    <row r="153" spans="1:261" s="367" customFormat="1" ht="16.5" customHeight="1" x14ac:dyDescent="0.3">
      <c r="A153" s="354" t="s">
        <v>2743</v>
      </c>
      <c r="B153" s="355" t="s">
        <v>2751</v>
      </c>
      <c r="C153" s="993" t="s">
        <v>2452</v>
      </c>
      <c r="D153" s="467">
        <v>568</v>
      </c>
      <c r="E153" s="468">
        <v>21</v>
      </c>
      <c r="F153" s="468">
        <v>14</v>
      </c>
      <c r="G153" s="468">
        <v>0</v>
      </c>
      <c r="H153" s="469">
        <v>0</v>
      </c>
      <c r="I153" s="841">
        <v>603.41198185659005</v>
      </c>
      <c r="J153" s="827"/>
      <c r="K153" s="827"/>
      <c r="L153" s="835">
        <v>603.41198185659005</v>
      </c>
      <c r="M153" s="827"/>
      <c r="N153" s="827"/>
      <c r="O153" s="835">
        <v>603.41198185659005</v>
      </c>
      <c r="P153" s="827"/>
      <c r="Q153" s="827"/>
      <c r="R153" s="835">
        <v>603.41198185659005</v>
      </c>
      <c r="S153" s="827"/>
      <c r="T153" s="827"/>
      <c r="U153" s="835">
        <v>603.41198185659005</v>
      </c>
      <c r="V153" s="827"/>
      <c r="W153" s="827"/>
      <c r="X153" s="835">
        <v>603.41198185659005</v>
      </c>
      <c r="Y153" s="827"/>
      <c r="Z153" s="827"/>
      <c r="AA153" s="835">
        <v>603.41198185659005</v>
      </c>
      <c r="AB153" s="827"/>
      <c r="AC153" s="827"/>
      <c r="AD153" s="835">
        <v>603.41198185659005</v>
      </c>
      <c r="AE153" s="827"/>
      <c r="AF153" s="827"/>
      <c r="AG153" s="835">
        <v>603.41198185659005</v>
      </c>
      <c r="AH153" s="827"/>
      <c r="AI153" s="827"/>
      <c r="AJ153" s="835">
        <v>603.41198185659005</v>
      </c>
      <c r="AK153" s="827"/>
      <c r="AL153" s="827"/>
      <c r="AM153" s="835">
        <v>603.41198185659005</v>
      </c>
      <c r="AN153" s="827"/>
      <c r="AO153" s="827"/>
      <c r="AP153" s="835">
        <v>603.41198185659005</v>
      </c>
      <c r="AQ153" s="827"/>
      <c r="AR153" s="827"/>
      <c r="AS153" s="881">
        <v>603.41198185659005</v>
      </c>
      <c r="AT153" s="827"/>
      <c r="AU153" s="827"/>
      <c r="AV153" s="829">
        <v>603.41198185659005</v>
      </c>
      <c r="AW153" s="827"/>
      <c r="AX153" s="827"/>
      <c r="AY153" s="829">
        <v>603.41198185659005</v>
      </c>
      <c r="AZ153" s="827"/>
      <c r="BA153" s="358"/>
      <c r="BB153" s="387">
        <v>603.41198185659005</v>
      </c>
      <c r="BC153" s="358"/>
      <c r="BD153" s="358"/>
      <c r="BE153" s="387">
        <v>603.41198185659005</v>
      </c>
      <c r="BF153" s="358"/>
      <c r="BG153" s="358"/>
      <c r="BH153" s="387">
        <v>603.41198185659005</v>
      </c>
      <c r="BI153" s="387"/>
      <c r="BJ153" s="358"/>
      <c r="BK153" s="387">
        <v>603.41198185659005</v>
      </c>
      <c r="BL153" s="387"/>
      <c r="BM153" s="358"/>
      <c r="BN153" s="387">
        <v>603.41198185659005</v>
      </c>
      <c r="BO153" s="387"/>
      <c r="BP153" s="358"/>
      <c r="BQ153" s="387">
        <v>603.41198185659005</v>
      </c>
      <c r="BR153" s="387"/>
      <c r="BS153" s="358"/>
      <c r="BT153" s="387">
        <v>603.41198185659005</v>
      </c>
      <c r="BU153" s="387"/>
      <c r="BV153" s="358"/>
      <c r="BW153" s="387">
        <v>603.41198185659005</v>
      </c>
      <c r="BX153" s="387"/>
      <c r="BY153" s="358"/>
      <c r="BZ153" s="387">
        <v>603.41198185659005</v>
      </c>
      <c r="CA153" s="387"/>
      <c r="CB153" s="358"/>
      <c r="CC153" s="387">
        <v>603.41198185659005</v>
      </c>
      <c r="CD153" s="387"/>
      <c r="CE153" s="358"/>
      <c r="CF153" s="387">
        <v>603.41198185659005</v>
      </c>
      <c r="CG153" s="387"/>
      <c r="CH153" s="358"/>
      <c r="CI153" s="387">
        <v>603.41198185659005</v>
      </c>
      <c r="CJ153" s="387"/>
      <c r="CK153" s="358"/>
      <c r="CL153" s="387">
        <v>603.41198185659005</v>
      </c>
      <c r="CM153" s="387"/>
      <c r="CN153" s="358"/>
      <c r="CO153" s="387">
        <v>603.41198185659005</v>
      </c>
      <c r="CP153" s="387"/>
      <c r="CQ153" s="358"/>
      <c r="CR153" s="387">
        <v>603.41198185659005</v>
      </c>
      <c r="CS153" s="387"/>
      <c r="CT153" s="358"/>
      <c r="CU153" s="387">
        <v>603.41198185659005</v>
      </c>
      <c r="CV153" s="387"/>
      <c r="CW153" s="358"/>
      <c r="CX153" s="387">
        <v>603.41198185659005</v>
      </c>
      <c r="CY153" s="387"/>
      <c r="CZ153" s="358"/>
      <c r="DA153" s="387">
        <v>603.41198185659005</v>
      </c>
      <c r="DB153" s="387"/>
      <c r="DC153" s="358"/>
      <c r="DD153" s="387">
        <v>603.41198185659005</v>
      </c>
      <c r="DE153" s="387"/>
      <c r="DF153" s="358"/>
      <c r="DG153" s="387">
        <v>603.41198185659005</v>
      </c>
      <c r="DH153" s="387"/>
      <c r="DI153" s="358"/>
      <c r="DJ153" s="387">
        <v>603.41198185659005</v>
      </c>
      <c r="DK153" s="387"/>
      <c r="DL153" s="358"/>
      <c r="DM153" s="387">
        <v>603.41198185659005</v>
      </c>
      <c r="DN153" s="387"/>
      <c r="DO153" s="358"/>
      <c r="DP153" s="387">
        <v>603.41198185659005</v>
      </c>
      <c r="DQ153" s="387"/>
      <c r="DR153" s="358"/>
      <c r="DS153" s="387">
        <v>603.41198185659005</v>
      </c>
      <c r="DT153" s="387"/>
      <c r="DU153" s="358"/>
      <c r="DV153" s="387">
        <v>603.41198185659005</v>
      </c>
      <c r="DW153" s="387"/>
      <c r="DX153" s="358"/>
      <c r="DY153" s="387">
        <v>603.41198185659005</v>
      </c>
      <c r="DZ153" s="387"/>
      <c r="EA153" s="358"/>
      <c r="EB153" s="387">
        <v>603.41198185659005</v>
      </c>
      <c r="EC153" s="387"/>
      <c r="ED153" s="358"/>
      <c r="EE153" s="387">
        <v>603.41198185659005</v>
      </c>
      <c r="EF153" s="387"/>
      <c r="EG153" s="358"/>
      <c r="EH153" s="387">
        <v>603.41198185659005</v>
      </c>
      <c r="EI153" s="387"/>
      <c r="EJ153" s="358"/>
      <c r="EK153" s="387">
        <v>603.41198185659005</v>
      </c>
      <c r="EL153" s="387"/>
      <c r="EM153" s="358"/>
      <c r="EN153" s="387">
        <v>603.41198185659005</v>
      </c>
      <c r="EO153" s="387"/>
      <c r="EP153" s="358"/>
      <c r="EQ153" s="387">
        <v>603.41198185659005</v>
      </c>
      <c r="ER153" s="387"/>
      <c r="ES153" s="358"/>
      <c r="ET153" s="387">
        <v>603.41198185659005</v>
      </c>
      <c r="EU153" s="387"/>
      <c r="EV153" s="358"/>
      <c r="EW153" s="387">
        <v>603.41198185659005</v>
      </c>
      <c r="EX153" s="387"/>
      <c r="EY153" s="358"/>
      <c r="EZ153" s="387">
        <v>603.41198185659005</v>
      </c>
      <c r="FA153" s="387"/>
      <c r="FB153" s="358"/>
      <c r="FC153" s="387">
        <v>603.41198185659005</v>
      </c>
      <c r="FD153" s="387"/>
      <c r="FE153" s="358"/>
      <c r="FF153" s="387">
        <v>603.41198185659005</v>
      </c>
      <c r="FG153" s="387"/>
      <c r="FH153" s="358"/>
      <c r="FI153" s="387">
        <v>603.41198185659005</v>
      </c>
      <c r="FJ153" s="387"/>
      <c r="FK153" s="358"/>
      <c r="FL153" s="387">
        <v>603.41198185659005</v>
      </c>
      <c r="FM153" s="387"/>
      <c r="FN153" s="358"/>
      <c r="FO153" s="387">
        <v>603.41198185659005</v>
      </c>
      <c r="FP153" s="387"/>
      <c r="FQ153" s="358"/>
      <c r="FR153" s="387">
        <v>603.41198185659005</v>
      </c>
      <c r="FS153" s="387"/>
      <c r="FT153" s="358"/>
      <c r="FU153" s="387">
        <v>603.41198185659005</v>
      </c>
      <c r="FV153" s="387"/>
      <c r="FW153" s="358"/>
      <c r="FX153" s="387">
        <v>603.41198185659005</v>
      </c>
      <c r="FY153" s="387"/>
      <c r="FZ153" s="358"/>
      <c r="GA153" s="387">
        <v>603.41198185659005</v>
      </c>
      <c r="GB153" s="387"/>
      <c r="GC153" s="358"/>
      <c r="GD153" s="387">
        <v>603.41198185659005</v>
      </c>
      <c r="GE153" s="387"/>
      <c r="GF153" s="358"/>
      <c r="GG153" s="387">
        <v>603.41198185659005</v>
      </c>
      <c r="GH153" s="387"/>
      <c r="GI153" s="358"/>
      <c r="GJ153" s="387">
        <v>603.41198185659005</v>
      </c>
      <c r="GK153" s="387"/>
      <c r="GL153" s="358"/>
      <c r="GM153" s="387">
        <v>603.41198185659005</v>
      </c>
      <c r="GN153" s="387"/>
      <c r="GO153" s="358"/>
      <c r="GP153" s="387">
        <v>603.41198185659005</v>
      </c>
      <c r="GQ153" s="387"/>
      <c r="GR153" s="358"/>
      <c r="GS153" s="387">
        <v>603.41198185659005</v>
      </c>
      <c r="GT153" s="387"/>
      <c r="GU153" s="358"/>
      <c r="GV153" s="387">
        <v>603.41198185659005</v>
      </c>
      <c r="GW153" s="387"/>
      <c r="GX153" s="358"/>
      <c r="GY153" s="387">
        <v>603.41198185659005</v>
      </c>
      <c r="GZ153" s="387"/>
      <c r="HA153" s="358"/>
      <c r="HB153" s="387">
        <v>603.41198185659005</v>
      </c>
      <c r="HC153" s="387"/>
      <c r="HD153" s="358"/>
      <c r="HE153" s="387">
        <v>603.41198185659005</v>
      </c>
      <c r="HF153" s="387"/>
      <c r="HG153" s="358"/>
      <c r="HH153" s="387">
        <v>603.41198185659005</v>
      </c>
      <c r="HI153" s="358"/>
      <c r="HJ153" s="387">
        <v>603.41198185659005</v>
      </c>
      <c r="HK153" s="358"/>
      <c r="HL153" s="387">
        <v>603.41198185659005</v>
      </c>
      <c r="HM153" s="358"/>
      <c r="HN153" s="387">
        <v>603.41198185659005</v>
      </c>
      <c r="HO153" s="358"/>
      <c r="HP153" s="387">
        <v>603.41198185659005</v>
      </c>
      <c r="HQ153" s="358"/>
      <c r="HR153" s="387">
        <v>603.41198185659005</v>
      </c>
      <c r="HS153" s="358"/>
      <c r="HT153" s="387">
        <v>603.41198185659005</v>
      </c>
      <c r="HU153" s="358"/>
      <c r="HV153" s="388">
        <v>603.41198185659005</v>
      </c>
      <c r="HW153" s="563"/>
      <c r="HX153" s="564">
        <v>603.41198185659005</v>
      </c>
      <c r="HY153" s="563"/>
      <c r="HZ153" s="565">
        <v>1177.147964605479</v>
      </c>
      <c r="IA153" s="563"/>
      <c r="IB153" s="572"/>
      <c r="IC153" s="566"/>
      <c r="ID153" s="567"/>
      <c r="IE153" s="567"/>
      <c r="IF153" s="567"/>
      <c r="IG153" s="567"/>
      <c r="IH153" s="568"/>
      <c r="II153" s="569"/>
      <c r="IJ153" s="568"/>
      <c r="IK153" s="569"/>
      <c r="IL153" s="568"/>
      <c r="IM153" s="569"/>
      <c r="IN153" s="568"/>
      <c r="IO153" s="569"/>
      <c r="IP153" s="568"/>
      <c r="IQ153" s="569"/>
      <c r="IR153" s="429" t="s">
        <v>3061</v>
      </c>
      <c r="IS153" s="364" t="s">
        <v>77</v>
      </c>
      <c r="IT153" s="365">
        <v>43649</v>
      </c>
      <c r="IU153" s="393">
        <v>43678</v>
      </c>
      <c r="IW153" s="372">
        <f t="shared" si="22"/>
        <v>29</v>
      </c>
      <c r="IX153" s="373">
        <f t="shared" si="23"/>
        <v>38.595015232966524</v>
      </c>
      <c r="IY153" s="531">
        <f t="shared" si="20"/>
        <v>1119.2554417560293</v>
      </c>
      <c r="IZ153" s="531"/>
      <c r="JA153" s="531"/>
    </row>
    <row r="154" spans="1:261" s="367" customFormat="1" ht="16.5" customHeight="1" x14ac:dyDescent="0.3">
      <c r="A154" s="401" t="s">
        <v>3315</v>
      </c>
      <c r="B154" s="402" t="s">
        <v>3315</v>
      </c>
      <c r="C154" s="434" t="s">
        <v>3380</v>
      </c>
      <c r="D154" s="856"/>
      <c r="E154" s="751"/>
      <c r="F154" s="751"/>
      <c r="G154" s="751"/>
      <c r="H154" s="857"/>
      <c r="I154" s="853">
        <v>0</v>
      </c>
      <c r="J154" s="833">
        <v>0</v>
      </c>
      <c r="K154" s="833">
        <v>0</v>
      </c>
      <c r="L154" s="833">
        <v>0</v>
      </c>
      <c r="M154" s="833">
        <v>0</v>
      </c>
      <c r="N154" s="833">
        <v>0</v>
      </c>
      <c r="O154" s="833">
        <v>0</v>
      </c>
      <c r="P154" s="833">
        <v>0</v>
      </c>
      <c r="Q154" s="833">
        <v>0</v>
      </c>
      <c r="R154" s="833">
        <v>0</v>
      </c>
      <c r="S154" s="833">
        <v>0</v>
      </c>
      <c r="T154" s="833">
        <v>0</v>
      </c>
      <c r="U154" s="833">
        <v>0</v>
      </c>
      <c r="V154" s="833">
        <v>0</v>
      </c>
      <c r="W154" s="833">
        <v>0</v>
      </c>
      <c r="X154" s="833">
        <v>0</v>
      </c>
      <c r="Y154" s="833">
        <v>0</v>
      </c>
      <c r="Z154" s="833">
        <v>0</v>
      </c>
      <c r="AA154" s="833">
        <v>0</v>
      </c>
      <c r="AB154" s="833">
        <v>0</v>
      </c>
      <c r="AC154" s="833">
        <v>0</v>
      </c>
      <c r="AD154" s="833">
        <v>0</v>
      </c>
      <c r="AE154" s="833">
        <v>0</v>
      </c>
      <c r="AF154" s="833">
        <v>0</v>
      </c>
      <c r="AG154" s="833">
        <v>0</v>
      </c>
      <c r="AH154" s="833">
        <v>0</v>
      </c>
      <c r="AI154" s="833">
        <v>0</v>
      </c>
      <c r="AJ154" s="833">
        <v>0</v>
      </c>
      <c r="AK154" s="833">
        <v>0</v>
      </c>
      <c r="AL154" s="833">
        <v>0</v>
      </c>
      <c r="AM154" s="833">
        <v>0</v>
      </c>
      <c r="AN154" s="833">
        <v>0</v>
      </c>
      <c r="AO154" s="833">
        <v>0</v>
      </c>
      <c r="AP154" s="833">
        <v>0</v>
      </c>
      <c r="AQ154" s="833">
        <v>0</v>
      </c>
      <c r="AR154" s="833">
        <v>0</v>
      </c>
      <c r="AS154" s="833">
        <v>0</v>
      </c>
      <c r="AT154" s="833">
        <v>0</v>
      </c>
      <c r="AU154" s="833">
        <v>0</v>
      </c>
      <c r="AV154" s="833"/>
      <c r="AW154" s="833"/>
      <c r="AX154" s="833"/>
      <c r="AY154" s="833"/>
      <c r="AZ154" s="833"/>
      <c r="BA154" s="455"/>
      <c r="BB154" s="404"/>
      <c r="BC154" s="404"/>
      <c r="BD154" s="455"/>
      <c r="BE154" s="404"/>
      <c r="BF154" s="404"/>
      <c r="BG154" s="455"/>
      <c r="BH154" s="404"/>
      <c r="BI154" s="404"/>
      <c r="BJ154" s="455"/>
      <c r="BK154" s="404"/>
      <c r="BL154" s="404"/>
      <c r="BM154" s="455"/>
      <c r="BN154" s="404"/>
      <c r="BO154" s="404"/>
      <c r="BP154" s="455"/>
      <c r="BQ154" s="404"/>
      <c r="BR154" s="404"/>
      <c r="BS154" s="455"/>
      <c r="BT154" s="404"/>
      <c r="BU154" s="404"/>
      <c r="BV154" s="455"/>
      <c r="BW154" s="404"/>
      <c r="BX154" s="404"/>
      <c r="BY154" s="455"/>
      <c r="BZ154" s="404"/>
      <c r="CA154" s="404"/>
      <c r="CB154" s="455"/>
      <c r="CC154" s="404"/>
      <c r="CD154" s="404"/>
      <c r="CE154" s="455"/>
      <c r="CF154" s="404"/>
      <c r="CG154" s="404"/>
      <c r="CH154" s="455"/>
      <c r="CI154" s="404"/>
      <c r="CJ154" s="404"/>
      <c r="CK154" s="455"/>
      <c r="CL154" s="404"/>
      <c r="CM154" s="404"/>
      <c r="CN154" s="455"/>
      <c r="CO154" s="404"/>
      <c r="CP154" s="404"/>
      <c r="CQ154" s="455"/>
      <c r="CR154" s="404"/>
      <c r="CS154" s="404"/>
      <c r="CT154" s="455"/>
      <c r="CU154" s="404"/>
      <c r="CV154" s="404"/>
      <c r="CW154" s="455"/>
      <c r="CX154" s="404"/>
      <c r="CY154" s="404"/>
      <c r="CZ154" s="455"/>
      <c r="DA154" s="404"/>
      <c r="DB154" s="404"/>
      <c r="DC154" s="455"/>
      <c r="DD154" s="404"/>
      <c r="DE154" s="404"/>
      <c r="DF154" s="455"/>
      <c r="DG154" s="404"/>
      <c r="DH154" s="404"/>
      <c r="DI154" s="455"/>
      <c r="DJ154" s="404"/>
      <c r="DK154" s="404"/>
      <c r="DL154" s="455"/>
      <c r="DM154" s="404"/>
      <c r="DN154" s="404"/>
      <c r="DO154" s="455"/>
      <c r="DP154" s="404"/>
      <c r="DQ154" s="404"/>
      <c r="DR154" s="455"/>
      <c r="DS154" s="404"/>
      <c r="DT154" s="404"/>
      <c r="DU154" s="455"/>
      <c r="DV154" s="404"/>
      <c r="DW154" s="404"/>
      <c r="DX154" s="455"/>
      <c r="DY154" s="404"/>
      <c r="DZ154" s="404"/>
      <c r="EA154" s="455"/>
      <c r="EB154" s="404"/>
      <c r="EC154" s="404"/>
      <c r="ED154" s="455"/>
      <c r="EE154" s="404"/>
      <c r="EF154" s="404"/>
      <c r="EG154" s="455"/>
      <c r="EH154" s="404"/>
      <c r="EI154" s="404"/>
      <c r="EJ154" s="455"/>
      <c r="EK154" s="404"/>
      <c r="EL154" s="404"/>
      <c r="EM154" s="455"/>
      <c r="EN154" s="404"/>
      <c r="EO154" s="404"/>
      <c r="EP154" s="455"/>
      <c r="EQ154" s="404"/>
      <c r="ER154" s="404"/>
      <c r="ES154" s="455"/>
      <c r="ET154" s="404"/>
      <c r="EU154" s="404"/>
      <c r="EV154" s="455"/>
      <c r="EW154" s="404"/>
      <c r="EX154" s="404"/>
      <c r="EY154" s="455"/>
      <c r="EZ154" s="404"/>
      <c r="FA154" s="404"/>
      <c r="FB154" s="455"/>
      <c r="FC154" s="404"/>
      <c r="FD154" s="404"/>
      <c r="FE154" s="455"/>
      <c r="FF154" s="404"/>
      <c r="FG154" s="404"/>
      <c r="FH154" s="455"/>
      <c r="FI154" s="404"/>
      <c r="FJ154" s="404"/>
      <c r="FK154" s="455"/>
      <c r="FL154" s="404"/>
      <c r="FM154" s="404"/>
      <c r="FN154" s="455"/>
      <c r="FO154" s="404"/>
      <c r="FP154" s="404"/>
      <c r="FQ154" s="455"/>
      <c r="FR154" s="404"/>
      <c r="FS154" s="404"/>
      <c r="FT154" s="455"/>
      <c r="FU154" s="404"/>
      <c r="FV154" s="404"/>
      <c r="FW154" s="455"/>
      <c r="FX154" s="404"/>
      <c r="FY154" s="404"/>
      <c r="FZ154" s="455"/>
      <c r="GA154" s="404"/>
      <c r="GB154" s="404"/>
      <c r="GC154" s="455"/>
      <c r="GD154" s="404"/>
      <c r="GE154" s="404"/>
      <c r="GF154" s="455"/>
      <c r="GG154" s="404"/>
      <c r="GH154" s="404"/>
      <c r="GI154" s="455"/>
      <c r="GJ154" s="404"/>
      <c r="GK154" s="404"/>
      <c r="GL154" s="455"/>
      <c r="GM154" s="404">
        <f>-1928.05642630103+-27</f>
        <v>-1955.0564263010299</v>
      </c>
      <c r="GN154" s="404">
        <f>-171</f>
        <v>-171</v>
      </c>
      <c r="GO154" s="455">
        <v>-65.615106286748102</v>
      </c>
      <c r="GP154" s="385">
        <v>1928.0564263010347</v>
      </c>
      <c r="GQ154" s="385">
        <f>171</f>
        <v>171</v>
      </c>
      <c r="GR154" s="369">
        <v>65.615106286748087</v>
      </c>
      <c r="GS154" s="385">
        <v>1928.0564263010347</v>
      </c>
      <c r="GT154" s="385">
        <f>171</f>
        <v>171</v>
      </c>
      <c r="GU154" s="369">
        <v>65.615106286748087</v>
      </c>
      <c r="GV154" s="385">
        <v>1928.0564263010347</v>
      </c>
      <c r="GW154" s="385">
        <f>171</f>
        <v>171</v>
      </c>
      <c r="GX154" s="369">
        <v>65.615106286748087</v>
      </c>
      <c r="GY154" s="385">
        <v>1928.0564263010347</v>
      </c>
      <c r="GZ154" s="385">
        <f>171</f>
        <v>171</v>
      </c>
      <c r="HA154" s="369">
        <v>65.615106286748087</v>
      </c>
      <c r="HB154" s="385">
        <v>1928.0564263010347</v>
      </c>
      <c r="HC154" s="385">
        <f>171</f>
        <v>171</v>
      </c>
      <c r="HD154" s="369">
        <v>65.615106286748087</v>
      </c>
      <c r="HE154" s="387">
        <v>1928.0564263010347</v>
      </c>
      <c r="HF154" s="386">
        <f>171*6</f>
        <v>1026</v>
      </c>
      <c r="HG154" s="369">
        <v>65.615106286748087</v>
      </c>
      <c r="HH154" s="387">
        <v>1928.0564263010347</v>
      </c>
      <c r="HI154" s="369">
        <v>65.615106286748087</v>
      </c>
      <c r="HJ154" s="387">
        <v>1928.0564263010347</v>
      </c>
      <c r="HK154" s="369">
        <v>65.615106286748087</v>
      </c>
      <c r="HL154" s="387">
        <v>1928.0564263010347</v>
      </c>
      <c r="HM154" s="369">
        <v>65.615106286748087</v>
      </c>
      <c r="HN154" s="387">
        <v>1928.0564263010347</v>
      </c>
      <c r="HO154" s="369">
        <v>65.615106286748087</v>
      </c>
      <c r="HP154" s="387">
        <v>1928.0564263010347</v>
      </c>
      <c r="HQ154" s="369">
        <v>65.615106286748087</v>
      </c>
      <c r="HR154" s="387">
        <v>1928.0564263010347</v>
      </c>
      <c r="HS154" s="369">
        <v>65.615106286748087</v>
      </c>
      <c r="HT154" s="387">
        <v>1928.0564263010347</v>
      </c>
      <c r="HU154" s="369">
        <v>65.615106286748087</v>
      </c>
      <c r="HV154" s="388">
        <v>1928.0564263010347</v>
      </c>
      <c r="HW154" s="570">
        <v>66</v>
      </c>
      <c r="HX154" s="564">
        <v>1928.0564263010347</v>
      </c>
      <c r="HY154" s="570">
        <v>66</v>
      </c>
      <c r="HZ154" s="565">
        <v>2560.2060742685871</v>
      </c>
      <c r="IA154" s="571">
        <v>87.128255888960581</v>
      </c>
      <c r="IB154" s="572"/>
      <c r="IC154" s="566"/>
      <c r="ID154" s="567"/>
      <c r="IE154" s="567"/>
      <c r="IF154" s="567"/>
      <c r="IG154" s="567"/>
      <c r="IH154" s="568"/>
      <c r="II154" s="569"/>
      <c r="IJ154" s="568"/>
      <c r="IK154" s="569"/>
      <c r="IL154" s="568"/>
      <c r="IM154" s="569"/>
      <c r="IN154" s="568"/>
      <c r="IO154" s="569"/>
      <c r="IP154" s="568"/>
      <c r="IQ154" s="569"/>
      <c r="IR154" s="429" t="s">
        <v>3381</v>
      </c>
      <c r="IS154" s="364" t="s">
        <v>77</v>
      </c>
      <c r="IT154" s="365">
        <v>43668</v>
      </c>
      <c r="IU154" s="393">
        <v>43678</v>
      </c>
      <c r="IW154" s="372">
        <f t="shared" si="22"/>
        <v>10</v>
      </c>
      <c r="IX154" s="373">
        <f t="shared" si="23"/>
        <v>83.941182762904504</v>
      </c>
      <c r="IY154" s="531">
        <f t="shared" si="20"/>
        <v>839.41182762904509</v>
      </c>
      <c r="IZ154" s="531"/>
      <c r="JA154" s="531"/>
    </row>
    <row r="155" spans="1:261" s="367" customFormat="1" ht="16.5" customHeight="1" x14ac:dyDescent="0.3">
      <c r="A155" s="354" t="s">
        <v>2743</v>
      </c>
      <c r="B155" s="415" t="s">
        <v>2745</v>
      </c>
      <c r="C155" s="447" t="s">
        <v>1251</v>
      </c>
      <c r="D155" s="448">
        <v>1628</v>
      </c>
      <c r="E155" s="449">
        <v>239</v>
      </c>
      <c r="F155" s="449">
        <v>0</v>
      </c>
      <c r="G155" s="449">
        <v>108</v>
      </c>
      <c r="H155" s="450"/>
      <c r="I155" s="830">
        <v>1867.0564263010347</v>
      </c>
      <c r="J155" s="831">
        <f>108</f>
        <v>108</v>
      </c>
      <c r="K155" s="827"/>
      <c r="L155" s="831">
        <v>1867.0564263010347</v>
      </c>
      <c r="M155" s="831">
        <f>108</f>
        <v>108</v>
      </c>
      <c r="N155" s="827"/>
      <c r="O155" s="831">
        <v>1867.0564263010347</v>
      </c>
      <c r="P155" s="831">
        <f>108</f>
        <v>108</v>
      </c>
      <c r="Q155" s="827"/>
      <c r="R155" s="831">
        <v>1867.0564263010347</v>
      </c>
      <c r="S155" s="831">
        <f>108</f>
        <v>108</v>
      </c>
      <c r="T155" s="827"/>
      <c r="U155" s="831">
        <v>1867.0564263010347</v>
      </c>
      <c r="V155" s="831">
        <f>108</f>
        <v>108</v>
      </c>
      <c r="W155" s="827"/>
      <c r="X155" s="831">
        <v>1867.0564263010347</v>
      </c>
      <c r="Y155" s="831">
        <f>108</f>
        <v>108</v>
      </c>
      <c r="Z155" s="827"/>
      <c r="AA155" s="831">
        <v>1867.0564263010347</v>
      </c>
      <c r="AB155" s="831">
        <f>108</f>
        <v>108</v>
      </c>
      <c r="AC155" s="827"/>
      <c r="AD155" s="831">
        <v>1867.0564263010347</v>
      </c>
      <c r="AE155" s="831">
        <f>108</f>
        <v>108</v>
      </c>
      <c r="AF155" s="827"/>
      <c r="AG155" s="831">
        <v>1867.0564263010347</v>
      </c>
      <c r="AH155" s="831">
        <f>108</f>
        <v>108</v>
      </c>
      <c r="AI155" s="827"/>
      <c r="AJ155" s="831">
        <v>1867.0564263010347</v>
      </c>
      <c r="AK155" s="831">
        <f>108</f>
        <v>108</v>
      </c>
      <c r="AL155" s="827"/>
      <c r="AM155" s="831">
        <v>1867.0564263010347</v>
      </c>
      <c r="AN155" s="831">
        <f>108</f>
        <v>108</v>
      </c>
      <c r="AO155" s="827"/>
      <c r="AP155" s="831">
        <v>1867.0564263010347</v>
      </c>
      <c r="AQ155" s="831">
        <f>108</f>
        <v>108</v>
      </c>
      <c r="AR155" s="827"/>
      <c r="AS155" s="831">
        <v>1867.0564263010347</v>
      </c>
      <c r="AT155" s="831">
        <f>108</f>
        <v>108</v>
      </c>
      <c r="AU155" s="827"/>
      <c r="AV155" s="831">
        <v>1867.0564263010347</v>
      </c>
      <c r="AW155" s="831">
        <f>108</f>
        <v>108</v>
      </c>
      <c r="AX155" s="827"/>
      <c r="AY155" s="831">
        <v>1867.0564263010347</v>
      </c>
      <c r="AZ155" s="831">
        <f>108</f>
        <v>108</v>
      </c>
      <c r="BA155" s="358"/>
      <c r="BB155" s="385">
        <v>1867.0564263010347</v>
      </c>
      <c r="BC155" s="385">
        <f>108</f>
        <v>108</v>
      </c>
      <c r="BD155" s="358"/>
      <c r="BE155" s="385">
        <v>1867.0564263010347</v>
      </c>
      <c r="BF155" s="385">
        <f>108</f>
        <v>108</v>
      </c>
      <c r="BG155" s="358"/>
      <c r="BH155" s="385">
        <v>1867.0564263010347</v>
      </c>
      <c r="BI155" s="385">
        <f>108</f>
        <v>108</v>
      </c>
      <c r="BJ155" s="358"/>
      <c r="BK155" s="385">
        <v>1867.0564263010347</v>
      </c>
      <c r="BL155" s="385">
        <f>108</f>
        <v>108</v>
      </c>
      <c r="BM155" s="358"/>
      <c r="BN155" s="385">
        <v>1867.0564263010347</v>
      </c>
      <c r="BO155" s="385">
        <f>108</f>
        <v>108</v>
      </c>
      <c r="BP155" s="358"/>
      <c r="BQ155" s="385">
        <v>1867.0564263010347</v>
      </c>
      <c r="BR155" s="385">
        <f>108</f>
        <v>108</v>
      </c>
      <c r="BS155" s="358"/>
      <c r="BT155" s="385">
        <v>1867.0564263010347</v>
      </c>
      <c r="BU155" s="385">
        <f>108</f>
        <v>108</v>
      </c>
      <c r="BV155" s="358"/>
      <c r="BW155" s="385">
        <v>1867.0564263010347</v>
      </c>
      <c r="BX155" s="385">
        <f>108</f>
        <v>108</v>
      </c>
      <c r="BY155" s="358"/>
      <c r="BZ155" s="385">
        <v>1867.0564263010347</v>
      </c>
      <c r="CA155" s="385">
        <f>108</f>
        <v>108</v>
      </c>
      <c r="CB155" s="358"/>
      <c r="CC155" s="385">
        <v>1867.0564263010347</v>
      </c>
      <c r="CD155" s="385">
        <f>108</f>
        <v>108</v>
      </c>
      <c r="CE155" s="358"/>
      <c r="CF155" s="385">
        <v>1867.0564263010347</v>
      </c>
      <c r="CG155" s="385">
        <f>108</f>
        <v>108</v>
      </c>
      <c r="CH155" s="358"/>
      <c r="CI155" s="385">
        <v>1867.0564263010347</v>
      </c>
      <c r="CJ155" s="385">
        <f>108</f>
        <v>108</v>
      </c>
      <c r="CK155" s="358"/>
      <c r="CL155" s="385">
        <v>1867.0564263010347</v>
      </c>
      <c r="CM155" s="385">
        <f>108</f>
        <v>108</v>
      </c>
      <c r="CN155" s="358"/>
      <c r="CO155" s="385">
        <v>1867.0564263010347</v>
      </c>
      <c r="CP155" s="385">
        <f>108</f>
        <v>108</v>
      </c>
      <c r="CQ155" s="358"/>
      <c r="CR155" s="385">
        <v>1867.0564263010347</v>
      </c>
      <c r="CS155" s="385">
        <f>108</f>
        <v>108</v>
      </c>
      <c r="CT155" s="358"/>
      <c r="CU155" s="385">
        <v>1867.0564263010347</v>
      </c>
      <c r="CV155" s="385">
        <f>108</f>
        <v>108</v>
      </c>
      <c r="CW155" s="358"/>
      <c r="CX155" s="385">
        <v>1867.0564263010347</v>
      </c>
      <c r="CY155" s="385">
        <f>108</f>
        <v>108</v>
      </c>
      <c r="CZ155" s="358"/>
      <c r="DA155" s="385">
        <v>1867.0564263010347</v>
      </c>
      <c r="DB155" s="385">
        <f>108</f>
        <v>108</v>
      </c>
      <c r="DC155" s="358"/>
      <c r="DD155" s="385">
        <v>1867.0564263010347</v>
      </c>
      <c r="DE155" s="385">
        <f>108</f>
        <v>108</v>
      </c>
      <c r="DF155" s="358"/>
      <c r="DG155" s="385">
        <v>1867.0564263010347</v>
      </c>
      <c r="DH155" s="385">
        <f>108</f>
        <v>108</v>
      </c>
      <c r="DI155" s="358"/>
      <c r="DJ155" s="385">
        <v>1867.0564263010347</v>
      </c>
      <c r="DK155" s="385">
        <f>108</f>
        <v>108</v>
      </c>
      <c r="DL155" s="358"/>
      <c r="DM155" s="385">
        <v>1867.0564263010347</v>
      </c>
      <c r="DN155" s="385">
        <f>108</f>
        <v>108</v>
      </c>
      <c r="DO155" s="358"/>
      <c r="DP155" s="385">
        <v>1867.0564263010347</v>
      </c>
      <c r="DQ155" s="385">
        <f>108</f>
        <v>108</v>
      </c>
      <c r="DR155" s="358"/>
      <c r="DS155" s="385">
        <v>1867.0564263010347</v>
      </c>
      <c r="DT155" s="385">
        <f>108</f>
        <v>108</v>
      </c>
      <c r="DU155" s="358"/>
      <c r="DV155" s="385">
        <v>1867.0564263010347</v>
      </c>
      <c r="DW155" s="385">
        <f>108</f>
        <v>108</v>
      </c>
      <c r="DX155" s="358"/>
      <c r="DY155" s="385">
        <v>1867.0564263010347</v>
      </c>
      <c r="DZ155" s="385">
        <f>108</f>
        <v>108</v>
      </c>
      <c r="EA155" s="358"/>
      <c r="EB155" s="385">
        <v>1867.0564263010347</v>
      </c>
      <c r="EC155" s="385">
        <f>108</f>
        <v>108</v>
      </c>
      <c r="ED155" s="358"/>
      <c r="EE155" s="385">
        <v>1867.0564263010347</v>
      </c>
      <c r="EF155" s="385">
        <f>108</f>
        <v>108</v>
      </c>
      <c r="EG155" s="358"/>
      <c r="EH155" s="385">
        <v>1867.0564263010347</v>
      </c>
      <c r="EI155" s="385">
        <f>108</f>
        <v>108</v>
      </c>
      <c r="EJ155" s="358"/>
      <c r="EK155" s="385">
        <v>1867.0564263010347</v>
      </c>
      <c r="EL155" s="385">
        <f>108</f>
        <v>108</v>
      </c>
      <c r="EM155" s="358"/>
      <c r="EN155" s="385">
        <v>1867.0564263010347</v>
      </c>
      <c r="EO155" s="385">
        <f>108</f>
        <v>108</v>
      </c>
      <c r="EP155" s="358"/>
      <c r="EQ155" s="385">
        <v>1867.0564263010347</v>
      </c>
      <c r="ER155" s="385">
        <f>108</f>
        <v>108</v>
      </c>
      <c r="ES155" s="358"/>
      <c r="ET155" s="385">
        <v>1867.0564263010347</v>
      </c>
      <c r="EU155" s="385">
        <f>108</f>
        <v>108</v>
      </c>
      <c r="EV155" s="358"/>
      <c r="EW155" s="385">
        <v>1867.0564263010347</v>
      </c>
      <c r="EX155" s="385">
        <f>108</f>
        <v>108</v>
      </c>
      <c r="EY155" s="358"/>
      <c r="EZ155" s="385">
        <v>1867.0564263010347</v>
      </c>
      <c r="FA155" s="385">
        <f>108</f>
        <v>108</v>
      </c>
      <c r="FB155" s="358"/>
      <c r="FC155" s="385">
        <v>1867.0564263010347</v>
      </c>
      <c r="FD155" s="385">
        <f>108</f>
        <v>108</v>
      </c>
      <c r="FE155" s="358"/>
      <c r="FF155" s="385">
        <v>1867.0564263010347</v>
      </c>
      <c r="FG155" s="385">
        <f>108</f>
        <v>108</v>
      </c>
      <c r="FH155" s="358"/>
      <c r="FI155" s="385">
        <v>1867.0564263010347</v>
      </c>
      <c r="FJ155" s="385">
        <f>108</f>
        <v>108</v>
      </c>
      <c r="FK155" s="358"/>
      <c r="FL155" s="385">
        <v>1867.0564263010347</v>
      </c>
      <c r="FM155" s="385">
        <f>108</f>
        <v>108</v>
      </c>
      <c r="FN155" s="358"/>
      <c r="FO155" s="385">
        <v>1867.0564263010347</v>
      </c>
      <c r="FP155" s="385">
        <f>108</f>
        <v>108</v>
      </c>
      <c r="FQ155" s="358"/>
      <c r="FR155" s="385">
        <v>1867.0564263010347</v>
      </c>
      <c r="FS155" s="385">
        <f>108</f>
        <v>108</v>
      </c>
      <c r="FT155" s="358"/>
      <c r="FU155" s="385">
        <v>1867.0564263010347</v>
      </c>
      <c r="FV155" s="385">
        <f>108</f>
        <v>108</v>
      </c>
      <c r="FW155" s="358"/>
      <c r="FX155" s="385">
        <v>1867.0564263010347</v>
      </c>
      <c r="FY155" s="385">
        <f>108</f>
        <v>108</v>
      </c>
      <c r="FZ155" s="358"/>
      <c r="GA155" s="385">
        <v>1867.0564263010347</v>
      </c>
      <c r="GB155" s="385">
        <f>108</f>
        <v>108</v>
      </c>
      <c r="GC155" s="358"/>
      <c r="GD155" s="385">
        <v>1867.0564263010347</v>
      </c>
      <c r="GE155" s="385">
        <f>108</f>
        <v>108</v>
      </c>
      <c r="GF155" s="358"/>
      <c r="GG155" s="385">
        <v>1867.0564263010347</v>
      </c>
      <c r="GH155" s="385">
        <f>108</f>
        <v>108</v>
      </c>
      <c r="GI155" s="358"/>
      <c r="GJ155" s="385">
        <v>1867.0564263010347</v>
      </c>
      <c r="GK155" s="385">
        <f>108</f>
        <v>108</v>
      </c>
      <c r="GL155" s="358"/>
      <c r="GM155" s="385">
        <v>1867.0564263010347</v>
      </c>
      <c r="GN155" s="385">
        <f>108</f>
        <v>108</v>
      </c>
      <c r="GO155" s="358"/>
      <c r="GP155" s="385">
        <v>1867.0564263010347</v>
      </c>
      <c r="GQ155" s="385">
        <f>108</f>
        <v>108</v>
      </c>
      <c r="GR155" s="358"/>
      <c r="GS155" s="385">
        <v>1867.0564263010347</v>
      </c>
      <c r="GT155" s="385">
        <f>108</f>
        <v>108</v>
      </c>
      <c r="GU155" s="358"/>
      <c r="GV155" s="385">
        <v>1867.0564263010347</v>
      </c>
      <c r="GW155" s="385">
        <f>108</f>
        <v>108</v>
      </c>
      <c r="GX155" s="358"/>
      <c r="GY155" s="385">
        <v>1867.0564263010347</v>
      </c>
      <c r="GZ155" s="385">
        <f>108</f>
        <v>108</v>
      </c>
      <c r="HA155" s="358"/>
      <c r="HB155" s="385">
        <v>1867.0564263010347</v>
      </c>
      <c r="HC155" s="385">
        <f>108</f>
        <v>108</v>
      </c>
      <c r="HD155" s="358"/>
      <c r="HE155" s="387">
        <v>1867.0564263010347</v>
      </c>
      <c r="HF155" s="386">
        <f>108*6</f>
        <v>648</v>
      </c>
      <c r="HG155" s="370">
        <v>0</v>
      </c>
      <c r="HH155" s="387">
        <v>1867.0564263010347</v>
      </c>
      <c r="HI155" s="369">
        <v>65.615106286748087</v>
      </c>
      <c r="HJ155" s="387">
        <v>1867.0564263010347</v>
      </c>
      <c r="HK155" s="369">
        <v>65.615106286748087</v>
      </c>
      <c r="HL155" s="387">
        <v>1867.0564263010347</v>
      </c>
      <c r="HM155" s="369">
        <v>65.615106286748087</v>
      </c>
      <c r="HN155" s="387">
        <v>1867.0564263010347</v>
      </c>
      <c r="HO155" s="369">
        <v>65.615106286748087</v>
      </c>
      <c r="HP155" s="387">
        <v>1867.0564263010347</v>
      </c>
      <c r="HQ155" s="369">
        <v>65.615106286748087</v>
      </c>
      <c r="HR155" s="387">
        <v>1867.0564263010347</v>
      </c>
      <c r="HS155" s="369">
        <v>65.615106286748087</v>
      </c>
      <c r="HT155" s="387">
        <v>1867.0564263010347</v>
      </c>
      <c r="HU155" s="369">
        <v>65.615106286748087</v>
      </c>
      <c r="HV155" s="388">
        <v>1867.0564263010347</v>
      </c>
      <c r="HW155" s="570">
        <v>66</v>
      </c>
      <c r="HX155" s="564">
        <v>1867.0564263010347</v>
      </c>
      <c r="HY155" s="570">
        <v>66</v>
      </c>
      <c r="HZ155" s="565">
        <v>3152.5706870328945</v>
      </c>
      <c r="IA155" s="571">
        <v>110.79272045139432</v>
      </c>
      <c r="IB155" s="572"/>
      <c r="IC155" s="566"/>
      <c r="ID155" s="567"/>
      <c r="IE155" s="567"/>
      <c r="IF155" s="567"/>
      <c r="IG155" s="567"/>
      <c r="IH155" s="568"/>
      <c r="II155" s="569"/>
      <c r="IJ155" s="568"/>
      <c r="IK155" s="569"/>
      <c r="IL155" s="568"/>
      <c r="IM155" s="569"/>
      <c r="IN155" s="568"/>
      <c r="IO155" s="569"/>
      <c r="IP155" s="568"/>
      <c r="IQ155" s="569"/>
      <c r="IR155" s="429" t="s">
        <v>3042</v>
      </c>
      <c r="IS155" s="364" t="s">
        <v>77</v>
      </c>
      <c r="IT155" s="365">
        <v>43657</v>
      </c>
      <c r="IU155" s="393">
        <v>43678</v>
      </c>
      <c r="IW155" s="372">
        <f t="shared" si="22"/>
        <v>21</v>
      </c>
      <c r="IX155" s="373">
        <f t="shared" si="23"/>
        <v>103.36297334534081</v>
      </c>
      <c r="IY155" s="531">
        <f t="shared" si="20"/>
        <v>2170.622440252157</v>
      </c>
      <c r="IZ155" s="531"/>
      <c r="JA155" s="531"/>
    </row>
    <row r="156" spans="1:261" s="367" customFormat="1" ht="16.5" customHeight="1" x14ac:dyDescent="0.3">
      <c r="A156" s="354" t="s">
        <v>2743</v>
      </c>
      <c r="B156" s="415" t="s">
        <v>2765</v>
      </c>
      <c r="C156" s="447" t="s">
        <v>1108</v>
      </c>
      <c r="D156" s="448">
        <v>1249</v>
      </c>
      <c r="E156" s="449">
        <v>60</v>
      </c>
      <c r="F156" s="449">
        <v>32</v>
      </c>
      <c r="G156" s="449">
        <v>14</v>
      </c>
      <c r="H156" s="450">
        <v>0</v>
      </c>
      <c r="I156" s="855">
        <v>1341</v>
      </c>
      <c r="J156" s="597">
        <v>14</v>
      </c>
      <c r="K156" s="827"/>
      <c r="L156" s="597">
        <v>1341</v>
      </c>
      <c r="M156" s="597">
        <v>14</v>
      </c>
      <c r="N156" s="827"/>
      <c r="O156" s="597">
        <v>1341</v>
      </c>
      <c r="P156" s="597">
        <v>14</v>
      </c>
      <c r="Q156" s="827"/>
      <c r="R156" s="597">
        <v>1341</v>
      </c>
      <c r="S156" s="597">
        <v>14</v>
      </c>
      <c r="T156" s="827"/>
      <c r="U156" s="597">
        <v>1341</v>
      </c>
      <c r="V156" s="597">
        <v>14</v>
      </c>
      <c r="W156" s="827"/>
      <c r="X156" s="597">
        <v>1341</v>
      </c>
      <c r="Y156" s="597">
        <v>14</v>
      </c>
      <c r="Z156" s="827"/>
      <c r="AA156" s="597">
        <v>1341</v>
      </c>
      <c r="AB156" s="597">
        <v>14</v>
      </c>
      <c r="AC156" s="827"/>
      <c r="AD156" s="597">
        <v>1341</v>
      </c>
      <c r="AE156" s="597">
        <v>14</v>
      </c>
      <c r="AF156" s="827"/>
      <c r="AG156" s="597">
        <v>1341</v>
      </c>
      <c r="AH156" s="597">
        <v>14</v>
      </c>
      <c r="AI156" s="827"/>
      <c r="AJ156" s="597">
        <v>1341</v>
      </c>
      <c r="AK156" s="597">
        <v>14</v>
      </c>
      <c r="AL156" s="827"/>
      <c r="AM156" s="597">
        <v>1341</v>
      </c>
      <c r="AN156" s="597">
        <v>14</v>
      </c>
      <c r="AO156" s="827"/>
      <c r="AP156" s="597">
        <v>1341</v>
      </c>
      <c r="AQ156" s="597">
        <v>14</v>
      </c>
      <c r="AR156" s="827"/>
      <c r="AS156" s="597">
        <v>1341</v>
      </c>
      <c r="AT156" s="597">
        <v>14</v>
      </c>
      <c r="AU156" s="827"/>
      <c r="AV156" s="597">
        <v>1341</v>
      </c>
      <c r="AW156" s="597">
        <v>14</v>
      </c>
      <c r="AX156" s="827"/>
      <c r="AY156" s="597">
        <v>1341</v>
      </c>
      <c r="AZ156" s="597">
        <v>14</v>
      </c>
      <c r="BA156" s="358"/>
      <c r="BB156" s="421">
        <v>1341</v>
      </c>
      <c r="BC156" s="421">
        <v>14</v>
      </c>
      <c r="BD156" s="358"/>
      <c r="BE156" s="421">
        <v>1341</v>
      </c>
      <c r="BF156" s="421">
        <v>14</v>
      </c>
      <c r="BG156" s="358"/>
      <c r="BH156" s="421">
        <v>1341</v>
      </c>
      <c r="BI156" s="421">
        <v>14</v>
      </c>
      <c r="BJ156" s="369"/>
      <c r="BK156" s="421">
        <v>1341</v>
      </c>
      <c r="BL156" s="421">
        <v>14</v>
      </c>
      <c r="BM156" s="369"/>
      <c r="BN156" s="421">
        <v>1341</v>
      </c>
      <c r="BO156" s="421">
        <v>14</v>
      </c>
      <c r="BP156" s="369"/>
      <c r="BQ156" s="421">
        <v>1341</v>
      </c>
      <c r="BR156" s="421">
        <v>14</v>
      </c>
      <c r="BS156" s="369"/>
      <c r="BT156" s="421">
        <v>1341</v>
      </c>
      <c r="BU156" s="421">
        <v>14</v>
      </c>
      <c r="BV156" s="369"/>
      <c r="BW156" s="421">
        <v>1341</v>
      </c>
      <c r="BX156" s="421">
        <v>14</v>
      </c>
      <c r="BY156" s="369"/>
      <c r="BZ156" s="421">
        <v>1341</v>
      </c>
      <c r="CA156" s="421">
        <v>14</v>
      </c>
      <c r="CB156" s="369"/>
      <c r="CC156" s="421">
        <v>1341</v>
      </c>
      <c r="CD156" s="421">
        <v>14</v>
      </c>
      <c r="CE156" s="369"/>
      <c r="CF156" s="421">
        <v>1341</v>
      </c>
      <c r="CG156" s="421">
        <v>14</v>
      </c>
      <c r="CH156" s="369"/>
      <c r="CI156" s="421">
        <v>1341</v>
      </c>
      <c r="CJ156" s="421">
        <v>14</v>
      </c>
      <c r="CK156" s="369"/>
      <c r="CL156" s="421">
        <v>1341</v>
      </c>
      <c r="CM156" s="421">
        <v>14</v>
      </c>
      <c r="CN156" s="369"/>
      <c r="CO156" s="421">
        <v>1341</v>
      </c>
      <c r="CP156" s="421">
        <v>14</v>
      </c>
      <c r="CQ156" s="369"/>
      <c r="CR156" s="421">
        <v>1341</v>
      </c>
      <c r="CS156" s="421">
        <v>14</v>
      </c>
      <c r="CT156" s="369"/>
      <c r="CU156" s="421">
        <v>1341</v>
      </c>
      <c r="CV156" s="421">
        <v>14</v>
      </c>
      <c r="CW156" s="369"/>
      <c r="CX156" s="421">
        <v>1341</v>
      </c>
      <c r="CY156" s="421">
        <v>14</v>
      </c>
      <c r="CZ156" s="369"/>
      <c r="DA156" s="421">
        <v>1341</v>
      </c>
      <c r="DB156" s="421">
        <v>14</v>
      </c>
      <c r="DC156" s="369"/>
      <c r="DD156" s="421">
        <v>1341</v>
      </c>
      <c r="DE156" s="421">
        <v>14</v>
      </c>
      <c r="DF156" s="369"/>
      <c r="DG156" s="421">
        <v>1341</v>
      </c>
      <c r="DH156" s="421">
        <v>14</v>
      </c>
      <c r="DI156" s="369"/>
      <c r="DJ156" s="421">
        <v>1341</v>
      </c>
      <c r="DK156" s="421">
        <v>14</v>
      </c>
      <c r="DL156" s="369"/>
      <c r="DM156" s="421">
        <v>1341</v>
      </c>
      <c r="DN156" s="421">
        <v>14</v>
      </c>
      <c r="DO156" s="369"/>
      <c r="DP156" s="422">
        <f>((1341-1225)/30.5)*18+1341</f>
        <v>1409.4590163934427</v>
      </c>
      <c r="DQ156" s="422">
        <f>(14/30.5)*18+14</f>
        <v>22.262295081967213</v>
      </c>
      <c r="DR156" s="370"/>
      <c r="DS156" s="387">
        <v>1225.2564263010347</v>
      </c>
      <c r="DT156" s="387"/>
      <c r="DU156" s="358"/>
      <c r="DV156" s="387">
        <v>1225.2564263010347</v>
      </c>
      <c r="DW156" s="387"/>
      <c r="DX156" s="358"/>
      <c r="DY156" s="387">
        <v>1225.2564263010347</v>
      </c>
      <c r="DZ156" s="387"/>
      <c r="EA156" s="358"/>
      <c r="EB156" s="387">
        <v>1225.2564263010347</v>
      </c>
      <c r="EC156" s="387"/>
      <c r="ED156" s="358"/>
      <c r="EE156" s="387">
        <v>1225.2564263010347</v>
      </c>
      <c r="EF156" s="387"/>
      <c r="EG156" s="358"/>
      <c r="EH156" s="387">
        <v>1225.2564263010347</v>
      </c>
      <c r="EI156" s="387"/>
      <c r="EJ156" s="358"/>
      <c r="EK156" s="387">
        <v>1225.2564263010347</v>
      </c>
      <c r="EL156" s="387"/>
      <c r="EM156" s="358"/>
      <c r="EN156" s="387">
        <v>1225.2564263010347</v>
      </c>
      <c r="EO156" s="387"/>
      <c r="EP156" s="358"/>
      <c r="EQ156" s="387">
        <v>1225.2564263010347</v>
      </c>
      <c r="ER156" s="387"/>
      <c r="ES156" s="358"/>
      <c r="ET156" s="387">
        <v>1225.2564263010347</v>
      </c>
      <c r="EU156" s="387"/>
      <c r="EV156" s="358"/>
      <c r="EW156" s="387">
        <v>1225.2564263010347</v>
      </c>
      <c r="EX156" s="387"/>
      <c r="EY156" s="358"/>
      <c r="EZ156" s="387">
        <v>1225.2564263010347</v>
      </c>
      <c r="FA156" s="387"/>
      <c r="FB156" s="358"/>
      <c r="FC156" s="387">
        <v>1225.2564263010347</v>
      </c>
      <c r="FD156" s="387"/>
      <c r="FE156" s="358"/>
      <c r="FF156" s="387">
        <v>1225.2564263010347</v>
      </c>
      <c r="FG156" s="387"/>
      <c r="FH156" s="358"/>
      <c r="FI156" s="387">
        <v>1225.2564263010347</v>
      </c>
      <c r="FJ156" s="387"/>
      <c r="FK156" s="358"/>
      <c r="FL156" s="387">
        <v>1225.2564263010347</v>
      </c>
      <c r="FM156" s="387"/>
      <c r="FN156" s="358"/>
      <c r="FO156" s="387">
        <v>1225.2564263010347</v>
      </c>
      <c r="FP156" s="387"/>
      <c r="FQ156" s="358"/>
      <c r="FR156" s="387">
        <v>1225.2564263010347</v>
      </c>
      <c r="FS156" s="387"/>
      <c r="FT156" s="358"/>
      <c r="FU156" s="387">
        <v>1225.2564263010347</v>
      </c>
      <c r="FV156" s="387"/>
      <c r="FW156" s="358"/>
      <c r="FX156" s="387">
        <v>1225.2564263010347</v>
      </c>
      <c r="FY156" s="387"/>
      <c r="FZ156" s="358"/>
      <c r="GA156" s="387">
        <v>1225.2564263010347</v>
      </c>
      <c r="GB156" s="387"/>
      <c r="GC156" s="358"/>
      <c r="GD156" s="387">
        <v>1225.2564263010347</v>
      </c>
      <c r="GE156" s="387"/>
      <c r="GF156" s="358"/>
      <c r="GG156" s="387">
        <v>1225.2564263010347</v>
      </c>
      <c r="GH156" s="387"/>
      <c r="GI156" s="358"/>
      <c r="GJ156" s="387">
        <v>1225.2564263010347</v>
      </c>
      <c r="GK156" s="387"/>
      <c r="GL156" s="358"/>
      <c r="GM156" s="387">
        <v>1225.2564263010347</v>
      </c>
      <c r="GN156" s="387"/>
      <c r="GO156" s="358"/>
      <c r="GP156" s="387">
        <v>1225.2564263010347</v>
      </c>
      <c r="GQ156" s="387"/>
      <c r="GR156" s="358"/>
      <c r="GS156" s="387">
        <v>1225.2564263010347</v>
      </c>
      <c r="GT156" s="387"/>
      <c r="GU156" s="358"/>
      <c r="GV156" s="387">
        <v>1225.2564263010347</v>
      </c>
      <c r="GW156" s="387"/>
      <c r="GX156" s="358"/>
      <c r="GY156" s="387">
        <v>1225.2564263010347</v>
      </c>
      <c r="GZ156" s="387"/>
      <c r="HA156" s="358"/>
      <c r="HB156" s="387">
        <v>1225.2564263010347</v>
      </c>
      <c r="HC156" s="387"/>
      <c r="HD156" s="358"/>
      <c r="HE156" s="387">
        <v>1225.2564263010347</v>
      </c>
      <c r="HF156" s="387"/>
      <c r="HG156" s="358"/>
      <c r="HH156" s="387">
        <v>1225.2564263010347</v>
      </c>
      <c r="HI156" s="358"/>
      <c r="HJ156" s="387">
        <v>1225.2564263010347</v>
      </c>
      <c r="HK156" s="358"/>
      <c r="HL156" s="387">
        <v>1225.2564263010347</v>
      </c>
      <c r="HM156" s="358"/>
      <c r="HN156" s="387">
        <v>1225.2564263010347</v>
      </c>
      <c r="HO156" s="358"/>
      <c r="HP156" s="387">
        <v>1225.2564263010347</v>
      </c>
      <c r="HQ156" s="358"/>
      <c r="HR156" s="387">
        <v>1225.2564263010347</v>
      </c>
      <c r="HS156" s="358"/>
      <c r="HT156" s="387">
        <v>1225.2564263010347</v>
      </c>
      <c r="HU156" s="358"/>
      <c r="HV156" s="388">
        <v>1225.2564263010347</v>
      </c>
      <c r="HW156" s="563"/>
      <c r="HX156" s="564">
        <v>1225.2564263010347</v>
      </c>
      <c r="HY156" s="563"/>
      <c r="HZ156" s="565">
        <v>2149.2202887575527</v>
      </c>
      <c r="IA156" s="563"/>
      <c r="IB156" s="572"/>
      <c r="IC156" s="566"/>
      <c r="ID156" s="567"/>
      <c r="IE156" s="567"/>
      <c r="IF156" s="567"/>
      <c r="IG156" s="567"/>
      <c r="IH156" s="568"/>
      <c r="II156" s="569"/>
      <c r="IJ156" s="568"/>
      <c r="IK156" s="569"/>
      <c r="IL156" s="568"/>
      <c r="IM156" s="569"/>
      <c r="IN156" s="568"/>
      <c r="IO156" s="569"/>
      <c r="IP156" s="568"/>
      <c r="IQ156" s="569"/>
      <c r="IR156" s="429" t="s">
        <v>3382</v>
      </c>
      <c r="IS156" s="364" t="s">
        <v>77</v>
      </c>
      <c r="IT156" s="365">
        <v>43655</v>
      </c>
      <c r="IU156" s="393">
        <v>43678</v>
      </c>
      <c r="IW156" s="372">
        <f t="shared" si="22"/>
        <v>23</v>
      </c>
      <c r="IX156" s="373">
        <f t="shared" si="23"/>
        <v>70.466238975657461</v>
      </c>
      <c r="IY156" s="531">
        <f t="shared" si="20"/>
        <v>1620.7234964401216</v>
      </c>
      <c r="IZ156" s="531"/>
      <c r="JA156" s="531"/>
    </row>
    <row r="157" spans="1:261" s="367" customFormat="1" ht="16.5" customHeight="1" x14ac:dyDescent="0.3">
      <c r="A157" s="354" t="s">
        <v>2735</v>
      </c>
      <c r="B157" s="465" t="s">
        <v>2748</v>
      </c>
      <c r="C157" s="466" t="s">
        <v>457</v>
      </c>
      <c r="D157" s="467">
        <v>1149</v>
      </c>
      <c r="E157" s="468">
        <v>44</v>
      </c>
      <c r="F157" s="468">
        <v>32</v>
      </c>
      <c r="G157" s="468">
        <v>5</v>
      </c>
      <c r="H157" s="469">
        <v>0</v>
      </c>
      <c r="I157" s="847">
        <v>1225</v>
      </c>
      <c r="J157" s="837">
        <f>5</f>
        <v>5</v>
      </c>
      <c r="K157" s="837">
        <v>0</v>
      </c>
      <c r="L157" s="837">
        <v>1225</v>
      </c>
      <c r="M157" s="837">
        <f>5</f>
        <v>5</v>
      </c>
      <c r="N157" s="837">
        <v>0</v>
      </c>
      <c r="O157" s="837">
        <v>1225</v>
      </c>
      <c r="P157" s="837">
        <f>5</f>
        <v>5</v>
      </c>
      <c r="Q157" s="837">
        <v>0</v>
      </c>
      <c r="R157" s="837">
        <v>1225</v>
      </c>
      <c r="S157" s="837">
        <f>5</f>
        <v>5</v>
      </c>
      <c r="T157" s="837">
        <v>0</v>
      </c>
      <c r="U157" s="837">
        <v>1225</v>
      </c>
      <c r="V157" s="837">
        <f>5</f>
        <v>5</v>
      </c>
      <c r="W157" s="837">
        <v>0</v>
      </c>
      <c r="X157" s="837">
        <v>1225</v>
      </c>
      <c r="Y157" s="837">
        <f>5</f>
        <v>5</v>
      </c>
      <c r="Z157" s="837">
        <v>0</v>
      </c>
      <c r="AA157" s="837">
        <v>1225</v>
      </c>
      <c r="AB157" s="837">
        <f>5</f>
        <v>5</v>
      </c>
      <c r="AC157" s="837">
        <v>0</v>
      </c>
      <c r="AD157" s="837">
        <v>1225</v>
      </c>
      <c r="AE157" s="837">
        <f>5</f>
        <v>5</v>
      </c>
      <c r="AF157" s="837">
        <v>0</v>
      </c>
      <c r="AG157" s="837">
        <v>1225</v>
      </c>
      <c r="AH157" s="837">
        <f>5</f>
        <v>5</v>
      </c>
      <c r="AI157" s="837">
        <v>0</v>
      </c>
      <c r="AJ157" s="837">
        <v>1225</v>
      </c>
      <c r="AK157" s="837">
        <f>5</f>
        <v>5</v>
      </c>
      <c r="AL157" s="837">
        <v>0</v>
      </c>
      <c r="AM157" s="837">
        <v>1225</v>
      </c>
      <c r="AN157" s="837">
        <f>5</f>
        <v>5</v>
      </c>
      <c r="AO157" s="837">
        <v>0</v>
      </c>
      <c r="AP157" s="837">
        <v>1225</v>
      </c>
      <c r="AQ157" s="837">
        <f>5</f>
        <v>5</v>
      </c>
      <c r="AR157" s="837">
        <v>0</v>
      </c>
      <c r="AS157" s="837">
        <v>1225</v>
      </c>
      <c r="AT157" s="837">
        <f>5</f>
        <v>5</v>
      </c>
      <c r="AU157" s="837">
        <v>0</v>
      </c>
      <c r="AV157" s="837">
        <v>1225</v>
      </c>
      <c r="AW157" s="837">
        <f>5</f>
        <v>5</v>
      </c>
      <c r="AX157" s="837">
        <v>0</v>
      </c>
      <c r="AY157" s="837">
        <v>1225</v>
      </c>
      <c r="AZ157" s="837">
        <f>5</f>
        <v>5</v>
      </c>
      <c r="BA157" s="382">
        <v>0</v>
      </c>
      <c r="BB157" s="383">
        <f>((1225-1055)/30.5)*7+1225</f>
        <v>1264.016393442623</v>
      </c>
      <c r="BC157" s="382">
        <f>5</f>
        <v>5</v>
      </c>
      <c r="BD157" s="382">
        <v>0</v>
      </c>
      <c r="BE157" s="397">
        <v>1055.0564263010344</v>
      </c>
      <c r="BF157" s="397">
        <f>5</f>
        <v>5</v>
      </c>
      <c r="BG157" s="512"/>
      <c r="BH157" s="397">
        <v>1055.0564263010344</v>
      </c>
      <c r="BI157" s="397">
        <f>5</f>
        <v>5</v>
      </c>
      <c r="BJ157" s="512"/>
      <c r="BK157" s="397">
        <v>1055.0564263010344</v>
      </c>
      <c r="BL157" s="397">
        <f>5</f>
        <v>5</v>
      </c>
      <c r="BM157" s="512"/>
      <c r="BN157" s="397">
        <v>1055.0564263010344</v>
      </c>
      <c r="BO157" s="397">
        <f>5</f>
        <v>5</v>
      </c>
      <c r="BP157" s="512"/>
      <c r="BQ157" s="397">
        <v>1055.0564263010344</v>
      </c>
      <c r="BR157" s="397">
        <f>5</f>
        <v>5</v>
      </c>
      <c r="BS157" s="512"/>
      <c r="BT157" s="413">
        <v>1055.0564263010344</v>
      </c>
      <c r="BU157" s="385">
        <f>5</f>
        <v>5</v>
      </c>
      <c r="BV157" s="358"/>
      <c r="BW157" s="385">
        <v>1055.0564263010344</v>
      </c>
      <c r="BX157" s="385">
        <f>5</f>
        <v>5</v>
      </c>
      <c r="BY157" s="358"/>
      <c r="BZ157" s="385">
        <v>1055.0564263010344</v>
      </c>
      <c r="CA157" s="385">
        <f>5</f>
        <v>5</v>
      </c>
      <c r="CB157" s="358"/>
      <c r="CC157" s="385">
        <v>1055.0564263010344</v>
      </c>
      <c r="CD157" s="385">
        <f>5</f>
        <v>5</v>
      </c>
      <c r="CE157" s="358"/>
      <c r="CF157" s="385">
        <v>1055.0564263010344</v>
      </c>
      <c r="CG157" s="385">
        <f>5</f>
        <v>5</v>
      </c>
      <c r="CH157" s="358"/>
      <c r="CI157" s="385">
        <v>1055.0564263010344</v>
      </c>
      <c r="CJ157" s="385">
        <f>5</f>
        <v>5</v>
      </c>
      <c r="CK157" s="358"/>
      <c r="CL157" s="385">
        <v>1055.0564263010344</v>
      </c>
      <c r="CM157" s="385">
        <f>5</f>
        <v>5</v>
      </c>
      <c r="CN157" s="358"/>
      <c r="CO157" s="385">
        <v>1055.0564263010344</v>
      </c>
      <c r="CP157" s="385">
        <f>5</f>
        <v>5</v>
      </c>
      <c r="CQ157" s="358"/>
      <c r="CR157" s="385">
        <v>1055.0564263010344</v>
      </c>
      <c r="CS157" s="385">
        <f>5</f>
        <v>5</v>
      </c>
      <c r="CT157" s="358"/>
      <c r="CU157" s="385">
        <v>1055.0564263010344</v>
      </c>
      <c r="CV157" s="385">
        <f>5</f>
        <v>5</v>
      </c>
      <c r="CW157" s="358"/>
      <c r="CX157" s="385">
        <v>1055.0564263010344</v>
      </c>
      <c r="CY157" s="385">
        <f>5</f>
        <v>5</v>
      </c>
      <c r="CZ157" s="358"/>
      <c r="DA157" s="385">
        <v>1055.0564263010344</v>
      </c>
      <c r="DB157" s="385">
        <f>5</f>
        <v>5</v>
      </c>
      <c r="DC157" s="358"/>
      <c r="DD157" s="385">
        <v>1055.0564263010344</v>
      </c>
      <c r="DE157" s="385">
        <f>5</f>
        <v>5</v>
      </c>
      <c r="DF157" s="358"/>
      <c r="DG157" s="385">
        <v>1055.0564263010344</v>
      </c>
      <c r="DH157" s="385">
        <f>5</f>
        <v>5</v>
      </c>
      <c r="DI157" s="358"/>
      <c r="DJ157" s="385">
        <v>1055.0564263010344</v>
      </c>
      <c r="DK157" s="385">
        <f>5</f>
        <v>5</v>
      </c>
      <c r="DL157" s="358"/>
      <c r="DM157" s="385">
        <v>1055.0564263010344</v>
      </c>
      <c r="DN157" s="385">
        <f>5</f>
        <v>5</v>
      </c>
      <c r="DO157" s="358"/>
      <c r="DP157" s="385">
        <v>1055.0564263010344</v>
      </c>
      <c r="DQ157" s="385">
        <f>5</f>
        <v>5</v>
      </c>
      <c r="DR157" s="358"/>
      <c r="DS157" s="385">
        <v>1055.0564263010344</v>
      </c>
      <c r="DT157" s="385">
        <f>5</f>
        <v>5</v>
      </c>
      <c r="DU157" s="358"/>
      <c r="DV157" s="385">
        <v>1055.0564263010344</v>
      </c>
      <c r="DW157" s="385">
        <f>5</f>
        <v>5</v>
      </c>
      <c r="DX157" s="358"/>
      <c r="DY157" s="385">
        <v>1055.0564263010344</v>
      </c>
      <c r="DZ157" s="385">
        <f>5</f>
        <v>5</v>
      </c>
      <c r="EA157" s="358"/>
      <c r="EB157" s="385">
        <v>1055.0564263010344</v>
      </c>
      <c r="EC157" s="385">
        <f>5</f>
        <v>5</v>
      </c>
      <c r="ED157" s="358"/>
      <c r="EE157" s="385">
        <v>1055.0564263010344</v>
      </c>
      <c r="EF157" s="385">
        <f>5</f>
        <v>5</v>
      </c>
      <c r="EG157" s="358"/>
      <c r="EH157" s="385">
        <v>1055.0564263010344</v>
      </c>
      <c r="EI157" s="385">
        <f>5</f>
        <v>5</v>
      </c>
      <c r="EJ157" s="358"/>
      <c r="EK157" s="385">
        <v>1055.0564263010344</v>
      </c>
      <c r="EL157" s="385">
        <f>5</f>
        <v>5</v>
      </c>
      <c r="EM157" s="358"/>
      <c r="EN157" s="385">
        <v>1055.0564263010344</v>
      </c>
      <c r="EO157" s="385">
        <f>5</f>
        <v>5</v>
      </c>
      <c r="EP157" s="358"/>
      <c r="EQ157" s="385">
        <v>1055.0564263010344</v>
      </c>
      <c r="ER157" s="385">
        <f>5</f>
        <v>5</v>
      </c>
      <c r="ES157" s="358"/>
      <c r="ET157" s="385">
        <v>1055.0564263010344</v>
      </c>
      <c r="EU157" s="385">
        <f>5</f>
        <v>5</v>
      </c>
      <c r="EV157" s="358"/>
      <c r="EW157" s="385">
        <v>1055.0564263010344</v>
      </c>
      <c r="EX157" s="385">
        <f>5</f>
        <v>5</v>
      </c>
      <c r="EY157" s="358"/>
      <c r="EZ157" s="385">
        <v>1055.0564263010344</v>
      </c>
      <c r="FA157" s="385">
        <f>5</f>
        <v>5</v>
      </c>
      <c r="FB157" s="358"/>
      <c r="FC157" s="385">
        <v>1055.0564263010344</v>
      </c>
      <c r="FD157" s="385">
        <f>5</f>
        <v>5</v>
      </c>
      <c r="FE157" s="358"/>
      <c r="FF157" s="385">
        <v>1055.0564263010344</v>
      </c>
      <c r="FG157" s="385">
        <f>5</f>
        <v>5</v>
      </c>
      <c r="FH157" s="358"/>
      <c r="FI157" s="385">
        <v>1055.0564263010344</v>
      </c>
      <c r="FJ157" s="385">
        <f>5</f>
        <v>5</v>
      </c>
      <c r="FK157" s="358"/>
      <c r="FL157" s="385">
        <v>1055.0564263010344</v>
      </c>
      <c r="FM157" s="385">
        <f>5</f>
        <v>5</v>
      </c>
      <c r="FN157" s="358"/>
      <c r="FO157" s="385">
        <v>1055.0564263010344</v>
      </c>
      <c r="FP157" s="385">
        <f>5</f>
        <v>5</v>
      </c>
      <c r="FQ157" s="358"/>
      <c r="FR157" s="385">
        <v>1055.0564263010344</v>
      </c>
      <c r="FS157" s="385">
        <f>5</f>
        <v>5</v>
      </c>
      <c r="FT157" s="358"/>
      <c r="FU157" s="385">
        <v>1055.0564263010344</v>
      </c>
      <c r="FV157" s="385">
        <f>5</f>
        <v>5</v>
      </c>
      <c r="FW157" s="358"/>
      <c r="FX157" s="385">
        <v>1055.0564263010344</v>
      </c>
      <c r="FY157" s="385">
        <f>5</f>
        <v>5</v>
      </c>
      <c r="FZ157" s="358"/>
      <c r="GA157" s="385">
        <v>1055.0564263010344</v>
      </c>
      <c r="GB157" s="385">
        <f>5</f>
        <v>5</v>
      </c>
      <c r="GC157" s="358"/>
      <c r="GD157" s="385">
        <v>1055.0564263010344</v>
      </c>
      <c r="GE157" s="385">
        <f>5</f>
        <v>5</v>
      </c>
      <c r="GF157" s="358"/>
      <c r="GG157" s="385">
        <v>1055.0564263010344</v>
      </c>
      <c r="GH157" s="385">
        <f>5</f>
        <v>5</v>
      </c>
      <c r="GI157" s="358"/>
      <c r="GJ157" s="385">
        <v>1055.0564263010344</v>
      </c>
      <c r="GK157" s="385">
        <f>5</f>
        <v>5</v>
      </c>
      <c r="GL157" s="358"/>
      <c r="GM157" s="385">
        <v>1055.0564263010344</v>
      </c>
      <c r="GN157" s="385">
        <f>5</f>
        <v>5</v>
      </c>
      <c r="GO157" s="358"/>
      <c r="GP157" s="385">
        <v>1055.0564263010344</v>
      </c>
      <c r="GQ157" s="385">
        <f>5</f>
        <v>5</v>
      </c>
      <c r="GR157" s="358"/>
      <c r="GS157" s="385">
        <v>1055.0564263010344</v>
      </c>
      <c r="GT157" s="385">
        <f>5</f>
        <v>5</v>
      </c>
      <c r="GU157" s="358"/>
      <c r="GV157" s="385">
        <v>1055.0564263010344</v>
      </c>
      <c r="GW157" s="385">
        <f>5</f>
        <v>5</v>
      </c>
      <c r="GX157" s="358"/>
      <c r="GY157" s="385">
        <v>1055.0564263010344</v>
      </c>
      <c r="GZ157" s="385">
        <f>5</f>
        <v>5</v>
      </c>
      <c r="HA157" s="358"/>
      <c r="HB157" s="385">
        <v>1055.0564263010344</v>
      </c>
      <c r="HC157" s="385">
        <f>5</f>
        <v>5</v>
      </c>
      <c r="HD157" s="358"/>
      <c r="HE157" s="387">
        <v>1055.0564263010344</v>
      </c>
      <c r="HF157" s="386">
        <f>5*6</f>
        <v>30</v>
      </c>
      <c r="HG157" s="358"/>
      <c r="HH157" s="387">
        <v>1055.0564263010344</v>
      </c>
      <c r="HI157" s="358"/>
      <c r="HJ157" s="387">
        <v>1055.0564263010344</v>
      </c>
      <c r="HK157" s="358"/>
      <c r="HL157" s="387">
        <v>1055.0564263010344</v>
      </c>
      <c r="HM157" s="358"/>
      <c r="HN157" s="387">
        <v>1055.0564263010344</v>
      </c>
      <c r="HO157" s="358"/>
      <c r="HP157" s="387">
        <v>1055.0564263010344</v>
      </c>
      <c r="HQ157" s="358"/>
      <c r="HR157" s="387">
        <v>1055.0564263010344</v>
      </c>
      <c r="HS157" s="358"/>
      <c r="HT157" s="387">
        <v>1055.0564263010344</v>
      </c>
      <c r="HU157" s="358"/>
      <c r="HV157" s="388">
        <v>1055.0564263010344</v>
      </c>
      <c r="HW157" s="563"/>
      <c r="HX157" s="564">
        <v>1055.0564263010344</v>
      </c>
      <c r="HY157" s="563"/>
      <c r="HZ157" s="565">
        <v>1366.3845520947823</v>
      </c>
      <c r="IA157" s="563"/>
      <c r="IB157" s="572"/>
      <c r="IC157" s="566"/>
      <c r="ID157" s="567"/>
      <c r="IE157" s="567"/>
      <c r="IF157" s="567"/>
      <c r="IG157" s="567"/>
      <c r="IH157" s="568"/>
      <c r="II157" s="569"/>
      <c r="IJ157" s="568"/>
      <c r="IK157" s="569"/>
      <c r="IL157" s="568"/>
      <c r="IM157" s="569"/>
      <c r="IN157" s="568"/>
      <c r="IO157" s="569"/>
      <c r="IP157" s="568"/>
      <c r="IQ157" s="569"/>
      <c r="IR157" s="429" t="s">
        <v>2993</v>
      </c>
      <c r="IS157" s="364" t="s">
        <v>77</v>
      </c>
      <c r="IT157" s="365">
        <v>43669</v>
      </c>
      <c r="IU157" s="393">
        <v>43678</v>
      </c>
      <c r="IW157" s="372">
        <f t="shared" si="22"/>
        <v>9</v>
      </c>
      <c r="IX157" s="373">
        <f t="shared" si="23"/>
        <v>44.799493511304334</v>
      </c>
      <c r="IY157" s="531">
        <f t="shared" si="20"/>
        <v>403.19544160173899</v>
      </c>
      <c r="IZ157" s="531"/>
      <c r="JA157" s="531"/>
    </row>
    <row r="158" spans="1:261" s="367" customFormat="1" ht="16.5" customHeight="1" x14ac:dyDescent="0.3">
      <c r="A158" s="354" t="s">
        <v>2739</v>
      </c>
      <c r="B158" s="415" t="s">
        <v>2748</v>
      </c>
      <c r="C158" s="447" t="s">
        <v>1429</v>
      </c>
      <c r="D158" s="448">
        <v>1149</v>
      </c>
      <c r="E158" s="449">
        <v>44</v>
      </c>
      <c r="F158" s="449">
        <v>80</v>
      </c>
      <c r="G158" s="449">
        <v>5</v>
      </c>
      <c r="H158" s="450">
        <v>0</v>
      </c>
      <c r="I158" s="830">
        <v>1273</v>
      </c>
      <c r="J158" s="831">
        <v>5</v>
      </c>
      <c r="K158" s="827"/>
      <c r="L158" s="831">
        <v>1273</v>
      </c>
      <c r="M158" s="831">
        <v>5</v>
      </c>
      <c r="N158" s="827"/>
      <c r="O158" s="831">
        <v>1273</v>
      </c>
      <c r="P158" s="831">
        <v>5</v>
      </c>
      <c r="Q158" s="827"/>
      <c r="R158" s="831">
        <v>1273</v>
      </c>
      <c r="S158" s="831">
        <v>5</v>
      </c>
      <c r="T158" s="827"/>
      <c r="U158" s="831">
        <v>1273</v>
      </c>
      <c r="V158" s="831">
        <v>5</v>
      </c>
      <c r="W158" s="827"/>
      <c r="X158" s="831">
        <v>1273</v>
      </c>
      <c r="Y158" s="831">
        <v>5</v>
      </c>
      <c r="Z158" s="827"/>
      <c r="AA158" s="831">
        <v>1273</v>
      </c>
      <c r="AB158" s="831">
        <v>5</v>
      </c>
      <c r="AC158" s="827"/>
      <c r="AD158" s="831">
        <v>1273</v>
      </c>
      <c r="AE158" s="831">
        <v>5</v>
      </c>
      <c r="AF158" s="827"/>
      <c r="AG158" s="831">
        <v>1273</v>
      </c>
      <c r="AH158" s="831">
        <v>5</v>
      </c>
      <c r="AI158" s="827"/>
      <c r="AJ158" s="831">
        <v>1273</v>
      </c>
      <c r="AK158" s="831">
        <v>5</v>
      </c>
      <c r="AL158" s="827"/>
      <c r="AM158" s="831">
        <v>1273</v>
      </c>
      <c r="AN158" s="831">
        <v>5</v>
      </c>
      <c r="AO158" s="827"/>
      <c r="AP158" s="831">
        <v>1273</v>
      </c>
      <c r="AQ158" s="831">
        <v>5</v>
      </c>
      <c r="AR158" s="827"/>
      <c r="AS158" s="831">
        <v>1273</v>
      </c>
      <c r="AT158" s="831">
        <v>5</v>
      </c>
      <c r="AU158" s="827"/>
      <c r="AV158" s="831">
        <v>1273</v>
      </c>
      <c r="AW158" s="831">
        <v>5</v>
      </c>
      <c r="AX158" s="827"/>
      <c r="AY158" s="831">
        <v>1273</v>
      </c>
      <c r="AZ158" s="831">
        <v>5</v>
      </c>
      <c r="BA158" s="358"/>
      <c r="BB158" s="385">
        <v>1273</v>
      </c>
      <c r="BC158" s="385">
        <v>5</v>
      </c>
      <c r="BD158" s="358"/>
      <c r="BE158" s="385">
        <v>1273</v>
      </c>
      <c r="BF158" s="385">
        <v>5</v>
      </c>
      <c r="BG158" s="358"/>
      <c r="BH158" s="385">
        <v>1273</v>
      </c>
      <c r="BI158" s="385">
        <v>5</v>
      </c>
      <c r="BJ158" s="405"/>
      <c r="BK158" s="385">
        <v>1273</v>
      </c>
      <c r="BL158" s="385">
        <v>5</v>
      </c>
      <c r="BM158" s="405"/>
      <c r="BN158" s="385">
        <v>1273</v>
      </c>
      <c r="BO158" s="385">
        <v>5</v>
      </c>
      <c r="BP158" s="405"/>
      <c r="BQ158" s="385">
        <v>1273</v>
      </c>
      <c r="BR158" s="385">
        <v>5</v>
      </c>
      <c r="BS158" s="405"/>
      <c r="BT158" s="385">
        <v>1273</v>
      </c>
      <c r="BU158" s="385">
        <v>5</v>
      </c>
      <c r="BV158" s="405"/>
      <c r="BW158" s="385">
        <v>1273</v>
      </c>
      <c r="BX158" s="385">
        <v>5</v>
      </c>
      <c r="BY158" s="405"/>
      <c r="BZ158" s="385">
        <v>1273</v>
      </c>
      <c r="CA158" s="385">
        <v>5</v>
      </c>
      <c r="CB158" s="405"/>
      <c r="CC158" s="385">
        <v>1273</v>
      </c>
      <c r="CD158" s="385">
        <v>5</v>
      </c>
      <c r="CE158" s="405"/>
      <c r="CF158" s="385">
        <v>1273</v>
      </c>
      <c r="CG158" s="385">
        <v>5</v>
      </c>
      <c r="CH158" s="405"/>
      <c r="CI158" s="385">
        <v>1273</v>
      </c>
      <c r="CJ158" s="385">
        <v>5</v>
      </c>
      <c r="CK158" s="405"/>
      <c r="CL158" s="385">
        <v>1273</v>
      </c>
      <c r="CM158" s="385">
        <v>5</v>
      </c>
      <c r="CN158" s="405"/>
      <c r="CO158" s="385">
        <v>1273</v>
      </c>
      <c r="CP158" s="385">
        <v>5</v>
      </c>
      <c r="CQ158" s="405"/>
      <c r="CR158" s="385">
        <v>1273</v>
      </c>
      <c r="CS158" s="385">
        <v>5</v>
      </c>
      <c r="CT158" s="405"/>
      <c r="CU158" s="385">
        <v>1273</v>
      </c>
      <c r="CV158" s="385">
        <v>5</v>
      </c>
      <c r="CW158" s="405"/>
      <c r="CX158" s="385">
        <v>1273</v>
      </c>
      <c r="CY158" s="385">
        <v>5</v>
      </c>
      <c r="CZ158" s="405"/>
      <c r="DA158" s="385">
        <v>1273</v>
      </c>
      <c r="DB158" s="385">
        <v>5</v>
      </c>
      <c r="DC158" s="405"/>
      <c r="DD158" s="385">
        <v>1273</v>
      </c>
      <c r="DE158" s="385">
        <v>5</v>
      </c>
      <c r="DF158" s="405"/>
      <c r="DG158" s="385">
        <v>1273</v>
      </c>
      <c r="DH158" s="385">
        <v>5</v>
      </c>
      <c r="DI158" s="405"/>
      <c r="DJ158" s="385">
        <v>1273</v>
      </c>
      <c r="DK158" s="385">
        <v>5</v>
      </c>
      <c r="DL158" s="405"/>
      <c r="DM158" s="385">
        <v>1273</v>
      </c>
      <c r="DN158" s="385">
        <v>5</v>
      </c>
      <c r="DO158" s="405"/>
      <c r="DP158" s="385">
        <v>1273</v>
      </c>
      <c r="DQ158" s="385">
        <v>5</v>
      </c>
      <c r="DR158" s="405"/>
      <c r="DS158" s="385">
        <v>1273</v>
      </c>
      <c r="DT158" s="385">
        <v>5</v>
      </c>
      <c r="DU158" s="405"/>
      <c r="DV158" s="385">
        <v>1273</v>
      </c>
      <c r="DW158" s="385">
        <v>5</v>
      </c>
      <c r="DX158" s="405"/>
      <c r="DY158" s="385">
        <v>1273</v>
      </c>
      <c r="DZ158" s="385">
        <v>5</v>
      </c>
      <c r="EA158" s="405"/>
      <c r="EB158" s="385">
        <v>1273</v>
      </c>
      <c r="EC158" s="385">
        <v>5</v>
      </c>
      <c r="ED158" s="405"/>
      <c r="EE158" s="385">
        <v>1273</v>
      </c>
      <c r="EF158" s="385">
        <v>5</v>
      </c>
      <c r="EG158" s="405"/>
      <c r="EH158" s="385">
        <v>1273</v>
      </c>
      <c r="EI158" s="385">
        <v>5</v>
      </c>
      <c r="EJ158" s="405"/>
      <c r="EK158" s="385">
        <v>1273</v>
      </c>
      <c r="EL158" s="385">
        <v>5</v>
      </c>
      <c r="EM158" s="405"/>
      <c r="EN158" s="385">
        <v>1273</v>
      </c>
      <c r="EO158" s="385">
        <v>5</v>
      </c>
      <c r="EP158" s="405"/>
      <c r="EQ158" s="385">
        <v>1273</v>
      </c>
      <c r="ER158" s="385">
        <v>5</v>
      </c>
      <c r="ES158" s="405"/>
      <c r="ET158" s="385">
        <v>1273</v>
      </c>
      <c r="EU158" s="385">
        <v>5</v>
      </c>
      <c r="EV158" s="405"/>
      <c r="EW158" s="385">
        <v>1273</v>
      </c>
      <c r="EX158" s="385">
        <v>5</v>
      </c>
      <c r="EY158" s="405"/>
      <c r="EZ158" s="385">
        <v>1273</v>
      </c>
      <c r="FA158" s="385">
        <v>5</v>
      </c>
      <c r="FB158" s="405"/>
      <c r="FC158" s="385">
        <v>1273</v>
      </c>
      <c r="FD158" s="385">
        <v>5</v>
      </c>
      <c r="FE158" s="405"/>
      <c r="FF158" s="385">
        <v>1273</v>
      </c>
      <c r="FG158" s="385">
        <v>5</v>
      </c>
      <c r="FH158" s="405"/>
      <c r="FI158" s="385">
        <v>1273</v>
      </c>
      <c r="FJ158" s="385">
        <v>5</v>
      </c>
      <c r="FK158" s="405"/>
      <c r="FL158" s="385">
        <v>1273</v>
      </c>
      <c r="FM158" s="385">
        <v>5</v>
      </c>
      <c r="FN158" s="405"/>
      <c r="FO158" s="385">
        <v>1273</v>
      </c>
      <c r="FP158" s="385">
        <v>5</v>
      </c>
      <c r="FQ158" s="405"/>
      <c r="FR158" s="385">
        <v>1273</v>
      </c>
      <c r="FS158" s="385">
        <v>5</v>
      </c>
      <c r="FT158" s="405"/>
      <c r="FU158" s="385">
        <v>1273</v>
      </c>
      <c r="FV158" s="385">
        <v>5</v>
      </c>
      <c r="FW158" s="405"/>
      <c r="FX158" s="385">
        <v>1273</v>
      </c>
      <c r="FY158" s="385">
        <v>5</v>
      </c>
      <c r="FZ158" s="405"/>
      <c r="GA158" s="385">
        <v>1273</v>
      </c>
      <c r="GB158" s="385">
        <v>5</v>
      </c>
      <c r="GC158" s="405"/>
      <c r="GD158" s="385">
        <v>1273</v>
      </c>
      <c r="GE158" s="385">
        <v>5</v>
      </c>
      <c r="GF158" s="405"/>
      <c r="GG158" s="385">
        <v>1273</v>
      </c>
      <c r="GH158" s="385">
        <v>5</v>
      </c>
      <c r="GI158" s="405"/>
      <c r="GJ158" s="385">
        <v>1273</v>
      </c>
      <c r="GK158" s="385">
        <v>5</v>
      </c>
      <c r="GL158" s="405"/>
      <c r="GM158" s="385">
        <v>1273</v>
      </c>
      <c r="GN158" s="385">
        <v>5</v>
      </c>
      <c r="GO158" s="405"/>
      <c r="GP158" s="385">
        <v>1273</v>
      </c>
      <c r="GQ158" s="385">
        <v>5</v>
      </c>
      <c r="GR158" s="405"/>
      <c r="GS158" s="385">
        <v>1273</v>
      </c>
      <c r="GT158" s="385">
        <v>5</v>
      </c>
      <c r="GU158" s="405"/>
      <c r="GV158" s="386">
        <v>1273</v>
      </c>
      <c r="GW158" s="386">
        <f>5+5.57</f>
        <v>10.57</v>
      </c>
      <c r="GX158" s="386"/>
      <c r="GY158" s="387">
        <v>1273</v>
      </c>
      <c r="GZ158" s="385"/>
      <c r="HA158" s="358"/>
      <c r="HB158" s="387">
        <v>1273</v>
      </c>
      <c r="HC158" s="385"/>
      <c r="HD158" s="358"/>
      <c r="HE158" s="387">
        <v>1273</v>
      </c>
      <c r="HF158" s="385"/>
      <c r="HG158" s="358"/>
      <c r="HH158" s="387">
        <v>1273</v>
      </c>
      <c r="HI158" s="358"/>
      <c r="HJ158" s="387">
        <v>1273</v>
      </c>
      <c r="HK158" s="358"/>
      <c r="HL158" s="387">
        <v>1273</v>
      </c>
      <c r="HM158" s="358"/>
      <c r="HN158" s="387">
        <v>1273</v>
      </c>
      <c r="HO158" s="358"/>
      <c r="HP158" s="387">
        <v>1273</v>
      </c>
      <c r="HQ158" s="358"/>
      <c r="HR158" s="387">
        <v>1273</v>
      </c>
      <c r="HS158" s="358"/>
      <c r="HT158" s="387">
        <v>1273</v>
      </c>
      <c r="HU158" s="358"/>
      <c r="HV158" s="388">
        <v>1273</v>
      </c>
      <c r="HW158" s="563"/>
      <c r="HX158" s="564">
        <v>1273</v>
      </c>
      <c r="HY158" s="563"/>
      <c r="HZ158" s="565">
        <v>2441.655737704918</v>
      </c>
      <c r="IA158" s="563"/>
      <c r="IB158" s="572"/>
      <c r="IC158" s="566"/>
      <c r="ID158" s="567"/>
      <c r="IE158" s="567"/>
      <c r="IF158" s="567"/>
      <c r="IG158" s="567"/>
      <c r="IH158" s="568"/>
      <c r="II158" s="569"/>
      <c r="IJ158" s="568"/>
      <c r="IK158" s="569"/>
      <c r="IL158" s="568"/>
      <c r="IM158" s="569"/>
      <c r="IN158" s="568"/>
      <c r="IO158" s="569"/>
      <c r="IP158" s="568"/>
      <c r="IQ158" s="569"/>
      <c r="IR158" s="429" t="s">
        <v>3383</v>
      </c>
      <c r="IS158" s="364" t="s">
        <v>77</v>
      </c>
      <c r="IT158" s="365">
        <v>43650</v>
      </c>
      <c r="IU158" s="393">
        <v>43678</v>
      </c>
      <c r="IV158" s="515">
        <v>44041</v>
      </c>
      <c r="IW158" s="372">
        <f t="shared" si="22"/>
        <v>28</v>
      </c>
      <c r="IX158" s="373">
        <f t="shared" si="23"/>
        <v>80.054286482128461</v>
      </c>
      <c r="IY158" s="531">
        <f t="shared" si="20"/>
        <v>2241.5200214995971</v>
      </c>
      <c r="IZ158" s="531"/>
      <c r="JA158" s="531"/>
    </row>
    <row r="159" spans="1:261" s="367" customFormat="1" ht="16.5" customHeight="1" x14ac:dyDescent="0.3">
      <c r="A159" s="401" t="s">
        <v>3315</v>
      </c>
      <c r="B159" s="402" t="s">
        <v>3315</v>
      </c>
      <c r="C159" s="573" t="s">
        <v>2750</v>
      </c>
      <c r="D159" s="898"/>
      <c r="E159" s="899"/>
      <c r="F159" s="899"/>
      <c r="G159" s="899"/>
      <c r="H159" s="900"/>
      <c r="I159" s="853">
        <v>0</v>
      </c>
      <c r="J159" s="833"/>
      <c r="K159" s="833"/>
      <c r="L159" s="833">
        <v>0</v>
      </c>
      <c r="M159" s="833"/>
      <c r="N159" s="833"/>
      <c r="O159" s="833">
        <v>0</v>
      </c>
      <c r="P159" s="833"/>
      <c r="Q159" s="833"/>
      <c r="R159" s="833">
        <v>0</v>
      </c>
      <c r="S159" s="833"/>
      <c r="T159" s="833"/>
      <c r="U159" s="833">
        <v>0</v>
      </c>
      <c r="V159" s="833"/>
      <c r="W159" s="833"/>
      <c r="X159" s="833">
        <v>0</v>
      </c>
      <c r="Y159" s="833"/>
      <c r="Z159" s="833"/>
      <c r="AA159" s="833">
        <v>0</v>
      </c>
      <c r="AB159" s="833"/>
      <c r="AC159" s="833"/>
      <c r="AD159" s="833">
        <v>0</v>
      </c>
      <c r="AE159" s="833"/>
      <c r="AF159" s="833"/>
      <c r="AG159" s="833">
        <v>598.61198185659009</v>
      </c>
      <c r="AH159" s="833"/>
      <c r="AI159" s="833"/>
      <c r="AJ159" s="831">
        <v>598.61198185659009</v>
      </c>
      <c r="AK159" s="831"/>
      <c r="AL159" s="827"/>
      <c r="AM159" s="831">
        <v>598.61198185659009</v>
      </c>
      <c r="AN159" s="831"/>
      <c r="AO159" s="827"/>
      <c r="AP159" s="831">
        <v>598.61198185659009</v>
      </c>
      <c r="AQ159" s="831"/>
      <c r="AR159" s="827"/>
      <c r="AS159" s="831">
        <v>598.61198185659009</v>
      </c>
      <c r="AT159" s="831"/>
      <c r="AU159" s="827"/>
      <c r="AV159" s="831">
        <v>598.61198185659009</v>
      </c>
      <c r="AW159" s="831"/>
      <c r="AX159" s="827"/>
      <c r="AY159" s="831">
        <v>598.61198185659009</v>
      </c>
      <c r="AZ159" s="831"/>
      <c r="BA159" s="358"/>
      <c r="BB159" s="385">
        <v>598.61198185659009</v>
      </c>
      <c r="BC159" s="385"/>
      <c r="BD159" s="358"/>
      <c r="BE159" s="385">
        <v>598.61198185659009</v>
      </c>
      <c r="BF159" s="385"/>
      <c r="BG159" s="358"/>
      <c r="BH159" s="385">
        <v>598.61198185659009</v>
      </c>
      <c r="BI159" s="385"/>
      <c r="BJ159" s="358"/>
      <c r="BK159" s="385">
        <v>598.61198185659009</v>
      </c>
      <c r="BL159" s="385"/>
      <c r="BM159" s="358"/>
      <c r="BN159" s="385">
        <v>598.61198185659009</v>
      </c>
      <c r="BO159" s="385"/>
      <c r="BP159" s="358"/>
      <c r="BQ159" s="385">
        <v>598.61198185659009</v>
      </c>
      <c r="BR159" s="385"/>
      <c r="BS159" s="358"/>
      <c r="BT159" s="385">
        <v>598.61198185659009</v>
      </c>
      <c r="BU159" s="385"/>
      <c r="BV159" s="358"/>
      <c r="BW159" s="385">
        <v>598.61198185659009</v>
      </c>
      <c r="BX159" s="385"/>
      <c r="BY159" s="358"/>
      <c r="BZ159" s="385">
        <v>598.61198185659009</v>
      </c>
      <c r="CA159" s="385"/>
      <c r="CB159" s="358"/>
      <c r="CC159" s="385">
        <v>598.61198185659009</v>
      </c>
      <c r="CD159" s="385"/>
      <c r="CE159" s="358"/>
      <c r="CF159" s="385">
        <v>598.61198185659009</v>
      </c>
      <c r="CG159" s="385"/>
      <c r="CH159" s="358"/>
      <c r="CI159" s="385">
        <v>598.61198185659009</v>
      </c>
      <c r="CJ159" s="385"/>
      <c r="CK159" s="358"/>
      <c r="CL159" s="385">
        <v>598.61198185659009</v>
      </c>
      <c r="CM159" s="385"/>
      <c r="CN159" s="358"/>
      <c r="CO159" s="385">
        <v>598.61198185659009</v>
      </c>
      <c r="CP159" s="385"/>
      <c r="CQ159" s="358"/>
      <c r="CR159" s="385">
        <v>598.61198185659009</v>
      </c>
      <c r="CS159" s="385"/>
      <c r="CT159" s="358"/>
      <c r="CU159" s="385">
        <v>598.61198185659009</v>
      </c>
      <c r="CV159" s="385"/>
      <c r="CW159" s="358"/>
      <c r="CX159" s="385">
        <v>598.61198185659009</v>
      </c>
      <c r="CY159" s="385"/>
      <c r="CZ159" s="358"/>
      <c r="DA159" s="385">
        <v>598.61198185659009</v>
      </c>
      <c r="DB159" s="385"/>
      <c r="DC159" s="358"/>
      <c r="DD159" s="385">
        <v>598.61198185659009</v>
      </c>
      <c r="DE159" s="385"/>
      <c r="DF159" s="358"/>
      <c r="DG159" s="385">
        <v>598.61198185659009</v>
      </c>
      <c r="DH159" s="385"/>
      <c r="DI159" s="358"/>
      <c r="DJ159" s="385">
        <v>598.61198185659009</v>
      </c>
      <c r="DK159" s="385"/>
      <c r="DL159" s="358"/>
      <c r="DM159" s="385">
        <v>598.61198185659009</v>
      </c>
      <c r="DN159" s="385"/>
      <c r="DO159" s="358"/>
      <c r="DP159" s="385">
        <v>598.61198185659009</v>
      </c>
      <c r="DQ159" s="385"/>
      <c r="DR159" s="358"/>
      <c r="DS159" s="385">
        <v>598.61198185659009</v>
      </c>
      <c r="DT159" s="385"/>
      <c r="DU159" s="358"/>
      <c r="DV159" s="385">
        <v>598.61198185659009</v>
      </c>
      <c r="DW159" s="385"/>
      <c r="DX159" s="358"/>
      <c r="DY159" s="385">
        <v>598.61198185659009</v>
      </c>
      <c r="DZ159" s="385"/>
      <c r="EA159" s="358"/>
      <c r="EB159" s="385">
        <v>598.61198185659009</v>
      </c>
      <c r="EC159" s="385"/>
      <c r="ED159" s="358"/>
      <c r="EE159" s="385">
        <v>598.61198185659009</v>
      </c>
      <c r="EF159" s="385"/>
      <c r="EG159" s="358"/>
      <c r="EH159" s="385">
        <v>598.61198185659009</v>
      </c>
      <c r="EI159" s="385"/>
      <c r="EJ159" s="358"/>
      <c r="EK159" s="385">
        <v>598.61198185659009</v>
      </c>
      <c r="EL159" s="385"/>
      <c r="EM159" s="358"/>
      <c r="EN159" s="385">
        <v>598.61198185659009</v>
      </c>
      <c r="EO159" s="385"/>
      <c r="EP159" s="358"/>
      <c r="EQ159" s="385">
        <v>598.61198185659009</v>
      </c>
      <c r="ER159" s="385"/>
      <c r="ES159" s="358"/>
      <c r="ET159" s="385">
        <v>598.61198185659009</v>
      </c>
      <c r="EU159" s="385"/>
      <c r="EV159" s="358"/>
      <c r="EW159" s="385">
        <v>598.61198185659009</v>
      </c>
      <c r="EX159" s="385"/>
      <c r="EY159" s="358"/>
      <c r="EZ159" s="385">
        <v>598.61198185659009</v>
      </c>
      <c r="FA159" s="385"/>
      <c r="FB159" s="358"/>
      <c r="FC159" s="385">
        <v>598.61198185659009</v>
      </c>
      <c r="FD159" s="385"/>
      <c r="FE159" s="358"/>
      <c r="FF159" s="385">
        <v>598.61198185659009</v>
      </c>
      <c r="FG159" s="385"/>
      <c r="FH159" s="358"/>
      <c r="FI159" s="385">
        <v>598.61198185659009</v>
      </c>
      <c r="FJ159" s="385"/>
      <c r="FK159" s="358"/>
      <c r="FL159" s="385">
        <v>598.61198185659009</v>
      </c>
      <c r="FM159" s="385"/>
      <c r="FN159" s="358"/>
      <c r="FO159" s="385">
        <v>598.61198185659009</v>
      </c>
      <c r="FP159" s="385"/>
      <c r="FQ159" s="358"/>
      <c r="FR159" s="385">
        <v>598.61198185659009</v>
      </c>
      <c r="FS159" s="385"/>
      <c r="FT159" s="358"/>
      <c r="FU159" s="385">
        <v>598.61198185659009</v>
      </c>
      <c r="FV159" s="385"/>
      <c r="FW159" s="358"/>
      <c r="FX159" s="385">
        <v>598.61198185659009</v>
      </c>
      <c r="FY159" s="385"/>
      <c r="FZ159" s="358"/>
      <c r="GA159" s="385">
        <v>598.61198185659009</v>
      </c>
      <c r="GB159" s="385"/>
      <c r="GC159" s="358"/>
      <c r="GD159" s="385">
        <v>598.61198185659009</v>
      </c>
      <c r="GE159" s="385"/>
      <c r="GF159" s="358"/>
      <c r="GG159" s="385">
        <v>598.61198185659009</v>
      </c>
      <c r="GH159" s="385"/>
      <c r="GI159" s="358"/>
      <c r="GJ159" s="385">
        <v>598.61198185659009</v>
      </c>
      <c r="GK159" s="385"/>
      <c r="GL159" s="358"/>
      <c r="GM159" s="385">
        <v>598.61198185659009</v>
      </c>
      <c r="GN159" s="385"/>
      <c r="GO159" s="358"/>
      <c r="GP159" s="385">
        <v>598.61198185659009</v>
      </c>
      <c r="GQ159" s="385"/>
      <c r="GR159" s="358"/>
      <c r="GS159" s="385">
        <v>598.61198185659009</v>
      </c>
      <c r="GT159" s="385"/>
      <c r="GU159" s="358"/>
      <c r="GV159" s="385">
        <v>598.61198185659009</v>
      </c>
      <c r="GW159" s="385"/>
      <c r="GX159" s="358"/>
      <c r="GY159" s="385">
        <v>598.61198185659009</v>
      </c>
      <c r="GZ159" s="385"/>
      <c r="HA159" s="358"/>
      <c r="HB159" s="385">
        <v>598.61198185659009</v>
      </c>
      <c r="HC159" s="385"/>
      <c r="HD159" s="358"/>
      <c r="HE159" s="387">
        <v>598.61198185659009</v>
      </c>
      <c r="HF159" s="387"/>
      <c r="HG159" s="358"/>
      <c r="HH159" s="387">
        <v>598.61198185659009</v>
      </c>
      <c r="HI159" s="358"/>
      <c r="HJ159" s="387">
        <v>598.61198185659009</v>
      </c>
      <c r="HK159" s="358"/>
      <c r="HL159" s="387">
        <v>598.61198185659009</v>
      </c>
      <c r="HM159" s="358"/>
      <c r="HN159" s="387">
        <v>598.61198185659009</v>
      </c>
      <c r="HO159" s="358"/>
      <c r="HP159" s="387">
        <v>598.61198185659009</v>
      </c>
      <c r="HQ159" s="358"/>
      <c r="HR159" s="387">
        <v>598.61198185659009</v>
      </c>
      <c r="HS159" s="358"/>
      <c r="HT159" s="387">
        <v>598.61198185659009</v>
      </c>
      <c r="HU159" s="358"/>
      <c r="HV159" s="388">
        <v>598.61198185659009</v>
      </c>
      <c r="HW159" s="563"/>
      <c r="HX159" s="564">
        <v>598.61198185659009</v>
      </c>
      <c r="HY159" s="563"/>
      <c r="HZ159" s="565">
        <v>912.63793955185042</v>
      </c>
      <c r="IA159" s="563"/>
      <c r="IB159" s="572"/>
      <c r="IC159" s="566"/>
      <c r="ID159" s="567"/>
      <c r="IE159" s="567"/>
      <c r="IF159" s="567"/>
      <c r="IG159" s="567"/>
      <c r="IH159" s="568"/>
      <c r="II159" s="569"/>
      <c r="IJ159" s="568"/>
      <c r="IK159" s="569"/>
      <c r="IL159" s="568"/>
      <c r="IM159" s="569"/>
      <c r="IN159" s="568"/>
      <c r="IO159" s="569"/>
      <c r="IP159" s="568"/>
      <c r="IQ159" s="569"/>
      <c r="IR159" s="429" t="s">
        <v>2749</v>
      </c>
      <c r="IS159" s="364" t="s">
        <v>77</v>
      </c>
      <c r="IT159" s="365">
        <v>43662</v>
      </c>
      <c r="IU159" s="393">
        <v>43678</v>
      </c>
      <c r="IW159" s="372">
        <f t="shared" si="22"/>
        <v>16</v>
      </c>
      <c r="IX159" s="373">
        <f t="shared" si="23"/>
        <v>29.922555395142638</v>
      </c>
      <c r="IY159" s="531">
        <f t="shared" si="20"/>
        <v>478.7608863222822</v>
      </c>
      <c r="IZ159" s="531"/>
      <c r="JA159" s="531"/>
    </row>
    <row r="160" spans="1:261" s="367" customFormat="1" ht="16.5" customHeight="1" x14ac:dyDescent="0.3">
      <c r="A160" s="354" t="s">
        <v>2743</v>
      </c>
      <c r="B160" s="465" t="s">
        <v>2784</v>
      </c>
      <c r="C160" s="466" t="s">
        <v>1324</v>
      </c>
      <c r="D160" s="467">
        <v>1454</v>
      </c>
      <c r="E160" s="468">
        <v>95</v>
      </c>
      <c r="F160" s="468">
        <v>56</v>
      </c>
      <c r="G160" s="468">
        <v>36</v>
      </c>
      <c r="H160" s="469">
        <v>0</v>
      </c>
      <c r="I160" s="858">
        <f>(1604+480)</f>
        <v>2084</v>
      </c>
      <c r="J160" s="831">
        <f>36</f>
        <v>36</v>
      </c>
      <c r="K160" s="827"/>
      <c r="L160" s="831">
        <v>1564.4564263010345</v>
      </c>
      <c r="M160" s="831">
        <f>36</f>
        <v>36</v>
      </c>
      <c r="N160" s="827"/>
      <c r="O160" s="831">
        <v>1564.4564263010345</v>
      </c>
      <c r="P160" s="831">
        <f>36</f>
        <v>36</v>
      </c>
      <c r="Q160" s="827"/>
      <c r="R160" s="831">
        <v>1564.4564263010345</v>
      </c>
      <c r="S160" s="831">
        <f>36</f>
        <v>36</v>
      </c>
      <c r="T160" s="827"/>
      <c r="U160" s="831">
        <v>1564.4564263010345</v>
      </c>
      <c r="V160" s="831">
        <f>36</f>
        <v>36</v>
      </c>
      <c r="W160" s="827"/>
      <c r="X160" s="831">
        <v>1564.4564263010345</v>
      </c>
      <c r="Y160" s="831">
        <f>36</f>
        <v>36</v>
      </c>
      <c r="Z160" s="827"/>
      <c r="AA160" s="831">
        <v>1564.4564263010345</v>
      </c>
      <c r="AB160" s="831">
        <f>36</f>
        <v>36</v>
      </c>
      <c r="AC160" s="827"/>
      <c r="AD160" s="831">
        <v>1564.4564263010345</v>
      </c>
      <c r="AE160" s="831">
        <f>36</f>
        <v>36</v>
      </c>
      <c r="AF160" s="827"/>
      <c r="AG160" s="831">
        <v>1564.4564263010345</v>
      </c>
      <c r="AH160" s="831">
        <f>36</f>
        <v>36</v>
      </c>
      <c r="AI160" s="827"/>
      <c r="AJ160" s="831">
        <v>1564.4564263010345</v>
      </c>
      <c r="AK160" s="831">
        <f>36</f>
        <v>36</v>
      </c>
      <c r="AL160" s="827"/>
      <c r="AM160" s="831">
        <v>1564.4564263010345</v>
      </c>
      <c r="AN160" s="831">
        <f>36</f>
        <v>36</v>
      </c>
      <c r="AO160" s="827"/>
      <c r="AP160" s="831">
        <v>1564.4564263010345</v>
      </c>
      <c r="AQ160" s="831">
        <f>36</f>
        <v>36</v>
      </c>
      <c r="AR160" s="827"/>
      <c r="AS160" s="831">
        <v>1564.4564263010345</v>
      </c>
      <c r="AT160" s="831">
        <f>36</f>
        <v>36</v>
      </c>
      <c r="AU160" s="827"/>
      <c r="AV160" s="831">
        <v>1564.4564263010345</v>
      </c>
      <c r="AW160" s="831">
        <f>36</f>
        <v>36</v>
      </c>
      <c r="AX160" s="827"/>
      <c r="AY160" s="831">
        <v>1564.4564263010345</v>
      </c>
      <c r="AZ160" s="831">
        <f>36</f>
        <v>36</v>
      </c>
      <c r="BA160" s="358"/>
      <c r="BB160" s="385">
        <v>1564.4564263010345</v>
      </c>
      <c r="BC160" s="385">
        <f>36</f>
        <v>36</v>
      </c>
      <c r="BD160" s="358"/>
      <c r="BE160" s="385">
        <v>1564.4564263010345</v>
      </c>
      <c r="BF160" s="385">
        <f>36</f>
        <v>36</v>
      </c>
      <c r="BG160" s="358"/>
      <c r="BH160" s="385">
        <v>1564.4564263010345</v>
      </c>
      <c r="BI160" s="385">
        <f>36</f>
        <v>36</v>
      </c>
      <c r="BJ160" s="358"/>
      <c r="BK160" s="385">
        <v>1564.4564263010345</v>
      </c>
      <c r="BL160" s="385">
        <f>36</f>
        <v>36</v>
      </c>
      <c r="BM160" s="358"/>
      <c r="BN160" s="385">
        <v>1564.4564263010345</v>
      </c>
      <c r="BO160" s="385">
        <f>36</f>
        <v>36</v>
      </c>
      <c r="BP160" s="358"/>
      <c r="BQ160" s="385">
        <v>1564.4564263010345</v>
      </c>
      <c r="BR160" s="385">
        <f>36</f>
        <v>36</v>
      </c>
      <c r="BS160" s="358"/>
      <c r="BT160" s="385">
        <v>1564.4564263010345</v>
      </c>
      <c r="BU160" s="385">
        <f>36</f>
        <v>36</v>
      </c>
      <c r="BV160" s="358"/>
      <c r="BW160" s="385">
        <v>1564.4564263010345</v>
      </c>
      <c r="BX160" s="385">
        <f>36</f>
        <v>36</v>
      </c>
      <c r="BY160" s="358"/>
      <c r="BZ160" s="385">
        <v>1564.4564263010345</v>
      </c>
      <c r="CA160" s="385">
        <f>36</f>
        <v>36</v>
      </c>
      <c r="CB160" s="358"/>
      <c r="CC160" s="385">
        <v>1564.4564263010345</v>
      </c>
      <c r="CD160" s="385">
        <f>36</f>
        <v>36</v>
      </c>
      <c r="CE160" s="358"/>
      <c r="CF160" s="385">
        <v>1564.4564263010345</v>
      </c>
      <c r="CG160" s="385">
        <f>36</f>
        <v>36</v>
      </c>
      <c r="CH160" s="358"/>
      <c r="CI160" s="385">
        <v>1564.4564263010345</v>
      </c>
      <c r="CJ160" s="385">
        <f>36</f>
        <v>36</v>
      </c>
      <c r="CK160" s="358"/>
      <c r="CL160" s="385">
        <v>1564.4564263010345</v>
      </c>
      <c r="CM160" s="385">
        <f>36</f>
        <v>36</v>
      </c>
      <c r="CN160" s="358"/>
      <c r="CO160" s="385">
        <v>1564.4564263010345</v>
      </c>
      <c r="CP160" s="385">
        <f>36</f>
        <v>36</v>
      </c>
      <c r="CQ160" s="358"/>
      <c r="CR160" s="385">
        <v>1564.4564263010345</v>
      </c>
      <c r="CS160" s="385">
        <f>36</f>
        <v>36</v>
      </c>
      <c r="CT160" s="358"/>
      <c r="CU160" s="385">
        <v>1564.4564263010345</v>
      </c>
      <c r="CV160" s="385">
        <f>36</f>
        <v>36</v>
      </c>
      <c r="CW160" s="358"/>
      <c r="CX160" s="385">
        <v>1564.4564263010345</v>
      </c>
      <c r="CY160" s="385">
        <f>36</f>
        <v>36</v>
      </c>
      <c r="CZ160" s="358"/>
      <c r="DA160" s="385">
        <v>1564.4564263010345</v>
      </c>
      <c r="DB160" s="385">
        <f>36</f>
        <v>36</v>
      </c>
      <c r="DC160" s="358"/>
      <c r="DD160" s="385">
        <v>1564.4564263010345</v>
      </c>
      <c r="DE160" s="385">
        <f>36</f>
        <v>36</v>
      </c>
      <c r="DF160" s="358"/>
      <c r="DG160" s="385">
        <v>1564.4564263010345</v>
      </c>
      <c r="DH160" s="385">
        <f>36</f>
        <v>36</v>
      </c>
      <c r="DI160" s="358"/>
      <c r="DJ160" s="385">
        <v>1564.4564263010345</v>
      </c>
      <c r="DK160" s="385">
        <f>36</f>
        <v>36</v>
      </c>
      <c r="DL160" s="358"/>
      <c r="DM160" s="385">
        <v>1564.4564263010345</v>
      </c>
      <c r="DN160" s="385">
        <f>36</f>
        <v>36</v>
      </c>
      <c r="DO160" s="358"/>
      <c r="DP160" s="385">
        <v>1564.4564263010345</v>
      </c>
      <c r="DQ160" s="385">
        <f>36</f>
        <v>36</v>
      </c>
      <c r="DR160" s="358"/>
      <c r="DS160" s="385">
        <v>1564.4564263010345</v>
      </c>
      <c r="DT160" s="385">
        <f>36</f>
        <v>36</v>
      </c>
      <c r="DU160" s="358"/>
      <c r="DV160" s="385">
        <v>1564.4564263010345</v>
      </c>
      <c r="DW160" s="385">
        <f>36</f>
        <v>36</v>
      </c>
      <c r="DX160" s="358"/>
      <c r="DY160" s="385">
        <v>1564.4564263010345</v>
      </c>
      <c r="DZ160" s="385">
        <f>36</f>
        <v>36</v>
      </c>
      <c r="EA160" s="358"/>
      <c r="EB160" s="385">
        <v>1564.4564263010345</v>
      </c>
      <c r="EC160" s="385">
        <f>36</f>
        <v>36</v>
      </c>
      <c r="ED160" s="358"/>
      <c r="EE160" s="385">
        <v>1564.4564263010345</v>
      </c>
      <c r="EF160" s="385">
        <f>36</f>
        <v>36</v>
      </c>
      <c r="EG160" s="358"/>
      <c r="EH160" s="385">
        <v>1564.4564263010345</v>
      </c>
      <c r="EI160" s="385">
        <f>36</f>
        <v>36</v>
      </c>
      <c r="EJ160" s="358"/>
      <c r="EK160" s="385">
        <v>1564.4564263010345</v>
      </c>
      <c r="EL160" s="385">
        <f>36</f>
        <v>36</v>
      </c>
      <c r="EM160" s="358"/>
      <c r="EN160" s="385">
        <v>1564.4564263010345</v>
      </c>
      <c r="EO160" s="385">
        <f>36</f>
        <v>36</v>
      </c>
      <c r="EP160" s="358"/>
      <c r="EQ160" s="385">
        <v>1564.4564263010345</v>
      </c>
      <c r="ER160" s="385">
        <f>36</f>
        <v>36</v>
      </c>
      <c r="ES160" s="358"/>
      <c r="ET160" s="385">
        <v>1564.4564263010345</v>
      </c>
      <c r="EU160" s="385">
        <f>36</f>
        <v>36</v>
      </c>
      <c r="EV160" s="358"/>
      <c r="EW160" s="385">
        <v>1564.4564263010345</v>
      </c>
      <c r="EX160" s="385">
        <f>36</f>
        <v>36</v>
      </c>
      <c r="EY160" s="358"/>
      <c r="EZ160" s="385">
        <v>1564.4564263010345</v>
      </c>
      <c r="FA160" s="385">
        <f>36</f>
        <v>36</v>
      </c>
      <c r="FB160" s="358"/>
      <c r="FC160" s="385">
        <v>1564.4564263010345</v>
      </c>
      <c r="FD160" s="385">
        <f>36</f>
        <v>36</v>
      </c>
      <c r="FE160" s="358"/>
      <c r="FF160" s="385">
        <v>1564.4564263010345</v>
      </c>
      <c r="FG160" s="385">
        <f>36</f>
        <v>36</v>
      </c>
      <c r="FH160" s="358"/>
      <c r="FI160" s="385">
        <v>1564.4564263010345</v>
      </c>
      <c r="FJ160" s="385">
        <f>36</f>
        <v>36</v>
      </c>
      <c r="FK160" s="358"/>
      <c r="FL160" s="385">
        <v>1564.4564263010345</v>
      </c>
      <c r="FM160" s="385">
        <f>36</f>
        <v>36</v>
      </c>
      <c r="FN160" s="358"/>
      <c r="FO160" s="385">
        <v>1564.4564263010345</v>
      </c>
      <c r="FP160" s="385">
        <f>36</f>
        <v>36</v>
      </c>
      <c r="FQ160" s="358"/>
      <c r="FR160" s="385">
        <v>1564.4564263010345</v>
      </c>
      <c r="FS160" s="385">
        <f>36</f>
        <v>36</v>
      </c>
      <c r="FT160" s="358"/>
      <c r="FU160" s="385">
        <v>1564.4564263010345</v>
      </c>
      <c r="FV160" s="385">
        <f>36</f>
        <v>36</v>
      </c>
      <c r="FW160" s="358"/>
      <c r="FX160" s="385">
        <v>1564.4564263010345</v>
      </c>
      <c r="FY160" s="385">
        <f>36</f>
        <v>36</v>
      </c>
      <c r="FZ160" s="358"/>
      <c r="GA160" s="385">
        <v>1564.4564263010345</v>
      </c>
      <c r="GB160" s="385">
        <f>36</f>
        <v>36</v>
      </c>
      <c r="GC160" s="358"/>
      <c r="GD160" s="385">
        <v>1564.4564263010345</v>
      </c>
      <c r="GE160" s="385">
        <f>36</f>
        <v>36</v>
      </c>
      <c r="GF160" s="358"/>
      <c r="GG160" s="385">
        <v>1564.4564263010345</v>
      </c>
      <c r="GH160" s="385">
        <f>36</f>
        <v>36</v>
      </c>
      <c r="GI160" s="358"/>
      <c r="GJ160" s="385">
        <v>1564.4564263010345</v>
      </c>
      <c r="GK160" s="385">
        <f>36</f>
        <v>36</v>
      </c>
      <c r="GL160" s="358"/>
      <c r="GM160" s="385">
        <v>1564.4564263010345</v>
      </c>
      <c r="GN160" s="385">
        <f>36</f>
        <v>36</v>
      </c>
      <c r="GO160" s="358"/>
      <c r="GP160" s="385">
        <v>1564.4564263010345</v>
      </c>
      <c r="GQ160" s="385">
        <f>36</f>
        <v>36</v>
      </c>
      <c r="GR160" s="358"/>
      <c r="GS160" s="385">
        <v>1564.4564263010345</v>
      </c>
      <c r="GT160" s="385">
        <f>36</f>
        <v>36</v>
      </c>
      <c r="GU160" s="358"/>
      <c r="GV160" s="385">
        <v>1564.4564263010345</v>
      </c>
      <c r="GW160" s="385">
        <f>36</f>
        <v>36</v>
      </c>
      <c r="GX160" s="358"/>
      <c r="GY160" s="385">
        <v>1564.4564263010345</v>
      </c>
      <c r="GZ160" s="385">
        <f>36</f>
        <v>36</v>
      </c>
      <c r="HA160" s="358"/>
      <c r="HB160" s="385">
        <v>1564.4564263010345</v>
      </c>
      <c r="HC160" s="385">
        <f>36</f>
        <v>36</v>
      </c>
      <c r="HD160" s="358"/>
      <c r="HE160" s="387">
        <v>1564.4564263010345</v>
      </c>
      <c r="HF160" s="386">
        <f>36*6</f>
        <v>216</v>
      </c>
      <c r="HG160" s="358"/>
      <c r="HH160" s="387">
        <v>1564.4564263010345</v>
      </c>
      <c r="HI160" s="358"/>
      <c r="HJ160" s="387">
        <v>1564.4564263010345</v>
      </c>
      <c r="HK160" s="358"/>
      <c r="HL160" s="387">
        <v>1564.4564263010345</v>
      </c>
      <c r="HM160" s="358"/>
      <c r="HN160" s="387">
        <v>1564.4564263010345</v>
      </c>
      <c r="HO160" s="358"/>
      <c r="HP160" s="387">
        <v>1564.4564263010345</v>
      </c>
      <c r="HQ160" s="358"/>
      <c r="HR160" s="387">
        <v>1564.4564263010345</v>
      </c>
      <c r="HS160" s="358"/>
      <c r="HT160" s="387">
        <v>1564.4564263010345</v>
      </c>
      <c r="HU160" s="358"/>
      <c r="HV160" s="388">
        <v>1564.4564263010345</v>
      </c>
      <c r="HW160" s="563"/>
      <c r="HX160" s="564">
        <v>1564.4564263010345</v>
      </c>
      <c r="HY160" s="563"/>
      <c r="HZ160" s="565">
        <v>1667.0437329437252</v>
      </c>
      <c r="IA160" s="563"/>
      <c r="IB160" s="572"/>
      <c r="IC160" s="566"/>
      <c r="ID160" s="567"/>
      <c r="IE160" s="567"/>
      <c r="IF160" s="567"/>
      <c r="IG160" s="567"/>
      <c r="IH160" s="568"/>
      <c r="II160" s="569"/>
      <c r="IJ160" s="568"/>
      <c r="IK160" s="569"/>
      <c r="IL160" s="568"/>
      <c r="IM160" s="569"/>
      <c r="IN160" s="568"/>
      <c r="IO160" s="569"/>
      <c r="IP160" s="568"/>
      <c r="IQ160" s="569"/>
      <c r="IR160" s="429" t="s">
        <v>2978</v>
      </c>
      <c r="IS160" s="364" t="s">
        <v>77</v>
      </c>
      <c r="IT160" s="365">
        <v>43676</v>
      </c>
      <c r="IU160" s="393">
        <v>43678</v>
      </c>
      <c r="IW160" s="372">
        <f t="shared" si="22"/>
        <v>2</v>
      </c>
      <c r="IX160" s="373">
        <f t="shared" si="23"/>
        <v>54.657171571925417</v>
      </c>
      <c r="IY160" s="531">
        <f t="shared" si="20"/>
        <v>109.31434314385083</v>
      </c>
      <c r="IZ160" s="531"/>
      <c r="JA160" s="531"/>
    </row>
    <row r="161" spans="1:16266" s="367" customFormat="1" ht="16.5" customHeight="1" x14ac:dyDescent="0.3">
      <c r="A161" s="354" t="s">
        <v>2743</v>
      </c>
      <c r="B161" s="415" t="s">
        <v>2765</v>
      </c>
      <c r="C161" s="447" t="s">
        <v>1273</v>
      </c>
      <c r="D161" s="448">
        <v>1249</v>
      </c>
      <c r="E161" s="449">
        <v>71</v>
      </c>
      <c r="F161" s="449">
        <v>16</v>
      </c>
      <c r="G161" s="449">
        <v>14</v>
      </c>
      <c r="H161" s="450"/>
      <c r="I161" s="830">
        <v>1335.4564263010345</v>
      </c>
      <c r="J161" s="831">
        <f>14</f>
        <v>14</v>
      </c>
      <c r="K161" s="827"/>
      <c r="L161" s="831">
        <v>1335.4564263010345</v>
      </c>
      <c r="M161" s="831">
        <f>14</f>
        <v>14</v>
      </c>
      <c r="N161" s="827"/>
      <c r="O161" s="831">
        <v>1335.4564263010345</v>
      </c>
      <c r="P161" s="831">
        <f>14</f>
        <v>14</v>
      </c>
      <c r="Q161" s="827"/>
      <c r="R161" s="831">
        <v>1335.4564263010345</v>
      </c>
      <c r="S161" s="831">
        <f>14</f>
        <v>14</v>
      </c>
      <c r="T161" s="827"/>
      <c r="U161" s="831">
        <v>1335.4564263010345</v>
      </c>
      <c r="V161" s="831">
        <f>14</f>
        <v>14</v>
      </c>
      <c r="W161" s="827"/>
      <c r="X161" s="831">
        <v>1335.4564263010345</v>
      </c>
      <c r="Y161" s="831">
        <f>14</f>
        <v>14</v>
      </c>
      <c r="Z161" s="827"/>
      <c r="AA161" s="831">
        <v>1335.4564263010345</v>
      </c>
      <c r="AB161" s="831">
        <f>14</f>
        <v>14</v>
      </c>
      <c r="AC161" s="827"/>
      <c r="AD161" s="831">
        <v>1335.4564263010345</v>
      </c>
      <c r="AE161" s="831">
        <f>14</f>
        <v>14</v>
      </c>
      <c r="AF161" s="827"/>
      <c r="AG161" s="831">
        <v>1335.4564263010345</v>
      </c>
      <c r="AH161" s="831">
        <f>14</f>
        <v>14</v>
      </c>
      <c r="AI161" s="827"/>
      <c r="AJ161" s="831">
        <v>1335.4564263010345</v>
      </c>
      <c r="AK161" s="831">
        <f>14</f>
        <v>14</v>
      </c>
      <c r="AL161" s="827"/>
      <c r="AM161" s="831">
        <v>1335.4564263010345</v>
      </c>
      <c r="AN161" s="831">
        <f>14</f>
        <v>14</v>
      </c>
      <c r="AO161" s="827"/>
      <c r="AP161" s="831">
        <v>1335.4564263010345</v>
      </c>
      <c r="AQ161" s="831">
        <f>14</f>
        <v>14</v>
      </c>
      <c r="AR161" s="827"/>
      <c r="AS161" s="831">
        <v>1335.4564263010345</v>
      </c>
      <c r="AT161" s="831">
        <f>14</f>
        <v>14</v>
      </c>
      <c r="AU161" s="827"/>
      <c r="AV161" s="831">
        <v>1335.4564263010345</v>
      </c>
      <c r="AW161" s="831">
        <f>14</f>
        <v>14</v>
      </c>
      <c r="AX161" s="827"/>
      <c r="AY161" s="831">
        <v>1335.4564263010345</v>
      </c>
      <c r="AZ161" s="831">
        <f>14</f>
        <v>14</v>
      </c>
      <c r="BA161" s="358"/>
      <c r="BB161" s="385">
        <v>1335.4564263010345</v>
      </c>
      <c r="BC161" s="385">
        <f>14</f>
        <v>14</v>
      </c>
      <c r="BD161" s="358"/>
      <c r="BE161" s="385">
        <v>1335.4564263010345</v>
      </c>
      <c r="BF161" s="385">
        <f>14</f>
        <v>14</v>
      </c>
      <c r="BG161" s="358"/>
      <c r="BH161" s="385">
        <v>1335.4564263010345</v>
      </c>
      <c r="BI161" s="385">
        <f>14</f>
        <v>14</v>
      </c>
      <c r="BJ161" s="358"/>
      <c r="BK161" s="385">
        <v>1335.4564263010345</v>
      </c>
      <c r="BL161" s="385">
        <f>14</f>
        <v>14</v>
      </c>
      <c r="BM161" s="358"/>
      <c r="BN161" s="385">
        <v>1335.4564263010345</v>
      </c>
      <c r="BO161" s="385">
        <f>14</f>
        <v>14</v>
      </c>
      <c r="BP161" s="358"/>
      <c r="BQ161" s="385">
        <v>1335.4564263010345</v>
      </c>
      <c r="BR161" s="385">
        <f>14</f>
        <v>14</v>
      </c>
      <c r="BS161" s="358"/>
      <c r="BT161" s="385">
        <v>1335.4564263010345</v>
      </c>
      <c r="BU161" s="385">
        <f>14</f>
        <v>14</v>
      </c>
      <c r="BV161" s="358"/>
      <c r="BW161" s="385">
        <v>1335.4564263010345</v>
      </c>
      <c r="BX161" s="385">
        <f>14</f>
        <v>14</v>
      </c>
      <c r="BY161" s="358"/>
      <c r="BZ161" s="385">
        <v>1335.4564263010345</v>
      </c>
      <c r="CA161" s="385">
        <f>14</f>
        <v>14</v>
      </c>
      <c r="CB161" s="358"/>
      <c r="CC161" s="385">
        <v>1335.4564263010345</v>
      </c>
      <c r="CD161" s="385">
        <f>14</f>
        <v>14</v>
      </c>
      <c r="CE161" s="358"/>
      <c r="CF161" s="385">
        <v>1335.4564263010345</v>
      </c>
      <c r="CG161" s="385">
        <f>14</f>
        <v>14</v>
      </c>
      <c r="CH161" s="358"/>
      <c r="CI161" s="385">
        <v>1335.4564263010345</v>
      </c>
      <c r="CJ161" s="385">
        <f>14</f>
        <v>14</v>
      </c>
      <c r="CK161" s="358"/>
      <c r="CL161" s="385">
        <v>1335.4564263010345</v>
      </c>
      <c r="CM161" s="385">
        <f>14</f>
        <v>14</v>
      </c>
      <c r="CN161" s="358"/>
      <c r="CO161" s="385">
        <v>1335.4564263010345</v>
      </c>
      <c r="CP161" s="385">
        <f>14</f>
        <v>14</v>
      </c>
      <c r="CQ161" s="358"/>
      <c r="CR161" s="385">
        <v>1335.4564263010345</v>
      </c>
      <c r="CS161" s="385">
        <f>14</f>
        <v>14</v>
      </c>
      <c r="CT161" s="358"/>
      <c r="CU161" s="385">
        <v>1335.4564263010345</v>
      </c>
      <c r="CV161" s="385">
        <f>14</f>
        <v>14</v>
      </c>
      <c r="CW161" s="358"/>
      <c r="CX161" s="385">
        <v>1335.4564263010345</v>
      </c>
      <c r="CY161" s="385">
        <f>14</f>
        <v>14</v>
      </c>
      <c r="CZ161" s="358"/>
      <c r="DA161" s="385">
        <v>1335.4564263010345</v>
      </c>
      <c r="DB161" s="385">
        <f>14</f>
        <v>14</v>
      </c>
      <c r="DC161" s="358"/>
      <c r="DD161" s="385">
        <v>1335.4564263010345</v>
      </c>
      <c r="DE161" s="385">
        <f>14</f>
        <v>14</v>
      </c>
      <c r="DF161" s="358"/>
      <c r="DG161" s="385">
        <v>1335.4564263010345</v>
      </c>
      <c r="DH161" s="385">
        <f>14</f>
        <v>14</v>
      </c>
      <c r="DI161" s="358"/>
      <c r="DJ161" s="385">
        <v>1335.4564263010345</v>
      </c>
      <c r="DK161" s="385">
        <f>14</f>
        <v>14</v>
      </c>
      <c r="DL161" s="358"/>
      <c r="DM161" s="385">
        <v>1335.4564263010345</v>
      </c>
      <c r="DN161" s="385">
        <f>14</f>
        <v>14</v>
      </c>
      <c r="DO161" s="358"/>
      <c r="DP161" s="385">
        <v>1335.4564263010345</v>
      </c>
      <c r="DQ161" s="385">
        <f>14</f>
        <v>14</v>
      </c>
      <c r="DR161" s="358"/>
      <c r="DS161" s="385">
        <v>1335.4564263010345</v>
      </c>
      <c r="DT161" s="385">
        <f>14</f>
        <v>14</v>
      </c>
      <c r="DU161" s="358"/>
      <c r="DV161" s="385">
        <v>1335.4564263010345</v>
      </c>
      <c r="DW161" s="385">
        <f>14</f>
        <v>14</v>
      </c>
      <c r="DX161" s="358"/>
      <c r="DY161" s="385">
        <v>1335.4564263010345</v>
      </c>
      <c r="DZ161" s="385">
        <f>14</f>
        <v>14</v>
      </c>
      <c r="EA161" s="358"/>
      <c r="EB161" s="385">
        <v>1335.4564263010345</v>
      </c>
      <c r="EC161" s="385">
        <f>14</f>
        <v>14</v>
      </c>
      <c r="ED161" s="358"/>
      <c r="EE161" s="385">
        <v>1335.4564263010345</v>
      </c>
      <c r="EF161" s="385">
        <f>14</f>
        <v>14</v>
      </c>
      <c r="EG161" s="358"/>
      <c r="EH161" s="385">
        <v>1335.4564263010345</v>
      </c>
      <c r="EI161" s="385">
        <f>14</f>
        <v>14</v>
      </c>
      <c r="EJ161" s="358"/>
      <c r="EK161" s="385">
        <v>1335.4564263010345</v>
      </c>
      <c r="EL161" s="385">
        <f>14</f>
        <v>14</v>
      </c>
      <c r="EM161" s="358"/>
      <c r="EN161" s="385">
        <v>1335.4564263010345</v>
      </c>
      <c r="EO161" s="385">
        <f>14</f>
        <v>14</v>
      </c>
      <c r="EP161" s="358"/>
      <c r="EQ161" s="385">
        <v>1335.4564263010345</v>
      </c>
      <c r="ER161" s="385">
        <f>14</f>
        <v>14</v>
      </c>
      <c r="ES161" s="358"/>
      <c r="ET161" s="385">
        <v>1335.4564263010345</v>
      </c>
      <c r="EU161" s="385">
        <f>14</f>
        <v>14</v>
      </c>
      <c r="EV161" s="358"/>
      <c r="EW161" s="385">
        <v>1335.4564263010345</v>
      </c>
      <c r="EX161" s="385">
        <f>14</f>
        <v>14</v>
      </c>
      <c r="EY161" s="358"/>
      <c r="EZ161" s="385">
        <v>1335.4564263010345</v>
      </c>
      <c r="FA161" s="385">
        <f>14</f>
        <v>14</v>
      </c>
      <c r="FB161" s="358"/>
      <c r="FC161" s="385">
        <v>1335.4564263010345</v>
      </c>
      <c r="FD161" s="385">
        <f>14</f>
        <v>14</v>
      </c>
      <c r="FE161" s="358"/>
      <c r="FF161" s="385">
        <v>1335.4564263010345</v>
      </c>
      <c r="FG161" s="385">
        <f>14</f>
        <v>14</v>
      </c>
      <c r="FH161" s="358"/>
      <c r="FI161" s="385">
        <v>1335.4564263010345</v>
      </c>
      <c r="FJ161" s="385">
        <f>14</f>
        <v>14</v>
      </c>
      <c r="FK161" s="358"/>
      <c r="FL161" s="385">
        <v>1335.4564263010345</v>
      </c>
      <c r="FM161" s="385">
        <f>14</f>
        <v>14</v>
      </c>
      <c r="FN161" s="358"/>
      <c r="FO161" s="385">
        <v>1335.4564263010345</v>
      </c>
      <c r="FP161" s="385">
        <f>14</f>
        <v>14</v>
      </c>
      <c r="FQ161" s="358"/>
      <c r="FR161" s="385">
        <v>1335.4564263010345</v>
      </c>
      <c r="FS161" s="385">
        <f>14</f>
        <v>14</v>
      </c>
      <c r="FT161" s="358"/>
      <c r="FU161" s="385">
        <v>1335.4564263010345</v>
      </c>
      <c r="FV161" s="385">
        <f>14</f>
        <v>14</v>
      </c>
      <c r="FW161" s="358"/>
      <c r="FX161" s="385">
        <v>1335.4564263010345</v>
      </c>
      <c r="FY161" s="385">
        <f>14</f>
        <v>14</v>
      </c>
      <c r="FZ161" s="358"/>
      <c r="GA161" s="385">
        <v>1335.4564263010345</v>
      </c>
      <c r="GB161" s="385">
        <f>14</f>
        <v>14</v>
      </c>
      <c r="GC161" s="358"/>
      <c r="GD161" s="385">
        <v>1335.4564263010345</v>
      </c>
      <c r="GE161" s="385">
        <f>14</f>
        <v>14</v>
      </c>
      <c r="GF161" s="358"/>
      <c r="GG161" s="385">
        <v>1335.4564263010345</v>
      </c>
      <c r="GH161" s="385">
        <f>14</f>
        <v>14</v>
      </c>
      <c r="GI161" s="358"/>
      <c r="GJ161" s="385">
        <v>1335.4564263010345</v>
      </c>
      <c r="GK161" s="385">
        <f>14</f>
        <v>14</v>
      </c>
      <c r="GL161" s="358"/>
      <c r="GM161" s="385">
        <v>1335.4564263010345</v>
      </c>
      <c r="GN161" s="385">
        <f>14</f>
        <v>14</v>
      </c>
      <c r="GO161" s="358"/>
      <c r="GP161" s="385">
        <v>1335.4564263010345</v>
      </c>
      <c r="GQ161" s="385">
        <f>14</f>
        <v>14</v>
      </c>
      <c r="GR161" s="358"/>
      <c r="GS161" s="385">
        <v>1335.4564263010345</v>
      </c>
      <c r="GT161" s="385">
        <f>14</f>
        <v>14</v>
      </c>
      <c r="GU161" s="358"/>
      <c r="GV161" s="385">
        <v>1335.4564263010345</v>
      </c>
      <c r="GW161" s="385">
        <f>14</f>
        <v>14</v>
      </c>
      <c r="GX161" s="358"/>
      <c r="GY161" s="385">
        <v>1335.4564263010345</v>
      </c>
      <c r="GZ161" s="385">
        <f>14</f>
        <v>14</v>
      </c>
      <c r="HA161" s="358"/>
      <c r="HB161" s="385">
        <v>1335.4564263010345</v>
      </c>
      <c r="HC161" s="385">
        <f>14</f>
        <v>14</v>
      </c>
      <c r="HD161" s="358"/>
      <c r="HE161" s="387">
        <v>1335.4564263010345</v>
      </c>
      <c r="HF161" s="386">
        <f>14*6</f>
        <v>84</v>
      </c>
      <c r="HG161" s="370">
        <v>0</v>
      </c>
      <c r="HH161" s="387">
        <v>1335.4564263010345</v>
      </c>
      <c r="HI161" s="369">
        <v>65.615106286748087</v>
      </c>
      <c r="HJ161" s="387">
        <v>1335.4564263010345</v>
      </c>
      <c r="HK161" s="369">
        <v>65.615106286748087</v>
      </c>
      <c r="HL161" s="387">
        <v>1335.4564263010345</v>
      </c>
      <c r="HM161" s="369">
        <v>65.615106286748087</v>
      </c>
      <c r="HN161" s="387">
        <v>1335.4564263010345</v>
      </c>
      <c r="HO161" s="369">
        <v>65.615106286748087</v>
      </c>
      <c r="HP161" s="387">
        <v>1335.4564263010345</v>
      </c>
      <c r="HQ161" s="369">
        <v>65.615106286748087</v>
      </c>
      <c r="HR161" s="387">
        <v>1335.4564263010345</v>
      </c>
      <c r="HS161" s="369">
        <v>65.615106286748087</v>
      </c>
      <c r="HT161" s="387">
        <v>1335.4564263010345</v>
      </c>
      <c r="HU161" s="369">
        <v>65.615106286748087</v>
      </c>
      <c r="HV161" s="388">
        <v>1335.4564263010345</v>
      </c>
      <c r="HW161" s="570">
        <v>66</v>
      </c>
      <c r="HX161" s="564">
        <v>1335.4564263010345</v>
      </c>
      <c r="HY161" s="570">
        <v>66</v>
      </c>
      <c r="HZ161" s="565">
        <v>1729.5255357013398</v>
      </c>
      <c r="IA161" s="571">
        <v>84.976940928739324</v>
      </c>
      <c r="IB161" s="572"/>
      <c r="IC161" s="566"/>
      <c r="ID161" s="567"/>
      <c r="IE161" s="567"/>
      <c r="IF161" s="567"/>
      <c r="IG161" s="567"/>
      <c r="IH161" s="568"/>
      <c r="II161" s="569"/>
      <c r="IJ161" s="568"/>
      <c r="IK161" s="569"/>
      <c r="IL161" s="568"/>
      <c r="IM161" s="569"/>
      <c r="IN161" s="568"/>
      <c r="IO161" s="569"/>
      <c r="IP161" s="568"/>
      <c r="IQ161" s="569"/>
      <c r="IR161" s="429" t="s">
        <v>2971</v>
      </c>
      <c r="IS161" s="364" t="s">
        <v>77</v>
      </c>
      <c r="IT161" s="365">
        <v>43669</v>
      </c>
      <c r="IU161" s="393">
        <v>43678</v>
      </c>
      <c r="IW161" s="372">
        <f t="shared" si="22"/>
        <v>9</v>
      </c>
      <c r="IX161" s="373">
        <f t="shared" si="23"/>
        <v>56.70575526889639</v>
      </c>
      <c r="IY161" s="531">
        <f t="shared" si="20"/>
        <v>510.3517974200675</v>
      </c>
      <c r="IZ161" s="531"/>
      <c r="JA161" s="531"/>
    </row>
    <row r="162" spans="1:16266" s="367" customFormat="1" ht="16.5" customHeight="1" x14ac:dyDescent="0.3">
      <c r="A162" s="401" t="s">
        <v>3315</v>
      </c>
      <c r="B162" s="402" t="s">
        <v>3315</v>
      </c>
      <c r="C162" s="434" t="s">
        <v>3384</v>
      </c>
      <c r="D162" s="856"/>
      <c r="E162" s="751"/>
      <c r="F162" s="751"/>
      <c r="G162" s="751"/>
      <c r="H162" s="857"/>
      <c r="I162" s="853">
        <v>0</v>
      </c>
      <c r="J162" s="833">
        <v>0</v>
      </c>
      <c r="K162" s="833">
        <v>0</v>
      </c>
      <c r="L162" s="833">
        <v>0</v>
      </c>
      <c r="M162" s="833">
        <v>0</v>
      </c>
      <c r="N162" s="833">
        <v>0</v>
      </c>
      <c r="O162" s="833">
        <v>0</v>
      </c>
      <c r="P162" s="833">
        <v>0</v>
      </c>
      <c r="Q162" s="833">
        <v>0</v>
      </c>
      <c r="R162" s="833">
        <v>0</v>
      </c>
      <c r="S162" s="833">
        <v>0</v>
      </c>
      <c r="T162" s="833">
        <v>0</v>
      </c>
      <c r="U162" s="833">
        <v>0</v>
      </c>
      <c r="V162" s="833">
        <v>0</v>
      </c>
      <c r="W162" s="833">
        <v>0</v>
      </c>
      <c r="X162" s="833">
        <v>0</v>
      </c>
      <c r="Y162" s="833">
        <v>0</v>
      </c>
      <c r="Z162" s="833">
        <v>0</v>
      </c>
      <c r="AA162" s="833">
        <v>0</v>
      </c>
      <c r="AB162" s="833">
        <v>0</v>
      </c>
      <c r="AC162" s="833">
        <v>0</v>
      </c>
      <c r="AD162" s="833">
        <v>0</v>
      </c>
      <c r="AE162" s="833">
        <v>0</v>
      </c>
      <c r="AF162" s="833">
        <v>0</v>
      </c>
      <c r="AG162" s="833">
        <v>0</v>
      </c>
      <c r="AH162" s="833">
        <v>0</v>
      </c>
      <c r="AI162" s="833">
        <v>0</v>
      </c>
      <c r="AJ162" s="833">
        <v>0</v>
      </c>
      <c r="AK162" s="833">
        <v>0</v>
      </c>
      <c r="AL162" s="833">
        <v>0</v>
      </c>
      <c r="AM162" s="833">
        <v>0</v>
      </c>
      <c r="AN162" s="833">
        <v>0</v>
      </c>
      <c r="AO162" s="833">
        <v>0</v>
      </c>
      <c r="AP162" s="833">
        <v>0</v>
      </c>
      <c r="AQ162" s="833">
        <v>0</v>
      </c>
      <c r="AR162" s="833">
        <v>0</v>
      </c>
      <c r="AS162" s="833">
        <v>0</v>
      </c>
      <c r="AT162" s="833">
        <v>0</v>
      </c>
      <c r="AU162" s="833">
        <v>0</v>
      </c>
      <c r="AV162" s="833"/>
      <c r="AW162" s="833"/>
      <c r="AX162" s="833"/>
      <c r="AY162" s="833"/>
      <c r="AZ162" s="833"/>
      <c r="BA162" s="455"/>
      <c r="BB162" s="404"/>
      <c r="BC162" s="404"/>
      <c r="BD162" s="455"/>
      <c r="BE162" s="404"/>
      <c r="BF162" s="404"/>
      <c r="BG162" s="455"/>
      <c r="BH162" s="404"/>
      <c r="BI162" s="404"/>
      <c r="BJ162" s="455"/>
      <c r="BK162" s="404"/>
      <c r="BL162" s="404"/>
      <c r="BM162" s="455"/>
      <c r="BN162" s="404"/>
      <c r="BO162" s="404"/>
      <c r="BP162" s="455"/>
      <c r="BQ162" s="404"/>
      <c r="BR162" s="404"/>
      <c r="BS162" s="455"/>
      <c r="BT162" s="404"/>
      <c r="BU162" s="404"/>
      <c r="BV162" s="455"/>
      <c r="BW162" s="404"/>
      <c r="BX162" s="404"/>
      <c r="BY162" s="455"/>
      <c r="BZ162" s="404"/>
      <c r="CA162" s="404"/>
      <c r="CB162" s="455"/>
      <c r="CC162" s="404"/>
      <c r="CD162" s="404"/>
      <c r="CE162" s="455"/>
      <c r="CF162" s="404"/>
      <c r="CG162" s="404"/>
      <c r="CH162" s="455"/>
      <c r="CI162" s="404"/>
      <c r="CJ162" s="404"/>
      <c r="CK162" s="455"/>
      <c r="CL162" s="404"/>
      <c r="CM162" s="404"/>
      <c r="CN162" s="455"/>
      <c r="CO162" s="404"/>
      <c r="CP162" s="404"/>
      <c r="CQ162" s="455"/>
      <c r="CR162" s="404"/>
      <c r="CS162" s="404"/>
      <c r="CT162" s="455"/>
      <c r="CU162" s="404"/>
      <c r="CV162" s="404"/>
      <c r="CW162" s="455"/>
      <c r="CX162" s="404"/>
      <c r="CY162" s="404"/>
      <c r="CZ162" s="455"/>
      <c r="DA162" s="404"/>
      <c r="DB162" s="404"/>
      <c r="DC162" s="455"/>
      <c r="DD162" s="404"/>
      <c r="DE162" s="404"/>
      <c r="DF162" s="455"/>
      <c r="DG162" s="404"/>
      <c r="DH162" s="404"/>
      <c r="DI162" s="455"/>
      <c r="DJ162" s="404"/>
      <c r="DK162" s="404"/>
      <c r="DL162" s="455"/>
      <c r="DM162" s="404"/>
      <c r="DN162" s="404"/>
      <c r="DO162" s="455"/>
      <c r="DP162" s="404"/>
      <c r="DQ162" s="404"/>
      <c r="DR162" s="455"/>
      <c r="DS162" s="404"/>
      <c r="DT162" s="404"/>
      <c r="DU162" s="455"/>
      <c r="DV162" s="404"/>
      <c r="DW162" s="404"/>
      <c r="DX162" s="455"/>
      <c r="DY162" s="404"/>
      <c r="DZ162" s="404"/>
      <c r="EA162" s="455"/>
      <c r="EB162" s="404"/>
      <c r="EC162" s="404"/>
      <c r="ED162" s="455"/>
      <c r="EE162" s="404"/>
      <c r="EF162" s="404"/>
      <c r="EG162" s="455"/>
      <c r="EH162" s="404"/>
      <c r="EI162" s="404"/>
      <c r="EJ162" s="455"/>
      <c r="EK162" s="404"/>
      <c r="EL162" s="404"/>
      <c r="EM162" s="455"/>
      <c r="EN162" s="404"/>
      <c r="EO162" s="404"/>
      <c r="EP162" s="455"/>
      <c r="EQ162" s="404"/>
      <c r="ER162" s="404"/>
      <c r="ES162" s="455"/>
      <c r="ET162" s="404"/>
      <c r="EU162" s="404"/>
      <c r="EV162" s="455"/>
      <c r="EW162" s="404"/>
      <c r="EX162" s="404"/>
      <c r="EY162" s="455"/>
      <c r="EZ162" s="404"/>
      <c r="FA162" s="404"/>
      <c r="FB162" s="455"/>
      <c r="FC162" s="404"/>
      <c r="FD162" s="404"/>
      <c r="FE162" s="455"/>
      <c r="FF162" s="404"/>
      <c r="FG162" s="404"/>
      <c r="FH162" s="455"/>
      <c r="FI162" s="404"/>
      <c r="FJ162" s="404"/>
      <c r="FK162" s="455"/>
      <c r="FL162" s="404"/>
      <c r="FM162" s="404"/>
      <c r="FN162" s="455"/>
      <c r="FO162" s="404"/>
      <c r="FP162" s="404"/>
      <c r="FQ162" s="455"/>
      <c r="FR162" s="404"/>
      <c r="FS162" s="404"/>
      <c r="FT162" s="455"/>
      <c r="FU162" s="404"/>
      <c r="FV162" s="404"/>
      <c r="FW162" s="455"/>
      <c r="FX162" s="404"/>
      <c r="FY162" s="404"/>
      <c r="FZ162" s="455"/>
      <c r="GA162" s="404"/>
      <c r="GB162" s="404"/>
      <c r="GC162" s="455"/>
      <c r="GD162" s="404"/>
      <c r="GE162" s="404"/>
      <c r="GF162" s="455"/>
      <c r="GG162" s="404"/>
      <c r="GH162" s="404"/>
      <c r="GI162" s="455"/>
      <c r="GJ162" s="404"/>
      <c r="GK162" s="404"/>
      <c r="GL162" s="455"/>
      <c r="GM162" s="404"/>
      <c r="GN162" s="404"/>
      <c r="GO162" s="455"/>
      <c r="GP162" s="404"/>
      <c r="GQ162" s="404"/>
      <c r="GR162" s="455"/>
      <c r="GS162" s="404"/>
      <c r="GT162" s="404"/>
      <c r="GU162" s="455"/>
      <c r="GV162" s="385">
        <v>1335.4564263010345</v>
      </c>
      <c r="GW162" s="385">
        <f>14</f>
        <v>14</v>
      </c>
      <c r="GX162" s="358"/>
      <c r="GY162" s="385">
        <v>1335.4564263010345</v>
      </c>
      <c r="GZ162" s="385">
        <f>14</f>
        <v>14</v>
      </c>
      <c r="HA162" s="358"/>
      <c r="HB162" s="385">
        <v>1335.4564263010345</v>
      </c>
      <c r="HC162" s="385">
        <f>14</f>
        <v>14</v>
      </c>
      <c r="HD162" s="358"/>
      <c r="HE162" s="387">
        <v>1335.4564263010345</v>
      </c>
      <c r="HF162" s="386">
        <f>14*6</f>
        <v>84</v>
      </c>
      <c r="HG162" s="358"/>
      <c r="HH162" s="387">
        <v>1335.4564263010345</v>
      </c>
      <c r="HI162" s="358"/>
      <c r="HJ162" s="387">
        <v>1335.4564263010345</v>
      </c>
      <c r="HK162" s="358"/>
      <c r="HL162" s="387">
        <v>1335.4564263010345</v>
      </c>
      <c r="HM162" s="358"/>
      <c r="HN162" s="387">
        <v>1335.4564263010345</v>
      </c>
      <c r="HO162" s="358"/>
      <c r="HP162" s="387">
        <v>1335.4564263010345</v>
      </c>
      <c r="HQ162" s="358"/>
      <c r="HR162" s="387">
        <v>1335.4564263010345</v>
      </c>
      <c r="HS162" s="358"/>
      <c r="HT162" s="387">
        <v>1335.4564263010345</v>
      </c>
      <c r="HU162" s="358"/>
      <c r="HV162" s="388">
        <v>1335.4564263010345</v>
      </c>
      <c r="HW162" s="563"/>
      <c r="HX162" s="564">
        <v>1335.4564263010345</v>
      </c>
      <c r="HY162" s="563"/>
      <c r="HZ162" s="565">
        <v>1948.4528187015094</v>
      </c>
      <c r="IA162" s="563"/>
      <c r="IB162" s="572"/>
      <c r="IC162" s="566"/>
      <c r="ID162" s="567"/>
      <c r="IE162" s="567"/>
      <c r="IF162" s="567"/>
      <c r="IG162" s="567"/>
      <c r="IH162" s="568"/>
      <c r="II162" s="569"/>
      <c r="IJ162" s="568"/>
      <c r="IK162" s="569"/>
      <c r="IL162" s="568"/>
      <c r="IM162" s="569"/>
      <c r="IN162" s="568"/>
      <c r="IO162" s="569"/>
      <c r="IP162" s="568"/>
      <c r="IQ162" s="569"/>
      <c r="IR162" s="429" t="s">
        <v>3385</v>
      </c>
      <c r="IS162" s="364" t="s">
        <v>77</v>
      </c>
      <c r="IT162" s="365">
        <v>43664</v>
      </c>
      <c r="IU162" s="393">
        <v>43678</v>
      </c>
      <c r="IW162" s="372">
        <f t="shared" si="22"/>
        <v>14</v>
      </c>
      <c r="IX162" s="373">
        <f t="shared" si="23"/>
        <v>63.883698973819982</v>
      </c>
      <c r="IY162" s="531">
        <f t="shared" si="20"/>
        <v>894.3717856334797</v>
      </c>
      <c r="IZ162" s="531"/>
      <c r="JA162" s="531"/>
    </row>
    <row r="163" spans="1:16266" s="367" customFormat="1" ht="16.5" customHeight="1" x14ac:dyDescent="0.3">
      <c r="A163" s="354" t="s">
        <v>2743</v>
      </c>
      <c r="B163" s="415" t="s">
        <v>2916</v>
      </c>
      <c r="C163" s="466" t="s">
        <v>1349</v>
      </c>
      <c r="D163" s="467">
        <v>645</v>
      </c>
      <c r="E163" s="468">
        <v>24</v>
      </c>
      <c r="F163" s="468">
        <v>0</v>
      </c>
      <c r="G163" s="468">
        <v>0</v>
      </c>
      <c r="H163" s="469">
        <v>66</v>
      </c>
      <c r="I163" s="841">
        <v>669.45642630103453</v>
      </c>
      <c r="J163" s="831"/>
      <c r="K163" s="831">
        <v>66</v>
      </c>
      <c r="L163" s="835">
        <v>669.45642630103453</v>
      </c>
      <c r="M163" s="831"/>
      <c r="N163" s="831">
        <v>66</v>
      </c>
      <c r="O163" s="835">
        <v>669.45642630103453</v>
      </c>
      <c r="P163" s="831"/>
      <c r="Q163" s="831">
        <v>66</v>
      </c>
      <c r="R163" s="835">
        <v>669.45642630103453</v>
      </c>
      <c r="S163" s="831"/>
      <c r="T163" s="831">
        <v>66</v>
      </c>
      <c r="U163" s="835">
        <v>669.45642630103453</v>
      </c>
      <c r="V163" s="831"/>
      <c r="W163" s="831">
        <v>66</v>
      </c>
      <c r="X163" s="835">
        <v>669.45642630103453</v>
      </c>
      <c r="Y163" s="831"/>
      <c r="Z163" s="831">
        <v>66</v>
      </c>
      <c r="AA163" s="835">
        <v>669.45642630103453</v>
      </c>
      <c r="AB163" s="831"/>
      <c r="AC163" s="831">
        <v>66</v>
      </c>
      <c r="AD163" s="835">
        <v>669.45642630103453</v>
      </c>
      <c r="AE163" s="831"/>
      <c r="AF163" s="831">
        <v>66</v>
      </c>
      <c r="AG163" s="835">
        <v>669.45642630103453</v>
      </c>
      <c r="AH163" s="831"/>
      <c r="AI163" s="831">
        <v>66</v>
      </c>
      <c r="AJ163" s="835">
        <v>669.45642630103453</v>
      </c>
      <c r="AK163" s="831"/>
      <c r="AL163" s="831">
        <v>66</v>
      </c>
      <c r="AM163" s="835">
        <v>669.45642630103453</v>
      </c>
      <c r="AN163" s="831"/>
      <c r="AO163" s="831">
        <v>66</v>
      </c>
      <c r="AP163" s="835">
        <v>669.45642630103453</v>
      </c>
      <c r="AQ163" s="831"/>
      <c r="AR163" s="831">
        <v>66</v>
      </c>
      <c r="AS163" s="881">
        <v>669.45642630103453</v>
      </c>
      <c r="AT163" s="831"/>
      <c r="AU163" s="831">
        <v>66</v>
      </c>
      <c r="AV163" s="831">
        <v>669.45642630103453</v>
      </c>
      <c r="AW163" s="831"/>
      <c r="AX163" s="831">
        <v>66</v>
      </c>
      <c r="AY163" s="831">
        <v>669.45642630103453</v>
      </c>
      <c r="AZ163" s="831"/>
      <c r="BA163" s="369">
        <v>66</v>
      </c>
      <c r="BB163" s="385">
        <v>669.45642630103453</v>
      </c>
      <c r="BC163" s="385"/>
      <c r="BD163" s="369">
        <v>66</v>
      </c>
      <c r="BE163" s="385">
        <v>669.45642630103453</v>
      </c>
      <c r="BF163" s="385"/>
      <c r="BG163" s="369">
        <v>66</v>
      </c>
      <c r="BH163" s="385">
        <v>669.45642630103453</v>
      </c>
      <c r="BI163" s="385"/>
      <c r="BJ163" s="369">
        <v>66</v>
      </c>
      <c r="BK163" s="385">
        <v>669.45642630103453</v>
      </c>
      <c r="BL163" s="385"/>
      <c r="BM163" s="369">
        <v>66</v>
      </c>
      <c r="BN163" s="385">
        <v>669.45642630103453</v>
      </c>
      <c r="BO163" s="385"/>
      <c r="BP163" s="369">
        <v>66</v>
      </c>
      <c r="BQ163" s="385">
        <v>669.45642630103453</v>
      </c>
      <c r="BR163" s="385"/>
      <c r="BS163" s="369">
        <v>66</v>
      </c>
      <c r="BT163" s="385">
        <v>669.45642630103453</v>
      </c>
      <c r="BU163" s="385"/>
      <c r="BV163" s="369">
        <v>66</v>
      </c>
      <c r="BW163" s="385">
        <v>669.45642630103453</v>
      </c>
      <c r="BX163" s="385"/>
      <c r="BY163" s="369">
        <v>66</v>
      </c>
      <c r="BZ163" s="385">
        <v>669.45642630103453</v>
      </c>
      <c r="CA163" s="385"/>
      <c r="CB163" s="369">
        <v>66</v>
      </c>
      <c r="CC163" s="385">
        <v>669.45642630103453</v>
      </c>
      <c r="CD163" s="385"/>
      <c r="CE163" s="369">
        <v>66</v>
      </c>
      <c r="CF163" s="385">
        <v>669.45642630103453</v>
      </c>
      <c r="CG163" s="385"/>
      <c r="CH163" s="369">
        <v>66</v>
      </c>
      <c r="CI163" s="385">
        <v>669.45642630103453</v>
      </c>
      <c r="CJ163" s="385"/>
      <c r="CK163" s="369">
        <v>66</v>
      </c>
      <c r="CL163" s="385">
        <v>669.45642630103453</v>
      </c>
      <c r="CM163" s="385"/>
      <c r="CN163" s="369">
        <v>66</v>
      </c>
      <c r="CO163" s="385">
        <v>669.45642630103453</v>
      </c>
      <c r="CP163" s="385"/>
      <c r="CQ163" s="369">
        <v>66</v>
      </c>
      <c r="CR163" s="385">
        <v>669.45642630103453</v>
      </c>
      <c r="CS163" s="385"/>
      <c r="CT163" s="369">
        <v>66</v>
      </c>
      <c r="CU163" s="385">
        <v>669.45642630103453</v>
      </c>
      <c r="CV163" s="385"/>
      <c r="CW163" s="369">
        <v>66</v>
      </c>
      <c r="CX163" s="385">
        <v>669.45642630103453</v>
      </c>
      <c r="CY163" s="385"/>
      <c r="CZ163" s="369">
        <v>66</v>
      </c>
      <c r="DA163" s="385">
        <v>669.45642630103453</v>
      </c>
      <c r="DB163" s="385"/>
      <c r="DC163" s="369">
        <v>66</v>
      </c>
      <c r="DD163" s="385">
        <v>669.45642630103453</v>
      </c>
      <c r="DE163" s="385"/>
      <c r="DF163" s="369">
        <v>66</v>
      </c>
      <c r="DG163" s="385">
        <v>669.45642630103453</v>
      </c>
      <c r="DH163" s="385"/>
      <c r="DI163" s="369">
        <v>66</v>
      </c>
      <c r="DJ163" s="385">
        <v>669.45642630103453</v>
      </c>
      <c r="DK163" s="385"/>
      <c r="DL163" s="369">
        <v>66</v>
      </c>
      <c r="DM163" s="385">
        <v>669.45642630103453</v>
      </c>
      <c r="DN163" s="385"/>
      <c r="DO163" s="369">
        <v>66</v>
      </c>
      <c r="DP163" s="385">
        <v>669.45642630103453</v>
      </c>
      <c r="DQ163" s="385"/>
      <c r="DR163" s="369">
        <v>66</v>
      </c>
      <c r="DS163" s="385">
        <v>669.45642630103453</v>
      </c>
      <c r="DT163" s="385"/>
      <c r="DU163" s="369">
        <v>66</v>
      </c>
      <c r="DV163" s="385">
        <v>669.45642630103453</v>
      </c>
      <c r="DW163" s="385"/>
      <c r="DX163" s="369">
        <v>66</v>
      </c>
      <c r="DY163" s="385">
        <v>669.45642630103453</v>
      </c>
      <c r="DZ163" s="385"/>
      <c r="EA163" s="369">
        <v>66</v>
      </c>
      <c r="EB163" s="385">
        <v>669.45642630103453</v>
      </c>
      <c r="EC163" s="385"/>
      <c r="ED163" s="369">
        <v>66</v>
      </c>
      <c r="EE163" s="385">
        <v>669.45642630103453</v>
      </c>
      <c r="EF163" s="385"/>
      <c r="EG163" s="369">
        <v>66</v>
      </c>
      <c r="EH163" s="385">
        <v>669.45642630103453</v>
      </c>
      <c r="EI163" s="385"/>
      <c r="EJ163" s="369">
        <v>66</v>
      </c>
      <c r="EK163" s="385">
        <v>669.45642630103453</v>
      </c>
      <c r="EL163" s="385"/>
      <c r="EM163" s="369">
        <v>66</v>
      </c>
      <c r="EN163" s="385">
        <v>669.45642630103453</v>
      </c>
      <c r="EO163" s="385"/>
      <c r="EP163" s="369">
        <v>66</v>
      </c>
      <c r="EQ163" s="385">
        <v>669.45642630103453</v>
      </c>
      <c r="ER163" s="385"/>
      <c r="ES163" s="369">
        <v>66</v>
      </c>
      <c r="ET163" s="385">
        <v>669.45642630103453</v>
      </c>
      <c r="EU163" s="385"/>
      <c r="EV163" s="369">
        <v>66</v>
      </c>
      <c r="EW163" s="385">
        <v>669.45642630103453</v>
      </c>
      <c r="EX163" s="385"/>
      <c r="EY163" s="369">
        <v>66</v>
      </c>
      <c r="EZ163" s="385">
        <v>669.45642630103453</v>
      </c>
      <c r="FA163" s="385"/>
      <c r="FB163" s="369">
        <v>66</v>
      </c>
      <c r="FC163" s="385">
        <v>669.45642630103453</v>
      </c>
      <c r="FD163" s="385"/>
      <c r="FE163" s="369">
        <v>66</v>
      </c>
      <c r="FF163" s="385">
        <v>669.45642630103453</v>
      </c>
      <c r="FG163" s="385"/>
      <c r="FH163" s="369">
        <v>66</v>
      </c>
      <c r="FI163" s="385">
        <v>669.45642630103453</v>
      </c>
      <c r="FJ163" s="385"/>
      <c r="FK163" s="369">
        <v>66</v>
      </c>
      <c r="FL163" s="385">
        <v>669.45642630103453</v>
      </c>
      <c r="FM163" s="385"/>
      <c r="FN163" s="369">
        <v>66</v>
      </c>
      <c r="FO163" s="385">
        <v>669.45642630103453</v>
      </c>
      <c r="FP163" s="385"/>
      <c r="FQ163" s="369">
        <v>66</v>
      </c>
      <c r="FR163" s="385">
        <v>669.45642630103453</v>
      </c>
      <c r="FS163" s="385"/>
      <c r="FT163" s="369">
        <v>66</v>
      </c>
      <c r="FU163" s="386">
        <v>669.45642630103453</v>
      </c>
      <c r="FV163" s="386"/>
      <c r="FW163" s="370">
        <v>66</v>
      </c>
      <c r="FX163" s="387">
        <v>669.45642630103453</v>
      </c>
      <c r="FY163" s="387"/>
      <c r="FZ163" s="358"/>
      <c r="GA163" s="387">
        <v>669.45642630103453</v>
      </c>
      <c r="GB163" s="387"/>
      <c r="GC163" s="358"/>
      <c r="GD163" s="387">
        <v>669.45642630103453</v>
      </c>
      <c r="GE163" s="387"/>
      <c r="GF163" s="358"/>
      <c r="GG163" s="387">
        <v>669.45642630103453</v>
      </c>
      <c r="GH163" s="387"/>
      <c r="GI163" s="358"/>
      <c r="GJ163" s="387">
        <v>669.45642630103453</v>
      </c>
      <c r="GK163" s="387"/>
      <c r="GL163" s="358"/>
      <c r="GM163" s="387">
        <v>669.45642630103453</v>
      </c>
      <c r="GN163" s="387"/>
      <c r="GO163" s="358"/>
      <c r="GP163" s="387">
        <v>669.45642630103453</v>
      </c>
      <c r="GQ163" s="387"/>
      <c r="GR163" s="358"/>
      <c r="GS163" s="387">
        <v>669.45642630103453</v>
      </c>
      <c r="GT163" s="387"/>
      <c r="GU163" s="358"/>
      <c r="GV163" s="387">
        <v>669.45642630103453</v>
      </c>
      <c r="GW163" s="387"/>
      <c r="GX163" s="358"/>
      <c r="GY163" s="387">
        <v>669.45642630103453</v>
      </c>
      <c r="GZ163" s="387"/>
      <c r="HA163" s="358"/>
      <c r="HB163" s="387">
        <v>669.45642630103453</v>
      </c>
      <c r="HC163" s="387"/>
      <c r="HD163" s="358"/>
      <c r="HE163" s="387">
        <v>669.45642630103453</v>
      </c>
      <c r="HF163" s="387"/>
      <c r="HG163" s="358"/>
      <c r="HH163" s="387">
        <v>669.45642630103453</v>
      </c>
      <c r="HI163" s="358"/>
      <c r="HJ163" s="387">
        <v>669.45642630103453</v>
      </c>
      <c r="HK163" s="358"/>
      <c r="HL163" s="387">
        <v>669.45642630103453</v>
      </c>
      <c r="HM163" s="358"/>
      <c r="HN163" s="387">
        <v>669.45642630103453</v>
      </c>
      <c r="HO163" s="358"/>
      <c r="HP163" s="387">
        <v>669.45642630103453</v>
      </c>
      <c r="HQ163" s="358"/>
      <c r="HR163" s="387">
        <v>669.45642630103453</v>
      </c>
      <c r="HS163" s="358"/>
      <c r="HT163" s="387">
        <v>669.45642630103453</v>
      </c>
      <c r="HU163" s="358"/>
      <c r="HV163" s="388">
        <v>669.45642630103453</v>
      </c>
      <c r="HW163" s="563"/>
      <c r="HX163" s="564">
        <v>669.45642630103453</v>
      </c>
      <c r="HY163" s="563"/>
      <c r="HZ163" s="565">
        <v>845.05155451114194</v>
      </c>
      <c r="IA163" s="563"/>
      <c r="IB163" s="572"/>
      <c r="IC163" s="566"/>
      <c r="ID163" s="567"/>
      <c r="IE163" s="567"/>
      <c r="IF163" s="567"/>
      <c r="IG163" s="567"/>
      <c r="IH163" s="568"/>
      <c r="II163" s="569"/>
      <c r="IJ163" s="568"/>
      <c r="IK163" s="569"/>
      <c r="IL163" s="568"/>
      <c r="IM163" s="569"/>
      <c r="IN163" s="568"/>
      <c r="IO163" s="569"/>
      <c r="IP163" s="568"/>
      <c r="IQ163" s="569"/>
      <c r="IR163" s="429" t="s">
        <v>2924</v>
      </c>
      <c r="IS163" s="364" t="s">
        <v>77</v>
      </c>
      <c r="IT163" s="365">
        <v>43670</v>
      </c>
      <c r="IU163" s="562">
        <v>43678</v>
      </c>
      <c r="IV163" s="562">
        <v>44348</v>
      </c>
      <c r="IW163" s="372">
        <f t="shared" si="22"/>
        <v>8</v>
      </c>
      <c r="IX163" s="373">
        <f t="shared" si="23"/>
        <v>27.706608344627604</v>
      </c>
      <c r="IY163" s="531">
        <f t="shared" si="20"/>
        <v>221.65286675702083</v>
      </c>
      <c r="IZ163" s="531"/>
      <c r="JA163" s="531"/>
    </row>
    <row r="164" spans="1:16266" s="367" customFormat="1" ht="16.5" customHeight="1" x14ac:dyDescent="0.3">
      <c r="A164" s="354" t="s">
        <v>2743</v>
      </c>
      <c r="B164" s="415" t="s">
        <v>2906</v>
      </c>
      <c r="C164" s="466" t="s">
        <v>2436</v>
      </c>
      <c r="D164" s="467">
        <v>479</v>
      </c>
      <c r="E164" s="468">
        <v>24</v>
      </c>
      <c r="F164" s="468">
        <v>0</v>
      </c>
      <c r="G164" s="468">
        <v>0</v>
      </c>
      <c r="H164" s="469">
        <v>66</v>
      </c>
      <c r="I164" s="841">
        <v>503</v>
      </c>
      <c r="J164" s="831"/>
      <c r="K164" s="831">
        <v>66</v>
      </c>
      <c r="L164" s="835">
        <v>503</v>
      </c>
      <c r="M164" s="831"/>
      <c r="N164" s="831">
        <v>66</v>
      </c>
      <c r="O164" s="835">
        <v>503</v>
      </c>
      <c r="P164" s="831"/>
      <c r="Q164" s="831">
        <v>66</v>
      </c>
      <c r="R164" s="835">
        <v>503</v>
      </c>
      <c r="S164" s="831"/>
      <c r="T164" s="831">
        <v>66</v>
      </c>
      <c r="U164" s="835">
        <v>503</v>
      </c>
      <c r="V164" s="831"/>
      <c r="W164" s="831">
        <v>66</v>
      </c>
      <c r="X164" s="835">
        <v>503</v>
      </c>
      <c r="Y164" s="831"/>
      <c r="Z164" s="831">
        <v>66</v>
      </c>
      <c r="AA164" s="835">
        <v>503</v>
      </c>
      <c r="AB164" s="831"/>
      <c r="AC164" s="831">
        <v>66</v>
      </c>
      <c r="AD164" s="835">
        <v>503</v>
      </c>
      <c r="AE164" s="831"/>
      <c r="AF164" s="831">
        <v>66</v>
      </c>
      <c r="AG164" s="835">
        <v>503</v>
      </c>
      <c r="AH164" s="831"/>
      <c r="AI164" s="831">
        <v>66</v>
      </c>
      <c r="AJ164" s="835">
        <v>503</v>
      </c>
      <c r="AK164" s="831"/>
      <c r="AL164" s="831">
        <v>66</v>
      </c>
      <c r="AM164" s="835">
        <v>503</v>
      </c>
      <c r="AN164" s="831"/>
      <c r="AO164" s="831">
        <v>66</v>
      </c>
      <c r="AP164" s="835">
        <v>503</v>
      </c>
      <c r="AQ164" s="831"/>
      <c r="AR164" s="831">
        <v>66</v>
      </c>
      <c r="AS164" s="881">
        <f>((503-418)/30.5)*31+503</f>
        <v>589.39344262295083</v>
      </c>
      <c r="AT164" s="831"/>
      <c r="AU164" s="831">
        <v>66</v>
      </c>
      <c r="AV164" s="831">
        <v>417.65642630103451</v>
      </c>
      <c r="AW164" s="831"/>
      <c r="AX164" s="831">
        <v>66</v>
      </c>
      <c r="AY164" s="831">
        <v>417.65642630103451</v>
      </c>
      <c r="AZ164" s="831"/>
      <c r="BA164" s="369">
        <v>66</v>
      </c>
      <c r="BB164" s="385">
        <v>417.65642630103451</v>
      </c>
      <c r="BC164" s="385"/>
      <c r="BD164" s="369">
        <v>66</v>
      </c>
      <c r="BE164" s="385">
        <v>417.65642630103451</v>
      </c>
      <c r="BF164" s="385"/>
      <c r="BG164" s="369">
        <v>66</v>
      </c>
      <c r="BH164" s="385">
        <v>417.65642630103451</v>
      </c>
      <c r="BI164" s="385"/>
      <c r="BJ164" s="369">
        <v>66</v>
      </c>
      <c r="BK164" s="385">
        <v>417.65642630103451</v>
      </c>
      <c r="BL164" s="385"/>
      <c r="BM164" s="369">
        <v>66</v>
      </c>
      <c r="BN164" s="385">
        <v>417.65642630103451</v>
      </c>
      <c r="BO164" s="385"/>
      <c r="BP164" s="369">
        <v>66</v>
      </c>
      <c r="BQ164" s="385">
        <v>417.65642630103451</v>
      </c>
      <c r="BR164" s="385"/>
      <c r="BS164" s="369">
        <v>66</v>
      </c>
      <c r="BT164" s="385">
        <v>417.65642630103451</v>
      </c>
      <c r="BU164" s="385"/>
      <c r="BV164" s="369">
        <v>66</v>
      </c>
      <c r="BW164" s="385">
        <v>417.65642630103451</v>
      </c>
      <c r="BX164" s="385"/>
      <c r="BY164" s="369">
        <v>66</v>
      </c>
      <c r="BZ164" s="385">
        <v>417.65642630103451</v>
      </c>
      <c r="CA164" s="385"/>
      <c r="CB164" s="369">
        <v>66</v>
      </c>
      <c r="CC164" s="385">
        <v>417.65642630103451</v>
      </c>
      <c r="CD164" s="385"/>
      <c r="CE164" s="369">
        <v>66</v>
      </c>
      <c r="CF164" s="385">
        <v>417.65642630103451</v>
      </c>
      <c r="CG164" s="385"/>
      <c r="CH164" s="369">
        <v>66</v>
      </c>
      <c r="CI164" s="385">
        <v>417.65642630103451</v>
      </c>
      <c r="CJ164" s="385"/>
      <c r="CK164" s="369">
        <v>66</v>
      </c>
      <c r="CL164" s="385">
        <v>417.65642630103451</v>
      </c>
      <c r="CM164" s="385"/>
      <c r="CN164" s="369">
        <v>66</v>
      </c>
      <c r="CO164" s="385">
        <v>417.65642630103451</v>
      </c>
      <c r="CP164" s="385"/>
      <c r="CQ164" s="369">
        <v>66</v>
      </c>
      <c r="CR164" s="385">
        <v>417.65642630103451</v>
      </c>
      <c r="CS164" s="385"/>
      <c r="CT164" s="369">
        <v>66</v>
      </c>
      <c r="CU164" s="385">
        <v>417.65642630103451</v>
      </c>
      <c r="CV164" s="385"/>
      <c r="CW164" s="369">
        <v>66</v>
      </c>
      <c r="CX164" s="385">
        <v>417.65642630103451</v>
      </c>
      <c r="CY164" s="385"/>
      <c r="CZ164" s="369">
        <v>66</v>
      </c>
      <c r="DA164" s="385">
        <v>417.65642630103451</v>
      </c>
      <c r="DB164" s="385"/>
      <c r="DC164" s="369">
        <v>66</v>
      </c>
      <c r="DD164" s="385">
        <v>417.65642630103451</v>
      </c>
      <c r="DE164" s="385"/>
      <c r="DF164" s="369">
        <v>66</v>
      </c>
      <c r="DG164" s="385">
        <v>417.65642630103451</v>
      </c>
      <c r="DH164" s="385"/>
      <c r="DI164" s="369">
        <v>66</v>
      </c>
      <c r="DJ164" s="385">
        <v>417.65642630103451</v>
      </c>
      <c r="DK164" s="385"/>
      <c r="DL164" s="369">
        <v>66</v>
      </c>
      <c r="DM164" s="385">
        <v>417.65642630103451</v>
      </c>
      <c r="DN164" s="385"/>
      <c r="DO164" s="369">
        <v>66</v>
      </c>
      <c r="DP164" s="385">
        <v>417.65642630103451</v>
      </c>
      <c r="DQ164" s="385"/>
      <c r="DR164" s="369">
        <v>66</v>
      </c>
      <c r="DS164" s="385">
        <v>417.65642630103451</v>
      </c>
      <c r="DT164" s="385"/>
      <c r="DU164" s="369">
        <v>66</v>
      </c>
      <c r="DV164" s="385">
        <v>417.65642630103451</v>
      </c>
      <c r="DW164" s="385"/>
      <c r="DX164" s="369">
        <v>66</v>
      </c>
      <c r="DY164" s="385">
        <v>417.65642630103451</v>
      </c>
      <c r="DZ164" s="385"/>
      <c r="EA164" s="369">
        <v>66</v>
      </c>
      <c r="EB164" s="385">
        <v>417.65642630103451</v>
      </c>
      <c r="EC164" s="385"/>
      <c r="ED164" s="369">
        <v>66</v>
      </c>
      <c r="EE164" s="385">
        <v>417.65642630103451</v>
      </c>
      <c r="EF164" s="385"/>
      <c r="EG164" s="369">
        <v>66</v>
      </c>
      <c r="EH164" s="385">
        <v>417.65642630103451</v>
      </c>
      <c r="EI164" s="385"/>
      <c r="EJ164" s="369">
        <v>66</v>
      </c>
      <c r="EK164" s="385">
        <v>417.65642630103451</v>
      </c>
      <c r="EL164" s="385"/>
      <c r="EM164" s="369">
        <v>66</v>
      </c>
      <c r="EN164" s="385">
        <v>417.65642630103451</v>
      </c>
      <c r="EO164" s="385"/>
      <c r="EP164" s="369">
        <v>66</v>
      </c>
      <c r="EQ164" s="385">
        <v>417.65642630103451</v>
      </c>
      <c r="ER164" s="385"/>
      <c r="ES164" s="369">
        <v>66</v>
      </c>
      <c r="ET164" s="385">
        <v>417.65642630103451</v>
      </c>
      <c r="EU164" s="385"/>
      <c r="EV164" s="369">
        <v>66</v>
      </c>
      <c r="EW164" s="385">
        <v>417.65642630103451</v>
      </c>
      <c r="EX164" s="385"/>
      <c r="EY164" s="369">
        <v>66</v>
      </c>
      <c r="EZ164" s="385">
        <v>417.65642630103451</v>
      </c>
      <c r="FA164" s="385"/>
      <c r="FB164" s="369">
        <v>66</v>
      </c>
      <c r="FC164" s="385">
        <v>417.65642630103451</v>
      </c>
      <c r="FD164" s="385"/>
      <c r="FE164" s="369">
        <v>66</v>
      </c>
      <c r="FF164" s="385">
        <v>417.65642630103451</v>
      </c>
      <c r="FG164" s="385"/>
      <c r="FH164" s="369">
        <v>66</v>
      </c>
      <c r="FI164" s="385">
        <v>417.65642630103451</v>
      </c>
      <c r="FJ164" s="385"/>
      <c r="FK164" s="369">
        <v>66</v>
      </c>
      <c r="FL164" s="385">
        <v>417.65642630103451</v>
      </c>
      <c r="FM164" s="385"/>
      <c r="FN164" s="369">
        <v>66</v>
      </c>
      <c r="FO164" s="385">
        <v>417.65642630103451</v>
      </c>
      <c r="FP164" s="385"/>
      <c r="FQ164" s="369">
        <v>66</v>
      </c>
      <c r="FR164" s="385">
        <v>417.65642630103451</v>
      </c>
      <c r="FS164" s="385"/>
      <c r="FT164" s="369">
        <v>66</v>
      </c>
      <c r="FU164" s="386">
        <v>417.65642630103451</v>
      </c>
      <c r="FV164" s="386"/>
      <c r="FW164" s="370">
        <v>66</v>
      </c>
      <c r="FX164" s="387">
        <v>417.65642630103451</v>
      </c>
      <c r="FY164" s="387"/>
      <c r="FZ164" s="358"/>
      <c r="GA164" s="387">
        <v>417.65642630103451</v>
      </c>
      <c r="GB164" s="387"/>
      <c r="GC164" s="358"/>
      <c r="GD164" s="387">
        <v>417.65642630103451</v>
      </c>
      <c r="GE164" s="387"/>
      <c r="GF164" s="358"/>
      <c r="GG164" s="387">
        <v>417.65642630103451</v>
      </c>
      <c r="GH164" s="387"/>
      <c r="GI164" s="358"/>
      <c r="GJ164" s="387">
        <v>417.65642630103451</v>
      </c>
      <c r="GK164" s="387"/>
      <c r="GL164" s="358"/>
      <c r="GM164" s="387">
        <v>417.65642630103451</v>
      </c>
      <c r="GN164" s="387"/>
      <c r="GO164" s="358"/>
      <c r="GP164" s="387">
        <v>417.65642630103451</v>
      </c>
      <c r="GQ164" s="387"/>
      <c r="GR164" s="358"/>
      <c r="GS164" s="387">
        <v>417.65642630103451</v>
      </c>
      <c r="GT164" s="387"/>
      <c r="GU164" s="358"/>
      <c r="GV164" s="387">
        <v>417.65642630103451</v>
      </c>
      <c r="GW164" s="387"/>
      <c r="GX164" s="358"/>
      <c r="GY164" s="387">
        <v>417.65642630103451</v>
      </c>
      <c r="GZ164" s="387"/>
      <c r="HA164" s="358"/>
      <c r="HB164" s="387">
        <v>417.65642630103451</v>
      </c>
      <c r="HC164" s="387"/>
      <c r="HD164" s="358"/>
      <c r="HE164" s="387">
        <v>417.65642630103451</v>
      </c>
      <c r="HF164" s="387"/>
      <c r="HG164" s="358"/>
      <c r="HH164" s="387">
        <v>417.65642630103451</v>
      </c>
      <c r="HI164" s="358"/>
      <c r="HJ164" s="387">
        <v>417.65642630103451</v>
      </c>
      <c r="HK164" s="358"/>
      <c r="HL164" s="387">
        <v>417.65642630103451</v>
      </c>
      <c r="HM164" s="358"/>
      <c r="HN164" s="387">
        <v>417.65642630103451</v>
      </c>
      <c r="HO164" s="358"/>
      <c r="HP164" s="387">
        <v>417.65642630103451</v>
      </c>
      <c r="HQ164" s="358"/>
      <c r="HR164" s="387">
        <v>417.65642630103451</v>
      </c>
      <c r="HS164" s="358"/>
      <c r="HT164" s="387">
        <v>417.65642630103451</v>
      </c>
      <c r="HU164" s="358"/>
      <c r="HV164" s="388">
        <v>417.65642630103451</v>
      </c>
      <c r="HW164" s="563"/>
      <c r="HX164" s="564">
        <v>417.65642630103451</v>
      </c>
      <c r="HY164" s="563"/>
      <c r="HZ164" s="565">
        <v>431.35007962237989</v>
      </c>
      <c r="IA164" s="563"/>
      <c r="IB164" s="572"/>
      <c r="IC164" s="566"/>
      <c r="ID164" s="567"/>
      <c r="IE164" s="567"/>
      <c r="IF164" s="567"/>
      <c r="IG164" s="567"/>
      <c r="IH164" s="568"/>
      <c r="II164" s="569"/>
      <c r="IJ164" s="568"/>
      <c r="IK164" s="569"/>
      <c r="IL164" s="568"/>
      <c r="IM164" s="569"/>
      <c r="IN164" s="568"/>
      <c r="IO164" s="569"/>
      <c r="IP164" s="568"/>
      <c r="IQ164" s="569"/>
      <c r="IR164" s="429" t="s">
        <v>2911</v>
      </c>
      <c r="IS164" s="364" t="s">
        <v>77</v>
      </c>
      <c r="IT164" s="365">
        <v>43677</v>
      </c>
      <c r="IU164" s="562">
        <v>43678</v>
      </c>
      <c r="IV164" s="562">
        <v>44348</v>
      </c>
      <c r="IW164" s="372">
        <f t="shared" si="22"/>
        <v>1</v>
      </c>
      <c r="IX164" s="373">
        <f t="shared" si="23"/>
        <v>14.142625561389504</v>
      </c>
      <c r="IY164" s="531">
        <f t="shared" si="20"/>
        <v>14.142625561389504</v>
      </c>
      <c r="IZ164" s="531"/>
      <c r="JA164" s="531"/>
    </row>
    <row r="165" spans="1:16266" s="367" customFormat="1" ht="16.5" customHeight="1" x14ac:dyDescent="0.3">
      <c r="A165" s="401" t="s">
        <v>3315</v>
      </c>
      <c r="B165" s="402" t="s">
        <v>3315</v>
      </c>
      <c r="C165" s="434" t="s">
        <v>3386</v>
      </c>
      <c r="D165" s="856"/>
      <c r="E165" s="751"/>
      <c r="F165" s="751"/>
      <c r="G165" s="751"/>
      <c r="H165" s="857"/>
      <c r="I165" s="853">
        <v>0</v>
      </c>
      <c r="J165" s="833">
        <v>0</v>
      </c>
      <c r="K165" s="833">
        <v>0</v>
      </c>
      <c r="L165" s="833">
        <v>0</v>
      </c>
      <c r="M165" s="833">
        <v>0</v>
      </c>
      <c r="N165" s="833">
        <v>0</v>
      </c>
      <c r="O165" s="833">
        <v>0</v>
      </c>
      <c r="P165" s="833">
        <v>0</v>
      </c>
      <c r="Q165" s="833">
        <v>0</v>
      </c>
      <c r="R165" s="833">
        <v>0</v>
      </c>
      <c r="S165" s="833">
        <v>0</v>
      </c>
      <c r="T165" s="833">
        <v>0</v>
      </c>
      <c r="U165" s="833">
        <v>0</v>
      </c>
      <c r="V165" s="833">
        <v>0</v>
      </c>
      <c r="W165" s="833">
        <v>0</v>
      </c>
      <c r="X165" s="833">
        <v>0</v>
      </c>
      <c r="Y165" s="833">
        <v>0</v>
      </c>
      <c r="Z165" s="833">
        <v>0</v>
      </c>
      <c r="AA165" s="833">
        <v>0</v>
      </c>
      <c r="AB165" s="833">
        <v>0</v>
      </c>
      <c r="AC165" s="833">
        <v>0</v>
      </c>
      <c r="AD165" s="833">
        <v>0</v>
      </c>
      <c r="AE165" s="833">
        <v>0</v>
      </c>
      <c r="AF165" s="833">
        <v>0</v>
      </c>
      <c r="AG165" s="833">
        <v>0</v>
      </c>
      <c r="AH165" s="833">
        <v>0</v>
      </c>
      <c r="AI165" s="833">
        <v>0</v>
      </c>
      <c r="AJ165" s="833">
        <v>0</v>
      </c>
      <c r="AK165" s="833">
        <v>0</v>
      </c>
      <c r="AL165" s="833">
        <v>0</v>
      </c>
      <c r="AM165" s="833">
        <v>0</v>
      </c>
      <c r="AN165" s="833">
        <v>0</v>
      </c>
      <c r="AO165" s="833">
        <v>0</v>
      </c>
      <c r="AP165" s="833">
        <v>0</v>
      </c>
      <c r="AQ165" s="833">
        <v>0</v>
      </c>
      <c r="AR165" s="833">
        <v>0</v>
      </c>
      <c r="AS165" s="833">
        <v>0</v>
      </c>
      <c r="AT165" s="833">
        <v>0</v>
      </c>
      <c r="AU165" s="833">
        <v>0</v>
      </c>
      <c r="AV165" s="833"/>
      <c r="AW165" s="833"/>
      <c r="AX165" s="833"/>
      <c r="AY165" s="833"/>
      <c r="AZ165" s="833"/>
      <c r="BA165" s="455"/>
      <c r="BB165" s="404"/>
      <c r="BC165" s="404"/>
      <c r="BD165" s="455"/>
      <c r="BE165" s="404"/>
      <c r="BF165" s="404"/>
      <c r="BG165" s="455"/>
      <c r="BH165" s="404"/>
      <c r="BI165" s="404"/>
      <c r="BJ165" s="455"/>
      <c r="BK165" s="404"/>
      <c r="BL165" s="404"/>
      <c r="BM165" s="455"/>
      <c r="BN165" s="404"/>
      <c r="BO165" s="404"/>
      <c r="BP165" s="455"/>
      <c r="BQ165" s="404"/>
      <c r="BR165" s="404"/>
      <c r="BS165" s="455"/>
      <c r="BT165" s="404"/>
      <c r="BU165" s="404"/>
      <c r="BV165" s="455"/>
      <c r="BW165" s="404"/>
      <c r="BX165" s="404"/>
      <c r="BY165" s="455"/>
      <c r="BZ165" s="404"/>
      <c r="CA165" s="404"/>
      <c r="CB165" s="455"/>
      <c r="CC165" s="404"/>
      <c r="CD165" s="404"/>
      <c r="CE165" s="455"/>
      <c r="CF165" s="404"/>
      <c r="CG165" s="404"/>
      <c r="CH165" s="455"/>
      <c r="CI165" s="404"/>
      <c r="CJ165" s="404"/>
      <c r="CK165" s="455"/>
      <c r="CL165" s="404"/>
      <c r="CM165" s="404"/>
      <c r="CN165" s="455"/>
      <c r="CO165" s="404"/>
      <c r="CP165" s="404"/>
      <c r="CQ165" s="455"/>
      <c r="CR165" s="404"/>
      <c r="CS165" s="404"/>
      <c r="CT165" s="455"/>
      <c r="CU165" s="404"/>
      <c r="CV165" s="404"/>
      <c r="CW165" s="455"/>
      <c r="CX165" s="404"/>
      <c r="CY165" s="404"/>
      <c r="CZ165" s="455"/>
      <c r="DA165" s="404"/>
      <c r="DB165" s="404"/>
      <c r="DC165" s="455"/>
      <c r="DD165" s="404"/>
      <c r="DE165" s="404"/>
      <c r="DF165" s="455"/>
      <c r="DG165" s="404"/>
      <c r="DH165" s="404"/>
      <c r="DI165" s="455"/>
      <c r="DJ165" s="404"/>
      <c r="DK165" s="404"/>
      <c r="DL165" s="455"/>
      <c r="DM165" s="404"/>
      <c r="DN165" s="404"/>
      <c r="DO165" s="455"/>
      <c r="DP165" s="404"/>
      <c r="DQ165" s="404"/>
      <c r="DR165" s="455"/>
      <c r="DS165" s="404"/>
      <c r="DT165" s="404"/>
      <c r="DU165" s="455"/>
      <c r="DV165" s="404"/>
      <c r="DW165" s="404"/>
      <c r="DX165" s="455"/>
      <c r="DY165" s="404"/>
      <c r="DZ165" s="404"/>
      <c r="EA165" s="455"/>
      <c r="EB165" s="404"/>
      <c r="EC165" s="404"/>
      <c r="ED165" s="455"/>
      <c r="EE165" s="404"/>
      <c r="EF165" s="404"/>
      <c r="EG165" s="455"/>
      <c r="EH165" s="404"/>
      <c r="EI165" s="404"/>
      <c r="EJ165" s="455"/>
      <c r="EK165" s="385">
        <v>1650.8564263010346</v>
      </c>
      <c r="EL165" s="385">
        <f>36</f>
        <v>36</v>
      </c>
      <c r="EM165" s="358"/>
      <c r="EN165" s="385">
        <v>1650.8564263010346</v>
      </c>
      <c r="EO165" s="385">
        <f>36</f>
        <v>36</v>
      </c>
      <c r="EP165" s="358"/>
      <c r="EQ165" s="385">
        <v>1650.8564263010346</v>
      </c>
      <c r="ER165" s="385">
        <f>36</f>
        <v>36</v>
      </c>
      <c r="ES165" s="358"/>
      <c r="ET165" s="385">
        <v>1650.8564263010346</v>
      </c>
      <c r="EU165" s="385">
        <f>36</f>
        <v>36</v>
      </c>
      <c r="EV165" s="358"/>
      <c r="EW165" s="385">
        <v>1650.8564263010346</v>
      </c>
      <c r="EX165" s="385">
        <f>36</f>
        <v>36</v>
      </c>
      <c r="EY165" s="358"/>
      <c r="EZ165" s="385">
        <v>1650.8564263010346</v>
      </c>
      <c r="FA165" s="385">
        <f>36</f>
        <v>36</v>
      </c>
      <c r="FB165" s="358"/>
      <c r="FC165" s="385">
        <v>1650.8564263010346</v>
      </c>
      <c r="FD165" s="385">
        <f>36</f>
        <v>36</v>
      </c>
      <c r="FE165" s="358"/>
      <c r="FF165" s="385">
        <v>1650.8564263010346</v>
      </c>
      <c r="FG165" s="385">
        <f>36</f>
        <v>36</v>
      </c>
      <c r="FH165" s="358"/>
      <c r="FI165" s="385">
        <v>1650.8564263010346</v>
      </c>
      <c r="FJ165" s="385">
        <f>36</f>
        <v>36</v>
      </c>
      <c r="FK165" s="358"/>
      <c r="FL165" s="385">
        <v>1650.8564263010346</v>
      </c>
      <c r="FM165" s="385">
        <f>36</f>
        <v>36</v>
      </c>
      <c r="FN165" s="358"/>
      <c r="FO165" s="385">
        <v>1650.8564263010346</v>
      </c>
      <c r="FP165" s="385">
        <f>36</f>
        <v>36</v>
      </c>
      <c r="FQ165" s="358"/>
      <c r="FR165" s="385">
        <v>1650.8564263010346</v>
      </c>
      <c r="FS165" s="385">
        <f>36</f>
        <v>36</v>
      </c>
      <c r="FT165" s="358"/>
      <c r="FU165" s="385">
        <v>1650.8564263010346</v>
      </c>
      <c r="FV165" s="385">
        <f>36</f>
        <v>36</v>
      </c>
      <c r="FW165" s="358"/>
      <c r="FX165" s="385">
        <v>1650.8564263010346</v>
      </c>
      <c r="FY165" s="385">
        <f>36</f>
        <v>36</v>
      </c>
      <c r="FZ165" s="358"/>
      <c r="GA165" s="385">
        <v>1650.8564263010346</v>
      </c>
      <c r="GB165" s="385">
        <f>36</f>
        <v>36</v>
      </c>
      <c r="GC165" s="358"/>
      <c r="GD165" s="385">
        <v>1650.8564263010346</v>
      </c>
      <c r="GE165" s="385">
        <f>36</f>
        <v>36</v>
      </c>
      <c r="GF165" s="358"/>
      <c r="GG165" s="385">
        <v>1650.8564263010346</v>
      </c>
      <c r="GH165" s="385">
        <f>36</f>
        <v>36</v>
      </c>
      <c r="GI165" s="358"/>
      <c r="GJ165" s="385">
        <v>1650.8564263010346</v>
      </c>
      <c r="GK165" s="385">
        <f>36</f>
        <v>36</v>
      </c>
      <c r="GL165" s="358"/>
      <c r="GM165" s="385">
        <v>1650.8564263010346</v>
      </c>
      <c r="GN165" s="385">
        <f>36</f>
        <v>36</v>
      </c>
      <c r="GO165" s="358"/>
      <c r="GP165" s="385">
        <v>1650.8564263010346</v>
      </c>
      <c r="GQ165" s="385">
        <f>36</f>
        <v>36</v>
      </c>
      <c r="GR165" s="358"/>
      <c r="GS165" s="385">
        <v>1650.8564263010346</v>
      </c>
      <c r="GT165" s="385">
        <f>36</f>
        <v>36</v>
      </c>
      <c r="GU165" s="358"/>
      <c r="GV165" s="385">
        <v>1650.8564263010346</v>
      </c>
      <c r="GW165" s="385">
        <f>36</f>
        <v>36</v>
      </c>
      <c r="GX165" s="358"/>
      <c r="GY165" s="385">
        <v>1650.8564263010346</v>
      </c>
      <c r="GZ165" s="385">
        <f>36</f>
        <v>36</v>
      </c>
      <c r="HA165" s="358"/>
      <c r="HB165" s="385">
        <v>1650.8564263010346</v>
      </c>
      <c r="HC165" s="385">
        <f>36</f>
        <v>36</v>
      </c>
      <c r="HD165" s="358"/>
      <c r="HE165" s="387">
        <v>1650.8564263010346</v>
      </c>
      <c r="HF165" s="386">
        <f>36*6</f>
        <v>216</v>
      </c>
      <c r="HG165" s="358"/>
      <c r="HH165" s="387">
        <v>1650.8564263010346</v>
      </c>
      <c r="HI165" s="358"/>
      <c r="HJ165" s="387">
        <v>1650.8564263010346</v>
      </c>
      <c r="HK165" s="358"/>
      <c r="HL165" s="387">
        <v>1650.8564263010346</v>
      </c>
      <c r="HM165" s="358"/>
      <c r="HN165" s="387">
        <v>1650.8564263010346</v>
      </c>
      <c r="HO165" s="358"/>
      <c r="HP165" s="387">
        <v>1650.8564263010346</v>
      </c>
      <c r="HQ165" s="358"/>
      <c r="HR165" s="387">
        <v>1650.8564263010346</v>
      </c>
      <c r="HS165" s="358"/>
      <c r="HT165" s="387">
        <v>1650.8564263010346</v>
      </c>
      <c r="HU165" s="358"/>
      <c r="HV165" s="388">
        <v>1650.8564263010346</v>
      </c>
      <c r="HW165" s="563"/>
      <c r="HX165" s="564">
        <v>1650.8564263010346</v>
      </c>
      <c r="HY165" s="563"/>
      <c r="HZ165" s="565">
        <v>3302</v>
      </c>
      <c r="IA165" s="563"/>
      <c r="IB165" s="572"/>
      <c r="IC165" s="566"/>
      <c r="ID165" s="567"/>
      <c r="IE165" s="567"/>
      <c r="IF165" s="567"/>
      <c r="IG165" s="567"/>
      <c r="IH165" s="568"/>
      <c r="II165" s="569"/>
      <c r="IJ165" s="568"/>
      <c r="IK165" s="569"/>
      <c r="IL165" s="568"/>
      <c r="IM165" s="569"/>
      <c r="IN165" s="568"/>
      <c r="IO165" s="569"/>
      <c r="IP165" s="568"/>
      <c r="IQ165" s="569"/>
      <c r="IR165" s="429" t="s">
        <v>3387</v>
      </c>
      <c r="IS165" s="364" t="s">
        <v>77</v>
      </c>
      <c r="IT165" s="574">
        <v>43647</v>
      </c>
      <c r="IU165" s="393">
        <v>43678</v>
      </c>
      <c r="IV165" s="575"/>
      <c r="IW165" s="372">
        <f t="shared" si="22"/>
        <v>31</v>
      </c>
      <c r="IX165" s="373">
        <f t="shared" si="23"/>
        <v>108.26229508196721</v>
      </c>
      <c r="IY165" s="531">
        <f t="shared" si="20"/>
        <v>3356.1311475409834</v>
      </c>
      <c r="IZ165" s="531"/>
      <c r="JA165" s="531"/>
      <c r="JB165" s="576"/>
      <c r="JC165" s="576"/>
      <c r="JD165" s="576"/>
      <c r="JE165" s="576"/>
      <c r="JF165" s="577"/>
      <c r="JG165" s="578"/>
      <c r="JH165" s="577"/>
      <c r="JI165" s="578"/>
      <c r="JJ165" s="577"/>
      <c r="JK165" s="578"/>
      <c r="JL165" s="577"/>
      <c r="JM165" s="578"/>
      <c r="JN165" s="577"/>
      <c r="JO165" s="578"/>
      <c r="JP165" s="579"/>
      <c r="JQ165" s="580"/>
      <c r="JR165" s="581"/>
      <c r="JS165" s="582"/>
      <c r="JT165" s="575"/>
      <c r="JU165" s="583"/>
      <c r="JV165" s="584"/>
      <c r="JW165" s="584"/>
      <c r="JX165" s="585"/>
      <c r="JY165" s="576"/>
      <c r="JZ165" s="576"/>
      <c r="KA165" s="576"/>
      <c r="KB165" s="576"/>
      <c r="KC165" s="577"/>
      <c r="KD165" s="578"/>
      <c r="KE165" s="577"/>
      <c r="KF165" s="578"/>
      <c r="KG165" s="577"/>
      <c r="KH165" s="578"/>
      <c r="KI165" s="577"/>
      <c r="KJ165" s="578"/>
      <c r="KK165" s="577"/>
      <c r="KL165" s="578"/>
      <c r="KM165" s="579"/>
      <c r="KN165" s="580"/>
      <c r="KO165" s="581"/>
      <c r="KP165" s="582"/>
      <c r="KQ165" s="575"/>
      <c r="KR165" s="583"/>
      <c r="KS165" s="584"/>
      <c r="KT165" s="584"/>
      <c r="KU165" s="585"/>
      <c r="KV165" s="576"/>
      <c r="KW165" s="576"/>
      <c r="KX165" s="576"/>
      <c r="KY165" s="576"/>
      <c r="KZ165" s="577"/>
      <c r="LA165" s="578"/>
      <c r="LB165" s="577"/>
      <c r="LC165" s="578"/>
      <c r="LD165" s="577"/>
      <c r="LE165" s="578"/>
      <c r="LF165" s="577"/>
      <c r="LG165" s="578"/>
      <c r="LH165" s="577"/>
      <c r="LI165" s="578"/>
      <c r="LJ165" s="579"/>
      <c r="LK165" s="580"/>
      <c r="LL165" s="586"/>
      <c r="LM165" s="354"/>
      <c r="LN165" s="465"/>
      <c r="LO165" s="565"/>
      <c r="LP165" s="572"/>
      <c r="LQ165" s="572"/>
      <c r="LR165" s="566"/>
      <c r="LS165" s="587"/>
      <c r="LT165" s="587"/>
      <c r="LU165" s="587"/>
      <c r="LV165" s="587"/>
      <c r="LW165" s="588"/>
      <c r="LX165" s="589"/>
      <c r="LY165" s="588"/>
      <c r="LZ165" s="589"/>
      <c r="MA165" s="588"/>
      <c r="MB165" s="589"/>
      <c r="MC165" s="588"/>
      <c r="MD165" s="589"/>
      <c r="ME165" s="588"/>
      <c r="MF165" s="589"/>
      <c r="MG165" s="429"/>
      <c r="MH165" s="364"/>
      <c r="MI165" s="365"/>
      <c r="MJ165" s="354"/>
      <c r="MK165" s="465"/>
      <c r="ML165" s="565"/>
      <c r="MM165" s="572"/>
      <c r="MN165" s="572"/>
      <c r="MO165" s="566"/>
      <c r="MP165" s="587"/>
      <c r="MQ165" s="587"/>
      <c r="MR165" s="587"/>
      <c r="MS165" s="587"/>
      <c r="MT165" s="588"/>
      <c r="MU165" s="589"/>
      <c r="MV165" s="588"/>
      <c r="MW165" s="589"/>
      <c r="MX165" s="588"/>
      <c r="MY165" s="589"/>
      <c r="MZ165" s="588"/>
      <c r="NA165" s="589"/>
      <c r="NB165" s="588"/>
      <c r="NC165" s="589"/>
      <c r="ND165" s="429"/>
      <c r="NE165" s="364"/>
      <c r="NF165" s="365"/>
      <c r="NG165" s="354"/>
      <c r="NH165" s="465"/>
      <c r="NI165" s="565"/>
      <c r="NJ165" s="572"/>
      <c r="NK165" s="572"/>
      <c r="NL165" s="566"/>
      <c r="NM165" s="587"/>
      <c r="NN165" s="587"/>
      <c r="NO165" s="587"/>
      <c r="NP165" s="587"/>
      <c r="NQ165" s="588"/>
      <c r="NR165" s="589"/>
      <c r="NS165" s="588"/>
      <c r="NT165" s="589"/>
      <c r="NU165" s="588"/>
      <c r="NV165" s="589"/>
      <c r="NW165" s="588"/>
      <c r="NX165" s="589"/>
      <c r="NY165" s="588"/>
      <c r="NZ165" s="589"/>
      <c r="OA165" s="429"/>
      <c r="OB165" s="364"/>
      <c r="OC165" s="365"/>
      <c r="OD165" s="354"/>
      <c r="OE165" s="465"/>
      <c r="OF165" s="565"/>
      <c r="OG165" s="572"/>
      <c r="OH165" s="572"/>
      <c r="OI165" s="566"/>
      <c r="OJ165" s="587"/>
      <c r="OK165" s="587"/>
      <c r="OL165" s="587"/>
      <c r="OM165" s="587"/>
      <c r="ON165" s="588"/>
      <c r="OO165" s="589"/>
      <c r="OP165" s="588"/>
      <c r="OQ165" s="589"/>
      <c r="OR165" s="588"/>
      <c r="OS165" s="589"/>
      <c r="OT165" s="588"/>
      <c r="OU165" s="589"/>
      <c r="OV165" s="588"/>
      <c r="OW165" s="589"/>
      <c r="OX165" s="429"/>
      <c r="OY165" s="364"/>
      <c r="OZ165" s="365"/>
      <c r="PA165" s="354"/>
      <c r="PB165" s="465"/>
      <c r="PC165" s="565"/>
      <c r="PD165" s="572"/>
      <c r="PE165" s="572"/>
      <c r="PF165" s="566"/>
      <c r="PG165" s="587"/>
      <c r="PH165" s="587"/>
      <c r="PI165" s="587"/>
      <c r="PJ165" s="587"/>
      <c r="PK165" s="588"/>
      <c r="PL165" s="589"/>
      <c r="PM165" s="588"/>
      <c r="PN165" s="589"/>
      <c r="PO165" s="588"/>
      <c r="PP165" s="589"/>
      <c r="PQ165" s="588"/>
      <c r="PR165" s="589"/>
      <c r="PS165" s="588"/>
      <c r="PT165" s="589"/>
      <c r="PU165" s="429"/>
      <c r="PV165" s="364"/>
      <c r="PW165" s="365"/>
      <c r="PX165" s="354"/>
      <c r="PY165" s="465"/>
      <c r="PZ165" s="565"/>
      <c r="QA165" s="572"/>
      <c r="QB165" s="572"/>
      <c r="QC165" s="566"/>
      <c r="QD165" s="587"/>
      <c r="QE165" s="587"/>
      <c r="QF165" s="587"/>
      <c r="QG165" s="587"/>
      <c r="QH165" s="588"/>
      <c r="QI165" s="589"/>
      <c r="QJ165" s="588"/>
      <c r="QK165" s="589"/>
      <c r="QL165" s="588"/>
      <c r="QM165" s="589"/>
      <c r="QN165" s="588"/>
      <c r="QO165" s="589"/>
      <c r="QP165" s="588"/>
      <c r="QQ165" s="589"/>
      <c r="QR165" s="429"/>
      <c r="QS165" s="364"/>
      <c r="QT165" s="365"/>
      <c r="QU165" s="354"/>
      <c r="QV165" s="465"/>
      <c r="QW165" s="565"/>
      <c r="QX165" s="572"/>
      <c r="QY165" s="572"/>
      <c r="QZ165" s="566"/>
      <c r="RA165" s="587"/>
      <c r="RB165" s="587"/>
      <c r="RC165" s="587"/>
      <c r="RD165" s="587"/>
      <c r="RE165" s="588"/>
      <c r="RF165" s="589"/>
      <c r="RG165" s="588"/>
      <c r="RH165" s="589"/>
      <c r="RI165" s="588"/>
      <c r="RJ165" s="589"/>
      <c r="RK165" s="588"/>
      <c r="RL165" s="589"/>
      <c r="RM165" s="588"/>
      <c r="RN165" s="589"/>
      <c r="RO165" s="429"/>
      <c r="RP165" s="364"/>
      <c r="RQ165" s="365"/>
      <c r="RR165" s="354"/>
      <c r="RS165" s="465"/>
      <c r="RT165" s="565"/>
      <c r="RU165" s="572"/>
      <c r="RV165" s="572"/>
      <c r="RW165" s="566"/>
      <c r="RX165" s="587"/>
      <c r="RY165" s="587"/>
      <c r="RZ165" s="587"/>
      <c r="SA165" s="587"/>
      <c r="SB165" s="588"/>
      <c r="SC165" s="589"/>
      <c r="SD165" s="588"/>
      <c r="SE165" s="589"/>
      <c r="SF165" s="588"/>
      <c r="SG165" s="589"/>
      <c r="SH165" s="588"/>
      <c r="SI165" s="589"/>
      <c r="SJ165" s="588"/>
      <c r="SK165" s="589"/>
      <c r="SL165" s="429"/>
      <c r="SM165" s="364"/>
      <c r="SN165" s="365"/>
      <c r="SO165" s="354"/>
      <c r="SP165" s="465"/>
      <c r="SQ165" s="565"/>
      <c r="SR165" s="572"/>
      <c r="SS165" s="572"/>
      <c r="ST165" s="566"/>
      <c r="SU165" s="587"/>
      <c r="SV165" s="587"/>
      <c r="SW165" s="587"/>
      <c r="SX165" s="587"/>
      <c r="SY165" s="588"/>
      <c r="SZ165" s="589"/>
      <c r="TA165" s="588"/>
      <c r="TB165" s="589"/>
      <c r="TC165" s="588"/>
      <c r="TD165" s="589"/>
      <c r="TE165" s="588"/>
      <c r="TF165" s="589"/>
      <c r="TG165" s="588"/>
      <c r="TH165" s="589"/>
      <c r="TI165" s="429"/>
      <c r="TJ165" s="364"/>
      <c r="TK165" s="365"/>
      <c r="TL165" s="354"/>
      <c r="TM165" s="465"/>
      <c r="TN165" s="565"/>
      <c r="TO165" s="572"/>
      <c r="TP165" s="572"/>
      <c r="TQ165" s="566"/>
      <c r="TR165" s="587"/>
      <c r="TS165" s="587"/>
      <c r="TT165" s="587"/>
      <c r="TU165" s="587"/>
      <c r="TV165" s="588"/>
      <c r="TW165" s="589"/>
      <c r="TX165" s="588"/>
      <c r="TY165" s="589"/>
      <c r="TZ165" s="588"/>
      <c r="UA165" s="589"/>
      <c r="UB165" s="588"/>
      <c r="UC165" s="589"/>
      <c r="UD165" s="588"/>
      <c r="UE165" s="589"/>
      <c r="UF165" s="429"/>
      <c r="UG165" s="364"/>
      <c r="UH165" s="365"/>
      <c r="UI165" s="354"/>
      <c r="UJ165" s="465"/>
      <c r="UK165" s="565"/>
      <c r="UL165" s="572"/>
      <c r="UM165" s="572"/>
      <c r="UN165" s="566"/>
      <c r="UO165" s="587"/>
      <c r="UP165" s="587"/>
      <c r="UQ165" s="587"/>
      <c r="UR165" s="587"/>
      <c r="US165" s="588"/>
      <c r="UT165" s="589"/>
      <c r="UU165" s="588"/>
      <c r="UV165" s="589"/>
      <c r="UW165" s="588"/>
      <c r="UX165" s="589"/>
      <c r="UY165" s="588"/>
      <c r="UZ165" s="589"/>
      <c r="VA165" s="588"/>
      <c r="VB165" s="589"/>
      <c r="VC165" s="429"/>
      <c r="VD165" s="364"/>
      <c r="VE165" s="365"/>
      <c r="VF165" s="354"/>
      <c r="VG165" s="465"/>
      <c r="VH165" s="565"/>
      <c r="VI165" s="572"/>
      <c r="VJ165" s="572"/>
      <c r="VK165" s="566"/>
      <c r="VL165" s="587"/>
      <c r="VM165" s="587"/>
      <c r="VN165" s="587"/>
      <c r="VO165" s="587"/>
      <c r="VP165" s="588"/>
      <c r="VQ165" s="589"/>
      <c r="VR165" s="588"/>
      <c r="VS165" s="589"/>
      <c r="VT165" s="588"/>
      <c r="VU165" s="589"/>
      <c r="VV165" s="588"/>
      <c r="VW165" s="589"/>
      <c r="VX165" s="588"/>
      <c r="VY165" s="589"/>
      <c r="VZ165" s="429"/>
      <c r="WA165" s="364"/>
      <c r="WB165" s="365"/>
      <c r="WC165" s="354"/>
      <c r="WD165" s="465"/>
      <c r="WE165" s="565"/>
      <c r="WF165" s="572"/>
      <c r="WG165" s="572"/>
      <c r="WH165" s="566"/>
      <c r="WI165" s="587"/>
      <c r="WJ165" s="587"/>
      <c r="WK165" s="587"/>
      <c r="WL165" s="587"/>
      <c r="WM165" s="588"/>
      <c r="WN165" s="589"/>
      <c r="WO165" s="588"/>
      <c r="WP165" s="589"/>
      <c r="WQ165" s="588"/>
      <c r="WR165" s="589"/>
      <c r="WS165" s="588"/>
      <c r="WT165" s="589"/>
      <c r="WU165" s="588"/>
      <c r="WV165" s="589"/>
      <c r="WW165" s="429"/>
      <c r="WX165" s="364"/>
      <c r="WY165" s="365"/>
      <c r="WZ165" s="354"/>
      <c r="XA165" s="465"/>
      <c r="XB165" s="565"/>
      <c r="XC165" s="572"/>
      <c r="XD165" s="572"/>
      <c r="XE165" s="566"/>
      <c r="XF165" s="587"/>
      <c r="XG165" s="587"/>
      <c r="XH165" s="587"/>
      <c r="XI165" s="587"/>
      <c r="XJ165" s="588"/>
      <c r="XK165" s="589"/>
      <c r="XL165" s="588"/>
      <c r="XM165" s="589"/>
      <c r="XN165" s="588"/>
      <c r="XO165" s="589"/>
      <c r="XP165" s="588"/>
      <c r="XQ165" s="589"/>
      <c r="XR165" s="588"/>
      <c r="XS165" s="589"/>
      <c r="XT165" s="429"/>
      <c r="XU165" s="364"/>
      <c r="XV165" s="365"/>
      <c r="XW165" s="354"/>
      <c r="XX165" s="465"/>
      <c r="XY165" s="565"/>
      <c r="XZ165" s="572"/>
      <c r="YA165" s="572"/>
      <c r="YB165" s="566"/>
      <c r="YC165" s="587"/>
      <c r="YD165" s="587"/>
      <c r="YE165" s="587"/>
      <c r="YF165" s="587"/>
      <c r="YG165" s="588"/>
      <c r="YH165" s="589"/>
      <c r="YI165" s="588"/>
      <c r="YJ165" s="589"/>
      <c r="YK165" s="588"/>
      <c r="YL165" s="589"/>
      <c r="YM165" s="588"/>
      <c r="YN165" s="589"/>
      <c r="YO165" s="588"/>
      <c r="YP165" s="589"/>
      <c r="YQ165" s="429"/>
      <c r="YR165" s="364"/>
      <c r="YS165" s="365"/>
      <c r="YT165" s="354"/>
      <c r="YU165" s="465"/>
      <c r="YV165" s="565"/>
      <c r="YW165" s="572"/>
      <c r="YX165" s="572"/>
      <c r="YY165" s="566"/>
      <c r="YZ165" s="587"/>
      <c r="ZA165" s="587"/>
      <c r="ZB165" s="587"/>
      <c r="ZC165" s="587"/>
      <c r="ZD165" s="588"/>
      <c r="ZE165" s="589"/>
      <c r="ZF165" s="588"/>
      <c r="ZG165" s="589"/>
      <c r="ZH165" s="588"/>
      <c r="ZI165" s="589"/>
      <c r="ZJ165" s="588"/>
      <c r="ZK165" s="589"/>
      <c r="ZL165" s="588"/>
      <c r="ZM165" s="589"/>
      <c r="ZN165" s="429"/>
      <c r="ZO165" s="364"/>
      <c r="ZP165" s="365"/>
      <c r="ZQ165" s="354"/>
      <c r="ZR165" s="465"/>
      <c r="ZS165" s="565"/>
      <c r="ZT165" s="572"/>
      <c r="ZU165" s="572"/>
      <c r="ZV165" s="566"/>
      <c r="ZW165" s="587"/>
      <c r="ZX165" s="587"/>
      <c r="ZY165" s="587"/>
      <c r="ZZ165" s="587"/>
      <c r="AAA165" s="588"/>
      <c r="AAB165" s="589"/>
      <c r="AAC165" s="588"/>
      <c r="AAD165" s="589"/>
      <c r="AAE165" s="588"/>
      <c r="AAF165" s="589"/>
      <c r="AAG165" s="588"/>
      <c r="AAH165" s="589"/>
      <c r="AAI165" s="588"/>
      <c r="AAJ165" s="589"/>
      <c r="AAK165" s="429"/>
      <c r="AAL165" s="364"/>
      <c r="AAM165" s="365"/>
      <c r="AAN165" s="354"/>
      <c r="AAO165" s="465"/>
      <c r="AAP165" s="565"/>
      <c r="AAQ165" s="572"/>
      <c r="AAR165" s="572"/>
      <c r="AAS165" s="566"/>
      <c r="AAT165" s="587"/>
      <c r="AAU165" s="587"/>
      <c r="AAV165" s="587"/>
      <c r="AAW165" s="587"/>
      <c r="AAX165" s="588"/>
      <c r="AAY165" s="589"/>
      <c r="AAZ165" s="588"/>
      <c r="ABA165" s="589"/>
      <c r="ABB165" s="588"/>
      <c r="ABC165" s="589"/>
      <c r="ABD165" s="588"/>
      <c r="ABE165" s="589"/>
      <c r="ABF165" s="588"/>
      <c r="ABG165" s="589"/>
      <c r="ABH165" s="429"/>
      <c r="ABI165" s="364"/>
      <c r="ABJ165" s="365"/>
      <c r="ABK165" s="354"/>
      <c r="ABL165" s="465"/>
      <c r="ABM165" s="565"/>
      <c r="ABN165" s="572"/>
      <c r="ABO165" s="572"/>
      <c r="ABP165" s="566"/>
      <c r="ABQ165" s="587"/>
      <c r="ABR165" s="587"/>
      <c r="ABS165" s="587"/>
      <c r="ABT165" s="587"/>
      <c r="ABU165" s="588"/>
      <c r="ABV165" s="589"/>
      <c r="ABW165" s="588"/>
      <c r="ABX165" s="589"/>
      <c r="ABY165" s="588"/>
      <c r="ABZ165" s="589"/>
      <c r="ACA165" s="588"/>
      <c r="ACB165" s="589"/>
      <c r="ACC165" s="588"/>
      <c r="ACD165" s="589"/>
      <c r="ACE165" s="429"/>
      <c r="ACF165" s="364"/>
      <c r="ACG165" s="365"/>
      <c r="ACH165" s="354"/>
      <c r="ACI165" s="465"/>
      <c r="ACJ165" s="565"/>
      <c r="ACK165" s="572"/>
      <c r="ACL165" s="572"/>
      <c r="ACM165" s="566"/>
      <c r="ACN165" s="587"/>
      <c r="ACO165" s="587"/>
      <c r="ACP165" s="587"/>
      <c r="ACQ165" s="587"/>
      <c r="ACR165" s="588"/>
      <c r="ACS165" s="589"/>
      <c r="ACT165" s="588"/>
      <c r="ACU165" s="589"/>
      <c r="ACV165" s="588"/>
      <c r="ACW165" s="589"/>
      <c r="ACX165" s="588"/>
      <c r="ACY165" s="589"/>
      <c r="ACZ165" s="588"/>
      <c r="ADA165" s="589"/>
      <c r="ADB165" s="429"/>
      <c r="ADC165" s="364"/>
      <c r="ADD165" s="365"/>
      <c r="ADE165" s="354"/>
      <c r="ADF165" s="465"/>
      <c r="ADG165" s="565"/>
      <c r="ADH165" s="572"/>
      <c r="ADI165" s="572"/>
      <c r="ADJ165" s="566"/>
      <c r="ADK165" s="587"/>
      <c r="ADL165" s="587"/>
      <c r="ADM165" s="587"/>
      <c r="ADN165" s="587"/>
      <c r="ADO165" s="588"/>
      <c r="ADP165" s="589"/>
      <c r="ADQ165" s="588"/>
      <c r="ADR165" s="589"/>
      <c r="ADS165" s="588"/>
      <c r="ADT165" s="589"/>
      <c r="ADU165" s="588"/>
      <c r="ADV165" s="589"/>
      <c r="ADW165" s="588"/>
      <c r="ADX165" s="589"/>
      <c r="ADY165" s="429"/>
      <c r="ADZ165" s="364"/>
      <c r="AEA165" s="365"/>
      <c r="AEB165" s="354"/>
      <c r="AEC165" s="465"/>
      <c r="AED165" s="565"/>
      <c r="AEE165" s="572"/>
      <c r="AEF165" s="572"/>
      <c r="AEG165" s="566"/>
      <c r="AEH165" s="587"/>
      <c r="AEI165" s="587"/>
      <c r="AEJ165" s="587"/>
      <c r="AEK165" s="587"/>
      <c r="AEL165" s="588"/>
      <c r="AEM165" s="589"/>
      <c r="AEN165" s="588"/>
      <c r="AEO165" s="589"/>
      <c r="AEP165" s="588"/>
      <c r="AEQ165" s="589"/>
      <c r="AER165" s="588"/>
      <c r="AES165" s="589"/>
      <c r="AET165" s="588"/>
      <c r="AEU165" s="589"/>
      <c r="AEV165" s="429"/>
      <c r="AEW165" s="364"/>
      <c r="AEX165" s="365"/>
      <c r="AEY165" s="354"/>
      <c r="AEZ165" s="465"/>
      <c r="AFA165" s="565"/>
      <c r="AFB165" s="572"/>
      <c r="AFC165" s="572"/>
      <c r="AFD165" s="566"/>
      <c r="AFE165" s="587"/>
      <c r="AFF165" s="587"/>
      <c r="AFG165" s="587"/>
      <c r="AFH165" s="587"/>
      <c r="AFI165" s="588"/>
      <c r="AFJ165" s="589"/>
      <c r="AFK165" s="588"/>
      <c r="AFL165" s="589"/>
      <c r="AFM165" s="588"/>
      <c r="AFN165" s="589"/>
      <c r="AFO165" s="588"/>
      <c r="AFP165" s="589"/>
      <c r="AFQ165" s="588"/>
      <c r="AFR165" s="589"/>
      <c r="AFS165" s="429"/>
      <c r="AFT165" s="364"/>
      <c r="AFU165" s="365"/>
      <c r="AFV165" s="354"/>
      <c r="AFW165" s="465"/>
      <c r="AFX165" s="565"/>
      <c r="AFY165" s="572"/>
      <c r="AFZ165" s="572"/>
      <c r="AGA165" s="566"/>
      <c r="AGB165" s="587"/>
      <c r="AGC165" s="587"/>
      <c r="AGD165" s="587"/>
      <c r="AGE165" s="587"/>
      <c r="AGF165" s="588"/>
      <c r="AGG165" s="589"/>
      <c r="AGH165" s="588"/>
      <c r="AGI165" s="589"/>
      <c r="AGJ165" s="588"/>
      <c r="AGK165" s="589"/>
      <c r="AGL165" s="588"/>
      <c r="AGM165" s="589"/>
      <c r="AGN165" s="588"/>
      <c r="AGO165" s="589"/>
      <c r="AGP165" s="429"/>
      <c r="AGQ165" s="364"/>
      <c r="AGR165" s="365"/>
      <c r="AGS165" s="354"/>
      <c r="AGT165" s="465"/>
      <c r="AGU165" s="565"/>
      <c r="AGV165" s="572"/>
      <c r="AGW165" s="572"/>
      <c r="AGX165" s="566"/>
      <c r="AGY165" s="587"/>
      <c r="AGZ165" s="587"/>
      <c r="AHA165" s="587"/>
      <c r="AHB165" s="587"/>
      <c r="AHC165" s="588"/>
      <c r="AHD165" s="589"/>
      <c r="AHE165" s="588"/>
      <c r="AHF165" s="589"/>
      <c r="AHG165" s="588"/>
      <c r="AHH165" s="589"/>
      <c r="AHI165" s="588"/>
      <c r="AHJ165" s="589"/>
      <c r="AHK165" s="588"/>
      <c r="AHL165" s="589"/>
      <c r="AHM165" s="429"/>
      <c r="AHN165" s="364"/>
      <c r="AHO165" s="365"/>
      <c r="AHP165" s="354"/>
      <c r="AHQ165" s="465"/>
      <c r="AHR165" s="565"/>
      <c r="AHS165" s="572"/>
      <c r="AHT165" s="572"/>
      <c r="AHU165" s="566"/>
      <c r="AHV165" s="587"/>
      <c r="AHW165" s="587"/>
      <c r="AHX165" s="587"/>
      <c r="AHY165" s="587"/>
      <c r="AHZ165" s="588"/>
      <c r="AIA165" s="589"/>
      <c r="AIB165" s="588"/>
      <c r="AIC165" s="589"/>
      <c r="AID165" s="588"/>
      <c r="AIE165" s="589"/>
      <c r="AIF165" s="588"/>
      <c r="AIG165" s="589"/>
      <c r="AIH165" s="588"/>
      <c r="AII165" s="589"/>
      <c r="AIJ165" s="429"/>
      <c r="AIK165" s="364"/>
      <c r="AIL165" s="365"/>
      <c r="AIM165" s="354"/>
      <c r="AIN165" s="465"/>
      <c r="AIO165" s="565"/>
      <c r="AIP165" s="572"/>
      <c r="AIQ165" s="572"/>
      <c r="AIR165" s="566"/>
      <c r="AIS165" s="587"/>
      <c r="AIT165" s="587"/>
      <c r="AIU165" s="587"/>
      <c r="AIV165" s="587"/>
      <c r="AIW165" s="588"/>
      <c r="AIX165" s="589"/>
      <c r="AIY165" s="588"/>
      <c r="AIZ165" s="589"/>
      <c r="AJA165" s="588"/>
      <c r="AJB165" s="589"/>
      <c r="AJC165" s="588"/>
      <c r="AJD165" s="589"/>
      <c r="AJE165" s="588"/>
      <c r="AJF165" s="589"/>
      <c r="AJG165" s="429"/>
      <c r="AJH165" s="364"/>
      <c r="AJI165" s="365"/>
      <c r="AJJ165" s="354"/>
      <c r="AJK165" s="465"/>
      <c r="AJL165" s="565"/>
      <c r="AJM165" s="572"/>
      <c r="AJN165" s="572"/>
      <c r="AJO165" s="566"/>
      <c r="AJP165" s="587"/>
      <c r="AJQ165" s="587"/>
      <c r="AJR165" s="587"/>
      <c r="AJS165" s="587"/>
      <c r="AJT165" s="588"/>
      <c r="AJU165" s="589"/>
      <c r="AJV165" s="588"/>
      <c r="AJW165" s="589"/>
      <c r="AJX165" s="588"/>
      <c r="AJY165" s="589"/>
      <c r="AJZ165" s="588"/>
      <c r="AKA165" s="589"/>
      <c r="AKB165" s="588"/>
      <c r="AKC165" s="589"/>
      <c r="AKD165" s="429"/>
      <c r="AKE165" s="364"/>
      <c r="AKF165" s="365"/>
      <c r="AKG165" s="354"/>
      <c r="AKH165" s="465"/>
      <c r="AKI165" s="565"/>
      <c r="AKJ165" s="572"/>
      <c r="AKK165" s="572"/>
      <c r="AKL165" s="566"/>
      <c r="AKM165" s="587"/>
      <c r="AKN165" s="587"/>
      <c r="AKO165" s="587"/>
      <c r="AKP165" s="587"/>
      <c r="AKQ165" s="588"/>
      <c r="AKR165" s="589"/>
      <c r="AKS165" s="588"/>
      <c r="AKT165" s="589"/>
      <c r="AKU165" s="588"/>
      <c r="AKV165" s="589"/>
      <c r="AKW165" s="588"/>
      <c r="AKX165" s="589"/>
      <c r="AKY165" s="588"/>
      <c r="AKZ165" s="589"/>
      <c r="ALA165" s="429"/>
      <c r="ALB165" s="364"/>
      <c r="ALC165" s="365"/>
      <c r="ALD165" s="354"/>
      <c r="ALE165" s="465"/>
      <c r="ALF165" s="565"/>
      <c r="ALG165" s="572"/>
      <c r="ALH165" s="572"/>
      <c r="ALI165" s="566"/>
      <c r="ALJ165" s="587"/>
      <c r="ALK165" s="587"/>
      <c r="ALL165" s="587"/>
      <c r="ALM165" s="587"/>
      <c r="ALN165" s="588"/>
      <c r="ALO165" s="589"/>
      <c r="ALP165" s="588"/>
      <c r="ALQ165" s="589"/>
      <c r="ALR165" s="588"/>
      <c r="ALS165" s="589"/>
      <c r="ALT165" s="588"/>
      <c r="ALU165" s="589"/>
      <c r="ALV165" s="588"/>
      <c r="ALW165" s="589"/>
      <c r="ALX165" s="429"/>
      <c r="ALY165" s="364"/>
      <c r="ALZ165" s="365"/>
      <c r="AMA165" s="354"/>
      <c r="AMB165" s="465"/>
      <c r="AMC165" s="565"/>
      <c r="AMD165" s="572"/>
      <c r="AME165" s="572"/>
      <c r="AMF165" s="566"/>
      <c r="AMG165" s="587"/>
      <c r="AMH165" s="587"/>
      <c r="AMI165" s="587"/>
      <c r="AMJ165" s="587"/>
      <c r="AMK165" s="588"/>
      <c r="AML165" s="589"/>
      <c r="AMM165" s="588"/>
      <c r="AMN165" s="589"/>
      <c r="AMO165" s="588"/>
      <c r="AMP165" s="589"/>
      <c r="AMQ165" s="588"/>
      <c r="AMR165" s="589"/>
      <c r="AMS165" s="588"/>
      <c r="AMT165" s="589"/>
      <c r="AMU165" s="429"/>
      <c r="AMV165" s="364"/>
      <c r="AMW165" s="365"/>
      <c r="AMX165" s="354"/>
      <c r="AMY165" s="465"/>
      <c r="AMZ165" s="565"/>
      <c r="ANA165" s="572"/>
      <c r="ANB165" s="572"/>
      <c r="ANC165" s="566"/>
      <c r="AND165" s="587"/>
      <c r="ANE165" s="587"/>
      <c r="ANF165" s="587"/>
      <c r="ANG165" s="587"/>
      <c r="ANH165" s="588"/>
      <c r="ANI165" s="589"/>
      <c r="ANJ165" s="588"/>
      <c r="ANK165" s="589"/>
      <c r="ANL165" s="588"/>
      <c r="ANM165" s="589"/>
      <c r="ANN165" s="588"/>
      <c r="ANO165" s="589"/>
      <c r="ANP165" s="588"/>
      <c r="ANQ165" s="589"/>
      <c r="ANR165" s="429"/>
      <c r="ANS165" s="364"/>
      <c r="ANT165" s="365"/>
      <c r="ANU165" s="354"/>
      <c r="ANV165" s="465"/>
      <c r="ANW165" s="565"/>
      <c r="ANX165" s="572"/>
      <c r="ANY165" s="572"/>
      <c r="ANZ165" s="566"/>
      <c r="AOA165" s="587"/>
      <c r="AOB165" s="587"/>
      <c r="AOC165" s="587"/>
      <c r="AOD165" s="587"/>
      <c r="AOE165" s="588"/>
      <c r="AOF165" s="589"/>
      <c r="AOG165" s="588"/>
      <c r="AOH165" s="589"/>
      <c r="AOI165" s="588"/>
      <c r="AOJ165" s="589"/>
      <c r="AOK165" s="588"/>
      <c r="AOL165" s="589"/>
      <c r="AOM165" s="588"/>
      <c r="AON165" s="589"/>
      <c r="AOO165" s="429"/>
      <c r="AOP165" s="364"/>
      <c r="AOQ165" s="365"/>
      <c r="AOR165" s="354"/>
      <c r="AOS165" s="465"/>
      <c r="AOT165" s="565"/>
      <c r="AOU165" s="572"/>
      <c r="AOV165" s="572"/>
      <c r="AOW165" s="566"/>
      <c r="AOX165" s="587"/>
      <c r="AOY165" s="587"/>
      <c r="AOZ165" s="587"/>
      <c r="APA165" s="587"/>
      <c r="APB165" s="588"/>
      <c r="APC165" s="589"/>
      <c r="APD165" s="588"/>
      <c r="APE165" s="589"/>
      <c r="APF165" s="588"/>
      <c r="APG165" s="589"/>
      <c r="APH165" s="588"/>
      <c r="API165" s="589"/>
      <c r="APJ165" s="588"/>
      <c r="APK165" s="589"/>
      <c r="APL165" s="429"/>
      <c r="APM165" s="364"/>
      <c r="APN165" s="365"/>
      <c r="APO165" s="354"/>
      <c r="APP165" s="465"/>
      <c r="APQ165" s="565"/>
      <c r="APR165" s="572"/>
      <c r="APS165" s="572"/>
      <c r="APT165" s="566"/>
      <c r="APU165" s="587"/>
      <c r="APV165" s="587"/>
      <c r="APW165" s="587"/>
      <c r="APX165" s="587"/>
      <c r="APY165" s="588"/>
      <c r="APZ165" s="589"/>
      <c r="AQA165" s="588"/>
      <c r="AQB165" s="589"/>
      <c r="AQC165" s="588"/>
      <c r="AQD165" s="589"/>
      <c r="AQE165" s="588"/>
      <c r="AQF165" s="589"/>
      <c r="AQG165" s="588"/>
      <c r="AQH165" s="589"/>
      <c r="AQI165" s="429"/>
      <c r="AQJ165" s="364"/>
      <c r="AQK165" s="365"/>
      <c r="AQL165" s="354"/>
      <c r="AQM165" s="465"/>
      <c r="AQN165" s="565"/>
      <c r="AQO165" s="572"/>
      <c r="AQP165" s="572"/>
      <c r="AQQ165" s="566"/>
      <c r="AQR165" s="587"/>
      <c r="AQS165" s="587"/>
      <c r="AQT165" s="587"/>
      <c r="AQU165" s="587"/>
      <c r="AQV165" s="588"/>
      <c r="AQW165" s="589"/>
      <c r="AQX165" s="588"/>
      <c r="AQY165" s="589"/>
      <c r="AQZ165" s="588"/>
      <c r="ARA165" s="589"/>
      <c r="ARB165" s="588"/>
      <c r="ARC165" s="589"/>
      <c r="ARD165" s="588"/>
      <c r="ARE165" s="589"/>
      <c r="ARF165" s="429"/>
      <c r="ARG165" s="364"/>
      <c r="ARH165" s="365"/>
      <c r="ARI165" s="354"/>
      <c r="ARJ165" s="465"/>
      <c r="ARK165" s="565"/>
      <c r="ARL165" s="572"/>
      <c r="ARM165" s="572"/>
      <c r="ARN165" s="566"/>
      <c r="ARO165" s="587"/>
      <c r="ARP165" s="587"/>
      <c r="ARQ165" s="587"/>
      <c r="ARR165" s="587"/>
      <c r="ARS165" s="588"/>
      <c r="ART165" s="589"/>
      <c r="ARU165" s="588"/>
      <c r="ARV165" s="589"/>
      <c r="ARW165" s="588"/>
      <c r="ARX165" s="589"/>
      <c r="ARY165" s="588"/>
      <c r="ARZ165" s="589"/>
      <c r="ASA165" s="588"/>
      <c r="ASB165" s="589"/>
      <c r="ASC165" s="429"/>
      <c r="ASD165" s="364"/>
      <c r="ASE165" s="365"/>
      <c r="ASF165" s="354"/>
      <c r="ASG165" s="465"/>
      <c r="ASH165" s="565"/>
      <c r="ASI165" s="572"/>
      <c r="ASJ165" s="572"/>
      <c r="ASK165" s="566"/>
      <c r="ASL165" s="587"/>
      <c r="ASM165" s="587"/>
      <c r="ASN165" s="587"/>
      <c r="ASO165" s="587"/>
      <c r="ASP165" s="588"/>
      <c r="ASQ165" s="589"/>
      <c r="ASR165" s="588"/>
      <c r="ASS165" s="589"/>
      <c r="AST165" s="588"/>
      <c r="ASU165" s="589"/>
      <c r="ASV165" s="588"/>
      <c r="ASW165" s="589"/>
      <c r="ASX165" s="588"/>
      <c r="ASY165" s="589"/>
      <c r="ASZ165" s="429"/>
      <c r="ATA165" s="364"/>
      <c r="ATB165" s="365"/>
      <c r="ATC165" s="354"/>
      <c r="ATD165" s="465"/>
      <c r="ATE165" s="565"/>
      <c r="ATF165" s="572"/>
      <c r="ATG165" s="572"/>
      <c r="ATH165" s="566"/>
      <c r="ATI165" s="587"/>
      <c r="ATJ165" s="587"/>
      <c r="ATK165" s="587"/>
      <c r="ATL165" s="587"/>
      <c r="ATM165" s="588"/>
      <c r="ATN165" s="589"/>
      <c r="ATO165" s="588"/>
      <c r="ATP165" s="589"/>
      <c r="ATQ165" s="588"/>
      <c r="ATR165" s="589"/>
      <c r="ATS165" s="588"/>
      <c r="ATT165" s="589"/>
      <c r="ATU165" s="588"/>
      <c r="ATV165" s="589"/>
      <c r="ATW165" s="429"/>
      <c r="ATX165" s="364"/>
      <c r="ATY165" s="365"/>
      <c r="ATZ165" s="354"/>
      <c r="AUA165" s="465"/>
      <c r="AUB165" s="565"/>
      <c r="AUC165" s="572"/>
      <c r="AUD165" s="572"/>
      <c r="AUE165" s="566"/>
      <c r="AUF165" s="587"/>
      <c r="AUG165" s="587"/>
      <c r="AUH165" s="587"/>
      <c r="AUI165" s="587"/>
      <c r="AUJ165" s="588"/>
      <c r="AUK165" s="589"/>
      <c r="AUL165" s="588"/>
      <c r="AUM165" s="589"/>
      <c r="AUN165" s="588"/>
      <c r="AUO165" s="589"/>
      <c r="AUP165" s="588"/>
      <c r="AUQ165" s="589"/>
      <c r="AUR165" s="588"/>
      <c r="AUS165" s="589"/>
      <c r="AUT165" s="429"/>
      <c r="AUU165" s="364"/>
      <c r="AUV165" s="365"/>
      <c r="AUW165" s="354"/>
      <c r="AUX165" s="465"/>
      <c r="AUY165" s="565"/>
      <c r="AUZ165" s="572"/>
      <c r="AVA165" s="572"/>
      <c r="AVB165" s="566"/>
      <c r="AVC165" s="587"/>
      <c r="AVD165" s="587"/>
      <c r="AVE165" s="587"/>
      <c r="AVF165" s="587"/>
      <c r="AVG165" s="588"/>
      <c r="AVH165" s="589"/>
      <c r="AVI165" s="588"/>
      <c r="AVJ165" s="589"/>
      <c r="AVK165" s="588"/>
      <c r="AVL165" s="589"/>
      <c r="AVM165" s="588"/>
      <c r="AVN165" s="589"/>
      <c r="AVO165" s="588"/>
      <c r="AVP165" s="589"/>
      <c r="AVQ165" s="429"/>
      <c r="AVR165" s="364"/>
      <c r="AVS165" s="365"/>
      <c r="AVT165" s="354"/>
      <c r="AVU165" s="465"/>
      <c r="AVV165" s="565"/>
      <c r="AVW165" s="572"/>
      <c r="AVX165" s="572"/>
      <c r="AVY165" s="566"/>
      <c r="AVZ165" s="587"/>
      <c r="AWA165" s="587"/>
      <c r="AWB165" s="587"/>
      <c r="AWC165" s="587"/>
      <c r="AWD165" s="588"/>
      <c r="AWE165" s="589"/>
      <c r="AWF165" s="588"/>
      <c r="AWG165" s="589"/>
      <c r="AWH165" s="588"/>
      <c r="AWI165" s="589"/>
      <c r="AWJ165" s="588"/>
      <c r="AWK165" s="589"/>
      <c r="AWL165" s="588"/>
      <c r="AWM165" s="589"/>
      <c r="AWN165" s="429"/>
      <c r="AWO165" s="364"/>
      <c r="AWP165" s="365"/>
      <c r="AWQ165" s="354"/>
      <c r="AWR165" s="465"/>
      <c r="AWS165" s="565"/>
      <c r="AWT165" s="572"/>
      <c r="AWU165" s="572"/>
      <c r="AWV165" s="566"/>
      <c r="AWW165" s="587"/>
      <c r="AWX165" s="587"/>
      <c r="AWY165" s="587"/>
      <c r="AWZ165" s="587"/>
      <c r="AXA165" s="588"/>
      <c r="AXB165" s="589"/>
      <c r="AXC165" s="588"/>
      <c r="AXD165" s="589"/>
      <c r="AXE165" s="588"/>
      <c r="AXF165" s="589"/>
      <c r="AXG165" s="588"/>
      <c r="AXH165" s="589"/>
      <c r="AXI165" s="588"/>
      <c r="AXJ165" s="589"/>
      <c r="AXK165" s="429"/>
      <c r="AXL165" s="364"/>
      <c r="AXM165" s="365"/>
      <c r="AXN165" s="354"/>
      <c r="AXO165" s="465"/>
      <c r="AXP165" s="565"/>
      <c r="AXQ165" s="572"/>
      <c r="AXR165" s="572"/>
      <c r="AXS165" s="566"/>
      <c r="AXT165" s="587"/>
      <c r="AXU165" s="587"/>
      <c r="AXV165" s="587"/>
      <c r="AXW165" s="587"/>
      <c r="AXX165" s="588"/>
      <c r="AXY165" s="589"/>
      <c r="AXZ165" s="588"/>
      <c r="AYA165" s="589"/>
      <c r="AYB165" s="588"/>
      <c r="AYC165" s="589"/>
      <c r="AYD165" s="588"/>
      <c r="AYE165" s="589"/>
      <c r="AYF165" s="588"/>
      <c r="AYG165" s="589"/>
      <c r="AYH165" s="429"/>
      <c r="AYI165" s="364"/>
      <c r="AYJ165" s="365"/>
      <c r="AYK165" s="354"/>
      <c r="AYL165" s="465"/>
      <c r="AYM165" s="565"/>
      <c r="AYN165" s="572"/>
      <c r="AYO165" s="572"/>
      <c r="AYP165" s="566"/>
      <c r="AYQ165" s="587"/>
      <c r="AYR165" s="587"/>
      <c r="AYS165" s="587"/>
      <c r="AYT165" s="587"/>
      <c r="AYU165" s="588"/>
      <c r="AYV165" s="589"/>
      <c r="AYW165" s="588"/>
      <c r="AYX165" s="589"/>
      <c r="AYY165" s="588"/>
      <c r="AYZ165" s="589"/>
      <c r="AZA165" s="588"/>
      <c r="AZB165" s="589"/>
      <c r="AZC165" s="588"/>
      <c r="AZD165" s="589"/>
      <c r="AZE165" s="429"/>
      <c r="AZF165" s="364"/>
      <c r="AZG165" s="365"/>
      <c r="AZH165" s="354"/>
      <c r="AZI165" s="465"/>
      <c r="AZJ165" s="565"/>
      <c r="AZK165" s="572"/>
      <c r="AZL165" s="572"/>
      <c r="AZM165" s="566"/>
      <c r="AZN165" s="587"/>
      <c r="AZO165" s="587"/>
      <c r="AZP165" s="587"/>
      <c r="AZQ165" s="587"/>
      <c r="AZR165" s="588"/>
      <c r="AZS165" s="589"/>
      <c r="AZT165" s="588"/>
      <c r="AZU165" s="589"/>
      <c r="AZV165" s="588"/>
      <c r="AZW165" s="589"/>
      <c r="AZX165" s="588"/>
      <c r="AZY165" s="589"/>
      <c r="AZZ165" s="588"/>
      <c r="BAA165" s="589"/>
      <c r="BAB165" s="429"/>
      <c r="BAC165" s="364"/>
      <c r="BAD165" s="365"/>
      <c r="BAE165" s="354"/>
      <c r="BAF165" s="465"/>
      <c r="BAG165" s="565"/>
      <c r="BAH165" s="572"/>
      <c r="BAI165" s="572"/>
      <c r="BAJ165" s="566"/>
      <c r="BAK165" s="587"/>
      <c r="BAL165" s="587"/>
      <c r="BAM165" s="587"/>
      <c r="BAN165" s="587"/>
      <c r="BAO165" s="588"/>
      <c r="BAP165" s="589"/>
      <c r="BAQ165" s="588"/>
      <c r="BAR165" s="589"/>
      <c r="BAS165" s="588"/>
      <c r="BAT165" s="589"/>
      <c r="BAU165" s="588"/>
      <c r="BAV165" s="589"/>
      <c r="BAW165" s="588"/>
      <c r="BAX165" s="589"/>
      <c r="BAY165" s="429"/>
      <c r="BAZ165" s="364"/>
      <c r="BBA165" s="365"/>
      <c r="BBB165" s="354"/>
      <c r="BBC165" s="465"/>
      <c r="BBD165" s="565"/>
      <c r="BBE165" s="572"/>
      <c r="BBF165" s="572"/>
      <c r="BBG165" s="566"/>
      <c r="BBH165" s="587"/>
      <c r="BBI165" s="587"/>
      <c r="BBJ165" s="587"/>
      <c r="BBK165" s="587"/>
      <c r="BBL165" s="588"/>
      <c r="BBM165" s="589"/>
      <c r="BBN165" s="588"/>
      <c r="BBO165" s="589"/>
      <c r="BBP165" s="588"/>
      <c r="BBQ165" s="589"/>
      <c r="BBR165" s="588"/>
      <c r="BBS165" s="589"/>
      <c r="BBT165" s="588"/>
      <c r="BBU165" s="589"/>
      <c r="BBV165" s="429"/>
      <c r="BBW165" s="364"/>
      <c r="BBX165" s="365"/>
      <c r="BBY165" s="354"/>
      <c r="BBZ165" s="465"/>
      <c r="BCA165" s="565"/>
      <c r="BCB165" s="572"/>
      <c r="BCC165" s="572"/>
      <c r="BCD165" s="566"/>
      <c r="BCE165" s="587"/>
      <c r="BCF165" s="587"/>
      <c r="BCG165" s="587"/>
      <c r="BCH165" s="587"/>
      <c r="BCI165" s="588"/>
      <c r="BCJ165" s="589"/>
      <c r="BCK165" s="588"/>
      <c r="BCL165" s="589"/>
      <c r="BCM165" s="588"/>
      <c r="BCN165" s="589"/>
      <c r="BCO165" s="588"/>
      <c r="BCP165" s="589"/>
      <c r="BCQ165" s="588"/>
      <c r="BCR165" s="589"/>
      <c r="BCS165" s="429"/>
      <c r="BCT165" s="364"/>
      <c r="BCU165" s="365"/>
      <c r="BCV165" s="354"/>
      <c r="BCW165" s="465"/>
      <c r="BCX165" s="565"/>
      <c r="BCY165" s="572"/>
      <c r="BCZ165" s="572"/>
      <c r="BDA165" s="566"/>
      <c r="BDB165" s="587"/>
      <c r="BDC165" s="587"/>
      <c r="BDD165" s="587"/>
      <c r="BDE165" s="587"/>
      <c r="BDF165" s="588"/>
      <c r="BDG165" s="589"/>
      <c r="BDH165" s="588"/>
      <c r="BDI165" s="589"/>
      <c r="BDJ165" s="588"/>
      <c r="BDK165" s="589"/>
      <c r="BDL165" s="588"/>
      <c r="BDM165" s="589"/>
      <c r="BDN165" s="588"/>
      <c r="BDO165" s="589"/>
      <c r="BDP165" s="429"/>
      <c r="BDQ165" s="364"/>
      <c r="BDR165" s="365"/>
      <c r="BDS165" s="354"/>
      <c r="BDT165" s="465"/>
      <c r="BDU165" s="565"/>
      <c r="BDV165" s="572"/>
      <c r="BDW165" s="572"/>
      <c r="BDX165" s="566"/>
      <c r="BDY165" s="587"/>
      <c r="BDZ165" s="587"/>
      <c r="BEA165" s="587"/>
      <c r="BEB165" s="587"/>
      <c r="BEC165" s="588"/>
      <c r="BED165" s="589"/>
      <c r="BEE165" s="588"/>
      <c r="BEF165" s="589"/>
      <c r="BEG165" s="588"/>
      <c r="BEH165" s="589"/>
      <c r="BEI165" s="588"/>
      <c r="BEJ165" s="589"/>
      <c r="BEK165" s="588"/>
      <c r="BEL165" s="589"/>
      <c r="BEM165" s="429"/>
      <c r="BEN165" s="364"/>
      <c r="BEO165" s="365"/>
      <c r="BEP165" s="354"/>
      <c r="BEQ165" s="465"/>
      <c r="BER165" s="565"/>
      <c r="BES165" s="572"/>
      <c r="BET165" s="572"/>
      <c r="BEU165" s="566"/>
      <c r="BEV165" s="587"/>
      <c r="BEW165" s="587"/>
      <c r="BEX165" s="587"/>
      <c r="BEY165" s="587"/>
      <c r="BEZ165" s="588"/>
      <c r="BFA165" s="589"/>
      <c r="BFB165" s="588"/>
      <c r="BFC165" s="589"/>
      <c r="BFD165" s="588"/>
      <c r="BFE165" s="589"/>
      <c r="BFF165" s="588"/>
      <c r="BFG165" s="589"/>
      <c r="BFH165" s="588"/>
      <c r="BFI165" s="589"/>
      <c r="BFJ165" s="429"/>
      <c r="BFK165" s="364"/>
      <c r="BFL165" s="365"/>
      <c r="BFM165" s="354"/>
      <c r="BFN165" s="465"/>
      <c r="BFO165" s="565"/>
      <c r="BFP165" s="572"/>
      <c r="BFQ165" s="572"/>
      <c r="BFR165" s="566"/>
      <c r="BFS165" s="587"/>
      <c r="BFT165" s="587"/>
      <c r="BFU165" s="587"/>
      <c r="BFV165" s="587"/>
      <c r="BFW165" s="588"/>
      <c r="BFX165" s="589"/>
      <c r="BFY165" s="588"/>
      <c r="BFZ165" s="589"/>
      <c r="BGA165" s="588"/>
      <c r="BGB165" s="589"/>
      <c r="BGC165" s="588"/>
      <c r="BGD165" s="589"/>
      <c r="BGE165" s="588"/>
      <c r="BGF165" s="589"/>
      <c r="BGG165" s="429"/>
      <c r="BGH165" s="364"/>
      <c r="BGI165" s="365"/>
      <c r="BGJ165" s="354"/>
      <c r="BGK165" s="465"/>
      <c r="BGL165" s="565"/>
      <c r="BGM165" s="572"/>
      <c r="BGN165" s="572"/>
      <c r="BGO165" s="566"/>
      <c r="BGP165" s="587"/>
      <c r="BGQ165" s="587"/>
      <c r="BGR165" s="587"/>
      <c r="BGS165" s="587"/>
      <c r="BGT165" s="588"/>
      <c r="BGU165" s="589"/>
      <c r="BGV165" s="588"/>
      <c r="BGW165" s="589"/>
      <c r="BGX165" s="588"/>
      <c r="BGY165" s="589"/>
      <c r="BGZ165" s="588"/>
      <c r="BHA165" s="589"/>
      <c r="BHB165" s="588"/>
      <c r="BHC165" s="589"/>
      <c r="BHD165" s="429"/>
      <c r="BHE165" s="364"/>
      <c r="BHF165" s="365"/>
      <c r="BHG165" s="354"/>
      <c r="BHH165" s="465"/>
      <c r="BHI165" s="565"/>
      <c r="BHJ165" s="572"/>
      <c r="BHK165" s="572"/>
      <c r="BHL165" s="566"/>
      <c r="BHM165" s="587"/>
      <c r="BHN165" s="587"/>
      <c r="BHO165" s="587"/>
      <c r="BHP165" s="587"/>
      <c r="BHQ165" s="588"/>
      <c r="BHR165" s="589"/>
      <c r="BHS165" s="588"/>
      <c r="BHT165" s="589"/>
      <c r="BHU165" s="588"/>
      <c r="BHV165" s="589"/>
      <c r="BHW165" s="588"/>
      <c r="BHX165" s="589"/>
      <c r="BHY165" s="588"/>
      <c r="BHZ165" s="589"/>
      <c r="BIA165" s="429"/>
      <c r="BIB165" s="364"/>
      <c r="BIC165" s="365"/>
      <c r="BID165" s="354"/>
      <c r="BIE165" s="465"/>
      <c r="BIF165" s="565"/>
      <c r="BIG165" s="572"/>
      <c r="BIH165" s="572"/>
      <c r="BII165" s="566"/>
      <c r="BIJ165" s="587"/>
      <c r="BIK165" s="587"/>
      <c r="BIL165" s="587"/>
      <c r="BIM165" s="587"/>
      <c r="BIN165" s="588"/>
      <c r="BIO165" s="589"/>
      <c r="BIP165" s="588"/>
      <c r="BIQ165" s="589"/>
      <c r="BIR165" s="588"/>
      <c r="BIS165" s="589"/>
      <c r="BIT165" s="588"/>
      <c r="BIU165" s="589"/>
      <c r="BIV165" s="588"/>
      <c r="BIW165" s="589"/>
      <c r="BIX165" s="429"/>
      <c r="BIY165" s="364"/>
      <c r="BIZ165" s="365"/>
      <c r="BJA165" s="354"/>
      <c r="BJB165" s="465"/>
      <c r="BJC165" s="565"/>
      <c r="BJD165" s="572"/>
      <c r="BJE165" s="572"/>
      <c r="BJF165" s="566"/>
      <c r="BJG165" s="587"/>
      <c r="BJH165" s="587"/>
      <c r="BJI165" s="587"/>
      <c r="BJJ165" s="587"/>
      <c r="BJK165" s="588"/>
      <c r="BJL165" s="589"/>
      <c r="BJM165" s="588"/>
      <c r="BJN165" s="589"/>
      <c r="BJO165" s="588"/>
      <c r="BJP165" s="589"/>
      <c r="BJQ165" s="588"/>
      <c r="BJR165" s="589"/>
      <c r="BJS165" s="588"/>
      <c r="BJT165" s="589"/>
      <c r="BJU165" s="429"/>
      <c r="BJV165" s="364"/>
      <c r="BJW165" s="365"/>
      <c r="BJX165" s="354"/>
      <c r="BJY165" s="465"/>
      <c r="BJZ165" s="565"/>
      <c r="BKA165" s="572"/>
      <c r="BKB165" s="572"/>
      <c r="BKC165" s="566"/>
      <c r="BKD165" s="587"/>
      <c r="BKE165" s="587"/>
      <c r="BKF165" s="587"/>
      <c r="BKG165" s="587"/>
      <c r="BKH165" s="588"/>
      <c r="BKI165" s="589"/>
      <c r="BKJ165" s="588"/>
      <c r="BKK165" s="589"/>
      <c r="BKL165" s="588"/>
      <c r="BKM165" s="589"/>
      <c r="BKN165" s="588"/>
      <c r="BKO165" s="589"/>
      <c r="BKP165" s="588"/>
      <c r="BKQ165" s="589"/>
      <c r="BKR165" s="429"/>
      <c r="BKS165" s="364"/>
      <c r="BKT165" s="365"/>
      <c r="BKU165" s="354"/>
      <c r="BKV165" s="465"/>
      <c r="BKW165" s="565"/>
      <c r="BKX165" s="572"/>
      <c r="BKY165" s="572"/>
      <c r="BKZ165" s="566"/>
      <c r="BLA165" s="587"/>
      <c r="BLB165" s="587"/>
      <c r="BLC165" s="587"/>
      <c r="BLD165" s="587"/>
      <c r="BLE165" s="588"/>
      <c r="BLF165" s="589"/>
      <c r="BLG165" s="588"/>
      <c r="BLH165" s="589"/>
      <c r="BLI165" s="588"/>
      <c r="BLJ165" s="589"/>
      <c r="BLK165" s="588"/>
      <c r="BLL165" s="589"/>
      <c r="BLM165" s="588"/>
      <c r="BLN165" s="589"/>
      <c r="BLO165" s="429"/>
      <c r="BLP165" s="364"/>
      <c r="BLQ165" s="365"/>
      <c r="BLR165" s="354"/>
      <c r="BLS165" s="465"/>
      <c r="BLT165" s="565"/>
      <c r="BLU165" s="572"/>
      <c r="BLV165" s="572"/>
      <c r="BLW165" s="566"/>
      <c r="BLX165" s="587"/>
      <c r="BLY165" s="587"/>
      <c r="BLZ165" s="587"/>
      <c r="BMA165" s="587"/>
      <c r="BMB165" s="588"/>
      <c r="BMC165" s="589"/>
      <c r="BMD165" s="588"/>
      <c r="BME165" s="589"/>
      <c r="BMF165" s="588"/>
      <c r="BMG165" s="589"/>
      <c r="BMH165" s="588"/>
      <c r="BMI165" s="589"/>
      <c r="BMJ165" s="588"/>
      <c r="BMK165" s="589"/>
      <c r="BML165" s="429"/>
      <c r="BMM165" s="364"/>
      <c r="BMN165" s="365"/>
      <c r="BMO165" s="354"/>
      <c r="BMP165" s="465"/>
      <c r="BMQ165" s="565"/>
      <c r="BMR165" s="572"/>
      <c r="BMS165" s="572"/>
      <c r="BMT165" s="566"/>
      <c r="BMU165" s="587"/>
      <c r="BMV165" s="587"/>
      <c r="BMW165" s="587"/>
      <c r="BMX165" s="587"/>
      <c r="BMY165" s="588"/>
      <c r="BMZ165" s="589"/>
      <c r="BNA165" s="588"/>
      <c r="BNB165" s="589"/>
      <c r="BNC165" s="588"/>
      <c r="BND165" s="589"/>
      <c r="BNE165" s="588"/>
      <c r="BNF165" s="589"/>
      <c r="BNG165" s="588"/>
      <c r="BNH165" s="589"/>
      <c r="BNI165" s="429"/>
      <c r="BNJ165" s="364"/>
      <c r="BNK165" s="365"/>
      <c r="BNL165" s="354"/>
      <c r="BNM165" s="465"/>
      <c r="BNN165" s="565"/>
      <c r="BNO165" s="572"/>
      <c r="BNP165" s="572"/>
      <c r="BNQ165" s="566"/>
      <c r="BNR165" s="587"/>
      <c r="BNS165" s="587"/>
      <c r="BNT165" s="587"/>
      <c r="BNU165" s="587"/>
      <c r="BNV165" s="588"/>
      <c r="BNW165" s="589"/>
      <c r="BNX165" s="588"/>
      <c r="BNY165" s="589"/>
      <c r="BNZ165" s="588"/>
      <c r="BOA165" s="589"/>
      <c r="BOB165" s="588"/>
      <c r="BOC165" s="589"/>
      <c r="BOD165" s="588"/>
      <c r="BOE165" s="589"/>
      <c r="BOF165" s="429"/>
      <c r="BOG165" s="364"/>
      <c r="BOH165" s="365"/>
      <c r="BOI165" s="354"/>
      <c r="BOJ165" s="465"/>
      <c r="BOK165" s="565"/>
      <c r="BOL165" s="572"/>
      <c r="BOM165" s="572"/>
      <c r="BON165" s="566"/>
      <c r="BOO165" s="587"/>
      <c r="BOP165" s="587"/>
      <c r="BOQ165" s="587"/>
      <c r="BOR165" s="587"/>
      <c r="BOS165" s="588"/>
      <c r="BOT165" s="589"/>
      <c r="BOU165" s="588"/>
      <c r="BOV165" s="589"/>
      <c r="BOW165" s="588"/>
      <c r="BOX165" s="589"/>
      <c r="BOY165" s="588"/>
      <c r="BOZ165" s="589"/>
      <c r="BPA165" s="588"/>
      <c r="BPB165" s="589"/>
      <c r="BPC165" s="429"/>
      <c r="BPD165" s="364"/>
      <c r="BPE165" s="365"/>
      <c r="BPF165" s="354"/>
      <c r="BPG165" s="465"/>
      <c r="BPH165" s="565"/>
      <c r="BPI165" s="572"/>
      <c r="BPJ165" s="572"/>
      <c r="BPK165" s="566"/>
      <c r="BPL165" s="587"/>
      <c r="BPM165" s="587"/>
      <c r="BPN165" s="587"/>
      <c r="BPO165" s="587"/>
      <c r="BPP165" s="588"/>
      <c r="BPQ165" s="589"/>
      <c r="BPR165" s="588"/>
      <c r="BPS165" s="589"/>
      <c r="BPT165" s="588"/>
      <c r="BPU165" s="589"/>
      <c r="BPV165" s="588"/>
      <c r="BPW165" s="589"/>
      <c r="BPX165" s="588"/>
      <c r="BPY165" s="589"/>
      <c r="BPZ165" s="429"/>
      <c r="BQA165" s="364"/>
      <c r="BQB165" s="365"/>
      <c r="BQC165" s="354"/>
      <c r="BQD165" s="465"/>
      <c r="BQE165" s="565"/>
      <c r="BQF165" s="572"/>
      <c r="BQG165" s="572"/>
      <c r="BQH165" s="566"/>
      <c r="BQI165" s="587"/>
      <c r="BQJ165" s="587"/>
      <c r="BQK165" s="587"/>
      <c r="BQL165" s="587"/>
      <c r="BQM165" s="588"/>
      <c r="BQN165" s="589"/>
      <c r="BQO165" s="588"/>
      <c r="BQP165" s="589"/>
      <c r="BQQ165" s="588"/>
      <c r="BQR165" s="589"/>
      <c r="BQS165" s="588"/>
      <c r="BQT165" s="589"/>
      <c r="BQU165" s="588"/>
      <c r="BQV165" s="589"/>
      <c r="BQW165" s="429"/>
      <c r="BQX165" s="364"/>
      <c r="BQY165" s="365"/>
      <c r="BQZ165" s="354"/>
      <c r="BRA165" s="465"/>
      <c r="BRB165" s="565"/>
      <c r="BRC165" s="572"/>
      <c r="BRD165" s="572"/>
      <c r="BRE165" s="566"/>
      <c r="BRF165" s="587"/>
      <c r="BRG165" s="587"/>
      <c r="BRH165" s="587"/>
      <c r="BRI165" s="587"/>
      <c r="BRJ165" s="588"/>
      <c r="BRK165" s="589"/>
      <c r="BRL165" s="588"/>
      <c r="BRM165" s="589"/>
      <c r="BRN165" s="588"/>
      <c r="BRO165" s="589"/>
      <c r="BRP165" s="588"/>
      <c r="BRQ165" s="589"/>
      <c r="BRR165" s="588"/>
      <c r="BRS165" s="589"/>
      <c r="BRT165" s="429"/>
      <c r="BRU165" s="364"/>
      <c r="BRV165" s="365"/>
      <c r="BRW165" s="354"/>
      <c r="BRX165" s="465"/>
      <c r="BRY165" s="565"/>
      <c r="BRZ165" s="572"/>
      <c r="BSA165" s="572"/>
      <c r="BSB165" s="566"/>
      <c r="BSC165" s="587"/>
      <c r="BSD165" s="587"/>
      <c r="BSE165" s="587"/>
      <c r="BSF165" s="587"/>
      <c r="BSG165" s="588"/>
      <c r="BSH165" s="589"/>
      <c r="BSI165" s="588"/>
      <c r="BSJ165" s="589"/>
      <c r="BSK165" s="588"/>
      <c r="BSL165" s="589"/>
      <c r="BSM165" s="588"/>
      <c r="BSN165" s="589"/>
      <c r="BSO165" s="588"/>
      <c r="BSP165" s="589"/>
      <c r="BSQ165" s="429"/>
      <c r="BSR165" s="364"/>
      <c r="BSS165" s="365"/>
      <c r="BST165" s="354"/>
      <c r="BSU165" s="465"/>
      <c r="BSV165" s="565"/>
      <c r="BSW165" s="572"/>
      <c r="BSX165" s="572"/>
      <c r="BSY165" s="566"/>
      <c r="BSZ165" s="587"/>
      <c r="BTA165" s="587"/>
      <c r="BTB165" s="587"/>
      <c r="BTC165" s="587"/>
      <c r="BTD165" s="588"/>
      <c r="BTE165" s="589"/>
      <c r="BTF165" s="588"/>
      <c r="BTG165" s="589"/>
      <c r="BTH165" s="588"/>
      <c r="BTI165" s="589"/>
      <c r="BTJ165" s="588"/>
      <c r="BTK165" s="589"/>
      <c r="BTL165" s="588"/>
      <c r="BTM165" s="589"/>
      <c r="BTN165" s="429"/>
      <c r="BTO165" s="364"/>
      <c r="BTP165" s="365"/>
      <c r="BTQ165" s="354"/>
      <c r="BTR165" s="465"/>
      <c r="BTS165" s="565"/>
      <c r="BTT165" s="572"/>
      <c r="BTU165" s="572"/>
      <c r="BTV165" s="566"/>
      <c r="BTW165" s="587"/>
      <c r="BTX165" s="587"/>
      <c r="BTY165" s="587"/>
      <c r="BTZ165" s="587"/>
      <c r="BUA165" s="588"/>
      <c r="BUB165" s="589"/>
      <c r="BUC165" s="588"/>
      <c r="BUD165" s="589"/>
      <c r="BUE165" s="588"/>
      <c r="BUF165" s="589"/>
      <c r="BUG165" s="588"/>
      <c r="BUH165" s="589"/>
      <c r="BUI165" s="588"/>
      <c r="BUJ165" s="589"/>
      <c r="BUK165" s="429"/>
      <c r="BUL165" s="364"/>
      <c r="BUM165" s="365"/>
      <c r="BUN165" s="354"/>
      <c r="BUO165" s="465"/>
      <c r="BUP165" s="565"/>
      <c r="BUQ165" s="572"/>
      <c r="BUR165" s="572"/>
      <c r="BUS165" s="566"/>
      <c r="BUT165" s="587"/>
      <c r="BUU165" s="587"/>
      <c r="BUV165" s="587"/>
      <c r="BUW165" s="587"/>
      <c r="BUX165" s="588"/>
      <c r="BUY165" s="589"/>
      <c r="BUZ165" s="588"/>
      <c r="BVA165" s="589"/>
      <c r="BVB165" s="588"/>
      <c r="BVC165" s="589"/>
      <c r="BVD165" s="588"/>
      <c r="BVE165" s="589"/>
      <c r="BVF165" s="588"/>
      <c r="BVG165" s="589"/>
      <c r="BVH165" s="429"/>
      <c r="BVI165" s="364"/>
      <c r="BVJ165" s="365"/>
      <c r="BVK165" s="354"/>
      <c r="BVL165" s="465"/>
      <c r="BVM165" s="565"/>
      <c r="BVN165" s="572"/>
      <c r="BVO165" s="572"/>
      <c r="BVP165" s="566"/>
      <c r="BVQ165" s="587"/>
      <c r="BVR165" s="587"/>
      <c r="BVS165" s="587"/>
      <c r="BVT165" s="587"/>
      <c r="BVU165" s="588"/>
      <c r="BVV165" s="589"/>
      <c r="BVW165" s="588"/>
      <c r="BVX165" s="589"/>
      <c r="BVY165" s="588"/>
      <c r="BVZ165" s="589"/>
      <c r="BWA165" s="588"/>
      <c r="BWB165" s="589"/>
      <c r="BWC165" s="588"/>
      <c r="BWD165" s="589"/>
      <c r="BWE165" s="429"/>
      <c r="BWF165" s="364"/>
      <c r="BWG165" s="365"/>
      <c r="BWH165" s="354"/>
      <c r="BWI165" s="465"/>
      <c r="BWJ165" s="565"/>
      <c r="BWK165" s="572"/>
      <c r="BWL165" s="572"/>
      <c r="BWM165" s="566"/>
      <c r="BWN165" s="587"/>
      <c r="BWO165" s="587"/>
      <c r="BWP165" s="587"/>
      <c r="BWQ165" s="587"/>
      <c r="BWR165" s="588"/>
      <c r="BWS165" s="589"/>
      <c r="BWT165" s="588"/>
      <c r="BWU165" s="589"/>
      <c r="BWV165" s="588"/>
      <c r="BWW165" s="589"/>
      <c r="BWX165" s="588"/>
      <c r="BWY165" s="589"/>
      <c r="BWZ165" s="588"/>
      <c r="BXA165" s="589"/>
      <c r="BXB165" s="429"/>
      <c r="BXC165" s="364"/>
      <c r="BXD165" s="365"/>
      <c r="BXE165" s="354"/>
      <c r="BXF165" s="465"/>
      <c r="BXG165" s="565"/>
      <c r="BXH165" s="572"/>
      <c r="BXI165" s="572"/>
      <c r="BXJ165" s="566"/>
      <c r="BXK165" s="587"/>
      <c r="BXL165" s="587"/>
      <c r="BXM165" s="587"/>
      <c r="BXN165" s="587"/>
      <c r="BXO165" s="588"/>
      <c r="BXP165" s="589"/>
      <c r="BXQ165" s="588"/>
      <c r="BXR165" s="589"/>
      <c r="BXS165" s="588"/>
      <c r="BXT165" s="589"/>
      <c r="BXU165" s="588"/>
      <c r="BXV165" s="589"/>
      <c r="BXW165" s="588"/>
      <c r="BXX165" s="589"/>
      <c r="BXY165" s="429"/>
      <c r="BXZ165" s="364"/>
      <c r="BYA165" s="365"/>
      <c r="BYB165" s="354"/>
      <c r="BYC165" s="465"/>
      <c r="BYD165" s="565"/>
      <c r="BYE165" s="572"/>
      <c r="BYF165" s="572"/>
      <c r="BYG165" s="566"/>
      <c r="BYH165" s="587"/>
      <c r="BYI165" s="587"/>
      <c r="BYJ165" s="587"/>
      <c r="BYK165" s="587"/>
      <c r="BYL165" s="588"/>
      <c r="BYM165" s="589"/>
      <c r="BYN165" s="588"/>
      <c r="BYO165" s="589"/>
      <c r="BYP165" s="588"/>
      <c r="BYQ165" s="589"/>
      <c r="BYR165" s="588"/>
      <c r="BYS165" s="589"/>
      <c r="BYT165" s="588"/>
      <c r="BYU165" s="589"/>
      <c r="BYV165" s="429"/>
      <c r="BYW165" s="364"/>
      <c r="BYX165" s="365"/>
      <c r="BYY165" s="354"/>
      <c r="BYZ165" s="465"/>
      <c r="BZA165" s="565"/>
      <c r="BZB165" s="572"/>
      <c r="BZC165" s="572"/>
      <c r="BZD165" s="566"/>
      <c r="BZE165" s="587"/>
      <c r="BZF165" s="587"/>
      <c r="BZG165" s="587"/>
      <c r="BZH165" s="587"/>
      <c r="BZI165" s="588"/>
      <c r="BZJ165" s="589"/>
      <c r="BZK165" s="588"/>
      <c r="BZL165" s="589"/>
      <c r="BZM165" s="588"/>
      <c r="BZN165" s="589"/>
      <c r="BZO165" s="588"/>
      <c r="BZP165" s="589"/>
      <c r="BZQ165" s="588"/>
      <c r="BZR165" s="589"/>
      <c r="BZS165" s="429"/>
      <c r="BZT165" s="364"/>
      <c r="BZU165" s="365"/>
      <c r="BZV165" s="354"/>
      <c r="BZW165" s="465"/>
      <c r="BZX165" s="565"/>
      <c r="BZY165" s="572"/>
      <c r="BZZ165" s="572"/>
      <c r="CAA165" s="566"/>
      <c r="CAB165" s="587"/>
      <c r="CAC165" s="587"/>
      <c r="CAD165" s="587"/>
      <c r="CAE165" s="587"/>
      <c r="CAF165" s="588"/>
      <c r="CAG165" s="589"/>
      <c r="CAH165" s="588"/>
      <c r="CAI165" s="589"/>
      <c r="CAJ165" s="588"/>
      <c r="CAK165" s="589"/>
      <c r="CAL165" s="588"/>
      <c r="CAM165" s="589"/>
      <c r="CAN165" s="588"/>
      <c r="CAO165" s="589"/>
      <c r="CAP165" s="429"/>
      <c r="CAQ165" s="364"/>
      <c r="CAR165" s="365"/>
      <c r="CAS165" s="354"/>
      <c r="CAT165" s="465"/>
      <c r="CAU165" s="565"/>
      <c r="CAV165" s="572"/>
      <c r="CAW165" s="572"/>
      <c r="CAX165" s="566"/>
      <c r="CAY165" s="587"/>
      <c r="CAZ165" s="587"/>
      <c r="CBA165" s="587"/>
      <c r="CBB165" s="587"/>
      <c r="CBC165" s="588"/>
      <c r="CBD165" s="589"/>
      <c r="CBE165" s="588"/>
      <c r="CBF165" s="589"/>
      <c r="CBG165" s="588"/>
      <c r="CBH165" s="589"/>
      <c r="CBI165" s="588"/>
      <c r="CBJ165" s="589"/>
      <c r="CBK165" s="588"/>
      <c r="CBL165" s="589"/>
      <c r="CBM165" s="429"/>
      <c r="CBN165" s="364"/>
      <c r="CBO165" s="365"/>
      <c r="CBP165" s="354"/>
      <c r="CBQ165" s="465"/>
      <c r="CBR165" s="565"/>
      <c r="CBS165" s="572"/>
      <c r="CBT165" s="572"/>
      <c r="CBU165" s="566"/>
      <c r="CBV165" s="587"/>
      <c r="CBW165" s="587"/>
      <c r="CBX165" s="587"/>
      <c r="CBY165" s="587"/>
      <c r="CBZ165" s="588"/>
      <c r="CCA165" s="589"/>
      <c r="CCB165" s="588"/>
      <c r="CCC165" s="589"/>
      <c r="CCD165" s="588"/>
      <c r="CCE165" s="589"/>
      <c r="CCF165" s="588"/>
      <c r="CCG165" s="589"/>
      <c r="CCH165" s="588"/>
      <c r="CCI165" s="589"/>
      <c r="CCJ165" s="429"/>
      <c r="CCK165" s="364"/>
      <c r="CCL165" s="365"/>
      <c r="CCM165" s="354"/>
      <c r="CCN165" s="465"/>
      <c r="CCO165" s="565"/>
      <c r="CCP165" s="572"/>
      <c r="CCQ165" s="572"/>
      <c r="CCR165" s="566"/>
      <c r="CCS165" s="587"/>
      <c r="CCT165" s="587"/>
      <c r="CCU165" s="587"/>
      <c r="CCV165" s="587"/>
      <c r="CCW165" s="588"/>
      <c r="CCX165" s="589"/>
      <c r="CCY165" s="588"/>
      <c r="CCZ165" s="589"/>
      <c r="CDA165" s="588"/>
      <c r="CDB165" s="589"/>
      <c r="CDC165" s="588"/>
      <c r="CDD165" s="589"/>
      <c r="CDE165" s="588"/>
      <c r="CDF165" s="589"/>
      <c r="CDG165" s="429"/>
      <c r="CDH165" s="364"/>
      <c r="CDI165" s="365"/>
      <c r="CDJ165" s="354"/>
      <c r="CDK165" s="465"/>
      <c r="CDL165" s="565"/>
      <c r="CDM165" s="572"/>
      <c r="CDN165" s="572"/>
      <c r="CDO165" s="566"/>
      <c r="CDP165" s="587"/>
      <c r="CDQ165" s="587"/>
      <c r="CDR165" s="587"/>
      <c r="CDS165" s="587"/>
      <c r="CDT165" s="588"/>
      <c r="CDU165" s="589"/>
      <c r="CDV165" s="588"/>
      <c r="CDW165" s="589"/>
      <c r="CDX165" s="588"/>
      <c r="CDY165" s="589"/>
      <c r="CDZ165" s="588"/>
      <c r="CEA165" s="589"/>
      <c r="CEB165" s="588"/>
      <c r="CEC165" s="589"/>
      <c r="CED165" s="429"/>
      <c r="CEE165" s="364"/>
      <c r="CEF165" s="365"/>
      <c r="CEG165" s="354"/>
      <c r="CEH165" s="465"/>
      <c r="CEI165" s="565"/>
      <c r="CEJ165" s="572"/>
      <c r="CEK165" s="572"/>
      <c r="CEL165" s="566"/>
      <c r="CEM165" s="587"/>
      <c r="CEN165" s="587"/>
      <c r="CEO165" s="587"/>
      <c r="CEP165" s="587"/>
      <c r="CEQ165" s="588"/>
      <c r="CER165" s="589"/>
      <c r="CES165" s="588"/>
      <c r="CET165" s="589"/>
      <c r="CEU165" s="588"/>
      <c r="CEV165" s="589"/>
      <c r="CEW165" s="588"/>
      <c r="CEX165" s="589"/>
      <c r="CEY165" s="588"/>
      <c r="CEZ165" s="589"/>
      <c r="CFA165" s="429"/>
      <c r="CFB165" s="364"/>
      <c r="CFC165" s="365"/>
      <c r="CFD165" s="354"/>
      <c r="CFE165" s="465"/>
      <c r="CFF165" s="565"/>
      <c r="CFG165" s="572"/>
      <c r="CFH165" s="572"/>
      <c r="CFI165" s="566"/>
      <c r="CFJ165" s="587"/>
      <c r="CFK165" s="587"/>
      <c r="CFL165" s="587"/>
      <c r="CFM165" s="587"/>
      <c r="CFN165" s="588"/>
      <c r="CFO165" s="589"/>
      <c r="CFP165" s="588"/>
      <c r="CFQ165" s="589"/>
      <c r="CFR165" s="588"/>
      <c r="CFS165" s="589"/>
      <c r="CFT165" s="588"/>
      <c r="CFU165" s="589"/>
      <c r="CFV165" s="588"/>
      <c r="CFW165" s="589"/>
      <c r="CFX165" s="429"/>
      <c r="CFY165" s="364"/>
      <c r="CFZ165" s="365"/>
      <c r="CGA165" s="354"/>
      <c r="CGB165" s="465"/>
      <c r="CGC165" s="565"/>
      <c r="CGD165" s="572"/>
      <c r="CGE165" s="572"/>
      <c r="CGF165" s="566"/>
      <c r="CGG165" s="587"/>
      <c r="CGH165" s="587"/>
      <c r="CGI165" s="587"/>
      <c r="CGJ165" s="587"/>
      <c r="CGK165" s="588"/>
      <c r="CGL165" s="589"/>
      <c r="CGM165" s="588"/>
      <c r="CGN165" s="589"/>
      <c r="CGO165" s="588"/>
      <c r="CGP165" s="589"/>
      <c r="CGQ165" s="588"/>
      <c r="CGR165" s="589"/>
      <c r="CGS165" s="588"/>
      <c r="CGT165" s="589"/>
      <c r="CGU165" s="429"/>
      <c r="CGV165" s="364"/>
      <c r="CGW165" s="365"/>
      <c r="CGX165" s="354"/>
      <c r="CGY165" s="465"/>
      <c r="CGZ165" s="565"/>
      <c r="CHA165" s="572"/>
      <c r="CHB165" s="572"/>
      <c r="CHC165" s="566"/>
      <c r="CHD165" s="587"/>
      <c r="CHE165" s="587"/>
      <c r="CHF165" s="587"/>
      <c r="CHG165" s="587"/>
      <c r="CHH165" s="588"/>
      <c r="CHI165" s="589"/>
      <c r="CHJ165" s="588"/>
      <c r="CHK165" s="589"/>
      <c r="CHL165" s="588"/>
      <c r="CHM165" s="589"/>
      <c r="CHN165" s="588"/>
      <c r="CHO165" s="589"/>
      <c r="CHP165" s="588"/>
      <c r="CHQ165" s="589"/>
      <c r="CHR165" s="429"/>
      <c r="CHS165" s="364"/>
      <c r="CHT165" s="365"/>
      <c r="CHU165" s="354"/>
      <c r="CHV165" s="465"/>
      <c r="CHW165" s="565"/>
      <c r="CHX165" s="572"/>
      <c r="CHY165" s="572"/>
      <c r="CHZ165" s="566"/>
      <c r="CIA165" s="587"/>
      <c r="CIB165" s="587"/>
      <c r="CIC165" s="587"/>
      <c r="CID165" s="587"/>
      <c r="CIE165" s="588"/>
      <c r="CIF165" s="589"/>
      <c r="CIG165" s="588"/>
      <c r="CIH165" s="589"/>
      <c r="CII165" s="588"/>
      <c r="CIJ165" s="589"/>
      <c r="CIK165" s="588"/>
      <c r="CIL165" s="589"/>
      <c r="CIM165" s="588"/>
      <c r="CIN165" s="589"/>
      <c r="CIO165" s="429"/>
      <c r="CIP165" s="364"/>
      <c r="CIQ165" s="365"/>
      <c r="CIR165" s="354"/>
      <c r="CIS165" s="465"/>
      <c r="CIT165" s="565"/>
      <c r="CIU165" s="572"/>
      <c r="CIV165" s="572"/>
      <c r="CIW165" s="566"/>
      <c r="CIX165" s="587"/>
      <c r="CIY165" s="587"/>
      <c r="CIZ165" s="587"/>
      <c r="CJA165" s="587"/>
      <c r="CJB165" s="588"/>
      <c r="CJC165" s="589"/>
      <c r="CJD165" s="588"/>
      <c r="CJE165" s="589"/>
      <c r="CJF165" s="588"/>
      <c r="CJG165" s="589"/>
      <c r="CJH165" s="588"/>
      <c r="CJI165" s="589"/>
      <c r="CJJ165" s="588"/>
      <c r="CJK165" s="589"/>
      <c r="CJL165" s="429"/>
      <c r="CJM165" s="364"/>
      <c r="CJN165" s="365"/>
      <c r="CJO165" s="354"/>
      <c r="CJP165" s="465"/>
      <c r="CJQ165" s="565"/>
      <c r="CJR165" s="572"/>
      <c r="CJS165" s="572"/>
      <c r="CJT165" s="566"/>
      <c r="CJU165" s="587"/>
      <c r="CJV165" s="587"/>
      <c r="CJW165" s="587"/>
      <c r="CJX165" s="587"/>
      <c r="CJY165" s="588"/>
      <c r="CJZ165" s="589"/>
      <c r="CKA165" s="588"/>
      <c r="CKB165" s="589"/>
      <c r="CKC165" s="588"/>
      <c r="CKD165" s="589"/>
      <c r="CKE165" s="588"/>
      <c r="CKF165" s="589"/>
      <c r="CKG165" s="588"/>
      <c r="CKH165" s="589"/>
      <c r="CKI165" s="429"/>
      <c r="CKJ165" s="364"/>
      <c r="CKK165" s="365"/>
      <c r="CKL165" s="354"/>
      <c r="CKM165" s="465"/>
      <c r="CKN165" s="565"/>
      <c r="CKO165" s="572"/>
      <c r="CKP165" s="572"/>
      <c r="CKQ165" s="566"/>
      <c r="CKR165" s="587"/>
      <c r="CKS165" s="587"/>
      <c r="CKT165" s="587"/>
      <c r="CKU165" s="587"/>
      <c r="CKV165" s="588"/>
      <c r="CKW165" s="589"/>
      <c r="CKX165" s="588"/>
      <c r="CKY165" s="589"/>
      <c r="CKZ165" s="588"/>
      <c r="CLA165" s="589"/>
      <c r="CLB165" s="588"/>
      <c r="CLC165" s="589"/>
      <c r="CLD165" s="588"/>
      <c r="CLE165" s="589"/>
      <c r="CLF165" s="429"/>
      <c r="CLG165" s="364"/>
      <c r="CLH165" s="365"/>
      <c r="CLI165" s="354"/>
      <c r="CLJ165" s="465"/>
      <c r="CLK165" s="565"/>
      <c r="CLL165" s="572"/>
      <c r="CLM165" s="572"/>
      <c r="CLN165" s="566"/>
      <c r="CLO165" s="587"/>
      <c r="CLP165" s="587"/>
      <c r="CLQ165" s="587"/>
      <c r="CLR165" s="587"/>
      <c r="CLS165" s="588"/>
      <c r="CLT165" s="589"/>
      <c r="CLU165" s="588"/>
      <c r="CLV165" s="589"/>
      <c r="CLW165" s="588"/>
      <c r="CLX165" s="589"/>
      <c r="CLY165" s="588"/>
      <c r="CLZ165" s="589"/>
      <c r="CMA165" s="588"/>
      <c r="CMB165" s="589"/>
      <c r="CMC165" s="429"/>
      <c r="CMD165" s="364"/>
      <c r="CME165" s="365"/>
      <c r="CMF165" s="354"/>
      <c r="CMG165" s="465"/>
      <c r="CMH165" s="565"/>
      <c r="CMI165" s="572"/>
      <c r="CMJ165" s="572"/>
      <c r="CMK165" s="566"/>
      <c r="CML165" s="587"/>
      <c r="CMM165" s="587"/>
      <c r="CMN165" s="587"/>
      <c r="CMO165" s="587"/>
      <c r="CMP165" s="588"/>
      <c r="CMQ165" s="589"/>
      <c r="CMR165" s="588"/>
      <c r="CMS165" s="589"/>
      <c r="CMT165" s="588"/>
      <c r="CMU165" s="589"/>
      <c r="CMV165" s="588"/>
      <c r="CMW165" s="589"/>
      <c r="CMX165" s="588"/>
      <c r="CMY165" s="589"/>
      <c r="CMZ165" s="429"/>
      <c r="CNA165" s="364"/>
      <c r="CNB165" s="365"/>
      <c r="CNC165" s="354"/>
      <c r="CND165" s="465"/>
      <c r="CNE165" s="565"/>
      <c r="CNF165" s="572"/>
      <c r="CNG165" s="572"/>
      <c r="CNH165" s="566"/>
      <c r="CNI165" s="587"/>
      <c r="CNJ165" s="587"/>
      <c r="CNK165" s="587"/>
      <c r="CNL165" s="587"/>
      <c r="CNM165" s="588"/>
      <c r="CNN165" s="589"/>
      <c r="CNO165" s="588"/>
      <c r="CNP165" s="589"/>
      <c r="CNQ165" s="588"/>
      <c r="CNR165" s="589"/>
      <c r="CNS165" s="588"/>
      <c r="CNT165" s="589"/>
      <c r="CNU165" s="588"/>
      <c r="CNV165" s="589"/>
      <c r="CNW165" s="429"/>
      <c r="CNX165" s="364"/>
      <c r="CNY165" s="365"/>
      <c r="CNZ165" s="354"/>
      <c r="COA165" s="465"/>
      <c r="COB165" s="565"/>
      <c r="COC165" s="572"/>
      <c r="COD165" s="572"/>
      <c r="COE165" s="566"/>
      <c r="COF165" s="587"/>
      <c r="COG165" s="587"/>
      <c r="COH165" s="587"/>
      <c r="COI165" s="587"/>
      <c r="COJ165" s="588"/>
      <c r="COK165" s="589"/>
      <c r="COL165" s="588"/>
      <c r="COM165" s="589"/>
      <c r="CON165" s="588"/>
      <c r="COO165" s="589"/>
      <c r="COP165" s="588"/>
      <c r="COQ165" s="589"/>
      <c r="COR165" s="588"/>
      <c r="COS165" s="589"/>
      <c r="COT165" s="429"/>
      <c r="COU165" s="364"/>
      <c r="COV165" s="365"/>
      <c r="COW165" s="354"/>
      <c r="COX165" s="465"/>
      <c r="COY165" s="565"/>
      <c r="COZ165" s="572"/>
      <c r="CPA165" s="572"/>
      <c r="CPB165" s="566"/>
      <c r="CPC165" s="587"/>
      <c r="CPD165" s="587"/>
      <c r="CPE165" s="587"/>
      <c r="CPF165" s="587"/>
      <c r="CPG165" s="588"/>
      <c r="CPH165" s="589"/>
      <c r="CPI165" s="588"/>
      <c r="CPJ165" s="589"/>
      <c r="CPK165" s="588"/>
      <c r="CPL165" s="589"/>
      <c r="CPM165" s="588"/>
      <c r="CPN165" s="589"/>
      <c r="CPO165" s="588"/>
      <c r="CPP165" s="589"/>
      <c r="CPQ165" s="429"/>
      <c r="CPR165" s="364"/>
      <c r="CPS165" s="365"/>
      <c r="CPT165" s="354"/>
      <c r="CPU165" s="465"/>
      <c r="CPV165" s="565"/>
      <c r="CPW165" s="572"/>
      <c r="CPX165" s="572"/>
      <c r="CPY165" s="566"/>
      <c r="CPZ165" s="587"/>
      <c r="CQA165" s="587"/>
      <c r="CQB165" s="587"/>
      <c r="CQC165" s="587"/>
      <c r="CQD165" s="588"/>
      <c r="CQE165" s="589"/>
      <c r="CQF165" s="588"/>
      <c r="CQG165" s="589"/>
      <c r="CQH165" s="588"/>
      <c r="CQI165" s="589"/>
      <c r="CQJ165" s="588"/>
      <c r="CQK165" s="589"/>
      <c r="CQL165" s="588"/>
      <c r="CQM165" s="589"/>
      <c r="CQN165" s="429"/>
      <c r="CQO165" s="364"/>
      <c r="CQP165" s="365"/>
      <c r="CQQ165" s="354"/>
      <c r="CQR165" s="465"/>
      <c r="CQS165" s="565"/>
      <c r="CQT165" s="572"/>
      <c r="CQU165" s="572"/>
      <c r="CQV165" s="566"/>
      <c r="CQW165" s="587"/>
      <c r="CQX165" s="587"/>
      <c r="CQY165" s="587"/>
      <c r="CQZ165" s="587"/>
      <c r="CRA165" s="588"/>
      <c r="CRB165" s="589"/>
      <c r="CRC165" s="588"/>
      <c r="CRD165" s="589"/>
      <c r="CRE165" s="588"/>
      <c r="CRF165" s="589"/>
      <c r="CRG165" s="588"/>
      <c r="CRH165" s="589"/>
      <c r="CRI165" s="588"/>
      <c r="CRJ165" s="589"/>
      <c r="CRK165" s="429"/>
      <c r="CRL165" s="364"/>
      <c r="CRM165" s="365"/>
      <c r="CRN165" s="354"/>
      <c r="CRO165" s="465"/>
      <c r="CRP165" s="565"/>
      <c r="CRQ165" s="572"/>
      <c r="CRR165" s="572"/>
      <c r="CRS165" s="566"/>
      <c r="CRT165" s="587"/>
      <c r="CRU165" s="587"/>
      <c r="CRV165" s="587"/>
      <c r="CRW165" s="587"/>
      <c r="CRX165" s="588"/>
      <c r="CRY165" s="589"/>
      <c r="CRZ165" s="588"/>
      <c r="CSA165" s="589"/>
      <c r="CSB165" s="588"/>
      <c r="CSC165" s="589"/>
      <c r="CSD165" s="588"/>
      <c r="CSE165" s="589"/>
      <c r="CSF165" s="588"/>
      <c r="CSG165" s="589"/>
      <c r="CSH165" s="429"/>
      <c r="CSI165" s="364"/>
      <c r="CSJ165" s="365"/>
      <c r="CSK165" s="354"/>
      <c r="CSL165" s="465"/>
      <c r="CSM165" s="565"/>
      <c r="CSN165" s="572"/>
      <c r="CSO165" s="572"/>
      <c r="CSP165" s="566"/>
      <c r="CSQ165" s="587"/>
      <c r="CSR165" s="587"/>
      <c r="CSS165" s="587"/>
      <c r="CST165" s="587"/>
      <c r="CSU165" s="588"/>
      <c r="CSV165" s="589"/>
      <c r="CSW165" s="588"/>
      <c r="CSX165" s="589"/>
      <c r="CSY165" s="588"/>
      <c r="CSZ165" s="589"/>
      <c r="CTA165" s="588"/>
      <c r="CTB165" s="589"/>
      <c r="CTC165" s="588"/>
      <c r="CTD165" s="589"/>
      <c r="CTE165" s="429"/>
      <c r="CTF165" s="364"/>
      <c r="CTG165" s="365"/>
      <c r="CTH165" s="354"/>
      <c r="CTI165" s="465"/>
      <c r="CTJ165" s="565"/>
      <c r="CTK165" s="572"/>
      <c r="CTL165" s="572"/>
      <c r="CTM165" s="566"/>
      <c r="CTN165" s="587"/>
      <c r="CTO165" s="587"/>
      <c r="CTP165" s="587"/>
      <c r="CTQ165" s="587"/>
      <c r="CTR165" s="588"/>
      <c r="CTS165" s="589"/>
      <c r="CTT165" s="588"/>
      <c r="CTU165" s="589"/>
      <c r="CTV165" s="588"/>
      <c r="CTW165" s="589"/>
      <c r="CTX165" s="588"/>
      <c r="CTY165" s="589"/>
      <c r="CTZ165" s="588"/>
      <c r="CUA165" s="589"/>
      <c r="CUB165" s="429"/>
      <c r="CUC165" s="364"/>
      <c r="CUD165" s="365"/>
      <c r="CUE165" s="354"/>
      <c r="CUF165" s="465"/>
      <c r="CUG165" s="565"/>
      <c r="CUH165" s="572"/>
      <c r="CUI165" s="572"/>
      <c r="CUJ165" s="566"/>
      <c r="CUK165" s="587"/>
      <c r="CUL165" s="587"/>
      <c r="CUM165" s="587"/>
      <c r="CUN165" s="587"/>
      <c r="CUO165" s="588"/>
      <c r="CUP165" s="589"/>
      <c r="CUQ165" s="588"/>
      <c r="CUR165" s="589"/>
      <c r="CUS165" s="588"/>
      <c r="CUT165" s="589"/>
      <c r="CUU165" s="588"/>
      <c r="CUV165" s="589"/>
      <c r="CUW165" s="588"/>
      <c r="CUX165" s="589"/>
      <c r="CUY165" s="429"/>
      <c r="CUZ165" s="364"/>
      <c r="CVA165" s="365"/>
      <c r="CVB165" s="354"/>
      <c r="CVC165" s="465"/>
      <c r="CVD165" s="565"/>
      <c r="CVE165" s="572"/>
      <c r="CVF165" s="572"/>
      <c r="CVG165" s="566"/>
      <c r="CVH165" s="587"/>
      <c r="CVI165" s="587"/>
      <c r="CVJ165" s="587"/>
      <c r="CVK165" s="587"/>
      <c r="CVL165" s="588"/>
      <c r="CVM165" s="589"/>
      <c r="CVN165" s="588"/>
      <c r="CVO165" s="589"/>
      <c r="CVP165" s="588"/>
      <c r="CVQ165" s="589"/>
      <c r="CVR165" s="588"/>
      <c r="CVS165" s="589"/>
      <c r="CVT165" s="588"/>
      <c r="CVU165" s="589"/>
      <c r="CVV165" s="429"/>
      <c r="CVW165" s="364"/>
      <c r="CVX165" s="365"/>
      <c r="CVY165" s="354"/>
      <c r="CVZ165" s="465"/>
      <c r="CWA165" s="565"/>
      <c r="CWB165" s="572"/>
      <c r="CWC165" s="572"/>
      <c r="CWD165" s="566"/>
      <c r="CWE165" s="587"/>
      <c r="CWF165" s="587"/>
      <c r="CWG165" s="587"/>
      <c r="CWH165" s="587"/>
      <c r="CWI165" s="588"/>
      <c r="CWJ165" s="589"/>
      <c r="CWK165" s="588"/>
      <c r="CWL165" s="589"/>
      <c r="CWM165" s="588"/>
      <c r="CWN165" s="589"/>
      <c r="CWO165" s="588"/>
      <c r="CWP165" s="589"/>
      <c r="CWQ165" s="588"/>
      <c r="CWR165" s="589"/>
      <c r="CWS165" s="429"/>
      <c r="CWT165" s="364"/>
      <c r="CWU165" s="365"/>
      <c r="CWV165" s="354"/>
      <c r="CWW165" s="465"/>
      <c r="CWX165" s="565"/>
      <c r="CWY165" s="572"/>
      <c r="CWZ165" s="572"/>
      <c r="CXA165" s="566"/>
      <c r="CXB165" s="587"/>
      <c r="CXC165" s="587"/>
      <c r="CXD165" s="587"/>
      <c r="CXE165" s="587"/>
      <c r="CXF165" s="588"/>
      <c r="CXG165" s="589"/>
      <c r="CXH165" s="588"/>
      <c r="CXI165" s="589"/>
      <c r="CXJ165" s="588"/>
      <c r="CXK165" s="589"/>
      <c r="CXL165" s="588"/>
      <c r="CXM165" s="589"/>
      <c r="CXN165" s="588"/>
      <c r="CXO165" s="589"/>
      <c r="CXP165" s="429"/>
      <c r="CXQ165" s="364"/>
      <c r="CXR165" s="365"/>
      <c r="CXS165" s="354"/>
      <c r="CXT165" s="465"/>
      <c r="CXU165" s="565"/>
      <c r="CXV165" s="572"/>
      <c r="CXW165" s="572"/>
      <c r="CXX165" s="566"/>
      <c r="CXY165" s="587"/>
      <c r="CXZ165" s="587"/>
      <c r="CYA165" s="587"/>
      <c r="CYB165" s="587"/>
      <c r="CYC165" s="588"/>
      <c r="CYD165" s="589"/>
      <c r="CYE165" s="588"/>
      <c r="CYF165" s="589"/>
      <c r="CYG165" s="588"/>
      <c r="CYH165" s="589"/>
      <c r="CYI165" s="588"/>
      <c r="CYJ165" s="589"/>
      <c r="CYK165" s="588"/>
      <c r="CYL165" s="589"/>
      <c r="CYM165" s="429"/>
      <c r="CYN165" s="364"/>
      <c r="CYO165" s="365"/>
      <c r="CYP165" s="354"/>
      <c r="CYQ165" s="465"/>
      <c r="CYR165" s="565"/>
      <c r="CYS165" s="572"/>
      <c r="CYT165" s="572"/>
      <c r="CYU165" s="566"/>
      <c r="CYV165" s="587"/>
      <c r="CYW165" s="587"/>
      <c r="CYX165" s="587"/>
      <c r="CYY165" s="587"/>
      <c r="CYZ165" s="588"/>
      <c r="CZA165" s="589"/>
      <c r="CZB165" s="588"/>
      <c r="CZC165" s="589"/>
      <c r="CZD165" s="588"/>
      <c r="CZE165" s="589"/>
      <c r="CZF165" s="588"/>
      <c r="CZG165" s="589"/>
      <c r="CZH165" s="588"/>
      <c r="CZI165" s="589"/>
      <c r="CZJ165" s="429"/>
      <c r="CZK165" s="364"/>
      <c r="CZL165" s="365"/>
      <c r="CZM165" s="354"/>
      <c r="CZN165" s="465"/>
      <c r="CZO165" s="565"/>
      <c r="CZP165" s="572"/>
      <c r="CZQ165" s="572"/>
      <c r="CZR165" s="566"/>
      <c r="CZS165" s="587"/>
      <c r="CZT165" s="587"/>
      <c r="CZU165" s="587"/>
      <c r="CZV165" s="587"/>
      <c r="CZW165" s="588"/>
      <c r="CZX165" s="589"/>
      <c r="CZY165" s="588"/>
      <c r="CZZ165" s="589"/>
      <c r="DAA165" s="588"/>
      <c r="DAB165" s="589"/>
      <c r="DAC165" s="588"/>
      <c r="DAD165" s="589"/>
      <c r="DAE165" s="588"/>
      <c r="DAF165" s="589"/>
      <c r="DAG165" s="429"/>
      <c r="DAH165" s="364"/>
      <c r="DAI165" s="365"/>
      <c r="DAJ165" s="354"/>
      <c r="DAK165" s="465"/>
      <c r="DAL165" s="565"/>
      <c r="DAM165" s="572"/>
      <c r="DAN165" s="572"/>
      <c r="DAO165" s="566"/>
      <c r="DAP165" s="587"/>
      <c r="DAQ165" s="587"/>
      <c r="DAR165" s="587"/>
      <c r="DAS165" s="587"/>
      <c r="DAT165" s="588"/>
      <c r="DAU165" s="589"/>
      <c r="DAV165" s="588"/>
      <c r="DAW165" s="589"/>
      <c r="DAX165" s="588"/>
      <c r="DAY165" s="589"/>
      <c r="DAZ165" s="588"/>
      <c r="DBA165" s="589"/>
      <c r="DBB165" s="588"/>
      <c r="DBC165" s="589"/>
      <c r="DBD165" s="429"/>
      <c r="DBE165" s="364"/>
      <c r="DBF165" s="365"/>
      <c r="DBG165" s="354"/>
      <c r="DBH165" s="465"/>
      <c r="DBI165" s="565"/>
      <c r="DBJ165" s="572"/>
      <c r="DBK165" s="572"/>
      <c r="DBL165" s="566"/>
      <c r="DBM165" s="587"/>
      <c r="DBN165" s="587"/>
      <c r="DBO165" s="587"/>
      <c r="DBP165" s="587"/>
      <c r="DBQ165" s="588"/>
      <c r="DBR165" s="589"/>
      <c r="DBS165" s="588"/>
      <c r="DBT165" s="589"/>
      <c r="DBU165" s="588"/>
      <c r="DBV165" s="589"/>
      <c r="DBW165" s="588"/>
      <c r="DBX165" s="589"/>
      <c r="DBY165" s="588"/>
      <c r="DBZ165" s="589"/>
      <c r="DCA165" s="429"/>
      <c r="DCB165" s="364"/>
      <c r="DCC165" s="365"/>
      <c r="DCD165" s="354"/>
      <c r="DCE165" s="465"/>
      <c r="DCF165" s="565"/>
      <c r="DCG165" s="572"/>
      <c r="DCH165" s="572"/>
      <c r="DCI165" s="566"/>
      <c r="DCJ165" s="587"/>
      <c r="DCK165" s="587"/>
      <c r="DCL165" s="587"/>
      <c r="DCM165" s="587"/>
      <c r="DCN165" s="588"/>
      <c r="DCO165" s="589"/>
      <c r="DCP165" s="588"/>
      <c r="DCQ165" s="589"/>
      <c r="DCR165" s="588"/>
      <c r="DCS165" s="589"/>
      <c r="DCT165" s="588"/>
      <c r="DCU165" s="589"/>
      <c r="DCV165" s="588"/>
      <c r="DCW165" s="589"/>
      <c r="DCX165" s="429"/>
      <c r="DCY165" s="364"/>
      <c r="DCZ165" s="365"/>
      <c r="DDA165" s="354"/>
      <c r="DDB165" s="465"/>
      <c r="DDC165" s="565"/>
      <c r="DDD165" s="572"/>
      <c r="DDE165" s="572"/>
      <c r="DDF165" s="566"/>
      <c r="DDG165" s="587"/>
      <c r="DDH165" s="587"/>
      <c r="DDI165" s="587"/>
      <c r="DDJ165" s="587"/>
      <c r="DDK165" s="588"/>
      <c r="DDL165" s="589"/>
      <c r="DDM165" s="588"/>
      <c r="DDN165" s="589"/>
      <c r="DDO165" s="588"/>
      <c r="DDP165" s="589"/>
      <c r="DDQ165" s="588"/>
      <c r="DDR165" s="589"/>
      <c r="DDS165" s="588"/>
      <c r="DDT165" s="589"/>
      <c r="DDU165" s="429"/>
      <c r="DDV165" s="364"/>
      <c r="DDW165" s="365"/>
      <c r="DDX165" s="354"/>
      <c r="DDY165" s="465"/>
      <c r="DDZ165" s="565"/>
      <c r="DEA165" s="572"/>
      <c r="DEB165" s="572"/>
      <c r="DEC165" s="566"/>
      <c r="DED165" s="587"/>
      <c r="DEE165" s="587"/>
      <c r="DEF165" s="587"/>
      <c r="DEG165" s="587"/>
      <c r="DEH165" s="588"/>
      <c r="DEI165" s="589"/>
      <c r="DEJ165" s="588"/>
      <c r="DEK165" s="589"/>
      <c r="DEL165" s="588"/>
      <c r="DEM165" s="589"/>
      <c r="DEN165" s="588"/>
      <c r="DEO165" s="589"/>
      <c r="DEP165" s="588"/>
      <c r="DEQ165" s="589"/>
      <c r="DER165" s="429"/>
      <c r="DES165" s="364"/>
      <c r="DET165" s="365"/>
      <c r="DEU165" s="354"/>
      <c r="DEV165" s="465"/>
      <c r="DEW165" s="565"/>
      <c r="DEX165" s="572"/>
      <c r="DEY165" s="572"/>
      <c r="DEZ165" s="566"/>
      <c r="DFA165" s="587"/>
      <c r="DFB165" s="587"/>
      <c r="DFC165" s="587"/>
      <c r="DFD165" s="587"/>
      <c r="DFE165" s="588"/>
      <c r="DFF165" s="589"/>
      <c r="DFG165" s="588"/>
      <c r="DFH165" s="589"/>
      <c r="DFI165" s="588"/>
      <c r="DFJ165" s="589"/>
      <c r="DFK165" s="588"/>
      <c r="DFL165" s="589"/>
      <c r="DFM165" s="588"/>
      <c r="DFN165" s="589"/>
      <c r="DFO165" s="429"/>
      <c r="DFP165" s="364"/>
      <c r="DFQ165" s="365"/>
      <c r="DFR165" s="354"/>
      <c r="DFS165" s="465"/>
      <c r="DFT165" s="565"/>
      <c r="DFU165" s="572"/>
      <c r="DFV165" s="572"/>
      <c r="DFW165" s="566"/>
      <c r="DFX165" s="587"/>
      <c r="DFY165" s="587"/>
      <c r="DFZ165" s="587"/>
      <c r="DGA165" s="587"/>
      <c r="DGB165" s="588"/>
      <c r="DGC165" s="589"/>
      <c r="DGD165" s="588"/>
      <c r="DGE165" s="589"/>
      <c r="DGF165" s="588"/>
      <c r="DGG165" s="589"/>
      <c r="DGH165" s="588"/>
      <c r="DGI165" s="589"/>
      <c r="DGJ165" s="588"/>
      <c r="DGK165" s="589"/>
      <c r="DGL165" s="429"/>
      <c r="DGM165" s="364"/>
      <c r="DGN165" s="365"/>
      <c r="DGO165" s="354"/>
      <c r="DGP165" s="465"/>
      <c r="DGQ165" s="565"/>
      <c r="DGR165" s="572"/>
      <c r="DGS165" s="572"/>
      <c r="DGT165" s="566"/>
      <c r="DGU165" s="587"/>
      <c r="DGV165" s="587"/>
      <c r="DGW165" s="587"/>
      <c r="DGX165" s="587"/>
      <c r="DGY165" s="588"/>
      <c r="DGZ165" s="589"/>
      <c r="DHA165" s="588"/>
      <c r="DHB165" s="589"/>
      <c r="DHC165" s="588"/>
      <c r="DHD165" s="589"/>
      <c r="DHE165" s="588"/>
      <c r="DHF165" s="589"/>
      <c r="DHG165" s="588"/>
      <c r="DHH165" s="589"/>
      <c r="DHI165" s="429"/>
      <c r="DHJ165" s="364"/>
      <c r="DHK165" s="365"/>
      <c r="DHL165" s="354"/>
      <c r="DHM165" s="465"/>
      <c r="DHN165" s="565"/>
      <c r="DHO165" s="572"/>
      <c r="DHP165" s="572"/>
      <c r="DHQ165" s="566"/>
      <c r="DHR165" s="587"/>
      <c r="DHS165" s="587"/>
      <c r="DHT165" s="587"/>
      <c r="DHU165" s="587"/>
      <c r="DHV165" s="588"/>
      <c r="DHW165" s="589"/>
      <c r="DHX165" s="588"/>
      <c r="DHY165" s="589"/>
      <c r="DHZ165" s="588"/>
      <c r="DIA165" s="589"/>
      <c r="DIB165" s="588"/>
      <c r="DIC165" s="589"/>
      <c r="DID165" s="588"/>
      <c r="DIE165" s="589"/>
      <c r="DIF165" s="429"/>
      <c r="DIG165" s="364"/>
      <c r="DIH165" s="365"/>
      <c r="DII165" s="354"/>
      <c r="DIJ165" s="465"/>
      <c r="DIK165" s="565"/>
      <c r="DIL165" s="572"/>
      <c r="DIM165" s="572"/>
      <c r="DIN165" s="566"/>
      <c r="DIO165" s="587"/>
      <c r="DIP165" s="587"/>
      <c r="DIQ165" s="587"/>
      <c r="DIR165" s="587"/>
      <c r="DIS165" s="588"/>
      <c r="DIT165" s="589"/>
      <c r="DIU165" s="588"/>
      <c r="DIV165" s="589"/>
      <c r="DIW165" s="588"/>
      <c r="DIX165" s="589"/>
      <c r="DIY165" s="588"/>
      <c r="DIZ165" s="589"/>
      <c r="DJA165" s="588"/>
      <c r="DJB165" s="589"/>
      <c r="DJC165" s="429"/>
      <c r="DJD165" s="364"/>
      <c r="DJE165" s="365"/>
      <c r="DJF165" s="354"/>
      <c r="DJG165" s="465"/>
      <c r="DJH165" s="565"/>
      <c r="DJI165" s="572"/>
      <c r="DJJ165" s="572"/>
      <c r="DJK165" s="566"/>
      <c r="DJL165" s="587"/>
      <c r="DJM165" s="587"/>
      <c r="DJN165" s="587"/>
      <c r="DJO165" s="587"/>
      <c r="DJP165" s="588"/>
      <c r="DJQ165" s="589"/>
      <c r="DJR165" s="588"/>
      <c r="DJS165" s="589"/>
      <c r="DJT165" s="588"/>
      <c r="DJU165" s="589"/>
      <c r="DJV165" s="588"/>
      <c r="DJW165" s="589"/>
      <c r="DJX165" s="588"/>
      <c r="DJY165" s="589"/>
      <c r="DJZ165" s="429"/>
      <c r="DKA165" s="364"/>
      <c r="DKB165" s="365"/>
      <c r="DKC165" s="354"/>
      <c r="DKD165" s="465"/>
      <c r="DKE165" s="565"/>
      <c r="DKF165" s="572"/>
      <c r="DKG165" s="572"/>
      <c r="DKH165" s="566"/>
      <c r="DKI165" s="587"/>
      <c r="DKJ165" s="587"/>
      <c r="DKK165" s="587"/>
      <c r="DKL165" s="587"/>
      <c r="DKM165" s="588"/>
      <c r="DKN165" s="589"/>
      <c r="DKO165" s="588"/>
      <c r="DKP165" s="589"/>
      <c r="DKQ165" s="588"/>
      <c r="DKR165" s="589"/>
      <c r="DKS165" s="588"/>
      <c r="DKT165" s="589"/>
      <c r="DKU165" s="588"/>
      <c r="DKV165" s="589"/>
      <c r="DKW165" s="429"/>
      <c r="DKX165" s="364"/>
      <c r="DKY165" s="365"/>
      <c r="DKZ165" s="354"/>
      <c r="DLA165" s="465"/>
      <c r="DLB165" s="565"/>
      <c r="DLC165" s="572"/>
      <c r="DLD165" s="572"/>
      <c r="DLE165" s="566"/>
      <c r="DLF165" s="587"/>
      <c r="DLG165" s="587"/>
      <c r="DLH165" s="587"/>
      <c r="DLI165" s="587"/>
      <c r="DLJ165" s="588"/>
      <c r="DLK165" s="589"/>
      <c r="DLL165" s="588"/>
      <c r="DLM165" s="589"/>
      <c r="DLN165" s="588"/>
      <c r="DLO165" s="589"/>
      <c r="DLP165" s="588"/>
      <c r="DLQ165" s="589"/>
      <c r="DLR165" s="588"/>
      <c r="DLS165" s="589"/>
      <c r="DLT165" s="429"/>
      <c r="DLU165" s="364"/>
      <c r="DLV165" s="365"/>
      <c r="DLW165" s="354"/>
      <c r="DLX165" s="465"/>
      <c r="DLY165" s="565"/>
      <c r="DLZ165" s="572"/>
      <c r="DMA165" s="572"/>
      <c r="DMB165" s="566"/>
      <c r="DMC165" s="587"/>
      <c r="DMD165" s="587"/>
      <c r="DME165" s="587"/>
      <c r="DMF165" s="587"/>
      <c r="DMG165" s="588"/>
      <c r="DMH165" s="589"/>
      <c r="DMI165" s="588"/>
      <c r="DMJ165" s="589"/>
      <c r="DMK165" s="588"/>
      <c r="DML165" s="589"/>
      <c r="DMM165" s="588"/>
      <c r="DMN165" s="589"/>
      <c r="DMO165" s="588"/>
      <c r="DMP165" s="589"/>
      <c r="DMQ165" s="429"/>
      <c r="DMR165" s="364"/>
      <c r="DMS165" s="365"/>
      <c r="DMT165" s="354"/>
      <c r="DMU165" s="465"/>
      <c r="DMV165" s="565"/>
      <c r="DMW165" s="572"/>
      <c r="DMX165" s="572"/>
      <c r="DMY165" s="566"/>
      <c r="DMZ165" s="587"/>
      <c r="DNA165" s="587"/>
      <c r="DNB165" s="587"/>
      <c r="DNC165" s="587"/>
      <c r="DND165" s="588"/>
      <c r="DNE165" s="589"/>
      <c r="DNF165" s="588"/>
      <c r="DNG165" s="589"/>
      <c r="DNH165" s="588"/>
      <c r="DNI165" s="589"/>
      <c r="DNJ165" s="588"/>
      <c r="DNK165" s="589"/>
      <c r="DNL165" s="588"/>
      <c r="DNM165" s="589"/>
      <c r="DNN165" s="429"/>
      <c r="DNO165" s="364"/>
      <c r="DNP165" s="365"/>
      <c r="DNQ165" s="354"/>
      <c r="DNR165" s="465"/>
      <c r="DNS165" s="565"/>
      <c r="DNT165" s="572"/>
      <c r="DNU165" s="572"/>
      <c r="DNV165" s="566"/>
      <c r="DNW165" s="587"/>
      <c r="DNX165" s="587"/>
      <c r="DNY165" s="587"/>
      <c r="DNZ165" s="587"/>
      <c r="DOA165" s="588"/>
      <c r="DOB165" s="589"/>
      <c r="DOC165" s="588"/>
      <c r="DOD165" s="589"/>
      <c r="DOE165" s="588"/>
      <c r="DOF165" s="589"/>
      <c r="DOG165" s="588"/>
      <c r="DOH165" s="589"/>
      <c r="DOI165" s="588"/>
      <c r="DOJ165" s="589"/>
      <c r="DOK165" s="429"/>
      <c r="DOL165" s="364"/>
      <c r="DOM165" s="365"/>
      <c r="DON165" s="354"/>
      <c r="DOO165" s="465"/>
      <c r="DOP165" s="565"/>
      <c r="DOQ165" s="572"/>
      <c r="DOR165" s="572"/>
      <c r="DOS165" s="566"/>
      <c r="DOT165" s="587"/>
      <c r="DOU165" s="587"/>
      <c r="DOV165" s="587"/>
      <c r="DOW165" s="587"/>
      <c r="DOX165" s="588"/>
      <c r="DOY165" s="589"/>
      <c r="DOZ165" s="588"/>
      <c r="DPA165" s="589"/>
      <c r="DPB165" s="588"/>
      <c r="DPC165" s="589"/>
      <c r="DPD165" s="588"/>
      <c r="DPE165" s="589"/>
      <c r="DPF165" s="588"/>
      <c r="DPG165" s="589"/>
      <c r="DPH165" s="429"/>
      <c r="DPI165" s="364"/>
      <c r="DPJ165" s="365"/>
      <c r="DPK165" s="354"/>
      <c r="DPL165" s="465"/>
      <c r="DPM165" s="565"/>
      <c r="DPN165" s="572"/>
      <c r="DPO165" s="572"/>
      <c r="DPP165" s="566"/>
      <c r="DPQ165" s="587"/>
      <c r="DPR165" s="587"/>
      <c r="DPS165" s="587"/>
      <c r="DPT165" s="587"/>
      <c r="DPU165" s="588"/>
      <c r="DPV165" s="589"/>
      <c r="DPW165" s="588"/>
      <c r="DPX165" s="589"/>
      <c r="DPY165" s="588"/>
      <c r="DPZ165" s="589"/>
      <c r="DQA165" s="588"/>
      <c r="DQB165" s="589"/>
      <c r="DQC165" s="588"/>
      <c r="DQD165" s="589"/>
      <c r="DQE165" s="429"/>
      <c r="DQF165" s="364"/>
      <c r="DQG165" s="365"/>
      <c r="DQH165" s="354"/>
      <c r="DQI165" s="465"/>
      <c r="DQJ165" s="565"/>
      <c r="DQK165" s="572"/>
      <c r="DQL165" s="572"/>
      <c r="DQM165" s="566"/>
      <c r="DQN165" s="587"/>
      <c r="DQO165" s="587"/>
      <c r="DQP165" s="587"/>
      <c r="DQQ165" s="587"/>
      <c r="DQR165" s="588"/>
      <c r="DQS165" s="589"/>
      <c r="DQT165" s="588"/>
      <c r="DQU165" s="589"/>
      <c r="DQV165" s="588"/>
      <c r="DQW165" s="589"/>
      <c r="DQX165" s="588"/>
      <c r="DQY165" s="589"/>
      <c r="DQZ165" s="588"/>
      <c r="DRA165" s="589"/>
      <c r="DRB165" s="429"/>
      <c r="DRC165" s="364"/>
      <c r="DRD165" s="365"/>
      <c r="DRE165" s="354"/>
      <c r="DRF165" s="465"/>
      <c r="DRG165" s="565"/>
      <c r="DRH165" s="572"/>
      <c r="DRI165" s="572"/>
      <c r="DRJ165" s="566"/>
      <c r="DRK165" s="587"/>
      <c r="DRL165" s="587"/>
      <c r="DRM165" s="587"/>
      <c r="DRN165" s="587"/>
      <c r="DRO165" s="588"/>
      <c r="DRP165" s="589"/>
      <c r="DRQ165" s="588"/>
      <c r="DRR165" s="589"/>
      <c r="DRS165" s="588"/>
      <c r="DRT165" s="589"/>
      <c r="DRU165" s="588"/>
      <c r="DRV165" s="589"/>
      <c r="DRW165" s="588"/>
      <c r="DRX165" s="589"/>
      <c r="DRY165" s="429"/>
      <c r="DRZ165" s="364"/>
      <c r="DSA165" s="365"/>
      <c r="DSB165" s="354"/>
      <c r="DSC165" s="465"/>
      <c r="DSD165" s="565"/>
      <c r="DSE165" s="572"/>
      <c r="DSF165" s="572"/>
      <c r="DSG165" s="566"/>
      <c r="DSH165" s="587"/>
      <c r="DSI165" s="587"/>
      <c r="DSJ165" s="587"/>
      <c r="DSK165" s="587"/>
      <c r="DSL165" s="588"/>
      <c r="DSM165" s="589"/>
      <c r="DSN165" s="588"/>
      <c r="DSO165" s="589"/>
      <c r="DSP165" s="588"/>
      <c r="DSQ165" s="589"/>
      <c r="DSR165" s="588"/>
      <c r="DSS165" s="589"/>
      <c r="DST165" s="588"/>
      <c r="DSU165" s="589"/>
      <c r="DSV165" s="429"/>
      <c r="DSW165" s="364"/>
      <c r="DSX165" s="365"/>
      <c r="DSY165" s="354"/>
      <c r="DSZ165" s="465"/>
      <c r="DTA165" s="565"/>
      <c r="DTB165" s="572"/>
      <c r="DTC165" s="572"/>
      <c r="DTD165" s="566"/>
      <c r="DTE165" s="587"/>
      <c r="DTF165" s="587"/>
      <c r="DTG165" s="587"/>
      <c r="DTH165" s="587"/>
      <c r="DTI165" s="588"/>
      <c r="DTJ165" s="589"/>
      <c r="DTK165" s="588"/>
      <c r="DTL165" s="589"/>
      <c r="DTM165" s="588"/>
      <c r="DTN165" s="589"/>
      <c r="DTO165" s="588"/>
      <c r="DTP165" s="589"/>
      <c r="DTQ165" s="588"/>
      <c r="DTR165" s="589"/>
      <c r="DTS165" s="429"/>
      <c r="DTT165" s="364"/>
      <c r="DTU165" s="365"/>
      <c r="DTV165" s="354"/>
      <c r="DTW165" s="465"/>
      <c r="DTX165" s="565"/>
      <c r="DTY165" s="572"/>
      <c r="DTZ165" s="572"/>
      <c r="DUA165" s="566"/>
      <c r="DUB165" s="587"/>
      <c r="DUC165" s="587"/>
      <c r="DUD165" s="587"/>
      <c r="DUE165" s="587"/>
      <c r="DUF165" s="588"/>
      <c r="DUG165" s="589"/>
      <c r="DUH165" s="588"/>
      <c r="DUI165" s="589"/>
      <c r="DUJ165" s="588"/>
      <c r="DUK165" s="589"/>
      <c r="DUL165" s="588"/>
      <c r="DUM165" s="589"/>
      <c r="DUN165" s="588"/>
      <c r="DUO165" s="589"/>
      <c r="DUP165" s="429"/>
      <c r="DUQ165" s="364"/>
      <c r="DUR165" s="365"/>
      <c r="DUS165" s="354"/>
      <c r="DUT165" s="465"/>
      <c r="DUU165" s="565"/>
      <c r="DUV165" s="572"/>
      <c r="DUW165" s="572"/>
      <c r="DUX165" s="566"/>
      <c r="DUY165" s="587"/>
      <c r="DUZ165" s="587"/>
      <c r="DVA165" s="587"/>
      <c r="DVB165" s="587"/>
      <c r="DVC165" s="588"/>
      <c r="DVD165" s="589"/>
      <c r="DVE165" s="588"/>
      <c r="DVF165" s="589"/>
      <c r="DVG165" s="588"/>
      <c r="DVH165" s="589"/>
      <c r="DVI165" s="588"/>
      <c r="DVJ165" s="589"/>
      <c r="DVK165" s="588"/>
      <c r="DVL165" s="589"/>
      <c r="DVM165" s="429"/>
      <c r="DVN165" s="364"/>
      <c r="DVO165" s="365"/>
      <c r="DVP165" s="354"/>
      <c r="DVQ165" s="465"/>
      <c r="DVR165" s="565"/>
      <c r="DVS165" s="572"/>
      <c r="DVT165" s="572"/>
      <c r="DVU165" s="566"/>
      <c r="DVV165" s="587"/>
      <c r="DVW165" s="587"/>
      <c r="DVX165" s="587"/>
      <c r="DVY165" s="587"/>
      <c r="DVZ165" s="588"/>
      <c r="DWA165" s="589"/>
      <c r="DWB165" s="588"/>
      <c r="DWC165" s="589"/>
      <c r="DWD165" s="588"/>
      <c r="DWE165" s="589"/>
      <c r="DWF165" s="588"/>
      <c r="DWG165" s="589"/>
      <c r="DWH165" s="588"/>
      <c r="DWI165" s="589"/>
      <c r="DWJ165" s="429"/>
      <c r="DWK165" s="364"/>
      <c r="DWL165" s="365"/>
      <c r="DWM165" s="354"/>
      <c r="DWN165" s="465"/>
      <c r="DWO165" s="565"/>
      <c r="DWP165" s="572"/>
      <c r="DWQ165" s="572"/>
      <c r="DWR165" s="566"/>
      <c r="DWS165" s="587"/>
      <c r="DWT165" s="587"/>
      <c r="DWU165" s="587"/>
      <c r="DWV165" s="587"/>
      <c r="DWW165" s="588"/>
      <c r="DWX165" s="589"/>
      <c r="DWY165" s="588"/>
      <c r="DWZ165" s="589"/>
      <c r="DXA165" s="588"/>
      <c r="DXB165" s="589"/>
      <c r="DXC165" s="588"/>
      <c r="DXD165" s="589"/>
      <c r="DXE165" s="588"/>
      <c r="DXF165" s="589"/>
      <c r="DXG165" s="429"/>
      <c r="DXH165" s="364"/>
      <c r="DXI165" s="365"/>
      <c r="DXJ165" s="354"/>
      <c r="DXK165" s="465"/>
      <c r="DXL165" s="565"/>
      <c r="DXM165" s="572"/>
      <c r="DXN165" s="572"/>
      <c r="DXO165" s="566"/>
      <c r="DXP165" s="587"/>
      <c r="DXQ165" s="587"/>
      <c r="DXR165" s="587"/>
      <c r="DXS165" s="587"/>
      <c r="DXT165" s="588"/>
      <c r="DXU165" s="589"/>
      <c r="DXV165" s="588"/>
      <c r="DXW165" s="589"/>
      <c r="DXX165" s="588"/>
      <c r="DXY165" s="589"/>
      <c r="DXZ165" s="588"/>
      <c r="DYA165" s="589"/>
      <c r="DYB165" s="588"/>
      <c r="DYC165" s="589"/>
      <c r="DYD165" s="429"/>
      <c r="DYE165" s="364"/>
      <c r="DYF165" s="365"/>
      <c r="DYG165" s="354"/>
      <c r="DYH165" s="465"/>
      <c r="DYI165" s="565"/>
      <c r="DYJ165" s="572"/>
      <c r="DYK165" s="572"/>
      <c r="DYL165" s="566"/>
      <c r="DYM165" s="587"/>
      <c r="DYN165" s="587"/>
      <c r="DYO165" s="587"/>
      <c r="DYP165" s="587"/>
      <c r="DYQ165" s="588"/>
      <c r="DYR165" s="589"/>
      <c r="DYS165" s="588"/>
      <c r="DYT165" s="589"/>
      <c r="DYU165" s="588"/>
      <c r="DYV165" s="589"/>
      <c r="DYW165" s="588"/>
      <c r="DYX165" s="589"/>
      <c r="DYY165" s="588"/>
      <c r="DYZ165" s="589"/>
      <c r="DZA165" s="429"/>
      <c r="DZB165" s="364"/>
      <c r="DZC165" s="365"/>
      <c r="DZD165" s="354"/>
      <c r="DZE165" s="465"/>
      <c r="DZF165" s="565"/>
      <c r="DZG165" s="572"/>
      <c r="DZH165" s="572"/>
      <c r="DZI165" s="566"/>
      <c r="DZJ165" s="587"/>
      <c r="DZK165" s="587"/>
      <c r="DZL165" s="587"/>
      <c r="DZM165" s="587"/>
      <c r="DZN165" s="588"/>
      <c r="DZO165" s="589"/>
      <c r="DZP165" s="588"/>
      <c r="DZQ165" s="589"/>
      <c r="DZR165" s="588"/>
      <c r="DZS165" s="589"/>
      <c r="DZT165" s="588"/>
      <c r="DZU165" s="589"/>
      <c r="DZV165" s="588"/>
      <c r="DZW165" s="589"/>
      <c r="DZX165" s="429"/>
      <c r="DZY165" s="364"/>
      <c r="DZZ165" s="365"/>
      <c r="EAA165" s="354"/>
      <c r="EAB165" s="465"/>
      <c r="EAC165" s="565"/>
      <c r="EAD165" s="572"/>
      <c r="EAE165" s="572"/>
      <c r="EAF165" s="566"/>
      <c r="EAG165" s="587"/>
      <c r="EAH165" s="587"/>
      <c r="EAI165" s="587"/>
      <c r="EAJ165" s="587"/>
      <c r="EAK165" s="588"/>
      <c r="EAL165" s="589"/>
      <c r="EAM165" s="588"/>
      <c r="EAN165" s="589"/>
      <c r="EAO165" s="588"/>
      <c r="EAP165" s="589"/>
      <c r="EAQ165" s="588"/>
      <c r="EAR165" s="589"/>
      <c r="EAS165" s="588"/>
      <c r="EAT165" s="589"/>
      <c r="EAU165" s="429"/>
      <c r="EAV165" s="364"/>
      <c r="EAW165" s="365"/>
      <c r="EAX165" s="354"/>
      <c r="EAY165" s="465"/>
      <c r="EAZ165" s="565"/>
      <c r="EBA165" s="572"/>
      <c r="EBB165" s="572"/>
      <c r="EBC165" s="566"/>
      <c r="EBD165" s="587"/>
      <c r="EBE165" s="587"/>
      <c r="EBF165" s="587"/>
      <c r="EBG165" s="587"/>
      <c r="EBH165" s="588"/>
      <c r="EBI165" s="589"/>
      <c r="EBJ165" s="588"/>
      <c r="EBK165" s="589"/>
      <c r="EBL165" s="588"/>
      <c r="EBM165" s="589"/>
      <c r="EBN165" s="588"/>
      <c r="EBO165" s="589"/>
      <c r="EBP165" s="588"/>
      <c r="EBQ165" s="589"/>
      <c r="EBR165" s="429"/>
      <c r="EBS165" s="364"/>
      <c r="EBT165" s="365"/>
      <c r="EBU165" s="354"/>
      <c r="EBV165" s="465"/>
      <c r="EBW165" s="565"/>
      <c r="EBX165" s="572"/>
      <c r="EBY165" s="572"/>
      <c r="EBZ165" s="566"/>
      <c r="ECA165" s="587"/>
      <c r="ECB165" s="587"/>
      <c r="ECC165" s="587"/>
      <c r="ECD165" s="587"/>
      <c r="ECE165" s="588"/>
      <c r="ECF165" s="589"/>
      <c r="ECG165" s="588"/>
      <c r="ECH165" s="589"/>
      <c r="ECI165" s="588"/>
      <c r="ECJ165" s="589"/>
      <c r="ECK165" s="588"/>
      <c r="ECL165" s="589"/>
      <c r="ECM165" s="588"/>
      <c r="ECN165" s="589"/>
      <c r="ECO165" s="429"/>
      <c r="ECP165" s="364"/>
      <c r="ECQ165" s="365"/>
      <c r="ECR165" s="354"/>
      <c r="ECS165" s="465"/>
      <c r="ECT165" s="565"/>
      <c r="ECU165" s="572"/>
      <c r="ECV165" s="572"/>
      <c r="ECW165" s="566"/>
      <c r="ECX165" s="587"/>
      <c r="ECY165" s="587"/>
      <c r="ECZ165" s="587"/>
      <c r="EDA165" s="587"/>
      <c r="EDB165" s="588"/>
      <c r="EDC165" s="589"/>
      <c r="EDD165" s="588"/>
      <c r="EDE165" s="589"/>
      <c r="EDF165" s="588"/>
      <c r="EDG165" s="589"/>
      <c r="EDH165" s="588"/>
      <c r="EDI165" s="589"/>
      <c r="EDJ165" s="588"/>
      <c r="EDK165" s="589"/>
      <c r="EDL165" s="429"/>
      <c r="EDM165" s="364"/>
      <c r="EDN165" s="365"/>
      <c r="EDO165" s="354"/>
      <c r="EDP165" s="465"/>
      <c r="EDQ165" s="565"/>
      <c r="EDR165" s="572"/>
      <c r="EDS165" s="572"/>
      <c r="EDT165" s="566"/>
      <c r="EDU165" s="587"/>
      <c r="EDV165" s="587"/>
      <c r="EDW165" s="587"/>
      <c r="EDX165" s="587"/>
      <c r="EDY165" s="588"/>
      <c r="EDZ165" s="589"/>
      <c r="EEA165" s="588"/>
      <c r="EEB165" s="589"/>
      <c r="EEC165" s="588"/>
      <c r="EED165" s="589"/>
      <c r="EEE165" s="588"/>
      <c r="EEF165" s="589"/>
      <c r="EEG165" s="588"/>
      <c r="EEH165" s="589"/>
      <c r="EEI165" s="429"/>
      <c r="EEJ165" s="364"/>
      <c r="EEK165" s="365"/>
      <c r="EEL165" s="354"/>
      <c r="EEM165" s="465"/>
      <c r="EEN165" s="565"/>
      <c r="EEO165" s="572"/>
      <c r="EEP165" s="572"/>
      <c r="EEQ165" s="566"/>
      <c r="EER165" s="587"/>
      <c r="EES165" s="587"/>
      <c r="EET165" s="587"/>
      <c r="EEU165" s="587"/>
      <c r="EEV165" s="588"/>
      <c r="EEW165" s="589"/>
      <c r="EEX165" s="588"/>
      <c r="EEY165" s="589"/>
      <c r="EEZ165" s="588"/>
      <c r="EFA165" s="589"/>
      <c r="EFB165" s="588"/>
      <c r="EFC165" s="589"/>
      <c r="EFD165" s="588"/>
      <c r="EFE165" s="589"/>
      <c r="EFF165" s="429"/>
      <c r="EFG165" s="364"/>
      <c r="EFH165" s="365"/>
      <c r="EFI165" s="354"/>
      <c r="EFJ165" s="465"/>
      <c r="EFK165" s="565"/>
      <c r="EFL165" s="572"/>
      <c r="EFM165" s="572"/>
      <c r="EFN165" s="566"/>
      <c r="EFO165" s="587"/>
      <c r="EFP165" s="587"/>
      <c r="EFQ165" s="587"/>
      <c r="EFR165" s="587"/>
      <c r="EFS165" s="588"/>
      <c r="EFT165" s="589"/>
      <c r="EFU165" s="588"/>
      <c r="EFV165" s="589"/>
      <c r="EFW165" s="588"/>
      <c r="EFX165" s="589"/>
      <c r="EFY165" s="588"/>
      <c r="EFZ165" s="589"/>
      <c r="EGA165" s="588"/>
      <c r="EGB165" s="589"/>
      <c r="EGC165" s="429"/>
      <c r="EGD165" s="364"/>
      <c r="EGE165" s="365"/>
      <c r="EGF165" s="354"/>
      <c r="EGG165" s="465"/>
      <c r="EGH165" s="565"/>
      <c r="EGI165" s="572"/>
      <c r="EGJ165" s="572"/>
      <c r="EGK165" s="566"/>
      <c r="EGL165" s="587"/>
      <c r="EGM165" s="587"/>
      <c r="EGN165" s="587"/>
      <c r="EGO165" s="587"/>
      <c r="EGP165" s="588"/>
      <c r="EGQ165" s="589"/>
      <c r="EGR165" s="588"/>
      <c r="EGS165" s="589"/>
      <c r="EGT165" s="588"/>
      <c r="EGU165" s="589"/>
      <c r="EGV165" s="588"/>
      <c r="EGW165" s="589"/>
      <c r="EGX165" s="588"/>
      <c r="EGY165" s="589"/>
      <c r="EGZ165" s="429"/>
      <c r="EHA165" s="364"/>
      <c r="EHB165" s="365"/>
      <c r="EHC165" s="354"/>
      <c r="EHD165" s="465"/>
      <c r="EHE165" s="565"/>
      <c r="EHF165" s="572"/>
      <c r="EHG165" s="572"/>
      <c r="EHH165" s="566"/>
      <c r="EHI165" s="587"/>
      <c r="EHJ165" s="587"/>
      <c r="EHK165" s="587"/>
      <c r="EHL165" s="587"/>
      <c r="EHM165" s="588"/>
      <c r="EHN165" s="589"/>
      <c r="EHO165" s="588"/>
      <c r="EHP165" s="589"/>
      <c r="EHQ165" s="588"/>
      <c r="EHR165" s="589"/>
      <c r="EHS165" s="588"/>
      <c r="EHT165" s="589"/>
      <c r="EHU165" s="588"/>
      <c r="EHV165" s="589"/>
      <c r="EHW165" s="429"/>
      <c r="EHX165" s="364"/>
      <c r="EHY165" s="365"/>
      <c r="EHZ165" s="354"/>
      <c r="EIA165" s="465"/>
      <c r="EIB165" s="565"/>
      <c r="EIC165" s="572"/>
      <c r="EID165" s="572"/>
      <c r="EIE165" s="566"/>
      <c r="EIF165" s="587"/>
      <c r="EIG165" s="587"/>
      <c r="EIH165" s="587"/>
      <c r="EII165" s="587"/>
      <c r="EIJ165" s="588"/>
      <c r="EIK165" s="589"/>
      <c r="EIL165" s="588"/>
      <c r="EIM165" s="589"/>
      <c r="EIN165" s="588"/>
      <c r="EIO165" s="589"/>
      <c r="EIP165" s="588"/>
      <c r="EIQ165" s="589"/>
      <c r="EIR165" s="588"/>
      <c r="EIS165" s="589"/>
      <c r="EIT165" s="429"/>
      <c r="EIU165" s="364"/>
      <c r="EIV165" s="365"/>
      <c r="EIW165" s="354"/>
      <c r="EIX165" s="465"/>
      <c r="EIY165" s="565"/>
      <c r="EIZ165" s="572"/>
      <c r="EJA165" s="572"/>
      <c r="EJB165" s="566"/>
      <c r="EJC165" s="587"/>
      <c r="EJD165" s="587"/>
      <c r="EJE165" s="587"/>
      <c r="EJF165" s="587"/>
      <c r="EJG165" s="588"/>
      <c r="EJH165" s="589"/>
      <c r="EJI165" s="588"/>
      <c r="EJJ165" s="589"/>
      <c r="EJK165" s="588"/>
      <c r="EJL165" s="589"/>
      <c r="EJM165" s="588"/>
      <c r="EJN165" s="589"/>
      <c r="EJO165" s="588"/>
      <c r="EJP165" s="589"/>
      <c r="EJQ165" s="429"/>
      <c r="EJR165" s="364"/>
      <c r="EJS165" s="365"/>
      <c r="EJT165" s="354"/>
      <c r="EJU165" s="465"/>
      <c r="EJV165" s="565"/>
      <c r="EJW165" s="572"/>
      <c r="EJX165" s="572"/>
      <c r="EJY165" s="566"/>
      <c r="EJZ165" s="587"/>
      <c r="EKA165" s="587"/>
      <c r="EKB165" s="587"/>
      <c r="EKC165" s="587"/>
      <c r="EKD165" s="588"/>
      <c r="EKE165" s="589"/>
      <c r="EKF165" s="588"/>
      <c r="EKG165" s="589"/>
      <c r="EKH165" s="588"/>
      <c r="EKI165" s="589"/>
      <c r="EKJ165" s="588"/>
      <c r="EKK165" s="589"/>
      <c r="EKL165" s="588"/>
      <c r="EKM165" s="589"/>
      <c r="EKN165" s="429"/>
      <c r="EKO165" s="364"/>
      <c r="EKP165" s="365"/>
      <c r="EKQ165" s="354"/>
      <c r="EKR165" s="465"/>
      <c r="EKS165" s="565"/>
      <c r="EKT165" s="572"/>
      <c r="EKU165" s="572"/>
      <c r="EKV165" s="566"/>
      <c r="EKW165" s="587"/>
      <c r="EKX165" s="587"/>
      <c r="EKY165" s="587"/>
      <c r="EKZ165" s="587"/>
      <c r="ELA165" s="588"/>
      <c r="ELB165" s="589"/>
      <c r="ELC165" s="588"/>
      <c r="ELD165" s="589"/>
      <c r="ELE165" s="588"/>
      <c r="ELF165" s="589"/>
      <c r="ELG165" s="588"/>
      <c r="ELH165" s="589"/>
      <c r="ELI165" s="588"/>
      <c r="ELJ165" s="589"/>
      <c r="ELK165" s="429"/>
      <c r="ELL165" s="364"/>
      <c r="ELM165" s="365"/>
      <c r="ELN165" s="354"/>
      <c r="ELO165" s="465"/>
      <c r="ELP165" s="565"/>
      <c r="ELQ165" s="572"/>
      <c r="ELR165" s="572"/>
      <c r="ELS165" s="566"/>
      <c r="ELT165" s="587"/>
      <c r="ELU165" s="587"/>
      <c r="ELV165" s="587"/>
      <c r="ELW165" s="587"/>
      <c r="ELX165" s="588"/>
      <c r="ELY165" s="589"/>
      <c r="ELZ165" s="588"/>
      <c r="EMA165" s="589"/>
      <c r="EMB165" s="588"/>
      <c r="EMC165" s="589"/>
      <c r="EMD165" s="588"/>
      <c r="EME165" s="589"/>
      <c r="EMF165" s="588"/>
      <c r="EMG165" s="589"/>
      <c r="EMH165" s="429"/>
      <c r="EMI165" s="364"/>
      <c r="EMJ165" s="365"/>
      <c r="EMK165" s="354"/>
      <c r="EML165" s="465"/>
      <c r="EMM165" s="565"/>
      <c r="EMN165" s="572"/>
      <c r="EMO165" s="572"/>
      <c r="EMP165" s="566"/>
      <c r="EMQ165" s="587"/>
      <c r="EMR165" s="587"/>
      <c r="EMS165" s="587"/>
      <c r="EMT165" s="587"/>
      <c r="EMU165" s="588"/>
      <c r="EMV165" s="589"/>
      <c r="EMW165" s="588"/>
      <c r="EMX165" s="589"/>
      <c r="EMY165" s="588"/>
      <c r="EMZ165" s="589"/>
      <c r="ENA165" s="588"/>
      <c r="ENB165" s="589"/>
      <c r="ENC165" s="588"/>
      <c r="END165" s="589"/>
      <c r="ENE165" s="429"/>
      <c r="ENF165" s="364"/>
      <c r="ENG165" s="365"/>
      <c r="ENH165" s="354"/>
      <c r="ENI165" s="465"/>
      <c r="ENJ165" s="565"/>
      <c r="ENK165" s="572"/>
      <c r="ENL165" s="572"/>
      <c r="ENM165" s="566"/>
      <c r="ENN165" s="587"/>
      <c r="ENO165" s="587"/>
      <c r="ENP165" s="587"/>
      <c r="ENQ165" s="587"/>
      <c r="ENR165" s="588"/>
      <c r="ENS165" s="589"/>
      <c r="ENT165" s="588"/>
      <c r="ENU165" s="589"/>
      <c r="ENV165" s="588"/>
      <c r="ENW165" s="589"/>
      <c r="ENX165" s="588"/>
      <c r="ENY165" s="589"/>
      <c r="ENZ165" s="588"/>
      <c r="EOA165" s="589"/>
      <c r="EOB165" s="429"/>
      <c r="EOC165" s="364"/>
      <c r="EOD165" s="365"/>
      <c r="EOE165" s="354"/>
      <c r="EOF165" s="465"/>
      <c r="EOG165" s="565"/>
      <c r="EOH165" s="572"/>
      <c r="EOI165" s="572"/>
      <c r="EOJ165" s="566"/>
      <c r="EOK165" s="587"/>
      <c r="EOL165" s="587"/>
      <c r="EOM165" s="587"/>
      <c r="EON165" s="587"/>
      <c r="EOO165" s="588"/>
      <c r="EOP165" s="589"/>
      <c r="EOQ165" s="588"/>
      <c r="EOR165" s="589"/>
      <c r="EOS165" s="588"/>
      <c r="EOT165" s="589"/>
      <c r="EOU165" s="588"/>
      <c r="EOV165" s="589"/>
      <c r="EOW165" s="588"/>
      <c r="EOX165" s="589"/>
      <c r="EOY165" s="429"/>
      <c r="EOZ165" s="364"/>
      <c r="EPA165" s="365"/>
      <c r="EPB165" s="354"/>
      <c r="EPC165" s="465"/>
      <c r="EPD165" s="565"/>
      <c r="EPE165" s="572"/>
      <c r="EPF165" s="572"/>
      <c r="EPG165" s="566"/>
      <c r="EPH165" s="587"/>
      <c r="EPI165" s="587"/>
      <c r="EPJ165" s="587"/>
      <c r="EPK165" s="587"/>
      <c r="EPL165" s="588"/>
      <c r="EPM165" s="589"/>
      <c r="EPN165" s="588"/>
      <c r="EPO165" s="589"/>
      <c r="EPP165" s="588"/>
      <c r="EPQ165" s="589"/>
      <c r="EPR165" s="588"/>
      <c r="EPS165" s="589"/>
      <c r="EPT165" s="588"/>
      <c r="EPU165" s="589"/>
      <c r="EPV165" s="429"/>
      <c r="EPW165" s="364"/>
      <c r="EPX165" s="365"/>
      <c r="EPY165" s="354"/>
      <c r="EPZ165" s="465"/>
      <c r="EQA165" s="565"/>
      <c r="EQB165" s="572"/>
      <c r="EQC165" s="572"/>
      <c r="EQD165" s="566"/>
      <c r="EQE165" s="587"/>
      <c r="EQF165" s="587"/>
      <c r="EQG165" s="587"/>
      <c r="EQH165" s="587"/>
      <c r="EQI165" s="588"/>
      <c r="EQJ165" s="589"/>
      <c r="EQK165" s="588"/>
      <c r="EQL165" s="589"/>
      <c r="EQM165" s="588"/>
      <c r="EQN165" s="589"/>
      <c r="EQO165" s="588"/>
      <c r="EQP165" s="589"/>
      <c r="EQQ165" s="588"/>
      <c r="EQR165" s="589"/>
      <c r="EQS165" s="429"/>
      <c r="EQT165" s="364"/>
      <c r="EQU165" s="365"/>
      <c r="EQV165" s="354"/>
      <c r="EQW165" s="465"/>
      <c r="EQX165" s="565"/>
      <c r="EQY165" s="572"/>
      <c r="EQZ165" s="572"/>
      <c r="ERA165" s="566"/>
      <c r="ERB165" s="587"/>
      <c r="ERC165" s="587"/>
      <c r="ERD165" s="587"/>
      <c r="ERE165" s="587"/>
      <c r="ERF165" s="588"/>
      <c r="ERG165" s="589"/>
      <c r="ERH165" s="588"/>
      <c r="ERI165" s="589"/>
      <c r="ERJ165" s="588"/>
      <c r="ERK165" s="589"/>
      <c r="ERL165" s="588"/>
      <c r="ERM165" s="589"/>
      <c r="ERN165" s="588"/>
      <c r="ERO165" s="589"/>
      <c r="ERP165" s="429"/>
      <c r="ERQ165" s="364"/>
      <c r="ERR165" s="365"/>
      <c r="ERS165" s="354"/>
      <c r="ERT165" s="465"/>
      <c r="ERU165" s="565"/>
      <c r="ERV165" s="572"/>
      <c r="ERW165" s="572"/>
      <c r="ERX165" s="566"/>
      <c r="ERY165" s="587"/>
      <c r="ERZ165" s="587"/>
      <c r="ESA165" s="587"/>
      <c r="ESB165" s="587"/>
      <c r="ESC165" s="588"/>
      <c r="ESD165" s="589"/>
      <c r="ESE165" s="588"/>
      <c r="ESF165" s="589"/>
      <c r="ESG165" s="588"/>
      <c r="ESH165" s="589"/>
      <c r="ESI165" s="588"/>
      <c r="ESJ165" s="589"/>
      <c r="ESK165" s="588"/>
      <c r="ESL165" s="589"/>
      <c r="ESM165" s="429"/>
      <c r="ESN165" s="364"/>
      <c r="ESO165" s="365"/>
      <c r="ESP165" s="354"/>
      <c r="ESQ165" s="465"/>
      <c r="ESR165" s="565"/>
      <c r="ESS165" s="572"/>
      <c r="EST165" s="572"/>
      <c r="ESU165" s="566"/>
      <c r="ESV165" s="587"/>
      <c r="ESW165" s="587"/>
      <c r="ESX165" s="587"/>
      <c r="ESY165" s="587"/>
      <c r="ESZ165" s="588"/>
      <c r="ETA165" s="589"/>
      <c r="ETB165" s="588"/>
      <c r="ETC165" s="589"/>
      <c r="ETD165" s="588"/>
      <c r="ETE165" s="589"/>
      <c r="ETF165" s="588"/>
      <c r="ETG165" s="589"/>
      <c r="ETH165" s="588"/>
      <c r="ETI165" s="589"/>
      <c r="ETJ165" s="429"/>
      <c r="ETK165" s="364"/>
      <c r="ETL165" s="365"/>
      <c r="ETM165" s="354"/>
      <c r="ETN165" s="465"/>
      <c r="ETO165" s="565"/>
      <c r="ETP165" s="572"/>
      <c r="ETQ165" s="572"/>
      <c r="ETR165" s="566"/>
      <c r="ETS165" s="587"/>
      <c r="ETT165" s="587"/>
      <c r="ETU165" s="587"/>
      <c r="ETV165" s="587"/>
      <c r="ETW165" s="588"/>
      <c r="ETX165" s="589"/>
      <c r="ETY165" s="588"/>
      <c r="ETZ165" s="589"/>
      <c r="EUA165" s="588"/>
      <c r="EUB165" s="589"/>
      <c r="EUC165" s="588"/>
      <c r="EUD165" s="589"/>
      <c r="EUE165" s="588"/>
      <c r="EUF165" s="589"/>
      <c r="EUG165" s="429"/>
      <c r="EUH165" s="364"/>
      <c r="EUI165" s="365"/>
      <c r="EUJ165" s="354"/>
      <c r="EUK165" s="465"/>
      <c r="EUL165" s="565"/>
      <c r="EUM165" s="572"/>
      <c r="EUN165" s="572"/>
      <c r="EUO165" s="566"/>
      <c r="EUP165" s="587"/>
      <c r="EUQ165" s="587"/>
      <c r="EUR165" s="587"/>
      <c r="EUS165" s="587"/>
      <c r="EUT165" s="588"/>
      <c r="EUU165" s="589"/>
      <c r="EUV165" s="588"/>
      <c r="EUW165" s="589"/>
      <c r="EUX165" s="588"/>
      <c r="EUY165" s="589"/>
      <c r="EUZ165" s="588"/>
      <c r="EVA165" s="589"/>
      <c r="EVB165" s="588"/>
      <c r="EVC165" s="589"/>
      <c r="EVD165" s="429"/>
      <c r="EVE165" s="364"/>
      <c r="EVF165" s="365"/>
      <c r="EVG165" s="354"/>
      <c r="EVH165" s="465"/>
      <c r="EVI165" s="565"/>
      <c r="EVJ165" s="572"/>
      <c r="EVK165" s="572"/>
      <c r="EVL165" s="566"/>
      <c r="EVM165" s="587"/>
      <c r="EVN165" s="587"/>
      <c r="EVO165" s="587"/>
      <c r="EVP165" s="587"/>
      <c r="EVQ165" s="588"/>
      <c r="EVR165" s="589"/>
      <c r="EVS165" s="588"/>
      <c r="EVT165" s="589"/>
      <c r="EVU165" s="588"/>
      <c r="EVV165" s="589"/>
      <c r="EVW165" s="588"/>
      <c r="EVX165" s="589"/>
      <c r="EVY165" s="588"/>
      <c r="EVZ165" s="589"/>
      <c r="EWA165" s="429"/>
      <c r="EWB165" s="364"/>
      <c r="EWC165" s="365"/>
      <c r="EWD165" s="354"/>
      <c r="EWE165" s="465"/>
      <c r="EWF165" s="565"/>
      <c r="EWG165" s="572"/>
      <c r="EWH165" s="572"/>
      <c r="EWI165" s="566"/>
      <c r="EWJ165" s="587"/>
      <c r="EWK165" s="587"/>
      <c r="EWL165" s="587"/>
      <c r="EWM165" s="587"/>
      <c r="EWN165" s="588"/>
      <c r="EWO165" s="589"/>
      <c r="EWP165" s="588"/>
      <c r="EWQ165" s="589"/>
      <c r="EWR165" s="588"/>
      <c r="EWS165" s="589"/>
      <c r="EWT165" s="588"/>
      <c r="EWU165" s="589"/>
      <c r="EWV165" s="588"/>
      <c r="EWW165" s="589"/>
      <c r="EWX165" s="429"/>
      <c r="EWY165" s="364"/>
      <c r="EWZ165" s="365"/>
      <c r="EXA165" s="354"/>
      <c r="EXB165" s="465"/>
      <c r="EXC165" s="565"/>
      <c r="EXD165" s="572"/>
      <c r="EXE165" s="572"/>
      <c r="EXF165" s="566"/>
      <c r="EXG165" s="587"/>
      <c r="EXH165" s="587"/>
      <c r="EXI165" s="587"/>
      <c r="EXJ165" s="587"/>
      <c r="EXK165" s="588"/>
      <c r="EXL165" s="589"/>
      <c r="EXM165" s="588"/>
      <c r="EXN165" s="589"/>
      <c r="EXO165" s="588"/>
      <c r="EXP165" s="589"/>
      <c r="EXQ165" s="588"/>
      <c r="EXR165" s="589"/>
      <c r="EXS165" s="588"/>
      <c r="EXT165" s="589"/>
      <c r="EXU165" s="429"/>
      <c r="EXV165" s="364"/>
      <c r="EXW165" s="365"/>
      <c r="EXX165" s="354"/>
      <c r="EXY165" s="465"/>
      <c r="EXZ165" s="565"/>
      <c r="EYA165" s="572"/>
      <c r="EYB165" s="572"/>
      <c r="EYC165" s="566"/>
      <c r="EYD165" s="587"/>
      <c r="EYE165" s="587"/>
      <c r="EYF165" s="587"/>
      <c r="EYG165" s="587"/>
      <c r="EYH165" s="588"/>
      <c r="EYI165" s="589"/>
      <c r="EYJ165" s="588"/>
      <c r="EYK165" s="589"/>
      <c r="EYL165" s="588"/>
      <c r="EYM165" s="589"/>
      <c r="EYN165" s="588"/>
      <c r="EYO165" s="589"/>
      <c r="EYP165" s="588"/>
      <c r="EYQ165" s="589"/>
      <c r="EYR165" s="429"/>
      <c r="EYS165" s="364"/>
      <c r="EYT165" s="365"/>
      <c r="EYU165" s="354"/>
      <c r="EYV165" s="465"/>
      <c r="EYW165" s="565"/>
      <c r="EYX165" s="572"/>
      <c r="EYY165" s="572"/>
      <c r="EYZ165" s="566"/>
      <c r="EZA165" s="587"/>
      <c r="EZB165" s="587"/>
      <c r="EZC165" s="587"/>
      <c r="EZD165" s="587"/>
      <c r="EZE165" s="588"/>
      <c r="EZF165" s="589"/>
      <c r="EZG165" s="588"/>
      <c r="EZH165" s="589"/>
      <c r="EZI165" s="588"/>
      <c r="EZJ165" s="589"/>
      <c r="EZK165" s="588"/>
      <c r="EZL165" s="589"/>
      <c r="EZM165" s="588"/>
      <c r="EZN165" s="589"/>
      <c r="EZO165" s="429"/>
      <c r="EZP165" s="364"/>
      <c r="EZQ165" s="365"/>
      <c r="EZR165" s="354"/>
      <c r="EZS165" s="465"/>
      <c r="EZT165" s="565"/>
      <c r="EZU165" s="572"/>
      <c r="EZV165" s="572"/>
      <c r="EZW165" s="566"/>
      <c r="EZX165" s="587"/>
      <c r="EZY165" s="587"/>
      <c r="EZZ165" s="587"/>
      <c r="FAA165" s="587"/>
      <c r="FAB165" s="588"/>
      <c r="FAC165" s="589"/>
      <c r="FAD165" s="588"/>
      <c r="FAE165" s="589"/>
      <c r="FAF165" s="588"/>
      <c r="FAG165" s="589"/>
      <c r="FAH165" s="588"/>
      <c r="FAI165" s="589"/>
      <c r="FAJ165" s="588"/>
      <c r="FAK165" s="589"/>
      <c r="FAL165" s="429"/>
      <c r="FAM165" s="364"/>
      <c r="FAN165" s="365"/>
      <c r="FAO165" s="354"/>
      <c r="FAP165" s="465"/>
      <c r="FAQ165" s="565"/>
      <c r="FAR165" s="572"/>
      <c r="FAS165" s="572"/>
      <c r="FAT165" s="566"/>
      <c r="FAU165" s="587"/>
      <c r="FAV165" s="587"/>
      <c r="FAW165" s="587"/>
      <c r="FAX165" s="587"/>
      <c r="FAY165" s="588"/>
      <c r="FAZ165" s="589"/>
      <c r="FBA165" s="588"/>
      <c r="FBB165" s="589"/>
      <c r="FBC165" s="588"/>
      <c r="FBD165" s="589"/>
      <c r="FBE165" s="588"/>
      <c r="FBF165" s="589"/>
      <c r="FBG165" s="588"/>
      <c r="FBH165" s="589"/>
      <c r="FBI165" s="429"/>
      <c r="FBJ165" s="364"/>
      <c r="FBK165" s="365"/>
      <c r="FBL165" s="354"/>
      <c r="FBM165" s="465"/>
      <c r="FBN165" s="565"/>
      <c r="FBO165" s="572"/>
      <c r="FBP165" s="572"/>
      <c r="FBQ165" s="566"/>
      <c r="FBR165" s="587"/>
      <c r="FBS165" s="587"/>
      <c r="FBT165" s="587"/>
      <c r="FBU165" s="587"/>
      <c r="FBV165" s="588"/>
      <c r="FBW165" s="589"/>
      <c r="FBX165" s="588"/>
      <c r="FBY165" s="589"/>
      <c r="FBZ165" s="588"/>
      <c r="FCA165" s="589"/>
      <c r="FCB165" s="588"/>
      <c r="FCC165" s="589"/>
      <c r="FCD165" s="588"/>
      <c r="FCE165" s="589"/>
      <c r="FCF165" s="429"/>
      <c r="FCG165" s="364"/>
      <c r="FCH165" s="365"/>
      <c r="FCI165" s="354"/>
      <c r="FCJ165" s="465"/>
      <c r="FCK165" s="565"/>
      <c r="FCL165" s="572"/>
      <c r="FCM165" s="572"/>
      <c r="FCN165" s="566"/>
      <c r="FCO165" s="587"/>
      <c r="FCP165" s="587"/>
      <c r="FCQ165" s="587"/>
      <c r="FCR165" s="587"/>
      <c r="FCS165" s="588"/>
      <c r="FCT165" s="589"/>
      <c r="FCU165" s="588"/>
      <c r="FCV165" s="589"/>
      <c r="FCW165" s="588"/>
      <c r="FCX165" s="589"/>
      <c r="FCY165" s="588"/>
      <c r="FCZ165" s="589"/>
      <c r="FDA165" s="588"/>
      <c r="FDB165" s="589"/>
      <c r="FDC165" s="429"/>
      <c r="FDD165" s="364"/>
      <c r="FDE165" s="365"/>
      <c r="FDF165" s="354"/>
      <c r="FDG165" s="465"/>
      <c r="FDH165" s="565"/>
      <c r="FDI165" s="572"/>
      <c r="FDJ165" s="572"/>
      <c r="FDK165" s="566"/>
      <c r="FDL165" s="587"/>
      <c r="FDM165" s="587"/>
      <c r="FDN165" s="587"/>
      <c r="FDO165" s="587"/>
      <c r="FDP165" s="588"/>
      <c r="FDQ165" s="589"/>
      <c r="FDR165" s="588"/>
      <c r="FDS165" s="589"/>
      <c r="FDT165" s="588"/>
      <c r="FDU165" s="589"/>
      <c r="FDV165" s="588"/>
      <c r="FDW165" s="589"/>
      <c r="FDX165" s="588"/>
      <c r="FDY165" s="589"/>
      <c r="FDZ165" s="429"/>
      <c r="FEA165" s="364"/>
      <c r="FEB165" s="365"/>
      <c r="FEC165" s="354"/>
      <c r="FED165" s="465"/>
      <c r="FEE165" s="565"/>
      <c r="FEF165" s="572"/>
      <c r="FEG165" s="572"/>
      <c r="FEH165" s="566"/>
      <c r="FEI165" s="587"/>
      <c r="FEJ165" s="587"/>
      <c r="FEK165" s="587"/>
      <c r="FEL165" s="587"/>
      <c r="FEM165" s="588"/>
      <c r="FEN165" s="589"/>
      <c r="FEO165" s="588"/>
      <c r="FEP165" s="589"/>
      <c r="FEQ165" s="588"/>
      <c r="FER165" s="589"/>
      <c r="FES165" s="588"/>
      <c r="FET165" s="589"/>
      <c r="FEU165" s="588"/>
      <c r="FEV165" s="589"/>
      <c r="FEW165" s="429"/>
      <c r="FEX165" s="364"/>
      <c r="FEY165" s="365"/>
      <c r="FEZ165" s="354"/>
      <c r="FFA165" s="465"/>
      <c r="FFB165" s="565"/>
      <c r="FFC165" s="572"/>
      <c r="FFD165" s="572"/>
      <c r="FFE165" s="566"/>
      <c r="FFF165" s="587"/>
      <c r="FFG165" s="587"/>
      <c r="FFH165" s="587"/>
      <c r="FFI165" s="587"/>
      <c r="FFJ165" s="588"/>
      <c r="FFK165" s="589"/>
      <c r="FFL165" s="588"/>
      <c r="FFM165" s="589"/>
      <c r="FFN165" s="588"/>
      <c r="FFO165" s="589"/>
      <c r="FFP165" s="588"/>
      <c r="FFQ165" s="589"/>
      <c r="FFR165" s="588"/>
      <c r="FFS165" s="589"/>
      <c r="FFT165" s="429"/>
      <c r="FFU165" s="364"/>
      <c r="FFV165" s="365"/>
      <c r="FFW165" s="354"/>
      <c r="FFX165" s="465"/>
      <c r="FFY165" s="565"/>
      <c r="FFZ165" s="572"/>
      <c r="FGA165" s="572"/>
      <c r="FGB165" s="566"/>
      <c r="FGC165" s="587"/>
      <c r="FGD165" s="587"/>
      <c r="FGE165" s="587"/>
      <c r="FGF165" s="587"/>
      <c r="FGG165" s="588"/>
      <c r="FGH165" s="589"/>
      <c r="FGI165" s="588"/>
      <c r="FGJ165" s="589"/>
      <c r="FGK165" s="588"/>
      <c r="FGL165" s="589"/>
      <c r="FGM165" s="588"/>
      <c r="FGN165" s="589"/>
      <c r="FGO165" s="588"/>
      <c r="FGP165" s="589"/>
      <c r="FGQ165" s="429"/>
      <c r="FGR165" s="364"/>
      <c r="FGS165" s="365"/>
      <c r="FGT165" s="354"/>
      <c r="FGU165" s="465"/>
      <c r="FGV165" s="565"/>
      <c r="FGW165" s="572"/>
      <c r="FGX165" s="572"/>
      <c r="FGY165" s="566"/>
      <c r="FGZ165" s="587"/>
      <c r="FHA165" s="587"/>
      <c r="FHB165" s="587"/>
      <c r="FHC165" s="587"/>
      <c r="FHD165" s="588"/>
      <c r="FHE165" s="589"/>
      <c r="FHF165" s="588"/>
      <c r="FHG165" s="589"/>
      <c r="FHH165" s="588"/>
      <c r="FHI165" s="589"/>
      <c r="FHJ165" s="588"/>
      <c r="FHK165" s="589"/>
      <c r="FHL165" s="588"/>
      <c r="FHM165" s="589"/>
      <c r="FHN165" s="429"/>
      <c r="FHO165" s="364"/>
      <c r="FHP165" s="365"/>
      <c r="FHQ165" s="354"/>
      <c r="FHR165" s="465"/>
      <c r="FHS165" s="565"/>
      <c r="FHT165" s="572"/>
      <c r="FHU165" s="572"/>
      <c r="FHV165" s="566"/>
      <c r="FHW165" s="587"/>
      <c r="FHX165" s="587"/>
      <c r="FHY165" s="587"/>
      <c r="FHZ165" s="587"/>
      <c r="FIA165" s="588"/>
      <c r="FIB165" s="589"/>
      <c r="FIC165" s="588"/>
      <c r="FID165" s="589"/>
      <c r="FIE165" s="588"/>
      <c r="FIF165" s="589"/>
      <c r="FIG165" s="588"/>
      <c r="FIH165" s="589"/>
      <c r="FII165" s="588"/>
      <c r="FIJ165" s="589"/>
      <c r="FIK165" s="429"/>
      <c r="FIL165" s="364"/>
      <c r="FIM165" s="365"/>
      <c r="FIN165" s="354"/>
      <c r="FIO165" s="465"/>
      <c r="FIP165" s="565"/>
      <c r="FIQ165" s="572"/>
      <c r="FIR165" s="572"/>
      <c r="FIS165" s="566"/>
      <c r="FIT165" s="587"/>
      <c r="FIU165" s="587"/>
      <c r="FIV165" s="587"/>
      <c r="FIW165" s="587"/>
      <c r="FIX165" s="588"/>
      <c r="FIY165" s="589"/>
      <c r="FIZ165" s="588"/>
      <c r="FJA165" s="589"/>
      <c r="FJB165" s="588"/>
      <c r="FJC165" s="589"/>
      <c r="FJD165" s="588"/>
      <c r="FJE165" s="589"/>
      <c r="FJF165" s="588"/>
      <c r="FJG165" s="589"/>
      <c r="FJH165" s="429"/>
      <c r="FJI165" s="364"/>
      <c r="FJJ165" s="365"/>
      <c r="FJK165" s="354"/>
      <c r="FJL165" s="465"/>
      <c r="FJM165" s="565"/>
      <c r="FJN165" s="572"/>
      <c r="FJO165" s="572"/>
      <c r="FJP165" s="566"/>
      <c r="FJQ165" s="587"/>
      <c r="FJR165" s="587"/>
      <c r="FJS165" s="587"/>
      <c r="FJT165" s="587"/>
      <c r="FJU165" s="588"/>
      <c r="FJV165" s="589"/>
      <c r="FJW165" s="588"/>
      <c r="FJX165" s="589"/>
      <c r="FJY165" s="588"/>
      <c r="FJZ165" s="589"/>
      <c r="FKA165" s="588"/>
      <c r="FKB165" s="589"/>
      <c r="FKC165" s="588"/>
      <c r="FKD165" s="589"/>
      <c r="FKE165" s="429"/>
      <c r="FKF165" s="364"/>
      <c r="FKG165" s="365"/>
      <c r="FKH165" s="354"/>
      <c r="FKI165" s="465"/>
      <c r="FKJ165" s="565"/>
      <c r="FKK165" s="572"/>
      <c r="FKL165" s="572"/>
      <c r="FKM165" s="566"/>
      <c r="FKN165" s="587"/>
      <c r="FKO165" s="587"/>
      <c r="FKP165" s="587"/>
      <c r="FKQ165" s="587"/>
      <c r="FKR165" s="588"/>
      <c r="FKS165" s="589"/>
      <c r="FKT165" s="588"/>
      <c r="FKU165" s="589"/>
      <c r="FKV165" s="588"/>
      <c r="FKW165" s="589"/>
      <c r="FKX165" s="588"/>
      <c r="FKY165" s="589"/>
      <c r="FKZ165" s="588"/>
      <c r="FLA165" s="589"/>
      <c r="FLB165" s="429"/>
      <c r="FLC165" s="364"/>
      <c r="FLD165" s="365"/>
      <c r="FLE165" s="354"/>
      <c r="FLF165" s="465"/>
      <c r="FLG165" s="565"/>
      <c r="FLH165" s="572"/>
      <c r="FLI165" s="572"/>
      <c r="FLJ165" s="566"/>
      <c r="FLK165" s="587"/>
      <c r="FLL165" s="587"/>
      <c r="FLM165" s="587"/>
      <c r="FLN165" s="587"/>
      <c r="FLO165" s="588"/>
      <c r="FLP165" s="589"/>
      <c r="FLQ165" s="588"/>
      <c r="FLR165" s="589"/>
      <c r="FLS165" s="588"/>
      <c r="FLT165" s="589"/>
      <c r="FLU165" s="588"/>
      <c r="FLV165" s="589"/>
      <c r="FLW165" s="588"/>
      <c r="FLX165" s="589"/>
      <c r="FLY165" s="429"/>
      <c r="FLZ165" s="364"/>
      <c r="FMA165" s="365"/>
      <c r="FMB165" s="354"/>
      <c r="FMC165" s="465"/>
      <c r="FMD165" s="565"/>
      <c r="FME165" s="572"/>
      <c r="FMF165" s="572"/>
      <c r="FMG165" s="566"/>
      <c r="FMH165" s="587"/>
      <c r="FMI165" s="587"/>
      <c r="FMJ165" s="587"/>
      <c r="FMK165" s="587"/>
      <c r="FML165" s="588"/>
      <c r="FMM165" s="589"/>
      <c r="FMN165" s="588"/>
      <c r="FMO165" s="589"/>
      <c r="FMP165" s="588"/>
      <c r="FMQ165" s="589"/>
      <c r="FMR165" s="588"/>
      <c r="FMS165" s="589"/>
      <c r="FMT165" s="588"/>
      <c r="FMU165" s="589"/>
      <c r="FMV165" s="429"/>
      <c r="FMW165" s="364"/>
      <c r="FMX165" s="365"/>
      <c r="FMY165" s="354"/>
      <c r="FMZ165" s="465"/>
      <c r="FNA165" s="565"/>
      <c r="FNB165" s="572"/>
      <c r="FNC165" s="572"/>
      <c r="FND165" s="566"/>
      <c r="FNE165" s="587"/>
      <c r="FNF165" s="587"/>
      <c r="FNG165" s="587"/>
      <c r="FNH165" s="587"/>
      <c r="FNI165" s="588"/>
      <c r="FNJ165" s="589"/>
      <c r="FNK165" s="588"/>
      <c r="FNL165" s="589"/>
      <c r="FNM165" s="588"/>
      <c r="FNN165" s="589"/>
      <c r="FNO165" s="588"/>
      <c r="FNP165" s="589"/>
      <c r="FNQ165" s="588"/>
      <c r="FNR165" s="589"/>
      <c r="FNS165" s="429"/>
      <c r="FNT165" s="364"/>
      <c r="FNU165" s="365"/>
      <c r="FNV165" s="354"/>
      <c r="FNW165" s="465"/>
      <c r="FNX165" s="565"/>
      <c r="FNY165" s="572"/>
      <c r="FNZ165" s="572"/>
      <c r="FOA165" s="566"/>
      <c r="FOB165" s="587"/>
      <c r="FOC165" s="587"/>
      <c r="FOD165" s="587"/>
      <c r="FOE165" s="587"/>
      <c r="FOF165" s="588"/>
      <c r="FOG165" s="589"/>
      <c r="FOH165" s="588"/>
      <c r="FOI165" s="589"/>
      <c r="FOJ165" s="588"/>
      <c r="FOK165" s="589"/>
      <c r="FOL165" s="588"/>
      <c r="FOM165" s="589"/>
      <c r="FON165" s="588"/>
      <c r="FOO165" s="589"/>
      <c r="FOP165" s="429"/>
      <c r="FOQ165" s="364"/>
      <c r="FOR165" s="365"/>
      <c r="FOS165" s="354"/>
      <c r="FOT165" s="465"/>
      <c r="FOU165" s="565"/>
      <c r="FOV165" s="572"/>
      <c r="FOW165" s="572"/>
      <c r="FOX165" s="566"/>
      <c r="FOY165" s="587"/>
      <c r="FOZ165" s="587"/>
      <c r="FPA165" s="587"/>
      <c r="FPB165" s="587"/>
      <c r="FPC165" s="588"/>
      <c r="FPD165" s="589"/>
      <c r="FPE165" s="588"/>
      <c r="FPF165" s="589"/>
      <c r="FPG165" s="588"/>
      <c r="FPH165" s="589"/>
      <c r="FPI165" s="588"/>
      <c r="FPJ165" s="589"/>
      <c r="FPK165" s="588"/>
      <c r="FPL165" s="589"/>
      <c r="FPM165" s="429"/>
      <c r="FPN165" s="364"/>
      <c r="FPO165" s="365"/>
      <c r="FPP165" s="354"/>
      <c r="FPQ165" s="465"/>
      <c r="FPR165" s="565"/>
      <c r="FPS165" s="572"/>
      <c r="FPT165" s="572"/>
      <c r="FPU165" s="566"/>
      <c r="FPV165" s="587"/>
      <c r="FPW165" s="587"/>
      <c r="FPX165" s="587"/>
      <c r="FPY165" s="587"/>
      <c r="FPZ165" s="588"/>
      <c r="FQA165" s="589"/>
      <c r="FQB165" s="588"/>
      <c r="FQC165" s="589"/>
      <c r="FQD165" s="588"/>
      <c r="FQE165" s="589"/>
      <c r="FQF165" s="588"/>
      <c r="FQG165" s="589"/>
      <c r="FQH165" s="588"/>
      <c r="FQI165" s="589"/>
      <c r="FQJ165" s="429"/>
      <c r="FQK165" s="364"/>
      <c r="FQL165" s="365"/>
      <c r="FQM165" s="354"/>
      <c r="FQN165" s="465"/>
      <c r="FQO165" s="565"/>
      <c r="FQP165" s="572"/>
      <c r="FQQ165" s="572"/>
      <c r="FQR165" s="566"/>
      <c r="FQS165" s="587"/>
      <c r="FQT165" s="587"/>
      <c r="FQU165" s="587"/>
      <c r="FQV165" s="587"/>
      <c r="FQW165" s="588"/>
      <c r="FQX165" s="589"/>
      <c r="FQY165" s="588"/>
      <c r="FQZ165" s="589"/>
      <c r="FRA165" s="588"/>
      <c r="FRB165" s="589"/>
      <c r="FRC165" s="588"/>
      <c r="FRD165" s="589"/>
      <c r="FRE165" s="588"/>
      <c r="FRF165" s="589"/>
      <c r="FRG165" s="429"/>
      <c r="FRH165" s="364"/>
      <c r="FRI165" s="365"/>
      <c r="FRJ165" s="354"/>
      <c r="FRK165" s="465"/>
      <c r="FRL165" s="565"/>
      <c r="FRM165" s="572"/>
      <c r="FRN165" s="572"/>
      <c r="FRO165" s="566"/>
      <c r="FRP165" s="587"/>
      <c r="FRQ165" s="587"/>
      <c r="FRR165" s="587"/>
      <c r="FRS165" s="587"/>
      <c r="FRT165" s="588"/>
      <c r="FRU165" s="589"/>
      <c r="FRV165" s="588"/>
      <c r="FRW165" s="589"/>
      <c r="FRX165" s="588"/>
      <c r="FRY165" s="589"/>
      <c r="FRZ165" s="588"/>
      <c r="FSA165" s="589"/>
      <c r="FSB165" s="588"/>
      <c r="FSC165" s="589"/>
      <c r="FSD165" s="429"/>
      <c r="FSE165" s="364"/>
      <c r="FSF165" s="365"/>
      <c r="FSG165" s="354"/>
      <c r="FSH165" s="465"/>
      <c r="FSI165" s="565"/>
      <c r="FSJ165" s="572"/>
      <c r="FSK165" s="572"/>
      <c r="FSL165" s="566"/>
      <c r="FSM165" s="587"/>
      <c r="FSN165" s="587"/>
      <c r="FSO165" s="587"/>
      <c r="FSP165" s="587"/>
      <c r="FSQ165" s="588"/>
      <c r="FSR165" s="589"/>
      <c r="FSS165" s="588"/>
      <c r="FST165" s="589"/>
      <c r="FSU165" s="588"/>
      <c r="FSV165" s="589"/>
      <c r="FSW165" s="588"/>
      <c r="FSX165" s="589"/>
      <c r="FSY165" s="588"/>
      <c r="FSZ165" s="589"/>
      <c r="FTA165" s="429"/>
      <c r="FTB165" s="364"/>
      <c r="FTC165" s="365"/>
      <c r="FTD165" s="354"/>
      <c r="FTE165" s="465"/>
      <c r="FTF165" s="565"/>
      <c r="FTG165" s="572"/>
      <c r="FTH165" s="572"/>
      <c r="FTI165" s="566"/>
      <c r="FTJ165" s="587"/>
      <c r="FTK165" s="587"/>
      <c r="FTL165" s="587"/>
      <c r="FTM165" s="587"/>
      <c r="FTN165" s="588"/>
      <c r="FTO165" s="589"/>
      <c r="FTP165" s="588"/>
      <c r="FTQ165" s="589"/>
      <c r="FTR165" s="588"/>
      <c r="FTS165" s="589"/>
      <c r="FTT165" s="588"/>
      <c r="FTU165" s="589"/>
      <c r="FTV165" s="588"/>
      <c r="FTW165" s="589"/>
      <c r="FTX165" s="429"/>
      <c r="FTY165" s="364"/>
      <c r="FTZ165" s="365"/>
      <c r="FUA165" s="354"/>
      <c r="FUB165" s="465"/>
      <c r="FUC165" s="565"/>
      <c r="FUD165" s="572"/>
      <c r="FUE165" s="572"/>
      <c r="FUF165" s="566"/>
      <c r="FUG165" s="587"/>
      <c r="FUH165" s="587"/>
      <c r="FUI165" s="587"/>
      <c r="FUJ165" s="587"/>
      <c r="FUK165" s="588"/>
      <c r="FUL165" s="589"/>
      <c r="FUM165" s="588"/>
      <c r="FUN165" s="589"/>
      <c r="FUO165" s="588"/>
      <c r="FUP165" s="589"/>
      <c r="FUQ165" s="588"/>
      <c r="FUR165" s="589"/>
      <c r="FUS165" s="588"/>
      <c r="FUT165" s="589"/>
      <c r="FUU165" s="429"/>
      <c r="FUV165" s="364"/>
      <c r="FUW165" s="365"/>
      <c r="FUX165" s="354"/>
      <c r="FUY165" s="465"/>
      <c r="FUZ165" s="565"/>
      <c r="FVA165" s="572"/>
      <c r="FVB165" s="572"/>
      <c r="FVC165" s="566"/>
      <c r="FVD165" s="587"/>
      <c r="FVE165" s="587"/>
      <c r="FVF165" s="587"/>
      <c r="FVG165" s="587"/>
      <c r="FVH165" s="588"/>
      <c r="FVI165" s="589"/>
      <c r="FVJ165" s="588"/>
      <c r="FVK165" s="589"/>
      <c r="FVL165" s="588"/>
      <c r="FVM165" s="589"/>
      <c r="FVN165" s="588"/>
      <c r="FVO165" s="589"/>
      <c r="FVP165" s="588"/>
      <c r="FVQ165" s="589"/>
      <c r="FVR165" s="429"/>
      <c r="FVS165" s="364"/>
      <c r="FVT165" s="365"/>
      <c r="FVU165" s="354"/>
      <c r="FVV165" s="465"/>
      <c r="FVW165" s="565"/>
      <c r="FVX165" s="572"/>
      <c r="FVY165" s="572"/>
      <c r="FVZ165" s="566"/>
      <c r="FWA165" s="587"/>
      <c r="FWB165" s="587"/>
      <c r="FWC165" s="587"/>
      <c r="FWD165" s="587"/>
      <c r="FWE165" s="588"/>
      <c r="FWF165" s="589"/>
      <c r="FWG165" s="588"/>
      <c r="FWH165" s="589"/>
      <c r="FWI165" s="588"/>
      <c r="FWJ165" s="589"/>
      <c r="FWK165" s="588"/>
      <c r="FWL165" s="589"/>
      <c r="FWM165" s="588"/>
      <c r="FWN165" s="589"/>
      <c r="FWO165" s="429"/>
      <c r="FWP165" s="364"/>
      <c r="FWQ165" s="365"/>
      <c r="FWR165" s="354"/>
      <c r="FWS165" s="465"/>
      <c r="FWT165" s="565"/>
      <c r="FWU165" s="572"/>
      <c r="FWV165" s="572"/>
      <c r="FWW165" s="566"/>
      <c r="FWX165" s="587"/>
      <c r="FWY165" s="587"/>
      <c r="FWZ165" s="587"/>
      <c r="FXA165" s="587"/>
      <c r="FXB165" s="588"/>
      <c r="FXC165" s="589"/>
      <c r="FXD165" s="588"/>
      <c r="FXE165" s="589"/>
      <c r="FXF165" s="588"/>
      <c r="FXG165" s="589"/>
      <c r="FXH165" s="588"/>
      <c r="FXI165" s="589"/>
      <c r="FXJ165" s="588"/>
      <c r="FXK165" s="589"/>
      <c r="FXL165" s="429"/>
      <c r="FXM165" s="364"/>
      <c r="FXN165" s="365"/>
      <c r="FXO165" s="354"/>
      <c r="FXP165" s="465"/>
      <c r="FXQ165" s="565"/>
      <c r="FXR165" s="572"/>
      <c r="FXS165" s="572"/>
      <c r="FXT165" s="566"/>
      <c r="FXU165" s="587"/>
      <c r="FXV165" s="587"/>
      <c r="FXW165" s="587"/>
      <c r="FXX165" s="587"/>
      <c r="FXY165" s="588"/>
      <c r="FXZ165" s="589"/>
      <c r="FYA165" s="588"/>
      <c r="FYB165" s="589"/>
      <c r="FYC165" s="588"/>
      <c r="FYD165" s="589"/>
      <c r="FYE165" s="588"/>
      <c r="FYF165" s="589"/>
      <c r="FYG165" s="588"/>
      <c r="FYH165" s="589"/>
      <c r="FYI165" s="429"/>
      <c r="FYJ165" s="364"/>
      <c r="FYK165" s="365"/>
      <c r="FYL165" s="354"/>
      <c r="FYM165" s="465"/>
      <c r="FYN165" s="565"/>
      <c r="FYO165" s="572"/>
      <c r="FYP165" s="572"/>
      <c r="FYQ165" s="566"/>
      <c r="FYR165" s="587"/>
      <c r="FYS165" s="587"/>
      <c r="FYT165" s="587"/>
      <c r="FYU165" s="587"/>
      <c r="FYV165" s="588"/>
      <c r="FYW165" s="589"/>
      <c r="FYX165" s="588"/>
      <c r="FYY165" s="589"/>
      <c r="FYZ165" s="588"/>
      <c r="FZA165" s="589"/>
      <c r="FZB165" s="588"/>
      <c r="FZC165" s="589"/>
      <c r="FZD165" s="588"/>
      <c r="FZE165" s="589"/>
      <c r="FZF165" s="429"/>
      <c r="FZG165" s="364"/>
      <c r="FZH165" s="365"/>
      <c r="FZI165" s="354"/>
      <c r="FZJ165" s="465"/>
      <c r="FZK165" s="565"/>
      <c r="FZL165" s="572"/>
      <c r="FZM165" s="572"/>
      <c r="FZN165" s="566"/>
      <c r="FZO165" s="587"/>
      <c r="FZP165" s="587"/>
      <c r="FZQ165" s="587"/>
      <c r="FZR165" s="587"/>
      <c r="FZS165" s="588"/>
      <c r="FZT165" s="589"/>
      <c r="FZU165" s="588"/>
      <c r="FZV165" s="589"/>
      <c r="FZW165" s="588"/>
      <c r="FZX165" s="589"/>
      <c r="FZY165" s="588"/>
      <c r="FZZ165" s="589"/>
      <c r="GAA165" s="588"/>
      <c r="GAB165" s="589"/>
      <c r="GAC165" s="429"/>
      <c r="GAD165" s="364"/>
      <c r="GAE165" s="365"/>
      <c r="GAF165" s="354"/>
      <c r="GAG165" s="465"/>
      <c r="GAH165" s="565"/>
      <c r="GAI165" s="572"/>
      <c r="GAJ165" s="572"/>
      <c r="GAK165" s="566"/>
      <c r="GAL165" s="587"/>
      <c r="GAM165" s="587"/>
      <c r="GAN165" s="587"/>
      <c r="GAO165" s="587"/>
      <c r="GAP165" s="588"/>
      <c r="GAQ165" s="589"/>
      <c r="GAR165" s="588"/>
      <c r="GAS165" s="589"/>
      <c r="GAT165" s="588"/>
      <c r="GAU165" s="589"/>
      <c r="GAV165" s="588"/>
      <c r="GAW165" s="589"/>
      <c r="GAX165" s="588"/>
      <c r="GAY165" s="589"/>
      <c r="GAZ165" s="429"/>
      <c r="GBA165" s="364"/>
      <c r="GBB165" s="365"/>
      <c r="GBC165" s="354"/>
      <c r="GBD165" s="465"/>
      <c r="GBE165" s="565"/>
      <c r="GBF165" s="572"/>
      <c r="GBG165" s="572"/>
      <c r="GBH165" s="566"/>
      <c r="GBI165" s="587"/>
      <c r="GBJ165" s="587"/>
      <c r="GBK165" s="587"/>
      <c r="GBL165" s="587"/>
      <c r="GBM165" s="588"/>
      <c r="GBN165" s="589"/>
      <c r="GBO165" s="588"/>
      <c r="GBP165" s="589"/>
      <c r="GBQ165" s="588"/>
      <c r="GBR165" s="589"/>
      <c r="GBS165" s="588"/>
      <c r="GBT165" s="589"/>
      <c r="GBU165" s="588"/>
      <c r="GBV165" s="589"/>
      <c r="GBW165" s="429"/>
      <c r="GBX165" s="364"/>
      <c r="GBY165" s="365"/>
      <c r="GBZ165" s="354"/>
      <c r="GCA165" s="465"/>
      <c r="GCB165" s="565"/>
      <c r="GCC165" s="572"/>
      <c r="GCD165" s="572"/>
      <c r="GCE165" s="566"/>
      <c r="GCF165" s="587"/>
      <c r="GCG165" s="587"/>
      <c r="GCH165" s="587"/>
      <c r="GCI165" s="587"/>
      <c r="GCJ165" s="588"/>
      <c r="GCK165" s="589"/>
      <c r="GCL165" s="588"/>
      <c r="GCM165" s="589"/>
      <c r="GCN165" s="588"/>
      <c r="GCO165" s="589"/>
      <c r="GCP165" s="588"/>
      <c r="GCQ165" s="589"/>
      <c r="GCR165" s="588"/>
      <c r="GCS165" s="589"/>
      <c r="GCT165" s="429"/>
      <c r="GCU165" s="364"/>
      <c r="GCV165" s="365"/>
      <c r="GCW165" s="354"/>
      <c r="GCX165" s="465"/>
      <c r="GCY165" s="565"/>
      <c r="GCZ165" s="572"/>
      <c r="GDA165" s="572"/>
      <c r="GDB165" s="566"/>
      <c r="GDC165" s="587"/>
      <c r="GDD165" s="587"/>
      <c r="GDE165" s="587"/>
      <c r="GDF165" s="587"/>
      <c r="GDG165" s="588"/>
      <c r="GDH165" s="589"/>
      <c r="GDI165" s="588"/>
      <c r="GDJ165" s="589"/>
      <c r="GDK165" s="588"/>
      <c r="GDL165" s="589"/>
      <c r="GDM165" s="588"/>
      <c r="GDN165" s="589"/>
      <c r="GDO165" s="588"/>
      <c r="GDP165" s="589"/>
      <c r="GDQ165" s="429"/>
      <c r="GDR165" s="364"/>
      <c r="GDS165" s="365"/>
      <c r="GDT165" s="354"/>
      <c r="GDU165" s="465"/>
      <c r="GDV165" s="565"/>
      <c r="GDW165" s="572"/>
      <c r="GDX165" s="572"/>
      <c r="GDY165" s="566"/>
      <c r="GDZ165" s="587"/>
      <c r="GEA165" s="587"/>
      <c r="GEB165" s="587"/>
      <c r="GEC165" s="587"/>
      <c r="GED165" s="588"/>
      <c r="GEE165" s="589"/>
      <c r="GEF165" s="588"/>
      <c r="GEG165" s="589"/>
      <c r="GEH165" s="588"/>
      <c r="GEI165" s="589"/>
      <c r="GEJ165" s="588"/>
      <c r="GEK165" s="589"/>
      <c r="GEL165" s="588"/>
      <c r="GEM165" s="589"/>
      <c r="GEN165" s="429"/>
      <c r="GEO165" s="364"/>
      <c r="GEP165" s="365"/>
      <c r="GEQ165" s="354"/>
      <c r="GER165" s="465"/>
      <c r="GES165" s="565"/>
      <c r="GET165" s="572"/>
      <c r="GEU165" s="572"/>
      <c r="GEV165" s="566"/>
      <c r="GEW165" s="587"/>
      <c r="GEX165" s="587"/>
      <c r="GEY165" s="587"/>
      <c r="GEZ165" s="587"/>
      <c r="GFA165" s="588"/>
      <c r="GFB165" s="589"/>
      <c r="GFC165" s="588"/>
      <c r="GFD165" s="589"/>
      <c r="GFE165" s="588"/>
      <c r="GFF165" s="589"/>
      <c r="GFG165" s="588"/>
      <c r="GFH165" s="589"/>
      <c r="GFI165" s="588"/>
      <c r="GFJ165" s="589"/>
      <c r="GFK165" s="429"/>
      <c r="GFL165" s="364"/>
      <c r="GFM165" s="365"/>
      <c r="GFN165" s="354"/>
      <c r="GFO165" s="465"/>
      <c r="GFP165" s="565"/>
      <c r="GFQ165" s="572"/>
      <c r="GFR165" s="572"/>
      <c r="GFS165" s="566"/>
      <c r="GFT165" s="587"/>
      <c r="GFU165" s="587"/>
      <c r="GFV165" s="587"/>
      <c r="GFW165" s="587"/>
      <c r="GFX165" s="588"/>
      <c r="GFY165" s="589"/>
      <c r="GFZ165" s="588"/>
      <c r="GGA165" s="589"/>
      <c r="GGB165" s="588"/>
      <c r="GGC165" s="589"/>
      <c r="GGD165" s="588"/>
      <c r="GGE165" s="589"/>
      <c r="GGF165" s="588"/>
      <c r="GGG165" s="589"/>
      <c r="GGH165" s="429"/>
      <c r="GGI165" s="364"/>
      <c r="GGJ165" s="365"/>
      <c r="GGK165" s="354"/>
      <c r="GGL165" s="465"/>
      <c r="GGM165" s="565"/>
      <c r="GGN165" s="572"/>
      <c r="GGO165" s="572"/>
      <c r="GGP165" s="566"/>
      <c r="GGQ165" s="587"/>
      <c r="GGR165" s="587"/>
      <c r="GGS165" s="587"/>
      <c r="GGT165" s="587"/>
      <c r="GGU165" s="588"/>
      <c r="GGV165" s="589"/>
      <c r="GGW165" s="588"/>
      <c r="GGX165" s="589"/>
      <c r="GGY165" s="588"/>
      <c r="GGZ165" s="589"/>
      <c r="GHA165" s="588"/>
      <c r="GHB165" s="589"/>
      <c r="GHC165" s="588"/>
      <c r="GHD165" s="589"/>
      <c r="GHE165" s="429"/>
      <c r="GHF165" s="364"/>
      <c r="GHG165" s="365"/>
      <c r="GHH165" s="354"/>
      <c r="GHI165" s="465"/>
      <c r="GHJ165" s="565"/>
      <c r="GHK165" s="572"/>
      <c r="GHL165" s="572"/>
      <c r="GHM165" s="566"/>
      <c r="GHN165" s="587"/>
      <c r="GHO165" s="587"/>
      <c r="GHP165" s="587"/>
      <c r="GHQ165" s="587"/>
      <c r="GHR165" s="588"/>
      <c r="GHS165" s="589"/>
      <c r="GHT165" s="588"/>
      <c r="GHU165" s="589"/>
      <c r="GHV165" s="588"/>
      <c r="GHW165" s="589"/>
      <c r="GHX165" s="588"/>
      <c r="GHY165" s="589"/>
      <c r="GHZ165" s="588"/>
      <c r="GIA165" s="589"/>
      <c r="GIB165" s="429"/>
      <c r="GIC165" s="364"/>
      <c r="GID165" s="365"/>
      <c r="GIE165" s="354"/>
      <c r="GIF165" s="465"/>
      <c r="GIG165" s="565"/>
      <c r="GIH165" s="572"/>
      <c r="GII165" s="572"/>
      <c r="GIJ165" s="566"/>
      <c r="GIK165" s="587"/>
      <c r="GIL165" s="587"/>
      <c r="GIM165" s="587"/>
      <c r="GIN165" s="587"/>
      <c r="GIO165" s="588"/>
      <c r="GIP165" s="589"/>
      <c r="GIQ165" s="588"/>
      <c r="GIR165" s="589"/>
      <c r="GIS165" s="588"/>
      <c r="GIT165" s="589"/>
      <c r="GIU165" s="588"/>
      <c r="GIV165" s="589"/>
      <c r="GIW165" s="588"/>
      <c r="GIX165" s="589"/>
      <c r="GIY165" s="429"/>
      <c r="GIZ165" s="364"/>
      <c r="GJA165" s="365"/>
      <c r="GJB165" s="354"/>
      <c r="GJC165" s="465"/>
      <c r="GJD165" s="565"/>
      <c r="GJE165" s="572"/>
      <c r="GJF165" s="572"/>
      <c r="GJG165" s="566"/>
      <c r="GJH165" s="587"/>
      <c r="GJI165" s="587"/>
      <c r="GJJ165" s="587"/>
      <c r="GJK165" s="587"/>
      <c r="GJL165" s="588"/>
      <c r="GJM165" s="589"/>
      <c r="GJN165" s="588"/>
      <c r="GJO165" s="589"/>
      <c r="GJP165" s="588"/>
      <c r="GJQ165" s="589"/>
      <c r="GJR165" s="588"/>
      <c r="GJS165" s="589"/>
      <c r="GJT165" s="588"/>
      <c r="GJU165" s="589"/>
      <c r="GJV165" s="429"/>
      <c r="GJW165" s="364"/>
      <c r="GJX165" s="365"/>
      <c r="GJY165" s="354"/>
      <c r="GJZ165" s="465"/>
      <c r="GKA165" s="565"/>
      <c r="GKB165" s="572"/>
      <c r="GKC165" s="572"/>
      <c r="GKD165" s="566"/>
      <c r="GKE165" s="587"/>
      <c r="GKF165" s="587"/>
      <c r="GKG165" s="587"/>
      <c r="GKH165" s="587"/>
      <c r="GKI165" s="588"/>
      <c r="GKJ165" s="589"/>
      <c r="GKK165" s="588"/>
      <c r="GKL165" s="589"/>
      <c r="GKM165" s="588"/>
      <c r="GKN165" s="589"/>
      <c r="GKO165" s="588"/>
      <c r="GKP165" s="589"/>
      <c r="GKQ165" s="588"/>
      <c r="GKR165" s="589"/>
      <c r="GKS165" s="429"/>
      <c r="GKT165" s="364"/>
      <c r="GKU165" s="365"/>
      <c r="GKV165" s="354"/>
      <c r="GKW165" s="465"/>
      <c r="GKX165" s="565"/>
      <c r="GKY165" s="572"/>
      <c r="GKZ165" s="572"/>
      <c r="GLA165" s="566"/>
      <c r="GLB165" s="587"/>
      <c r="GLC165" s="587"/>
      <c r="GLD165" s="587"/>
      <c r="GLE165" s="587"/>
      <c r="GLF165" s="588"/>
      <c r="GLG165" s="589"/>
      <c r="GLH165" s="588"/>
      <c r="GLI165" s="589"/>
      <c r="GLJ165" s="588"/>
      <c r="GLK165" s="589"/>
      <c r="GLL165" s="588"/>
      <c r="GLM165" s="589"/>
      <c r="GLN165" s="588"/>
      <c r="GLO165" s="589"/>
      <c r="GLP165" s="429"/>
      <c r="GLQ165" s="364"/>
      <c r="GLR165" s="365"/>
      <c r="GLS165" s="354"/>
      <c r="GLT165" s="465"/>
      <c r="GLU165" s="565"/>
      <c r="GLV165" s="572"/>
      <c r="GLW165" s="572"/>
      <c r="GLX165" s="566"/>
      <c r="GLY165" s="587"/>
      <c r="GLZ165" s="587"/>
      <c r="GMA165" s="587"/>
      <c r="GMB165" s="587"/>
      <c r="GMC165" s="588"/>
      <c r="GMD165" s="589"/>
      <c r="GME165" s="588"/>
      <c r="GMF165" s="589"/>
      <c r="GMG165" s="588"/>
      <c r="GMH165" s="589"/>
      <c r="GMI165" s="588"/>
      <c r="GMJ165" s="589"/>
      <c r="GMK165" s="588"/>
      <c r="GML165" s="589"/>
      <c r="GMM165" s="429"/>
      <c r="GMN165" s="364"/>
      <c r="GMO165" s="365"/>
      <c r="GMP165" s="354"/>
      <c r="GMQ165" s="465"/>
      <c r="GMR165" s="565"/>
      <c r="GMS165" s="572"/>
      <c r="GMT165" s="572"/>
      <c r="GMU165" s="566"/>
      <c r="GMV165" s="587"/>
      <c r="GMW165" s="587"/>
      <c r="GMX165" s="587"/>
      <c r="GMY165" s="587"/>
      <c r="GMZ165" s="588"/>
      <c r="GNA165" s="589"/>
      <c r="GNB165" s="588"/>
      <c r="GNC165" s="589"/>
      <c r="GND165" s="588"/>
      <c r="GNE165" s="589"/>
      <c r="GNF165" s="588"/>
      <c r="GNG165" s="589"/>
      <c r="GNH165" s="588"/>
      <c r="GNI165" s="589"/>
      <c r="GNJ165" s="429"/>
      <c r="GNK165" s="364"/>
      <c r="GNL165" s="365"/>
      <c r="GNM165" s="354"/>
      <c r="GNN165" s="465"/>
      <c r="GNO165" s="565"/>
      <c r="GNP165" s="572"/>
      <c r="GNQ165" s="572"/>
      <c r="GNR165" s="566"/>
      <c r="GNS165" s="587"/>
      <c r="GNT165" s="587"/>
      <c r="GNU165" s="587"/>
      <c r="GNV165" s="587"/>
      <c r="GNW165" s="588"/>
      <c r="GNX165" s="589"/>
      <c r="GNY165" s="588"/>
      <c r="GNZ165" s="589"/>
      <c r="GOA165" s="588"/>
      <c r="GOB165" s="589"/>
      <c r="GOC165" s="588"/>
      <c r="GOD165" s="589"/>
      <c r="GOE165" s="588"/>
      <c r="GOF165" s="589"/>
      <c r="GOG165" s="429"/>
      <c r="GOH165" s="364"/>
      <c r="GOI165" s="365"/>
      <c r="GOJ165" s="354"/>
      <c r="GOK165" s="465"/>
      <c r="GOL165" s="565"/>
      <c r="GOM165" s="572"/>
      <c r="GON165" s="572"/>
      <c r="GOO165" s="566"/>
      <c r="GOP165" s="587"/>
      <c r="GOQ165" s="587"/>
      <c r="GOR165" s="587"/>
      <c r="GOS165" s="587"/>
      <c r="GOT165" s="588"/>
      <c r="GOU165" s="589"/>
      <c r="GOV165" s="588"/>
      <c r="GOW165" s="589"/>
      <c r="GOX165" s="588"/>
      <c r="GOY165" s="589"/>
      <c r="GOZ165" s="588"/>
      <c r="GPA165" s="589"/>
      <c r="GPB165" s="588"/>
      <c r="GPC165" s="589"/>
      <c r="GPD165" s="429"/>
      <c r="GPE165" s="364"/>
      <c r="GPF165" s="365"/>
      <c r="GPG165" s="354"/>
      <c r="GPH165" s="465"/>
      <c r="GPI165" s="565"/>
      <c r="GPJ165" s="572"/>
      <c r="GPK165" s="572"/>
      <c r="GPL165" s="566"/>
      <c r="GPM165" s="587"/>
      <c r="GPN165" s="587"/>
      <c r="GPO165" s="587"/>
      <c r="GPP165" s="587"/>
      <c r="GPQ165" s="588"/>
      <c r="GPR165" s="589"/>
      <c r="GPS165" s="588"/>
      <c r="GPT165" s="589"/>
      <c r="GPU165" s="588"/>
      <c r="GPV165" s="589"/>
      <c r="GPW165" s="588"/>
      <c r="GPX165" s="589"/>
      <c r="GPY165" s="588"/>
      <c r="GPZ165" s="589"/>
      <c r="GQA165" s="429"/>
      <c r="GQB165" s="364"/>
      <c r="GQC165" s="365"/>
      <c r="GQD165" s="354"/>
      <c r="GQE165" s="465"/>
      <c r="GQF165" s="565"/>
      <c r="GQG165" s="572"/>
      <c r="GQH165" s="572"/>
      <c r="GQI165" s="566"/>
      <c r="GQJ165" s="587"/>
      <c r="GQK165" s="587"/>
      <c r="GQL165" s="587"/>
      <c r="GQM165" s="587"/>
      <c r="GQN165" s="588"/>
      <c r="GQO165" s="589"/>
      <c r="GQP165" s="588"/>
      <c r="GQQ165" s="589"/>
      <c r="GQR165" s="588"/>
      <c r="GQS165" s="589"/>
      <c r="GQT165" s="588"/>
      <c r="GQU165" s="589"/>
      <c r="GQV165" s="588"/>
      <c r="GQW165" s="589"/>
      <c r="GQX165" s="429"/>
      <c r="GQY165" s="364"/>
      <c r="GQZ165" s="365"/>
      <c r="GRA165" s="354"/>
      <c r="GRB165" s="465"/>
      <c r="GRC165" s="565"/>
      <c r="GRD165" s="572"/>
      <c r="GRE165" s="572"/>
      <c r="GRF165" s="566"/>
      <c r="GRG165" s="587"/>
      <c r="GRH165" s="587"/>
      <c r="GRI165" s="587"/>
      <c r="GRJ165" s="587"/>
      <c r="GRK165" s="588"/>
      <c r="GRL165" s="589"/>
      <c r="GRM165" s="588"/>
      <c r="GRN165" s="589"/>
      <c r="GRO165" s="588"/>
      <c r="GRP165" s="589"/>
      <c r="GRQ165" s="588"/>
      <c r="GRR165" s="589"/>
      <c r="GRS165" s="588"/>
      <c r="GRT165" s="589"/>
      <c r="GRU165" s="429"/>
      <c r="GRV165" s="364"/>
      <c r="GRW165" s="365"/>
      <c r="GRX165" s="354"/>
      <c r="GRY165" s="465"/>
      <c r="GRZ165" s="565"/>
      <c r="GSA165" s="572"/>
      <c r="GSB165" s="572"/>
      <c r="GSC165" s="566"/>
      <c r="GSD165" s="587"/>
      <c r="GSE165" s="587"/>
      <c r="GSF165" s="587"/>
      <c r="GSG165" s="587"/>
      <c r="GSH165" s="588"/>
      <c r="GSI165" s="589"/>
      <c r="GSJ165" s="588"/>
      <c r="GSK165" s="589"/>
      <c r="GSL165" s="588"/>
      <c r="GSM165" s="589"/>
      <c r="GSN165" s="588"/>
      <c r="GSO165" s="589"/>
      <c r="GSP165" s="588"/>
      <c r="GSQ165" s="589"/>
      <c r="GSR165" s="429"/>
      <c r="GSS165" s="364"/>
      <c r="GST165" s="365"/>
      <c r="GSU165" s="354"/>
      <c r="GSV165" s="465"/>
      <c r="GSW165" s="565"/>
      <c r="GSX165" s="572"/>
      <c r="GSY165" s="572"/>
      <c r="GSZ165" s="566"/>
      <c r="GTA165" s="587"/>
      <c r="GTB165" s="587"/>
      <c r="GTC165" s="587"/>
      <c r="GTD165" s="587"/>
      <c r="GTE165" s="588"/>
      <c r="GTF165" s="589"/>
      <c r="GTG165" s="588"/>
      <c r="GTH165" s="589"/>
      <c r="GTI165" s="588"/>
      <c r="GTJ165" s="589"/>
      <c r="GTK165" s="588"/>
      <c r="GTL165" s="589"/>
      <c r="GTM165" s="588"/>
      <c r="GTN165" s="589"/>
      <c r="GTO165" s="429"/>
      <c r="GTP165" s="364"/>
      <c r="GTQ165" s="365"/>
      <c r="GTR165" s="354"/>
      <c r="GTS165" s="465"/>
      <c r="GTT165" s="565"/>
      <c r="GTU165" s="572"/>
      <c r="GTV165" s="572"/>
      <c r="GTW165" s="566"/>
      <c r="GTX165" s="587"/>
      <c r="GTY165" s="587"/>
      <c r="GTZ165" s="587"/>
      <c r="GUA165" s="587"/>
      <c r="GUB165" s="588"/>
      <c r="GUC165" s="589"/>
      <c r="GUD165" s="588"/>
      <c r="GUE165" s="589"/>
      <c r="GUF165" s="588"/>
      <c r="GUG165" s="589"/>
      <c r="GUH165" s="588"/>
      <c r="GUI165" s="589"/>
      <c r="GUJ165" s="588"/>
      <c r="GUK165" s="589"/>
      <c r="GUL165" s="429"/>
      <c r="GUM165" s="364"/>
      <c r="GUN165" s="365"/>
      <c r="GUO165" s="354"/>
      <c r="GUP165" s="465"/>
      <c r="GUQ165" s="565"/>
      <c r="GUR165" s="572"/>
      <c r="GUS165" s="572"/>
      <c r="GUT165" s="566"/>
      <c r="GUU165" s="587"/>
      <c r="GUV165" s="587"/>
      <c r="GUW165" s="587"/>
      <c r="GUX165" s="587"/>
      <c r="GUY165" s="588"/>
      <c r="GUZ165" s="589"/>
      <c r="GVA165" s="588"/>
      <c r="GVB165" s="589"/>
      <c r="GVC165" s="588"/>
      <c r="GVD165" s="589"/>
      <c r="GVE165" s="588"/>
      <c r="GVF165" s="589"/>
      <c r="GVG165" s="588"/>
      <c r="GVH165" s="589"/>
      <c r="GVI165" s="429"/>
      <c r="GVJ165" s="364"/>
      <c r="GVK165" s="365"/>
      <c r="GVL165" s="354"/>
      <c r="GVM165" s="465"/>
      <c r="GVN165" s="565"/>
      <c r="GVO165" s="572"/>
      <c r="GVP165" s="572"/>
      <c r="GVQ165" s="566"/>
      <c r="GVR165" s="587"/>
      <c r="GVS165" s="587"/>
      <c r="GVT165" s="587"/>
      <c r="GVU165" s="587"/>
      <c r="GVV165" s="588"/>
      <c r="GVW165" s="589"/>
      <c r="GVX165" s="588"/>
      <c r="GVY165" s="589"/>
      <c r="GVZ165" s="588"/>
      <c r="GWA165" s="589"/>
      <c r="GWB165" s="588"/>
      <c r="GWC165" s="589"/>
      <c r="GWD165" s="588"/>
      <c r="GWE165" s="589"/>
      <c r="GWF165" s="429"/>
      <c r="GWG165" s="364"/>
      <c r="GWH165" s="365"/>
      <c r="GWI165" s="354"/>
      <c r="GWJ165" s="465"/>
      <c r="GWK165" s="565"/>
      <c r="GWL165" s="572"/>
      <c r="GWM165" s="572"/>
      <c r="GWN165" s="566"/>
      <c r="GWO165" s="587"/>
      <c r="GWP165" s="587"/>
      <c r="GWQ165" s="587"/>
      <c r="GWR165" s="587"/>
      <c r="GWS165" s="588"/>
      <c r="GWT165" s="589"/>
      <c r="GWU165" s="588"/>
      <c r="GWV165" s="589"/>
      <c r="GWW165" s="588"/>
      <c r="GWX165" s="589"/>
      <c r="GWY165" s="588"/>
      <c r="GWZ165" s="589"/>
      <c r="GXA165" s="588"/>
      <c r="GXB165" s="589"/>
      <c r="GXC165" s="429"/>
      <c r="GXD165" s="364"/>
      <c r="GXE165" s="365"/>
      <c r="GXF165" s="354"/>
      <c r="GXG165" s="465"/>
      <c r="GXH165" s="565"/>
      <c r="GXI165" s="572"/>
      <c r="GXJ165" s="572"/>
      <c r="GXK165" s="566"/>
      <c r="GXL165" s="587"/>
      <c r="GXM165" s="587"/>
      <c r="GXN165" s="587"/>
      <c r="GXO165" s="587"/>
      <c r="GXP165" s="588"/>
      <c r="GXQ165" s="589"/>
      <c r="GXR165" s="588"/>
      <c r="GXS165" s="589"/>
      <c r="GXT165" s="588"/>
      <c r="GXU165" s="589"/>
      <c r="GXV165" s="588"/>
      <c r="GXW165" s="589"/>
      <c r="GXX165" s="588"/>
      <c r="GXY165" s="589"/>
      <c r="GXZ165" s="429"/>
      <c r="GYA165" s="364"/>
      <c r="GYB165" s="365"/>
      <c r="GYC165" s="354"/>
      <c r="GYD165" s="465"/>
      <c r="GYE165" s="565"/>
      <c r="GYF165" s="572"/>
      <c r="GYG165" s="572"/>
      <c r="GYH165" s="566"/>
      <c r="GYI165" s="587"/>
      <c r="GYJ165" s="587"/>
      <c r="GYK165" s="587"/>
      <c r="GYL165" s="587"/>
      <c r="GYM165" s="588"/>
      <c r="GYN165" s="589"/>
      <c r="GYO165" s="588"/>
      <c r="GYP165" s="589"/>
      <c r="GYQ165" s="588"/>
      <c r="GYR165" s="589"/>
      <c r="GYS165" s="588"/>
      <c r="GYT165" s="589"/>
      <c r="GYU165" s="588"/>
      <c r="GYV165" s="589"/>
      <c r="GYW165" s="429"/>
      <c r="GYX165" s="364"/>
      <c r="GYY165" s="365"/>
      <c r="GYZ165" s="354"/>
      <c r="GZA165" s="465"/>
      <c r="GZB165" s="565"/>
      <c r="GZC165" s="572"/>
      <c r="GZD165" s="572"/>
      <c r="GZE165" s="566"/>
      <c r="GZF165" s="587"/>
      <c r="GZG165" s="587"/>
      <c r="GZH165" s="587"/>
      <c r="GZI165" s="587"/>
      <c r="GZJ165" s="588"/>
      <c r="GZK165" s="589"/>
      <c r="GZL165" s="588"/>
      <c r="GZM165" s="589"/>
      <c r="GZN165" s="588"/>
      <c r="GZO165" s="589"/>
      <c r="GZP165" s="588"/>
      <c r="GZQ165" s="589"/>
      <c r="GZR165" s="588"/>
      <c r="GZS165" s="589"/>
      <c r="GZT165" s="429"/>
      <c r="GZU165" s="364"/>
      <c r="GZV165" s="365"/>
      <c r="GZW165" s="354"/>
      <c r="GZX165" s="465"/>
      <c r="GZY165" s="565"/>
      <c r="GZZ165" s="572"/>
      <c r="HAA165" s="572"/>
      <c r="HAB165" s="566"/>
      <c r="HAC165" s="587"/>
      <c r="HAD165" s="587"/>
      <c r="HAE165" s="587"/>
      <c r="HAF165" s="587"/>
      <c r="HAG165" s="588"/>
      <c r="HAH165" s="589"/>
      <c r="HAI165" s="588"/>
      <c r="HAJ165" s="589"/>
      <c r="HAK165" s="588"/>
      <c r="HAL165" s="589"/>
      <c r="HAM165" s="588"/>
      <c r="HAN165" s="589"/>
      <c r="HAO165" s="588"/>
      <c r="HAP165" s="589"/>
      <c r="HAQ165" s="429"/>
      <c r="HAR165" s="364"/>
      <c r="HAS165" s="365"/>
      <c r="HAT165" s="354"/>
      <c r="HAU165" s="465"/>
      <c r="HAV165" s="565"/>
      <c r="HAW165" s="572"/>
      <c r="HAX165" s="572"/>
      <c r="HAY165" s="566"/>
      <c r="HAZ165" s="587"/>
      <c r="HBA165" s="587"/>
      <c r="HBB165" s="587"/>
      <c r="HBC165" s="587"/>
      <c r="HBD165" s="588"/>
      <c r="HBE165" s="589"/>
      <c r="HBF165" s="588"/>
      <c r="HBG165" s="589"/>
      <c r="HBH165" s="588"/>
      <c r="HBI165" s="589"/>
      <c r="HBJ165" s="588"/>
      <c r="HBK165" s="589"/>
      <c r="HBL165" s="588"/>
      <c r="HBM165" s="589"/>
      <c r="HBN165" s="429"/>
      <c r="HBO165" s="364"/>
      <c r="HBP165" s="365"/>
      <c r="HBQ165" s="354"/>
      <c r="HBR165" s="465"/>
      <c r="HBS165" s="565"/>
      <c r="HBT165" s="572"/>
      <c r="HBU165" s="572"/>
      <c r="HBV165" s="566"/>
      <c r="HBW165" s="587"/>
      <c r="HBX165" s="587"/>
      <c r="HBY165" s="587"/>
      <c r="HBZ165" s="587"/>
      <c r="HCA165" s="588"/>
      <c r="HCB165" s="589"/>
      <c r="HCC165" s="588"/>
      <c r="HCD165" s="589"/>
      <c r="HCE165" s="588"/>
      <c r="HCF165" s="589"/>
      <c r="HCG165" s="588"/>
      <c r="HCH165" s="589"/>
      <c r="HCI165" s="588"/>
      <c r="HCJ165" s="589"/>
      <c r="HCK165" s="429"/>
      <c r="HCL165" s="364"/>
      <c r="HCM165" s="365"/>
      <c r="HCN165" s="354"/>
      <c r="HCO165" s="465"/>
      <c r="HCP165" s="565"/>
      <c r="HCQ165" s="572"/>
      <c r="HCR165" s="572"/>
      <c r="HCS165" s="566"/>
      <c r="HCT165" s="587"/>
      <c r="HCU165" s="587"/>
      <c r="HCV165" s="587"/>
      <c r="HCW165" s="587"/>
      <c r="HCX165" s="588"/>
      <c r="HCY165" s="589"/>
      <c r="HCZ165" s="588"/>
      <c r="HDA165" s="589"/>
      <c r="HDB165" s="588"/>
      <c r="HDC165" s="589"/>
      <c r="HDD165" s="588"/>
      <c r="HDE165" s="589"/>
      <c r="HDF165" s="588"/>
      <c r="HDG165" s="589"/>
      <c r="HDH165" s="429"/>
      <c r="HDI165" s="364"/>
      <c r="HDJ165" s="365"/>
      <c r="HDK165" s="354"/>
      <c r="HDL165" s="465"/>
      <c r="HDM165" s="565"/>
      <c r="HDN165" s="572"/>
      <c r="HDO165" s="572"/>
      <c r="HDP165" s="566"/>
      <c r="HDQ165" s="587"/>
      <c r="HDR165" s="587"/>
      <c r="HDS165" s="587"/>
      <c r="HDT165" s="587"/>
      <c r="HDU165" s="588"/>
      <c r="HDV165" s="589"/>
      <c r="HDW165" s="588"/>
      <c r="HDX165" s="589"/>
      <c r="HDY165" s="588"/>
      <c r="HDZ165" s="589"/>
      <c r="HEA165" s="588"/>
      <c r="HEB165" s="589"/>
      <c r="HEC165" s="588"/>
      <c r="HED165" s="589"/>
      <c r="HEE165" s="429"/>
      <c r="HEF165" s="364"/>
      <c r="HEG165" s="365"/>
      <c r="HEH165" s="354"/>
      <c r="HEI165" s="465"/>
      <c r="HEJ165" s="565"/>
      <c r="HEK165" s="572"/>
      <c r="HEL165" s="572"/>
      <c r="HEM165" s="566"/>
      <c r="HEN165" s="587"/>
      <c r="HEO165" s="587"/>
      <c r="HEP165" s="587"/>
      <c r="HEQ165" s="587"/>
      <c r="HER165" s="588"/>
      <c r="HES165" s="589"/>
      <c r="HET165" s="588"/>
      <c r="HEU165" s="589"/>
      <c r="HEV165" s="588"/>
      <c r="HEW165" s="589"/>
      <c r="HEX165" s="588"/>
      <c r="HEY165" s="589"/>
      <c r="HEZ165" s="588"/>
      <c r="HFA165" s="589"/>
      <c r="HFB165" s="429"/>
      <c r="HFC165" s="364"/>
      <c r="HFD165" s="365"/>
      <c r="HFE165" s="354"/>
      <c r="HFF165" s="465"/>
      <c r="HFG165" s="565"/>
      <c r="HFH165" s="572"/>
      <c r="HFI165" s="572"/>
      <c r="HFJ165" s="566"/>
      <c r="HFK165" s="587"/>
      <c r="HFL165" s="587"/>
      <c r="HFM165" s="587"/>
      <c r="HFN165" s="587"/>
      <c r="HFO165" s="588"/>
      <c r="HFP165" s="589"/>
      <c r="HFQ165" s="588"/>
      <c r="HFR165" s="589"/>
      <c r="HFS165" s="588"/>
      <c r="HFT165" s="589"/>
      <c r="HFU165" s="588"/>
      <c r="HFV165" s="589"/>
      <c r="HFW165" s="588"/>
      <c r="HFX165" s="589"/>
      <c r="HFY165" s="429"/>
      <c r="HFZ165" s="364"/>
      <c r="HGA165" s="365"/>
      <c r="HGB165" s="354"/>
      <c r="HGC165" s="465"/>
      <c r="HGD165" s="565"/>
      <c r="HGE165" s="572"/>
      <c r="HGF165" s="572"/>
      <c r="HGG165" s="566"/>
      <c r="HGH165" s="587"/>
      <c r="HGI165" s="587"/>
      <c r="HGJ165" s="587"/>
      <c r="HGK165" s="587"/>
      <c r="HGL165" s="588"/>
      <c r="HGM165" s="589"/>
      <c r="HGN165" s="588"/>
      <c r="HGO165" s="589"/>
      <c r="HGP165" s="588"/>
      <c r="HGQ165" s="589"/>
      <c r="HGR165" s="588"/>
      <c r="HGS165" s="589"/>
      <c r="HGT165" s="588"/>
      <c r="HGU165" s="589"/>
      <c r="HGV165" s="429"/>
      <c r="HGW165" s="364"/>
      <c r="HGX165" s="365"/>
      <c r="HGY165" s="354"/>
      <c r="HGZ165" s="465"/>
      <c r="HHA165" s="565"/>
      <c r="HHB165" s="572"/>
      <c r="HHC165" s="572"/>
      <c r="HHD165" s="566"/>
      <c r="HHE165" s="587"/>
      <c r="HHF165" s="587"/>
      <c r="HHG165" s="587"/>
      <c r="HHH165" s="587"/>
      <c r="HHI165" s="588"/>
      <c r="HHJ165" s="589"/>
      <c r="HHK165" s="588"/>
      <c r="HHL165" s="589"/>
      <c r="HHM165" s="588"/>
      <c r="HHN165" s="589"/>
      <c r="HHO165" s="588"/>
      <c r="HHP165" s="589"/>
      <c r="HHQ165" s="588"/>
      <c r="HHR165" s="589"/>
      <c r="HHS165" s="429"/>
      <c r="HHT165" s="364"/>
      <c r="HHU165" s="365"/>
      <c r="HHV165" s="354"/>
      <c r="HHW165" s="465"/>
      <c r="HHX165" s="565"/>
      <c r="HHY165" s="572"/>
      <c r="HHZ165" s="572"/>
      <c r="HIA165" s="566"/>
      <c r="HIB165" s="587"/>
      <c r="HIC165" s="587"/>
      <c r="HID165" s="587"/>
      <c r="HIE165" s="587"/>
      <c r="HIF165" s="588"/>
      <c r="HIG165" s="589"/>
      <c r="HIH165" s="588"/>
      <c r="HII165" s="589"/>
      <c r="HIJ165" s="588"/>
      <c r="HIK165" s="589"/>
      <c r="HIL165" s="588"/>
      <c r="HIM165" s="589"/>
      <c r="HIN165" s="588"/>
      <c r="HIO165" s="589"/>
      <c r="HIP165" s="429"/>
      <c r="HIQ165" s="364"/>
      <c r="HIR165" s="365"/>
      <c r="HIS165" s="354"/>
      <c r="HIT165" s="465"/>
      <c r="HIU165" s="565"/>
      <c r="HIV165" s="572"/>
      <c r="HIW165" s="572"/>
      <c r="HIX165" s="566"/>
      <c r="HIY165" s="587"/>
      <c r="HIZ165" s="587"/>
      <c r="HJA165" s="587"/>
      <c r="HJB165" s="587"/>
      <c r="HJC165" s="588"/>
      <c r="HJD165" s="589"/>
      <c r="HJE165" s="588"/>
      <c r="HJF165" s="589"/>
      <c r="HJG165" s="588"/>
      <c r="HJH165" s="589"/>
      <c r="HJI165" s="588"/>
      <c r="HJJ165" s="589"/>
      <c r="HJK165" s="588"/>
      <c r="HJL165" s="589"/>
      <c r="HJM165" s="429"/>
      <c r="HJN165" s="364"/>
      <c r="HJO165" s="365"/>
      <c r="HJP165" s="354"/>
      <c r="HJQ165" s="465"/>
      <c r="HJR165" s="565"/>
      <c r="HJS165" s="572"/>
      <c r="HJT165" s="572"/>
      <c r="HJU165" s="566"/>
      <c r="HJV165" s="587"/>
      <c r="HJW165" s="587"/>
      <c r="HJX165" s="587"/>
      <c r="HJY165" s="587"/>
      <c r="HJZ165" s="588"/>
      <c r="HKA165" s="589"/>
      <c r="HKB165" s="588"/>
      <c r="HKC165" s="589"/>
      <c r="HKD165" s="588"/>
      <c r="HKE165" s="589"/>
      <c r="HKF165" s="588"/>
      <c r="HKG165" s="589"/>
      <c r="HKH165" s="588"/>
      <c r="HKI165" s="589"/>
      <c r="HKJ165" s="429"/>
      <c r="HKK165" s="364"/>
      <c r="HKL165" s="365"/>
      <c r="HKM165" s="354"/>
      <c r="HKN165" s="465"/>
      <c r="HKO165" s="565"/>
      <c r="HKP165" s="572"/>
      <c r="HKQ165" s="572"/>
      <c r="HKR165" s="566"/>
      <c r="HKS165" s="587"/>
      <c r="HKT165" s="587"/>
      <c r="HKU165" s="587"/>
      <c r="HKV165" s="587"/>
      <c r="HKW165" s="588"/>
      <c r="HKX165" s="589"/>
      <c r="HKY165" s="588"/>
      <c r="HKZ165" s="589"/>
      <c r="HLA165" s="588"/>
      <c r="HLB165" s="589"/>
      <c r="HLC165" s="588"/>
      <c r="HLD165" s="589"/>
      <c r="HLE165" s="588"/>
      <c r="HLF165" s="589"/>
      <c r="HLG165" s="429"/>
      <c r="HLH165" s="364"/>
      <c r="HLI165" s="365"/>
      <c r="HLJ165" s="354"/>
      <c r="HLK165" s="465"/>
      <c r="HLL165" s="565"/>
      <c r="HLM165" s="572"/>
      <c r="HLN165" s="572"/>
      <c r="HLO165" s="566"/>
      <c r="HLP165" s="587"/>
      <c r="HLQ165" s="587"/>
      <c r="HLR165" s="587"/>
      <c r="HLS165" s="587"/>
      <c r="HLT165" s="588"/>
      <c r="HLU165" s="589"/>
      <c r="HLV165" s="588"/>
      <c r="HLW165" s="589"/>
      <c r="HLX165" s="588"/>
      <c r="HLY165" s="589"/>
      <c r="HLZ165" s="588"/>
      <c r="HMA165" s="589"/>
      <c r="HMB165" s="588"/>
      <c r="HMC165" s="589"/>
      <c r="HMD165" s="429"/>
      <c r="HME165" s="364"/>
      <c r="HMF165" s="365"/>
      <c r="HMG165" s="354"/>
      <c r="HMH165" s="465"/>
      <c r="HMI165" s="565"/>
      <c r="HMJ165" s="572"/>
      <c r="HMK165" s="572"/>
      <c r="HML165" s="566"/>
      <c r="HMM165" s="587"/>
      <c r="HMN165" s="587"/>
      <c r="HMO165" s="587"/>
      <c r="HMP165" s="587"/>
      <c r="HMQ165" s="588"/>
      <c r="HMR165" s="589"/>
      <c r="HMS165" s="588"/>
      <c r="HMT165" s="589"/>
      <c r="HMU165" s="588"/>
      <c r="HMV165" s="589"/>
      <c r="HMW165" s="588"/>
      <c r="HMX165" s="589"/>
      <c r="HMY165" s="588"/>
      <c r="HMZ165" s="589"/>
      <c r="HNA165" s="429"/>
      <c r="HNB165" s="364"/>
      <c r="HNC165" s="365"/>
      <c r="HND165" s="354"/>
      <c r="HNE165" s="465"/>
      <c r="HNF165" s="565"/>
      <c r="HNG165" s="572"/>
      <c r="HNH165" s="572"/>
      <c r="HNI165" s="566"/>
      <c r="HNJ165" s="587"/>
      <c r="HNK165" s="587"/>
      <c r="HNL165" s="587"/>
      <c r="HNM165" s="587"/>
      <c r="HNN165" s="588"/>
      <c r="HNO165" s="589"/>
      <c r="HNP165" s="588"/>
      <c r="HNQ165" s="589"/>
      <c r="HNR165" s="588"/>
      <c r="HNS165" s="589"/>
      <c r="HNT165" s="588"/>
      <c r="HNU165" s="589"/>
      <c r="HNV165" s="588"/>
      <c r="HNW165" s="589"/>
      <c r="HNX165" s="429"/>
      <c r="HNY165" s="364"/>
      <c r="HNZ165" s="365"/>
      <c r="HOA165" s="354"/>
      <c r="HOB165" s="465"/>
      <c r="HOC165" s="565"/>
      <c r="HOD165" s="572"/>
      <c r="HOE165" s="572"/>
      <c r="HOF165" s="566"/>
      <c r="HOG165" s="587"/>
      <c r="HOH165" s="587"/>
      <c r="HOI165" s="587"/>
      <c r="HOJ165" s="587"/>
      <c r="HOK165" s="588"/>
      <c r="HOL165" s="589"/>
      <c r="HOM165" s="588"/>
      <c r="HON165" s="589"/>
      <c r="HOO165" s="588"/>
      <c r="HOP165" s="589"/>
      <c r="HOQ165" s="588"/>
      <c r="HOR165" s="589"/>
      <c r="HOS165" s="588"/>
      <c r="HOT165" s="589"/>
      <c r="HOU165" s="429"/>
      <c r="HOV165" s="364"/>
      <c r="HOW165" s="365"/>
      <c r="HOX165" s="354"/>
      <c r="HOY165" s="465"/>
      <c r="HOZ165" s="565"/>
      <c r="HPA165" s="572"/>
      <c r="HPB165" s="572"/>
      <c r="HPC165" s="566"/>
      <c r="HPD165" s="587"/>
      <c r="HPE165" s="587"/>
      <c r="HPF165" s="587"/>
      <c r="HPG165" s="587"/>
      <c r="HPH165" s="588"/>
      <c r="HPI165" s="589"/>
      <c r="HPJ165" s="588"/>
      <c r="HPK165" s="589"/>
      <c r="HPL165" s="588"/>
      <c r="HPM165" s="589"/>
      <c r="HPN165" s="588"/>
      <c r="HPO165" s="589"/>
      <c r="HPP165" s="588"/>
      <c r="HPQ165" s="589"/>
      <c r="HPR165" s="429"/>
      <c r="HPS165" s="364"/>
      <c r="HPT165" s="365"/>
      <c r="HPU165" s="354"/>
      <c r="HPV165" s="465"/>
      <c r="HPW165" s="565"/>
      <c r="HPX165" s="572"/>
      <c r="HPY165" s="572"/>
      <c r="HPZ165" s="566"/>
      <c r="HQA165" s="587"/>
      <c r="HQB165" s="587"/>
      <c r="HQC165" s="587"/>
      <c r="HQD165" s="587"/>
      <c r="HQE165" s="588"/>
      <c r="HQF165" s="589"/>
      <c r="HQG165" s="588"/>
      <c r="HQH165" s="589"/>
      <c r="HQI165" s="588"/>
      <c r="HQJ165" s="589"/>
      <c r="HQK165" s="588"/>
      <c r="HQL165" s="589"/>
      <c r="HQM165" s="588"/>
      <c r="HQN165" s="589"/>
      <c r="HQO165" s="429"/>
      <c r="HQP165" s="364"/>
      <c r="HQQ165" s="365"/>
      <c r="HQR165" s="354"/>
      <c r="HQS165" s="465"/>
      <c r="HQT165" s="565"/>
      <c r="HQU165" s="572"/>
      <c r="HQV165" s="572"/>
      <c r="HQW165" s="566"/>
      <c r="HQX165" s="587"/>
      <c r="HQY165" s="587"/>
      <c r="HQZ165" s="587"/>
      <c r="HRA165" s="587"/>
      <c r="HRB165" s="588"/>
      <c r="HRC165" s="589"/>
      <c r="HRD165" s="588"/>
      <c r="HRE165" s="589"/>
      <c r="HRF165" s="588"/>
      <c r="HRG165" s="589"/>
      <c r="HRH165" s="588"/>
      <c r="HRI165" s="589"/>
      <c r="HRJ165" s="588"/>
      <c r="HRK165" s="589"/>
      <c r="HRL165" s="429"/>
      <c r="HRM165" s="364"/>
      <c r="HRN165" s="365"/>
      <c r="HRO165" s="354"/>
      <c r="HRP165" s="465"/>
      <c r="HRQ165" s="565"/>
      <c r="HRR165" s="572"/>
      <c r="HRS165" s="572"/>
      <c r="HRT165" s="566"/>
      <c r="HRU165" s="587"/>
      <c r="HRV165" s="587"/>
      <c r="HRW165" s="587"/>
      <c r="HRX165" s="587"/>
      <c r="HRY165" s="588"/>
      <c r="HRZ165" s="589"/>
      <c r="HSA165" s="588"/>
      <c r="HSB165" s="589"/>
      <c r="HSC165" s="588"/>
      <c r="HSD165" s="589"/>
      <c r="HSE165" s="588"/>
      <c r="HSF165" s="589"/>
      <c r="HSG165" s="588"/>
      <c r="HSH165" s="589"/>
      <c r="HSI165" s="429"/>
      <c r="HSJ165" s="364"/>
      <c r="HSK165" s="365"/>
      <c r="HSL165" s="354"/>
      <c r="HSM165" s="465"/>
      <c r="HSN165" s="565"/>
      <c r="HSO165" s="572"/>
      <c r="HSP165" s="572"/>
      <c r="HSQ165" s="566"/>
      <c r="HSR165" s="587"/>
      <c r="HSS165" s="587"/>
      <c r="HST165" s="587"/>
      <c r="HSU165" s="587"/>
      <c r="HSV165" s="588"/>
      <c r="HSW165" s="589"/>
      <c r="HSX165" s="588"/>
      <c r="HSY165" s="589"/>
      <c r="HSZ165" s="588"/>
      <c r="HTA165" s="589"/>
      <c r="HTB165" s="588"/>
      <c r="HTC165" s="589"/>
      <c r="HTD165" s="588"/>
      <c r="HTE165" s="589"/>
      <c r="HTF165" s="429"/>
      <c r="HTG165" s="364"/>
      <c r="HTH165" s="365"/>
      <c r="HTI165" s="354"/>
      <c r="HTJ165" s="465"/>
      <c r="HTK165" s="565"/>
      <c r="HTL165" s="572"/>
      <c r="HTM165" s="572"/>
      <c r="HTN165" s="566"/>
      <c r="HTO165" s="587"/>
      <c r="HTP165" s="587"/>
      <c r="HTQ165" s="587"/>
      <c r="HTR165" s="587"/>
      <c r="HTS165" s="588"/>
      <c r="HTT165" s="589"/>
      <c r="HTU165" s="588"/>
      <c r="HTV165" s="589"/>
      <c r="HTW165" s="588"/>
      <c r="HTX165" s="589"/>
      <c r="HTY165" s="588"/>
      <c r="HTZ165" s="589"/>
      <c r="HUA165" s="588"/>
      <c r="HUB165" s="589"/>
      <c r="HUC165" s="429"/>
      <c r="HUD165" s="364"/>
      <c r="HUE165" s="365"/>
      <c r="HUF165" s="354"/>
      <c r="HUG165" s="465"/>
      <c r="HUH165" s="565"/>
      <c r="HUI165" s="572"/>
      <c r="HUJ165" s="572"/>
      <c r="HUK165" s="566"/>
      <c r="HUL165" s="587"/>
      <c r="HUM165" s="587"/>
      <c r="HUN165" s="587"/>
      <c r="HUO165" s="587"/>
      <c r="HUP165" s="588"/>
      <c r="HUQ165" s="589"/>
      <c r="HUR165" s="588"/>
      <c r="HUS165" s="589"/>
      <c r="HUT165" s="588"/>
      <c r="HUU165" s="589"/>
      <c r="HUV165" s="588"/>
      <c r="HUW165" s="589"/>
      <c r="HUX165" s="588"/>
      <c r="HUY165" s="589"/>
      <c r="HUZ165" s="429"/>
      <c r="HVA165" s="364"/>
      <c r="HVB165" s="365"/>
      <c r="HVC165" s="354"/>
      <c r="HVD165" s="465"/>
      <c r="HVE165" s="565"/>
      <c r="HVF165" s="572"/>
      <c r="HVG165" s="572"/>
      <c r="HVH165" s="566"/>
      <c r="HVI165" s="587"/>
      <c r="HVJ165" s="587"/>
      <c r="HVK165" s="587"/>
      <c r="HVL165" s="587"/>
      <c r="HVM165" s="588"/>
      <c r="HVN165" s="589"/>
      <c r="HVO165" s="588"/>
      <c r="HVP165" s="589"/>
      <c r="HVQ165" s="588"/>
      <c r="HVR165" s="589"/>
      <c r="HVS165" s="588"/>
      <c r="HVT165" s="589"/>
      <c r="HVU165" s="588"/>
      <c r="HVV165" s="589"/>
      <c r="HVW165" s="429"/>
      <c r="HVX165" s="364"/>
      <c r="HVY165" s="365"/>
      <c r="HVZ165" s="354"/>
      <c r="HWA165" s="465"/>
      <c r="HWB165" s="565"/>
      <c r="HWC165" s="572"/>
      <c r="HWD165" s="572"/>
      <c r="HWE165" s="566"/>
      <c r="HWF165" s="587"/>
      <c r="HWG165" s="587"/>
      <c r="HWH165" s="587"/>
      <c r="HWI165" s="587"/>
      <c r="HWJ165" s="588"/>
      <c r="HWK165" s="589"/>
      <c r="HWL165" s="588"/>
      <c r="HWM165" s="589"/>
      <c r="HWN165" s="588"/>
      <c r="HWO165" s="589"/>
      <c r="HWP165" s="588"/>
      <c r="HWQ165" s="589"/>
      <c r="HWR165" s="588"/>
      <c r="HWS165" s="589"/>
      <c r="HWT165" s="429"/>
      <c r="HWU165" s="364"/>
      <c r="HWV165" s="365"/>
      <c r="HWW165" s="354"/>
      <c r="HWX165" s="465"/>
      <c r="HWY165" s="565"/>
      <c r="HWZ165" s="572"/>
      <c r="HXA165" s="572"/>
      <c r="HXB165" s="566"/>
      <c r="HXC165" s="587"/>
      <c r="HXD165" s="587"/>
      <c r="HXE165" s="587"/>
      <c r="HXF165" s="587"/>
      <c r="HXG165" s="588"/>
      <c r="HXH165" s="589"/>
      <c r="HXI165" s="588"/>
      <c r="HXJ165" s="589"/>
      <c r="HXK165" s="588"/>
      <c r="HXL165" s="589"/>
      <c r="HXM165" s="588"/>
      <c r="HXN165" s="589"/>
      <c r="HXO165" s="588"/>
      <c r="HXP165" s="589"/>
      <c r="HXQ165" s="429"/>
      <c r="HXR165" s="364"/>
      <c r="HXS165" s="365"/>
      <c r="HXT165" s="354"/>
      <c r="HXU165" s="465"/>
      <c r="HXV165" s="565"/>
      <c r="HXW165" s="572"/>
      <c r="HXX165" s="572"/>
      <c r="HXY165" s="566"/>
      <c r="HXZ165" s="587"/>
      <c r="HYA165" s="587"/>
      <c r="HYB165" s="587"/>
      <c r="HYC165" s="587"/>
      <c r="HYD165" s="588"/>
      <c r="HYE165" s="589"/>
      <c r="HYF165" s="588"/>
      <c r="HYG165" s="589"/>
      <c r="HYH165" s="588"/>
      <c r="HYI165" s="589"/>
      <c r="HYJ165" s="588"/>
      <c r="HYK165" s="589"/>
      <c r="HYL165" s="588"/>
      <c r="HYM165" s="589"/>
      <c r="HYN165" s="429"/>
      <c r="HYO165" s="364"/>
      <c r="HYP165" s="365"/>
      <c r="HYQ165" s="354"/>
      <c r="HYR165" s="465"/>
      <c r="HYS165" s="565"/>
      <c r="HYT165" s="572"/>
      <c r="HYU165" s="572"/>
      <c r="HYV165" s="566"/>
      <c r="HYW165" s="587"/>
      <c r="HYX165" s="587"/>
      <c r="HYY165" s="587"/>
      <c r="HYZ165" s="587"/>
      <c r="HZA165" s="588"/>
      <c r="HZB165" s="589"/>
      <c r="HZC165" s="588"/>
      <c r="HZD165" s="589"/>
      <c r="HZE165" s="588"/>
      <c r="HZF165" s="589"/>
      <c r="HZG165" s="588"/>
      <c r="HZH165" s="589"/>
      <c r="HZI165" s="588"/>
      <c r="HZJ165" s="589"/>
      <c r="HZK165" s="429"/>
      <c r="HZL165" s="364"/>
      <c r="HZM165" s="365"/>
      <c r="HZN165" s="354"/>
      <c r="HZO165" s="465"/>
      <c r="HZP165" s="565"/>
      <c r="HZQ165" s="572"/>
      <c r="HZR165" s="572"/>
      <c r="HZS165" s="566"/>
      <c r="HZT165" s="587"/>
      <c r="HZU165" s="587"/>
      <c r="HZV165" s="587"/>
      <c r="HZW165" s="587"/>
      <c r="HZX165" s="588"/>
      <c r="HZY165" s="589"/>
      <c r="HZZ165" s="588"/>
      <c r="IAA165" s="589"/>
      <c r="IAB165" s="588"/>
      <c r="IAC165" s="589"/>
      <c r="IAD165" s="588"/>
      <c r="IAE165" s="589"/>
      <c r="IAF165" s="588"/>
      <c r="IAG165" s="589"/>
      <c r="IAH165" s="429"/>
      <c r="IAI165" s="364"/>
      <c r="IAJ165" s="365"/>
      <c r="IAK165" s="354"/>
      <c r="IAL165" s="465"/>
      <c r="IAM165" s="565"/>
      <c r="IAN165" s="572"/>
      <c r="IAO165" s="572"/>
      <c r="IAP165" s="566"/>
      <c r="IAQ165" s="587"/>
      <c r="IAR165" s="587"/>
      <c r="IAS165" s="587"/>
      <c r="IAT165" s="587"/>
      <c r="IAU165" s="588"/>
      <c r="IAV165" s="589"/>
      <c r="IAW165" s="588"/>
      <c r="IAX165" s="589"/>
      <c r="IAY165" s="588"/>
      <c r="IAZ165" s="589"/>
      <c r="IBA165" s="588"/>
      <c r="IBB165" s="589"/>
      <c r="IBC165" s="588"/>
      <c r="IBD165" s="589"/>
      <c r="IBE165" s="429"/>
      <c r="IBF165" s="364"/>
      <c r="IBG165" s="365"/>
      <c r="IBH165" s="354"/>
      <c r="IBI165" s="465"/>
      <c r="IBJ165" s="565"/>
      <c r="IBK165" s="572"/>
      <c r="IBL165" s="572"/>
      <c r="IBM165" s="566"/>
      <c r="IBN165" s="587"/>
      <c r="IBO165" s="587"/>
      <c r="IBP165" s="587"/>
      <c r="IBQ165" s="587"/>
      <c r="IBR165" s="588"/>
      <c r="IBS165" s="589"/>
      <c r="IBT165" s="588"/>
      <c r="IBU165" s="589"/>
      <c r="IBV165" s="588"/>
      <c r="IBW165" s="589"/>
      <c r="IBX165" s="588"/>
      <c r="IBY165" s="589"/>
      <c r="IBZ165" s="588"/>
      <c r="ICA165" s="589"/>
      <c r="ICB165" s="429"/>
      <c r="ICC165" s="364"/>
      <c r="ICD165" s="365"/>
      <c r="ICE165" s="354"/>
      <c r="ICF165" s="465"/>
      <c r="ICG165" s="565"/>
      <c r="ICH165" s="572"/>
      <c r="ICI165" s="572"/>
      <c r="ICJ165" s="566"/>
      <c r="ICK165" s="587"/>
      <c r="ICL165" s="587"/>
      <c r="ICM165" s="587"/>
      <c r="ICN165" s="587"/>
      <c r="ICO165" s="588"/>
      <c r="ICP165" s="589"/>
      <c r="ICQ165" s="588"/>
      <c r="ICR165" s="589"/>
      <c r="ICS165" s="588"/>
      <c r="ICT165" s="589"/>
      <c r="ICU165" s="588"/>
      <c r="ICV165" s="589"/>
      <c r="ICW165" s="588"/>
      <c r="ICX165" s="589"/>
      <c r="ICY165" s="429"/>
      <c r="ICZ165" s="364"/>
      <c r="IDA165" s="365"/>
      <c r="IDB165" s="354"/>
      <c r="IDC165" s="465"/>
      <c r="IDD165" s="565"/>
      <c r="IDE165" s="572"/>
      <c r="IDF165" s="572"/>
      <c r="IDG165" s="566"/>
      <c r="IDH165" s="587"/>
      <c r="IDI165" s="587"/>
      <c r="IDJ165" s="587"/>
      <c r="IDK165" s="587"/>
      <c r="IDL165" s="588"/>
      <c r="IDM165" s="589"/>
      <c r="IDN165" s="588"/>
      <c r="IDO165" s="589"/>
      <c r="IDP165" s="588"/>
      <c r="IDQ165" s="589"/>
      <c r="IDR165" s="588"/>
      <c r="IDS165" s="589"/>
      <c r="IDT165" s="588"/>
      <c r="IDU165" s="589"/>
      <c r="IDV165" s="429"/>
      <c r="IDW165" s="364"/>
      <c r="IDX165" s="365"/>
      <c r="IDY165" s="354"/>
      <c r="IDZ165" s="465"/>
      <c r="IEA165" s="565"/>
      <c r="IEB165" s="572"/>
      <c r="IEC165" s="572"/>
      <c r="IED165" s="566"/>
      <c r="IEE165" s="587"/>
      <c r="IEF165" s="587"/>
      <c r="IEG165" s="587"/>
      <c r="IEH165" s="587"/>
      <c r="IEI165" s="588"/>
      <c r="IEJ165" s="589"/>
      <c r="IEK165" s="588"/>
      <c r="IEL165" s="589"/>
      <c r="IEM165" s="588"/>
      <c r="IEN165" s="589"/>
      <c r="IEO165" s="588"/>
      <c r="IEP165" s="589"/>
      <c r="IEQ165" s="588"/>
      <c r="IER165" s="589"/>
      <c r="IES165" s="429"/>
      <c r="IET165" s="364"/>
      <c r="IEU165" s="365"/>
      <c r="IEV165" s="354"/>
      <c r="IEW165" s="465"/>
      <c r="IEX165" s="565"/>
      <c r="IEY165" s="572"/>
      <c r="IEZ165" s="572"/>
      <c r="IFA165" s="566"/>
      <c r="IFB165" s="587"/>
      <c r="IFC165" s="587"/>
      <c r="IFD165" s="587"/>
      <c r="IFE165" s="587"/>
      <c r="IFF165" s="588"/>
      <c r="IFG165" s="589"/>
      <c r="IFH165" s="588"/>
      <c r="IFI165" s="589"/>
      <c r="IFJ165" s="588"/>
      <c r="IFK165" s="589"/>
      <c r="IFL165" s="588"/>
      <c r="IFM165" s="589"/>
      <c r="IFN165" s="588"/>
      <c r="IFO165" s="589"/>
      <c r="IFP165" s="429"/>
      <c r="IFQ165" s="364"/>
      <c r="IFR165" s="365"/>
      <c r="IFS165" s="354"/>
      <c r="IFT165" s="465"/>
      <c r="IFU165" s="565"/>
      <c r="IFV165" s="572"/>
      <c r="IFW165" s="572"/>
      <c r="IFX165" s="566"/>
      <c r="IFY165" s="587"/>
      <c r="IFZ165" s="587"/>
      <c r="IGA165" s="587"/>
      <c r="IGB165" s="587"/>
      <c r="IGC165" s="588"/>
      <c r="IGD165" s="589"/>
      <c r="IGE165" s="588"/>
      <c r="IGF165" s="589"/>
      <c r="IGG165" s="588"/>
      <c r="IGH165" s="589"/>
      <c r="IGI165" s="588"/>
      <c r="IGJ165" s="589"/>
      <c r="IGK165" s="588"/>
      <c r="IGL165" s="589"/>
      <c r="IGM165" s="429"/>
      <c r="IGN165" s="364"/>
      <c r="IGO165" s="365"/>
      <c r="IGP165" s="354"/>
      <c r="IGQ165" s="465"/>
      <c r="IGR165" s="565"/>
      <c r="IGS165" s="572"/>
      <c r="IGT165" s="572"/>
      <c r="IGU165" s="566"/>
      <c r="IGV165" s="587"/>
      <c r="IGW165" s="587"/>
      <c r="IGX165" s="587"/>
      <c r="IGY165" s="587"/>
      <c r="IGZ165" s="588"/>
      <c r="IHA165" s="589"/>
      <c r="IHB165" s="588"/>
      <c r="IHC165" s="589"/>
      <c r="IHD165" s="588"/>
      <c r="IHE165" s="589"/>
      <c r="IHF165" s="588"/>
      <c r="IHG165" s="589"/>
      <c r="IHH165" s="588"/>
      <c r="IHI165" s="589"/>
      <c r="IHJ165" s="429"/>
      <c r="IHK165" s="364"/>
      <c r="IHL165" s="365"/>
      <c r="IHM165" s="354"/>
      <c r="IHN165" s="465"/>
      <c r="IHO165" s="565"/>
      <c r="IHP165" s="572"/>
      <c r="IHQ165" s="572"/>
      <c r="IHR165" s="566"/>
      <c r="IHS165" s="587"/>
      <c r="IHT165" s="587"/>
      <c r="IHU165" s="587"/>
      <c r="IHV165" s="587"/>
      <c r="IHW165" s="588"/>
      <c r="IHX165" s="589"/>
      <c r="IHY165" s="588"/>
      <c r="IHZ165" s="589"/>
      <c r="IIA165" s="588"/>
      <c r="IIB165" s="589"/>
      <c r="IIC165" s="588"/>
      <c r="IID165" s="589"/>
      <c r="IIE165" s="588"/>
      <c r="IIF165" s="589"/>
      <c r="IIG165" s="429"/>
      <c r="IIH165" s="364"/>
      <c r="III165" s="365"/>
      <c r="IIJ165" s="354"/>
      <c r="IIK165" s="465"/>
      <c r="IIL165" s="565"/>
      <c r="IIM165" s="572"/>
      <c r="IIN165" s="572"/>
      <c r="IIO165" s="566"/>
      <c r="IIP165" s="587"/>
      <c r="IIQ165" s="587"/>
      <c r="IIR165" s="587"/>
      <c r="IIS165" s="587"/>
      <c r="IIT165" s="588"/>
      <c r="IIU165" s="589"/>
      <c r="IIV165" s="588"/>
      <c r="IIW165" s="589"/>
      <c r="IIX165" s="588"/>
      <c r="IIY165" s="589"/>
      <c r="IIZ165" s="588"/>
      <c r="IJA165" s="589"/>
      <c r="IJB165" s="588"/>
      <c r="IJC165" s="589"/>
      <c r="IJD165" s="429"/>
      <c r="IJE165" s="364"/>
      <c r="IJF165" s="365"/>
      <c r="IJG165" s="354"/>
      <c r="IJH165" s="465"/>
      <c r="IJI165" s="565"/>
      <c r="IJJ165" s="572"/>
      <c r="IJK165" s="572"/>
      <c r="IJL165" s="566"/>
      <c r="IJM165" s="587"/>
      <c r="IJN165" s="587"/>
      <c r="IJO165" s="587"/>
      <c r="IJP165" s="587"/>
      <c r="IJQ165" s="588"/>
      <c r="IJR165" s="589"/>
      <c r="IJS165" s="588"/>
      <c r="IJT165" s="589"/>
      <c r="IJU165" s="588"/>
      <c r="IJV165" s="589"/>
      <c r="IJW165" s="588"/>
      <c r="IJX165" s="589"/>
      <c r="IJY165" s="588"/>
      <c r="IJZ165" s="589"/>
      <c r="IKA165" s="429"/>
      <c r="IKB165" s="364"/>
      <c r="IKC165" s="365"/>
      <c r="IKD165" s="354"/>
      <c r="IKE165" s="465"/>
      <c r="IKF165" s="565"/>
      <c r="IKG165" s="572"/>
      <c r="IKH165" s="572"/>
      <c r="IKI165" s="566"/>
      <c r="IKJ165" s="587"/>
      <c r="IKK165" s="587"/>
      <c r="IKL165" s="587"/>
      <c r="IKM165" s="587"/>
      <c r="IKN165" s="588"/>
      <c r="IKO165" s="589"/>
      <c r="IKP165" s="588"/>
      <c r="IKQ165" s="589"/>
      <c r="IKR165" s="588"/>
      <c r="IKS165" s="589"/>
      <c r="IKT165" s="588"/>
      <c r="IKU165" s="589"/>
      <c r="IKV165" s="588"/>
      <c r="IKW165" s="589"/>
      <c r="IKX165" s="429"/>
      <c r="IKY165" s="364"/>
      <c r="IKZ165" s="365"/>
      <c r="ILA165" s="354"/>
      <c r="ILB165" s="465"/>
      <c r="ILC165" s="565"/>
      <c r="ILD165" s="572"/>
      <c r="ILE165" s="572"/>
      <c r="ILF165" s="566"/>
      <c r="ILG165" s="587"/>
      <c r="ILH165" s="587"/>
      <c r="ILI165" s="587"/>
      <c r="ILJ165" s="587"/>
      <c r="ILK165" s="588"/>
      <c r="ILL165" s="589"/>
      <c r="ILM165" s="588"/>
      <c r="ILN165" s="589"/>
      <c r="ILO165" s="588"/>
      <c r="ILP165" s="589"/>
      <c r="ILQ165" s="588"/>
      <c r="ILR165" s="589"/>
      <c r="ILS165" s="588"/>
      <c r="ILT165" s="589"/>
      <c r="ILU165" s="429"/>
      <c r="ILV165" s="364"/>
      <c r="ILW165" s="365"/>
      <c r="ILX165" s="354"/>
      <c r="ILY165" s="465"/>
      <c r="ILZ165" s="565"/>
      <c r="IMA165" s="572"/>
      <c r="IMB165" s="572"/>
      <c r="IMC165" s="566"/>
      <c r="IMD165" s="587"/>
      <c r="IME165" s="587"/>
      <c r="IMF165" s="587"/>
      <c r="IMG165" s="587"/>
      <c r="IMH165" s="588"/>
      <c r="IMI165" s="589"/>
      <c r="IMJ165" s="588"/>
      <c r="IMK165" s="589"/>
      <c r="IML165" s="588"/>
      <c r="IMM165" s="589"/>
      <c r="IMN165" s="588"/>
      <c r="IMO165" s="589"/>
      <c r="IMP165" s="588"/>
      <c r="IMQ165" s="589"/>
      <c r="IMR165" s="429"/>
      <c r="IMS165" s="364"/>
      <c r="IMT165" s="365"/>
      <c r="IMU165" s="354"/>
      <c r="IMV165" s="465"/>
      <c r="IMW165" s="565"/>
      <c r="IMX165" s="572"/>
      <c r="IMY165" s="572"/>
      <c r="IMZ165" s="566"/>
      <c r="INA165" s="587"/>
      <c r="INB165" s="587"/>
      <c r="INC165" s="587"/>
      <c r="IND165" s="587"/>
      <c r="INE165" s="588"/>
      <c r="INF165" s="589"/>
      <c r="ING165" s="588"/>
      <c r="INH165" s="589"/>
      <c r="INI165" s="588"/>
      <c r="INJ165" s="589"/>
      <c r="INK165" s="588"/>
      <c r="INL165" s="589"/>
      <c r="INM165" s="588"/>
      <c r="INN165" s="589"/>
      <c r="INO165" s="429"/>
      <c r="INP165" s="364"/>
      <c r="INQ165" s="365"/>
      <c r="INR165" s="354"/>
      <c r="INS165" s="465"/>
      <c r="INT165" s="565"/>
      <c r="INU165" s="572"/>
      <c r="INV165" s="572"/>
      <c r="INW165" s="566"/>
      <c r="INX165" s="587"/>
      <c r="INY165" s="587"/>
      <c r="INZ165" s="587"/>
      <c r="IOA165" s="587"/>
      <c r="IOB165" s="588"/>
      <c r="IOC165" s="589"/>
      <c r="IOD165" s="588"/>
      <c r="IOE165" s="589"/>
      <c r="IOF165" s="588"/>
      <c r="IOG165" s="589"/>
      <c r="IOH165" s="588"/>
      <c r="IOI165" s="589"/>
      <c r="IOJ165" s="588"/>
      <c r="IOK165" s="589"/>
      <c r="IOL165" s="429"/>
      <c r="IOM165" s="364"/>
      <c r="ION165" s="365"/>
      <c r="IOO165" s="354"/>
      <c r="IOP165" s="465"/>
      <c r="IOQ165" s="565"/>
      <c r="IOR165" s="572"/>
      <c r="IOS165" s="572"/>
      <c r="IOT165" s="566"/>
      <c r="IOU165" s="587"/>
      <c r="IOV165" s="587"/>
      <c r="IOW165" s="587"/>
      <c r="IOX165" s="587"/>
      <c r="IOY165" s="588"/>
      <c r="IOZ165" s="589"/>
      <c r="IPA165" s="588"/>
      <c r="IPB165" s="589"/>
      <c r="IPC165" s="588"/>
      <c r="IPD165" s="589"/>
      <c r="IPE165" s="588"/>
      <c r="IPF165" s="589"/>
      <c r="IPG165" s="588"/>
      <c r="IPH165" s="589"/>
      <c r="IPI165" s="429"/>
      <c r="IPJ165" s="364"/>
      <c r="IPK165" s="365"/>
      <c r="IPL165" s="354"/>
      <c r="IPM165" s="465"/>
      <c r="IPN165" s="565"/>
      <c r="IPO165" s="572"/>
      <c r="IPP165" s="572"/>
      <c r="IPQ165" s="566"/>
      <c r="IPR165" s="587"/>
      <c r="IPS165" s="587"/>
      <c r="IPT165" s="587"/>
      <c r="IPU165" s="587"/>
      <c r="IPV165" s="588"/>
      <c r="IPW165" s="589"/>
      <c r="IPX165" s="588"/>
      <c r="IPY165" s="589"/>
      <c r="IPZ165" s="588"/>
      <c r="IQA165" s="589"/>
      <c r="IQB165" s="588"/>
      <c r="IQC165" s="589"/>
      <c r="IQD165" s="588"/>
      <c r="IQE165" s="589"/>
      <c r="IQF165" s="429"/>
      <c r="IQG165" s="364"/>
      <c r="IQH165" s="365"/>
      <c r="IQI165" s="354"/>
      <c r="IQJ165" s="465"/>
      <c r="IQK165" s="565"/>
      <c r="IQL165" s="572"/>
      <c r="IQM165" s="572"/>
      <c r="IQN165" s="566"/>
      <c r="IQO165" s="587"/>
      <c r="IQP165" s="587"/>
      <c r="IQQ165" s="587"/>
      <c r="IQR165" s="587"/>
      <c r="IQS165" s="588"/>
      <c r="IQT165" s="589"/>
      <c r="IQU165" s="588"/>
      <c r="IQV165" s="589"/>
      <c r="IQW165" s="588"/>
      <c r="IQX165" s="589"/>
      <c r="IQY165" s="588"/>
      <c r="IQZ165" s="589"/>
      <c r="IRA165" s="588"/>
      <c r="IRB165" s="589"/>
      <c r="IRC165" s="429"/>
      <c r="IRD165" s="364"/>
      <c r="IRE165" s="365"/>
      <c r="IRF165" s="354"/>
      <c r="IRG165" s="465"/>
      <c r="IRH165" s="565"/>
      <c r="IRI165" s="572"/>
      <c r="IRJ165" s="572"/>
      <c r="IRK165" s="566"/>
      <c r="IRL165" s="587"/>
      <c r="IRM165" s="587"/>
      <c r="IRN165" s="587"/>
      <c r="IRO165" s="587"/>
      <c r="IRP165" s="588"/>
      <c r="IRQ165" s="589"/>
      <c r="IRR165" s="588"/>
      <c r="IRS165" s="589"/>
      <c r="IRT165" s="588"/>
      <c r="IRU165" s="589"/>
      <c r="IRV165" s="588"/>
      <c r="IRW165" s="589"/>
      <c r="IRX165" s="588"/>
      <c r="IRY165" s="589"/>
      <c r="IRZ165" s="429"/>
      <c r="ISA165" s="364"/>
      <c r="ISB165" s="365"/>
      <c r="ISC165" s="354"/>
      <c r="ISD165" s="465"/>
      <c r="ISE165" s="565"/>
      <c r="ISF165" s="572"/>
      <c r="ISG165" s="572"/>
      <c r="ISH165" s="566"/>
      <c r="ISI165" s="587"/>
      <c r="ISJ165" s="587"/>
      <c r="ISK165" s="587"/>
      <c r="ISL165" s="587"/>
      <c r="ISM165" s="588"/>
      <c r="ISN165" s="589"/>
      <c r="ISO165" s="588"/>
      <c r="ISP165" s="589"/>
      <c r="ISQ165" s="588"/>
      <c r="ISR165" s="589"/>
      <c r="ISS165" s="588"/>
      <c r="IST165" s="589"/>
      <c r="ISU165" s="588"/>
      <c r="ISV165" s="589"/>
      <c r="ISW165" s="429"/>
      <c r="ISX165" s="364"/>
      <c r="ISY165" s="365"/>
      <c r="ISZ165" s="354"/>
      <c r="ITA165" s="465"/>
      <c r="ITB165" s="565"/>
      <c r="ITC165" s="572"/>
      <c r="ITD165" s="572"/>
      <c r="ITE165" s="566"/>
      <c r="ITF165" s="587"/>
      <c r="ITG165" s="587"/>
      <c r="ITH165" s="587"/>
      <c r="ITI165" s="587"/>
      <c r="ITJ165" s="588"/>
      <c r="ITK165" s="589"/>
      <c r="ITL165" s="588"/>
      <c r="ITM165" s="589"/>
      <c r="ITN165" s="588"/>
      <c r="ITO165" s="589"/>
      <c r="ITP165" s="588"/>
      <c r="ITQ165" s="589"/>
      <c r="ITR165" s="588"/>
      <c r="ITS165" s="589"/>
      <c r="ITT165" s="429"/>
      <c r="ITU165" s="364"/>
      <c r="ITV165" s="365"/>
      <c r="ITW165" s="354"/>
      <c r="ITX165" s="465"/>
      <c r="ITY165" s="565"/>
      <c r="ITZ165" s="572"/>
      <c r="IUA165" s="572"/>
      <c r="IUB165" s="566"/>
      <c r="IUC165" s="587"/>
      <c r="IUD165" s="587"/>
      <c r="IUE165" s="587"/>
      <c r="IUF165" s="587"/>
      <c r="IUG165" s="588"/>
      <c r="IUH165" s="589"/>
      <c r="IUI165" s="588"/>
      <c r="IUJ165" s="589"/>
      <c r="IUK165" s="588"/>
      <c r="IUL165" s="589"/>
      <c r="IUM165" s="588"/>
      <c r="IUN165" s="589"/>
      <c r="IUO165" s="588"/>
      <c r="IUP165" s="589"/>
      <c r="IUQ165" s="429"/>
      <c r="IUR165" s="364"/>
      <c r="IUS165" s="365"/>
      <c r="IUT165" s="354"/>
      <c r="IUU165" s="465"/>
      <c r="IUV165" s="565"/>
      <c r="IUW165" s="572"/>
      <c r="IUX165" s="572"/>
      <c r="IUY165" s="566"/>
      <c r="IUZ165" s="587"/>
      <c r="IVA165" s="587"/>
      <c r="IVB165" s="587"/>
      <c r="IVC165" s="587"/>
      <c r="IVD165" s="588"/>
      <c r="IVE165" s="589"/>
      <c r="IVF165" s="588"/>
      <c r="IVG165" s="589"/>
      <c r="IVH165" s="588"/>
      <c r="IVI165" s="589"/>
      <c r="IVJ165" s="588"/>
      <c r="IVK165" s="589"/>
      <c r="IVL165" s="588"/>
      <c r="IVM165" s="589"/>
      <c r="IVN165" s="429"/>
      <c r="IVO165" s="364"/>
      <c r="IVP165" s="365"/>
      <c r="IVQ165" s="354"/>
      <c r="IVR165" s="465"/>
      <c r="IVS165" s="565"/>
      <c r="IVT165" s="572"/>
      <c r="IVU165" s="572"/>
      <c r="IVV165" s="566"/>
      <c r="IVW165" s="587"/>
      <c r="IVX165" s="587"/>
      <c r="IVY165" s="587"/>
      <c r="IVZ165" s="587"/>
      <c r="IWA165" s="588"/>
      <c r="IWB165" s="589"/>
      <c r="IWC165" s="588"/>
      <c r="IWD165" s="589"/>
      <c r="IWE165" s="588"/>
      <c r="IWF165" s="589"/>
      <c r="IWG165" s="588"/>
      <c r="IWH165" s="589"/>
      <c r="IWI165" s="588"/>
      <c r="IWJ165" s="589"/>
      <c r="IWK165" s="429"/>
      <c r="IWL165" s="364"/>
      <c r="IWM165" s="365"/>
      <c r="IWN165" s="354"/>
      <c r="IWO165" s="465"/>
      <c r="IWP165" s="565"/>
      <c r="IWQ165" s="572"/>
      <c r="IWR165" s="572"/>
      <c r="IWS165" s="566"/>
      <c r="IWT165" s="587"/>
      <c r="IWU165" s="587"/>
      <c r="IWV165" s="587"/>
      <c r="IWW165" s="587"/>
      <c r="IWX165" s="588"/>
      <c r="IWY165" s="589"/>
      <c r="IWZ165" s="588"/>
      <c r="IXA165" s="589"/>
      <c r="IXB165" s="588"/>
      <c r="IXC165" s="589"/>
      <c r="IXD165" s="588"/>
      <c r="IXE165" s="589"/>
      <c r="IXF165" s="588"/>
      <c r="IXG165" s="589"/>
      <c r="IXH165" s="429"/>
      <c r="IXI165" s="364"/>
      <c r="IXJ165" s="365"/>
      <c r="IXK165" s="354"/>
      <c r="IXL165" s="465"/>
      <c r="IXM165" s="565"/>
      <c r="IXN165" s="572"/>
      <c r="IXO165" s="572"/>
      <c r="IXP165" s="566"/>
      <c r="IXQ165" s="587"/>
      <c r="IXR165" s="587"/>
      <c r="IXS165" s="587"/>
      <c r="IXT165" s="587"/>
      <c r="IXU165" s="588"/>
      <c r="IXV165" s="589"/>
      <c r="IXW165" s="588"/>
      <c r="IXX165" s="589"/>
      <c r="IXY165" s="588"/>
      <c r="IXZ165" s="589"/>
      <c r="IYA165" s="588"/>
      <c r="IYB165" s="589"/>
      <c r="IYC165" s="588"/>
      <c r="IYD165" s="589"/>
      <c r="IYE165" s="429"/>
      <c r="IYF165" s="364"/>
      <c r="IYG165" s="365"/>
      <c r="IYH165" s="354"/>
      <c r="IYI165" s="465"/>
      <c r="IYJ165" s="565"/>
      <c r="IYK165" s="572"/>
      <c r="IYL165" s="572"/>
      <c r="IYM165" s="566"/>
      <c r="IYN165" s="587"/>
      <c r="IYO165" s="587"/>
      <c r="IYP165" s="587"/>
      <c r="IYQ165" s="587"/>
      <c r="IYR165" s="588"/>
      <c r="IYS165" s="589"/>
      <c r="IYT165" s="588"/>
      <c r="IYU165" s="589"/>
      <c r="IYV165" s="588"/>
      <c r="IYW165" s="589"/>
      <c r="IYX165" s="588"/>
      <c r="IYY165" s="589"/>
      <c r="IYZ165" s="588"/>
      <c r="IZA165" s="589"/>
      <c r="IZB165" s="429"/>
      <c r="IZC165" s="364"/>
      <c r="IZD165" s="365"/>
      <c r="IZE165" s="354"/>
      <c r="IZF165" s="465"/>
      <c r="IZG165" s="565"/>
      <c r="IZH165" s="572"/>
      <c r="IZI165" s="572"/>
      <c r="IZJ165" s="566"/>
      <c r="IZK165" s="587"/>
      <c r="IZL165" s="587"/>
      <c r="IZM165" s="587"/>
      <c r="IZN165" s="587"/>
      <c r="IZO165" s="588"/>
      <c r="IZP165" s="589"/>
      <c r="IZQ165" s="588"/>
      <c r="IZR165" s="589"/>
      <c r="IZS165" s="588"/>
      <c r="IZT165" s="589"/>
      <c r="IZU165" s="588"/>
      <c r="IZV165" s="589"/>
      <c r="IZW165" s="588"/>
      <c r="IZX165" s="589"/>
      <c r="IZY165" s="429"/>
      <c r="IZZ165" s="364"/>
      <c r="JAA165" s="365"/>
      <c r="JAB165" s="354"/>
      <c r="JAC165" s="465"/>
      <c r="JAD165" s="565"/>
      <c r="JAE165" s="572"/>
      <c r="JAF165" s="572"/>
      <c r="JAG165" s="566"/>
      <c r="JAH165" s="587"/>
      <c r="JAI165" s="587"/>
      <c r="JAJ165" s="587"/>
      <c r="JAK165" s="587"/>
      <c r="JAL165" s="588"/>
      <c r="JAM165" s="589"/>
      <c r="JAN165" s="588"/>
      <c r="JAO165" s="589"/>
      <c r="JAP165" s="588"/>
      <c r="JAQ165" s="589"/>
      <c r="JAR165" s="588"/>
      <c r="JAS165" s="589"/>
      <c r="JAT165" s="588"/>
      <c r="JAU165" s="589"/>
      <c r="JAV165" s="429"/>
      <c r="JAW165" s="364"/>
      <c r="JAX165" s="365"/>
      <c r="JAY165" s="354"/>
      <c r="JAZ165" s="465"/>
      <c r="JBA165" s="565"/>
      <c r="JBB165" s="572"/>
      <c r="JBC165" s="572"/>
      <c r="JBD165" s="566"/>
      <c r="JBE165" s="587"/>
      <c r="JBF165" s="587"/>
      <c r="JBG165" s="587"/>
      <c r="JBH165" s="587"/>
      <c r="JBI165" s="588"/>
      <c r="JBJ165" s="589"/>
      <c r="JBK165" s="588"/>
      <c r="JBL165" s="589"/>
      <c r="JBM165" s="588"/>
      <c r="JBN165" s="589"/>
      <c r="JBO165" s="588"/>
      <c r="JBP165" s="589"/>
      <c r="JBQ165" s="588"/>
      <c r="JBR165" s="589"/>
      <c r="JBS165" s="429"/>
      <c r="JBT165" s="364"/>
      <c r="JBU165" s="365"/>
      <c r="JBV165" s="354"/>
      <c r="JBW165" s="465"/>
      <c r="JBX165" s="565"/>
      <c r="JBY165" s="572"/>
      <c r="JBZ165" s="572"/>
      <c r="JCA165" s="566"/>
      <c r="JCB165" s="587"/>
      <c r="JCC165" s="587"/>
      <c r="JCD165" s="587"/>
      <c r="JCE165" s="587"/>
      <c r="JCF165" s="588"/>
      <c r="JCG165" s="589"/>
      <c r="JCH165" s="588"/>
      <c r="JCI165" s="589"/>
      <c r="JCJ165" s="588"/>
      <c r="JCK165" s="589"/>
      <c r="JCL165" s="588"/>
      <c r="JCM165" s="589"/>
      <c r="JCN165" s="588"/>
      <c r="JCO165" s="589"/>
      <c r="JCP165" s="429"/>
      <c r="JCQ165" s="364"/>
      <c r="JCR165" s="365"/>
      <c r="JCS165" s="354"/>
      <c r="JCT165" s="465"/>
      <c r="JCU165" s="565"/>
      <c r="JCV165" s="572"/>
      <c r="JCW165" s="572"/>
      <c r="JCX165" s="566"/>
      <c r="JCY165" s="587"/>
      <c r="JCZ165" s="587"/>
      <c r="JDA165" s="587"/>
      <c r="JDB165" s="587"/>
      <c r="JDC165" s="588"/>
      <c r="JDD165" s="589"/>
      <c r="JDE165" s="588"/>
      <c r="JDF165" s="589"/>
      <c r="JDG165" s="588"/>
      <c r="JDH165" s="589"/>
      <c r="JDI165" s="588"/>
      <c r="JDJ165" s="589"/>
      <c r="JDK165" s="588"/>
      <c r="JDL165" s="589"/>
      <c r="JDM165" s="429"/>
      <c r="JDN165" s="364"/>
      <c r="JDO165" s="365"/>
      <c r="JDP165" s="354"/>
      <c r="JDQ165" s="465"/>
      <c r="JDR165" s="565"/>
      <c r="JDS165" s="572"/>
      <c r="JDT165" s="572"/>
      <c r="JDU165" s="566"/>
      <c r="JDV165" s="587"/>
      <c r="JDW165" s="587"/>
      <c r="JDX165" s="587"/>
      <c r="JDY165" s="587"/>
      <c r="JDZ165" s="588"/>
      <c r="JEA165" s="589"/>
      <c r="JEB165" s="588"/>
      <c r="JEC165" s="589"/>
      <c r="JED165" s="588"/>
      <c r="JEE165" s="589"/>
      <c r="JEF165" s="588"/>
      <c r="JEG165" s="589"/>
      <c r="JEH165" s="588"/>
      <c r="JEI165" s="589"/>
      <c r="JEJ165" s="429"/>
      <c r="JEK165" s="364"/>
      <c r="JEL165" s="365"/>
      <c r="JEM165" s="354"/>
      <c r="JEN165" s="465"/>
      <c r="JEO165" s="565"/>
      <c r="JEP165" s="572"/>
      <c r="JEQ165" s="572"/>
      <c r="JER165" s="566"/>
      <c r="JES165" s="587"/>
      <c r="JET165" s="587"/>
      <c r="JEU165" s="587"/>
      <c r="JEV165" s="587"/>
      <c r="JEW165" s="588"/>
      <c r="JEX165" s="589"/>
      <c r="JEY165" s="588"/>
      <c r="JEZ165" s="589"/>
      <c r="JFA165" s="588"/>
      <c r="JFB165" s="589"/>
      <c r="JFC165" s="588"/>
      <c r="JFD165" s="589"/>
      <c r="JFE165" s="588"/>
      <c r="JFF165" s="589"/>
      <c r="JFG165" s="429"/>
      <c r="JFH165" s="364"/>
      <c r="JFI165" s="365"/>
      <c r="JFJ165" s="354"/>
      <c r="JFK165" s="465"/>
      <c r="JFL165" s="565"/>
      <c r="JFM165" s="572"/>
      <c r="JFN165" s="572"/>
      <c r="JFO165" s="566"/>
      <c r="JFP165" s="587"/>
      <c r="JFQ165" s="587"/>
      <c r="JFR165" s="587"/>
      <c r="JFS165" s="587"/>
      <c r="JFT165" s="588"/>
      <c r="JFU165" s="589"/>
      <c r="JFV165" s="588"/>
      <c r="JFW165" s="589"/>
      <c r="JFX165" s="588"/>
      <c r="JFY165" s="589"/>
      <c r="JFZ165" s="588"/>
      <c r="JGA165" s="589"/>
      <c r="JGB165" s="588"/>
      <c r="JGC165" s="589"/>
      <c r="JGD165" s="429"/>
      <c r="JGE165" s="364"/>
      <c r="JGF165" s="365"/>
      <c r="JGG165" s="354"/>
      <c r="JGH165" s="465"/>
      <c r="JGI165" s="565"/>
      <c r="JGJ165" s="572"/>
      <c r="JGK165" s="572"/>
      <c r="JGL165" s="566"/>
      <c r="JGM165" s="587"/>
      <c r="JGN165" s="587"/>
      <c r="JGO165" s="587"/>
      <c r="JGP165" s="587"/>
      <c r="JGQ165" s="588"/>
      <c r="JGR165" s="589"/>
      <c r="JGS165" s="588"/>
      <c r="JGT165" s="589"/>
      <c r="JGU165" s="588"/>
      <c r="JGV165" s="589"/>
      <c r="JGW165" s="588"/>
      <c r="JGX165" s="589"/>
      <c r="JGY165" s="588"/>
      <c r="JGZ165" s="589"/>
      <c r="JHA165" s="429"/>
      <c r="JHB165" s="364"/>
      <c r="JHC165" s="365"/>
      <c r="JHD165" s="354"/>
      <c r="JHE165" s="465"/>
      <c r="JHF165" s="565"/>
      <c r="JHG165" s="572"/>
      <c r="JHH165" s="572"/>
      <c r="JHI165" s="566"/>
      <c r="JHJ165" s="587"/>
      <c r="JHK165" s="587"/>
      <c r="JHL165" s="587"/>
      <c r="JHM165" s="587"/>
      <c r="JHN165" s="588"/>
      <c r="JHO165" s="589"/>
      <c r="JHP165" s="588"/>
      <c r="JHQ165" s="589"/>
      <c r="JHR165" s="588"/>
      <c r="JHS165" s="589"/>
      <c r="JHT165" s="588"/>
      <c r="JHU165" s="589"/>
      <c r="JHV165" s="588"/>
      <c r="JHW165" s="589"/>
      <c r="JHX165" s="429"/>
      <c r="JHY165" s="364"/>
      <c r="JHZ165" s="365"/>
      <c r="JIA165" s="354"/>
      <c r="JIB165" s="465"/>
      <c r="JIC165" s="565"/>
      <c r="JID165" s="572"/>
      <c r="JIE165" s="572"/>
      <c r="JIF165" s="566"/>
      <c r="JIG165" s="587"/>
      <c r="JIH165" s="587"/>
      <c r="JII165" s="587"/>
      <c r="JIJ165" s="587"/>
      <c r="JIK165" s="588"/>
      <c r="JIL165" s="589"/>
      <c r="JIM165" s="588"/>
      <c r="JIN165" s="589"/>
      <c r="JIO165" s="588"/>
      <c r="JIP165" s="589"/>
      <c r="JIQ165" s="588"/>
      <c r="JIR165" s="589"/>
      <c r="JIS165" s="588"/>
      <c r="JIT165" s="589"/>
      <c r="JIU165" s="429"/>
      <c r="JIV165" s="364"/>
      <c r="JIW165" s="365"/>
      <c r="JIX165" s="354"/>
      <c r="JIY165" s="465"/>
      <c r="JIZ165" s="565"/>
      <c r="JJA165" s="572"/>
      <c r="JJB165" s="572"/>
      <c r="JJC165" s="566"/>
      <c r="JJD165" s="587"/>
      <c r="JJE165" s="587"/>
      <c r="JJF165" s="587"/>
      <c r="JJG165" s="587"/>
      <c r="JJH165" s="588"/>
      <c r="JJI165" s="589"/>
      <c r="JJJ165" s="588"/>
      <c r="JJK165" s="589"/>
      <c r="JJL165" s="588"/>
      <c r="JJM165" s="589"/>
      <c r="JJN165" s="588"/>
      <c r="JJO165" s="589"/>
      <c r="JJP165" s="588"/>
      <c r="JJQ165" s="589"/>
      <c r="JJR165" s="429"/>
      <c r="JJS165" s="364"/>
      <c r="JJT165" s="365"/>
      <c r="JJU165" s="354"/>
      <c r="JJV165" s="465"/>
      <c r="JJW165" s="565"/>
      <c r="JJX165" s="572"/>
      <c r="JJY165" s="572"/>
      <c r="JJZ165" s="566"/>
      <c r="JKA165" s="587"/>
      <c r="JKB165" s="587"/>
      <c r="JKC165" s="587"/>
      <c r="JKD165" s="587"/>
      <c r="JKE165" s="588"/>
      <c r="JKF165" s="589"/>
      <c r="JKG165" s="588"/>
      <c r="JKH165" s="589"/>
      <c r="JKI165" s="588"/>
      <c r="JKJ165" s="589"/>
      <c r="JKK165" s="588"/>
      <c r="JKL165" s="589"/>
      <c r="JKM165" s="588"/>
      <c r="JKN165" s="589"/>
      <c r="JKO165" s="429"/>
      <c r="JKP165" s="364"/>
      <c r="JKQ165" s="365"/>
      <c r="JKR165" s="354"/>
      <c r="JKS165" s="465"/>
      <c r="JKT165" s="565"/>
      <c r="JKU165" s="572"/>
      <c r="JKV165" s="572"/>
      <c r="JKW165" s="566"/>
      <c r="JKX165" s="587"/>
      <c r="JKY165" s="587"/>
      <c r="JKZ165" s="587"/>
      <c r="JLA165" s="587"/>
      <c r="JLB165" s="588"/>
      <c r="JLC165" s="589"/>
      <c r="JLD165" s="588"/>
      <c r="JLE165" s="589"/>
      <c r="JLF165" s="588"/>
      <c r="JLG165" s="589"/>
      <c r="JLH165" s="588"/>
      <c r="JLI165" s="589"/>
      <c r="JLJ165" s="588"/>
      <c r="JLK165" s="589"/>
      <c r="JLL165" s="429"/>
      <c r="JLM165" s="364"/>
      <c r="JLN165" s="365"/>
      <c r="JLO165" s="354"/>
      <c r="JLP165" s="465"/>
      <c r="JLQ165" s="565"/>
      <c r="JLR165" s="572"/>
      <c r="JLS165" s="572"/>
      <c r="JLT165" s="566"/>
      <c r="JLU165" s="587"/>
      <c r="JLV165" s="587"/>
      <c r="JLW165" s="587"/>
      <c r="JLX165" s="587"/>
      <c r="JLY165" s="588"/>
      <c r="JLZ165" s="589"/>
      <c r="JMA165" s="588"/>
      <c r="JMB165" s="589"/>
      <c r="JMC165" s="588"/>
      <c r="JMD165" s="589"/>
      <c r="JME165" s="588"/>
      <c r="JMF165" s="589"/>
      <c r="JMG165" s="588"/>
      <c r="JMH165" s="589"/>
      <c r="JMI165" s="429"/>
      <c r="JMJ165" s="364"/>
      <c r="JMK165" s="365"/>
      <c r="JML165" s="354"/>
      <c r="JMM165" s="465"/>
      <c r="JMN165" s="565"/>
      <c r="JMO165" s="572"/>
      <c r="JMP165" s="572"/>
      <c r="JMQ165" s="566"/>
      <c r="JMR165" s="587"/>
      <c r="JMS165" s="587"/>
      <c r="JMT165" s="587"/>
      <c r="JMU165" s="587"/>
      <c r="JMV165" s="588"/>
      <c r="JMW165" s="589"/>
      <c r="JMX165" s="588"/>
      <c r="JMY165" s="589"/>
      <c r="JMZ165" s="588"/>
      <c r="JNA165" s="589"/>
      <c r="JNB165" s="588"/>
      <c r="JNC165" s="589"/>
      <c r="JND165" s="588"/>
      <c r="JNE165" s="589"/>
      <c r="JNF165" s="429"/>
      <c r="JNG165" s="364"/>
      <c r="JNH165" s="365"/>
      <c r="JNI165" s="354"/>
      <c r="JNJ165" s="465"/>
      <c r="JNK165" s="565"/>
      <c r="JNL165" s="572"/>
      <c r="JNM165" s="572"/>
      <c r="JNN165" s="566"/>
      <c r="JNO165" s="587"/>
      <c r="JNP165" s="587"/>
      <c r="JNQ165" s="587"/>
      <c r="JNR165" s="587"/>
      <c r="JNS165" s="588"/>
      <c r="JNT165" s="589"/>
      <c r="JNU165" s="588"/>
      <c r="JNV165" s="589"/>
      <c r="JNW165" s="588"/>
      <c r="JNX165" s="589"/>
      <c r="JNY165" s="588"/>
      <c r="JNZ165" s="589"/>
      <c r="JOA165" s="588"/>
      <c r="JOB165" s="589"/>
      <c r="JOC165" s="429"/>
      <c r="JOD165" s="364"/>
      <c r="JOE165" s="365"/>
      <c r="JOF165" s="354"/>
      <c r="JOG165" s="465"/>
      <c r="JOH165" s="565"/>
      <c r="JOI165" s="572"/>
      <c r="JOJ165" s="572"/>
      <c r="JOK165" s="566"/>
      <c r="JOL165" s="587"/>
      <c r="JOM165" s="587"/>
      <c r="JON165" s="587"/>
      <c r="JOO165" s="587"/>
      <c r="JOP165" s="588"/>
      <c r="JOQ165" s="589"/>
      <c r="JOR165" s="588"/>
      <c r="JOS165" s="589"/>
      <c r="JOT165" s="588"/>
      <c r="JOU165" s="589"/>
      <c r="JOV165" s="588"/>
      <c r="JOW165" s="589"/>
      <c r="JOX165" s="588"/>
      <c r="JOY165" s="589"/>
      <c r="JOZ165" s="429"/>
      <c r="JPA165" s="364"/>
      <c r="JPB165" s="365"/>
      <c r="JPC165" s="354"/>
      <c r="JPD165" s="465"/>
      <c r="JPE165" s="565"/>
      <c r="JPF165" s="572"/>
      <c r="JPG165" s="572"/>
      <c r="JPH165" s="566"/>
      <c r="JPI165" s="587"/>
      <c r="JPJ165" s="587"/>
      <c r="JPK165" s="587"/>
      <c r="JPL165" s="587"/>
      <c r="JPM165" s="588"/>
      <c r="JPN165" s="589"/>
      <c r="JPO165" s="588"/>
      <c r="JPP165" s="589"/>
      <c r="JPQ165" s="588"/>
      <c r="JPR165" s="589"/>
      <c r="JPS165" s="588"/>
      <c r="JPT165" s="589"/>
      <c r="JPU165" s="588"/>
      <c r="JPV165" s="589"/>
      <c r="JPW165" s="429"/>
      <c r="JPX165" s="364"/>
      <c r="JPY165" s="365"/>
      <c r="JPZ165" s="354"/>
      <c r="JQA165" s="465"/>
      <c r="JQB165" s="565"/>
      <c r="JQC165" s="572"/>
      <c r="JQD165" s="572"/>
      <c r="JQE165" s="566"/>
      <c r="JQF165" s="587"/>
      <c r="JQG165" s="587"/>
      <c r="JQH165" s="587"/>
      <c r="JQI165" s="587"/>
      <c r="JQJ165" s="588"/>
      <c r="JQK165" s="589"/>
      <c r="JQL165" s="588"/>
      <c r="JQM165" s="589"/>
      <c r="JQN165" s="588"/>
      <c r="JQO165" s="589"/>
      <c r="JQP165" s="588"/>
      <c r="JQQ165" s="589"/>
      <c r="JQR165" s="588"/>
      <c r="JQS165" s="589"/>
      <c r="JQT165" s="429"/>
      <c r="JQU165" s="364"/>
      <c r="JQV165" s="365"/>
      <c r="JQW165" s="354"/>
      <c r="JQX165" s="465"/>
      <c r="JQY165" s="565"/>
      <c r="JQZ165" s="572"/>
      <c r="JRA165" s="572"/>
      <c r="JRB165" s="566"/>
      <c r="JRC165" s="587"/>
      <c r="JRD165" s="587"/>
      <c r="JRE165" s="587"/>
      <c r="JRF165" s="587"/>
      <c r="JRG165" s="588"/>
      <c r="JRH165" s="589"/>
      <c r="JRI165" s="588"/>
      <c r="JRJ165" s="589"/>
      <c r="JRK165" s="588"/>
      <c r="JRL165" s="589"/>
      <c r="JRM165" s="588"/>
      <c r="JRN165" s="589"/>
      <c r="JRO165" s="588"/>
      <c r="JRP165" s="589"/>
      <c r="JRQ165" s="429"/>
      <c r="JRR165" s="364"/>
      <c r="JRS165" s="365"/>
      <c r="JRT165" s="354"/>
      <c r="JRU165" s="465"/>
      <c r="JRV165" s="565"/>
      <c r="JRW165" s="572"/>
      <c r="JRX165" s="572"/>
      <c r="JRY165" s="566"/>
      <c r="JRZ165" s="587"/>
      <c r="JSA165" s="587"/>
      <c r="JSB165" s="587"/>
      <c r="JSC165" s="587"/>
      <c r="JSD165" s="588"/>
      <c r="JSE165" s="589"/>
      <c r="JSF165" s="588"/>
      <c r="JSG165" s="589"/>
      <c r="JSH165" s="588"/>
      <c r="JSI165" s="589"/>
      <c r="JSJ165" s="588"/>
      <c r="JSK165" s="589"/>
      <c r="JSL165" s="588"/>
      <c r="JSM165" s="589"/>
      <c r="JSN165" s="429"/>
      <c r="JSO165" s="364"/>
      <c r="JSP165" s="365"/>
      <c r="JSQ165" s="354"/>
      <c r="JSR165" s="465"/>
      <c r="JSS165" s="565"/>
      <c r="JST165" s="572"/>
      <c r="JSU165" s="572"/>
      <c r="JSV165" s="566"/>
      <c r="JSW165" s="587"/>
      <c r="JSX165" s="587"/>
      <c r="JSY165" s="587"/>
      <c r="JSZ165" s="587"/>
      <c r="JTA165" s="588"/>
      <c r="JTB165" s="589"/>
      <c r="JTC165" s="588"/>
      <c r="JTD165" s="589"/>
      <c r="JTE165" s="588"/>
      <c r="JTF165" s="589"/>
      <c r="JTG165" s="588"/>
      <c r="JTH165" s="589"/>
      <c r="JTI165" s="588"/>
      <c r="JTJ165" s="589"/>
      <c r="JTK165" s="429"/>
      <c r="JTL165" s="364"/>
      <c r="JTM165" s="365"/>
      <c r="JTN165" s="354"/>
      <c r="JTO165" s="465"/>
      <c r="JTP165" s="565"/>
      <c r="JTQ165" s="572"/>
      <c r="JTR165" s="572"/>
      <c r="JTS165" s="566"/>
      <c r="JTT165" s="587"/>
      <c r="JTU165" s="587"/>
      <c r="JTV165" s="587"/>
      <c r="JTW165" s="587"/>
      <c r="JTX165" s="588"/>
      <c r="JTY165" s="589"/>
      <c r="JTZ165" s="588"/>
      <c r="JUA165" s="589"/>
      <c r="JUB165" s="588"/>
      <c r="JUC165" s="589"/>
      <c r="JUD165" s="588"/>
      <c r="JUE165" s="589"/>
      <c r="JUF165" s="588"/>
      <c r="JUG165" s="589"/>
      <c r="JUH165" s="429"/>
      <c r="JUI165" s="364"/>
      <c r="JUJ165" s="365"/>
      <c r="JUK165" s="354"/>
      <c r="JUL165" s="465"/>
      <c r="JUM165" s="565"/>
      <c r="JUN165" s="572"/>
      <c r="JUO165" s="572"/>
      <c r="JUP165" s="566"/>
      <c r="JUQ165" s="587"/>
      <c r="JUR165" s="587"/>
      <c r="JUS165" s="587"/>
      <c r="JUT165" s="587"/>
      <c r="JUU165" s="588"/>
      <c r="JUV165" s="589"/>
      <c r="JUW165" s="588"/>
      <c r="JUX165" s="589"/>
      <c r="JUY165" s="588"/>
      <c r="JUZ165" s="589"/>
      <c r="JVA165" s="588"/>
      <c r="JVB165" s="589"/>
      <c r="JVC165" s="588"/>
      <c r="JVD165" s="589"/>
      <c r="JVE165" s="429"/>
      <c r="JVF165" s="364"/>
      <c r="JVG165" s="365"/>
      <c r="JVH165" s="354"/>
      <c r="JVI165" s="465"/>
      <c r="JVJ165" s="565"/>
      <c r="JVK165" s="572"/>
      <c r="JVL165" s="572"/>
      <c r="JVM165" s="566"/>
      <c r="JVN165" s="587"/>
      <c r="JVO165" s="587"/>
      <c r="JVP165" s="587"/>
      <c r="JVQ165" s="587"/>
      <c r="JVR165" s="588"/>
      <c r="JVS165" s="589"/>
      <c r="JVT165" s="588"/>
      <c r="JVU165" s="589"/>
      <c r="JVV165" s="588"/>
      <c r="JVW165" s="589"/>
      <c r="JVX165" s="588"/>
      <c r="JVY165" s="589"/>
      <c r="JVZ165" s="588"/>
      <c r="JWA165" s="589"/>
      <c r="JWB165" s="429"/>
      <c r="JWC165" s="364"/>
      <c r="JWD165" s="365"/>
      <c r="JWE165" s="354"/>
      <c r="JWF165" s="465"/>
      <c r="JWG165" s="565"/>
      <c r="JWH165" s="572"/>
      <c r="JWI165" s="572"/>
      <c r="JWJ165" s="566"/>
      <c r="JWK165" s="587"/>
      <c r="JWL165" s="587"/>
      <c r="JWM165" s="587"/>
      <c r="JWN165" s="587"/>
      <c r="JWO165" s="588"/>
      <c r="JWP165" s="589"/>
      <c r="JWQ165" s="588"/>
      <c r="JWR165" s="589"/>
      <c r="JWS165" s="588"/>
      <c r="JWT165" s="589"/>
      <c r="JWU165" s="588"/>
      <c r="JWV165" s="589"/>
      <c r="JWW165" s="588"/>
      <c r="JWX165" s="589"/>
      <c r="JWY165" s="429"/>
      <c r="JWZ165" s="364"/>
      <c r="JXA165" s="365"/>
      <c r="JXB165" s="354"/>
      <c r="JXC165" s="465"/>
      <c r="JXD165" s="565"/>
      <c r="JXE165" s="572"/>
      <c r="JXF165" s="572"/>
      <c r="JXG165" s="566"/>
      <c r="JXH165" s="587"/>
      <c r="JXI165" s="587"/>
      <c r="JXJ165" s="587"/>
      <c r="JXK165" s="587"/>
      <c r="JXL165" s="588"/>
      <c r="JXM165" s="589"/>
      <c r="JXN165" s="588"/>
      <c r="JXO165" s="589"/>
      <c r="JXP165" s="588"/>
      <c r="JXQ165" s="589"/>
      <c r="JXR165" s="588"/>
      <c r="JXS165" s="589"/>
      <c r="JXT165" s="588"/>
      <c r="JXU165" s="589"/>
      <c r="JXV165" s="429"/>
      <c r="JXW165" s="364"/>
      <c r="JXX165" s="365"/>
      <c r="JXY165" s="354"/>
      <c r="JXZ165" s="465"/>
      <c r="JYA165" s="565"/>
      <c r="JYB165" s="572"/>
      <c r="JYC165" s="572"/>
      <c r="JYD165" s="566"/>
      <c r="JYE165" s="587"/>
      <c r="JYF165" s="587"/>
      <c r="JYG165" s="587"/>
      <c r="JYH165" s="587"/>
      <c r="JYI165" s="588"/>
      <c r="JYJ165" s="589"/>
      <c r="JYK165" s="588"/>
      <c r="JYL165" s="589"/>
      <c r="JYM165" s="588"/>
      <c r="JYN165" s="589"/>
      <c r="JYO165" s="588"/>
      <c r="JYP165" s="589"/>
      <c r="JYQ165" s="588"/>
      <c r="JYR165" s="589"/>
      <c r="JYS165" s="429"/>
      <c r="JYT165" s="364"/>
      <c r="JYU165" s="365"/>
      <c r="JYV165" s="354"/>
      <c r="JYW165" s="465"/>
      <c r="JYX165" s="565"/>
      <c r="JYY165" s="572"/>
      <c r="JYZ165" s="572"/>
      <c r="JZA165" s="566"/>
      <c r="JZB165" s="587"/>
      <c r="JZC165" s="587"/>
      <c r="JZD165" s="587"/>
      <c r="JZE165" s="587"/>
      <c r="JZF165" s="588"/>
      <c r="JZG165" s="589"/>
      <c r="JZH165" s="588"/>
      <c r="JZI165" s="589"/>
      <c r="JZJ165" s="588"/>
      <c r="JZK165" s="589"/>
      <c r="JZL165" s="588"/>
      <c r="JZM165" s="589"/>
      <c r="JZN165" s="588"/>
      <c r="JZO165" s="589"/>
      <c r="JZP165" s="429"/>
      <c r="JZQ165" s="364"/>
      <c r="JZR165" s="365"/>
      <c r="JZS165" s="354"/>
      <c r="JZT165" s="465"/>
      <c r="JZU165" s="565"/>
      <c r="JZV165" s="572"/>
      <c r="JZW165" s="572"/>
      <c r="JZX165" s="566"/>
      <c r="JZY165" s="587"/>
      <c r="JZZ165" s="587"/>
      <c r="KAA165" s="587"/>
      <c r="KAB165" s="587"/>
      <c r="KAC165" s="588"/>
      <c r="KAD165" s="589"/>
      <c r="KAE165" s="588"/>
      <c r="KAF165" s="589"/>
      <c r="KAG165" s="588"/>
      <c r="KAH165" s="589"/>
      <c r="KAI165" s="588"/>
      <c r="KAJ165" s="589"/>
      <c r="KAK165" s="588"/>
      <c r="KAL165" s="589"/>
      <c r="KAM165" s="429"/>
      <c r="KAN165" s="364"/>
      <c r="KAO165" s="365"/>
      <c r="KAP165" s="354"/>
      <c r="KAQ165" s="465"/>
      <c r="KAR165" s="565"/>
      <c r="KAS165" s="572"/>
      <c r="KAT165" s="572"/>
      <c r="KAU165" s="566"/>
      <c r="KAV165" s="587"/>
      <c r="KAW165" s="587"/>
      <c r="KAX165" s="587"/>
      <c r="KAY165" s="587"/>
      <c r="KAZ165" s="588"/>
      <c r="KBA165" s="589"/>
      <c r="KBB165" s="588"/>
      <c r="KBC165" s="589"/>
      <c r="KBD165" s="588"/>
      <c r="KBE165" s="589"/>
      <c r="KBF165" s="588"/>
      <c r="KBG165" s="589"/>
      <c r="KBH165" s="588"/>
      <c r="KBI165" s="589"/>
      <c r="KBJ165" s="429"/>
      <c r="KBK165" s="364"/>
      <c r="KBL165" s="365"/>
      <c r="KBM165" s="354"/>
      <c r="KBN165" s="465"/>
      <c r="KBO165" s="565"/>
      <c r="KBP165" s="572"/>
      <c r="KBQ165" s="572"/>
      <c r="KBR165" s="566"/>
      <c r="KBS165" s="587"/>
      <c r="KBT165" s="587"/>
      <c r="KBU165" s="587"/>
      <c r="KBV165" s="587"/>
      <c r="KBW165" s="588"/>
      <c r="KBX165" s="589"/>
      <c r="KBY165" s="588"/>
      <c r="KBZ165" s="589"/>
      <c r="KCA165" s="588"/>
      <c r="KCB165" s="589"/>
      <c r="KCC165" s="588"/>
      <c r="KCD165" s="589"/>
      <c r="KCE165" s="588"/>
      <c r="KCF165" s="589"/>
      <c r="KCG165" s="429"/>
      <c r="KCH165" s="364"/>
      <c r="KCI165" s="365"/>
      <c r="KCJ165" s="354"/>
      <c r="KCK165" s="465"/>
      <c r="KCL165" s="565"/>
      <c r="KCM165" s="572"/>
      <c r="KCN165" s="572"/>
      <c r="KCO165" s="566"/>
      <c r="KCP165" s="587"/>
      <c r="KCQ165" s="587"/>
      <c r="KCR165" s="587"/>
      <c r="KCS165" s="587"/>
      <c r="KCT165" s="588"/>
      <c r="KCU165" s="589"/>
      <c r="KCV165" s="588"/>
      <c r="KCW165" s="589"/>
      <c r="KCX165" s="588"/>
      <c r="KCY165" s="589"/>
      <c r="KCZ165" s="588"/>
      <c r="KDA165" s="589"/>
      <c r="KDB165" s="588"/>
      <c r="KDC165" s="589"/>
      <c r="KDD165" s="429"/>
      <c r="KDE165" s="364"/>
      <c r="KDF165" s="365"/>
      <c r="KDG165" s="354"/>
      <c r="KDH165" s="465"/>
      <c r="KDI165" s="565"/>
      <c r="KDJ165" s="572"/>
      <c r="KDK165" s="572"/>
      <c r="KDL165" s="566"/>
      <c r="KDM165" s="587"/>
      <c r="KDN165" s="587"/>
      <c r="KDO165" s="587"/>
      <c r="KDP165" s="587"/>
      <c r="KDQ165" s="588"/>
      <c r="KDR165" s="589"/>
      <c r="KDS165" s="588"/>
      <c r="KDT165" s="589"/>
      <c r="KDU165" s="588"/>
      <c r="KDV165" s="589"/>
      <c r="KDW165" s="588"/>
      <c r="KDX165" s="589"/>
      <c r="KDY165" s="588"/>
      <c r="KDZ165" s="589"/>
      <c r="KEA165" s="429"/>
      <c r="KEB165" s="364"/>
      <c r="KEC165" s="365"/>
      <c r="KED165" s="354"/>
      <c r="KEE165" s="465"/>
      <c r="KEF165" s="565"/>
      <c r="KEG165" s="572"/>
      <c r="KEH165" s="572"/>
      <c r="KEI165" s="566"/>
      <c r="KEJ165" s="587"/>
      <c r="KEK165" s="587"/>
      <c r="KEL165" s="587"/>
      <c r="KEM165" s="587"/>
      <c r="KEN165" s="588"/>
      <c r="KEO165" s="589"/>
      <c r="KEP165" s="588"/>
      <c r="KEQ165" s="589"/>
      <c r="KER165" s="588"/>
      <c r="KES165" s="589"/>
      <c r="KET165" s="588"/>
      <c r="KEU165" s="589"/>
      <c r="KEV165" s="588"/>
      <c r="KEW165" s="589"/>
      <c r="KEX165" s="429"/>
      <c r="KEY165" s="364"/>
      <c r="KEZ165" s="365"/>
      <c r="KFA165" s="354"/>
      <c r="KFB165" s="465"/>
      <c r="KFC165" s="565"/>
      <c r="KFD165" s="572"/>
      <c r="KFE165" s="572"/>
      <c r="KFF165" s="566"/>
      <c r="KFG165" s="587"/>
      <c r="KFH165" s="587"/>
      <c r="KFI165" s="587"/>
      <c r="KFJ165" s="587"/>
      <c r="KFK165" s="588"/>
      <c r="KFL165" s="589"/>
      <c r="KFM165" s="588"/>
      <c r="KFN165" s="589"/>
      <c r="KFO165" s="588"/>
      <c r="KFP165" s="589"/>
      <c r="KFQ165" s="588"/>
      <c r="KFR165" s="589"/>
      <c r="KFS165" s="588"/>
      <c r="KFT165" s="589"/>
      <c r="KFU165" s="429"/>
      <c r="KFV165" s="364"/>
      <c r="KFW165" s="365"/>
      <c r="KFX165" s="354"/>
      <c r="KFY165" s="465"/>
      <c r="KFZ165" s="565"/>
      <c r="KGA165" s="572"/>
      <c r="KGB165" s="572"/>
      <c r="KGC165" s="566"/>
      <c r="KGD165" s="587"/>
      <c r="KGE165" s="587"/>
      <c r="KGF165" s="587"/>
      <c r="KGG165" s="587"/>
      <c r="KGH165" s="588"/>
      <c r="KGI165" s="589"/>
      <c r="KGJ165" s="588"/>
      <c r="KGK165" s="589"/>
      <c r="KGL165" s="588"/>
      <c r="KGM165" s="589"/>
      <c r="KGN165" s="588"/>
      <c r="KGO165" s="589"/>
      <c r="KGP165" s="588"/>
      <c r="KGQ165" s="589"/>
      <c r="KGR165" s="429"/>
      <c r="KGS165" s="364"/>
      <c r="KGT165" s="365"/>
      <c r="KGU165" s="354"/>
      <c r="KGV165" s="465"/>
      <c r="KGW165" s="565"/>
      <c r="KGX165" s="572"/>
      <c r="KGY165" s="572"/>
      <c r="KGZ165" s="566"/>
      <c r="KHA165" s="587"/>
      <c r="KHB165" s="587"/>
      <c r="KHC165" s="587"/>
      <c r="KHD165" s="587"/>
      <c r="KHE165" s="588"/>
      <c r="KHF165" s="589"/>
      <c r="KHG165" s="588"/>
      <c r="KHH165" s="589"/>
      <c r="KHI165" s="588"/>
      <c r="KHJ165" s="589"/>
      <c r="KHK165" s="588"/>
      <c r="KHL165" s="589"/>
      <c r="KHM165" s="588"/>
      <c r="KHN165" s="589"/>
      <c r="KHO165" s="429"/>
      <c r="KHP165" s="364"/>
      <c r="KHQ165" s="365"/>
      <c r="KHR165" s="354"/>
      <c r="KHS165" s="465"/>
      <c r="KHT165" s="565"/>
      <c r="KHU165" s="572"/>
      <c r="KHV165" s="572"/>
      <c r="KHW165" s="566"/>
      <c r="KHX165" s="587"/>
      <c r="KHY165" s="587"/>
      <c r="KHZ165" s="587"/>
      <c r="KIA165" s="587"/>
      <c r="KIB165" s="588"/>
      <c r="KIC165" s="589"/>
      <c r="KID165" s="588"/>
      <c r="KIE165" s="589"/>
      <c r="KIF165" s="588"/>
      <c r="KIG165" s="589"/>
      <c r="KIH165" s="588"/>
      <c r="KII165" s="589"/>
      <c r="KIJ165" s="588"/>
      <c r="KIK165" s="589"/>
      <c r="KIL165" s="429"/>
      <c r="KIM165" s="364"/>
      <c r="KIN165" s="365"/>
      <c r="KIO165" s="354"/>
      <c r="KIP165" s="465"/>
      <c r="KIQ165" s="565"/>
      <c r="KIR165" s="572"/>
      <c r="KIS165" s="572"/>
      <c r="KIT165" s="566"/>
      <c r="KIU165" s="587"/>
      <c r="KIV165" s="587"/>
      <c r="KIW165" s="587"/>
      <c r="KIX165" s="587"/>
      <c r="KIY165" s="588"/>
      <c r="KIZ165" s="589"/>
      <c r="KJA165" s="588"/>
      <c r="KJB165" s="589"/>
      <c r="KJC165" s="588"/>
      <c r="KJD165" s="589"/>
      <c r="KJE165" s="588"/>
      <c r="KJF165" s="589"/>
      <c r="KJG165" s="588"/>
      <c r="KJH165" s="589"/>
      <c r="KJI165" s="429"/>
      <c r="KJJ165" s="364"/>
      <c r="KJK165" s="365"/>
      <c r="KJL165" s="354"/>
      <c r="KJM165" s="465"/>
      <c r="KJN165" s="565"/>
      <c r="KJO165" s="572"/>
      <c r="KJP165" s="572"/>
      <c r="KJQ165" s="566"/>
      <c r="KJR165" s="587"/>
      <c r="KJS165" s="587"/>
      <c r="KJT165" s="587"/>
      <c r="KJU165" s="587"/>
      <c r="KJV165" s="588"/>
      <c r="KJW165" s="589"/>
      <c r="KJX165" s="588"/>
      <c r="KJY165" s="589"/>
      <c r="KJZ165" s="588"/>
      <c r="KKA165" s="589"/>
      <c r="KKB165" s="588"/>
      <c r="KKC165" s="589"/>
      <c r="KKD165" s="588"/>
      <c r="KKE165" s="589"/>
      <c r="KKF165" s="429"/>
      <c r="KKG165" s="364"/>
      <c r="KKH165" s="365"/>
      <c r="KKI165" s="354"/>
      <c r="KKJ165" s="465"/>
      <c r="KKK165" s="565"/>
      <c r="KKL165" s="572"/>
      <c r="KKM165" s="572"/>
      <c r="KKN165" s="566"/>
      <c r="KKO165" s="587"/>
      <c r="KKP165" s="587"/>
      <c r="KKQ165" s="587"/>
      <c r="KKR165" s="587"/>
      <c r="KKS165" s="588"/>
      <c r="KKT165" s="589"/>
      <c r="KKU165" s="588"/>
      <c r="KKV165" s="589"/>
      <c r="KKW165" s="588"/>
      <c r="KKX165" s="589"/>
      <c r="KKY165" s="588"/>
      <c r="KKZ165" s="589"/>
      <c r="KLA165" s="588"/>
      <c r="KLB165" s="589"/>
      <c r="KLC165" s="429"/>
      <c r="KLD165" s="364"/>
      <c r="KLE165" s="365"/>
      <c r="KLF165" s="354"/>
      <c r="KLG165" s="465"/>
      <c r="KLH165" s="565"/>
      <c r="KLI165" s="572"/>
      <c r="KLJ165" s="572"/>
      <c r="KLK165" s="566"/>
      <c r="KLL165" s="587"/>
      <c r="KLM165" s="587"/>
      <c r="KLN165" s="587"/>
      <c r="KLO165" s="587"/>
      <c r="KLP165" s="588"/>
      <c r="KLQ165" s="589"/>
      <c r="KLR165" s="588"/>
      <c r="KLS165" s="589"/>
      <c r="KLT165" s="588"/>
      <c r="KLU165" s="589"/>
      <c r="KLV165" s="588"/>
      <c r="KLW165" s="589"/>
      <c r="KLX165" s="588"/>
      <c r="KLY165" s="589"/>
      <c r="KLZ165" s="429"/>
      <c r="KMA165" s="364"/>
      <c r="KMB165" s="365"/>
      <c r="KMC165" s="354"/>
      <c r="KMD165" s="465"/>
      <c r="KME165" s="565"/>
      <c r="KMF165" s="572"/>
      <c r="KMG165" s="572"/>
      <c r="KMH165" s="566"/>
      <c r="KMI165" s="587"/>
      <c r="KMJ165" s="587"/>
      <c r="KMK165" s="587"/>
      <c r="KML165" s="587"/>
      <c r="KMM165" s="588"/>
      <c r="KMN165" s="589"/>
      <c r="KMO165" s="588"/>
      <c r="KMP165" s="589"/>
      <c r="KMQ165" s="588"/>
      <c r="KMR165" s="589"/>
      <c r="KMS165" s="588"/>
      <c r="KMT165" s="589"/>
      <c r="KMU165" s="588"/>
      <c r="KMV165" s="589"/>
      <c r="KMW165" s="429"/>
      <c r="KMX165" s="364"/>
      <c r="KMY165" s="365"/>
      <c r="KMZ165" s="354"/>
      <c r="KNA165" s="465"/>
      <c r="KNB165" s="565"/>
      <c r="KNC165" s="572"/>
      <c r="KND165" s="572"/>
      <c r="KNE165" s="566"/>
      <c r="KNF165" s="587"/>
      <c r="KNG165" s="587"/>
      <c r="KNH165" s="587"/>
      <c r="KNI165" s="587"/>
      <c r="KNJ165" s="588"/>
      <c r="KNK165" s="589"/>
      <c r="KNL165" s="588"/>
      <c r="KNM165" s="589"/>
      <c r="KNN165" s="588"/>
      <c r="KNO165" s="589"/>
      <c r="KNP165" s="588"/>
      <c r="KNQ165" s="589"/>
      <c r="KNR165" s="588"/>
      <c r="KNS165" s="589"/>
      <c r="KNT165" s="429"/>
      <c r="KNU165" s="364"/>
      <c r="KNV165" s="365"/>
      <c r="KNW165" s="354"/>
      <c r="KNX165" s="465"/>
      <c r="KNY165" s="565"/>
      <c r="KNZ165" s="572"/>
      <c r="KOA165" s="572"/>
      <c r="KOB165" s="566"/>
      <c r="KOC165" s="587"/>
      <c r="KOD165" s="587"/>
      <c r="KOE165" s="587"/>
      <c r="KOF165" s="587"/>
      <c r="KOG165" s="588"/>
      <c r="KOH165" s="589"/>
      <c r="KOI165" s="588"/>
      <c r="KOJ165" s="589"/>
      <c r="KOK165" s="588"/>
      <c r="KOL165" s="589"/>
      <c r="KOM165" s="588"/>
      <c r="KON165" s="589"/>
      <c r="KOO165" s="588"/>
      <c r="KOP165" s="589"/>
      <c r="KOQ165" s="429"/>
      <c r="KOR165" s="364"/>
      <c r="KOS165" s="365"/>
      <c r="KOT165" s="354"/>
      <c r="KOU165" s="465"/>
      <c r="KOV165" s="565"/>
      <c r="KOW165" s="572"/>
      <c r="KOX165" s="572"/>
      <c r="KOY165" s="566"/>
      <c r="KOZ165" s="587"/>
      <c r="KPA165" s="587"/>
      <c r="KPB165" s="587"/>
      <c r="KPC165" s="587"/>
      <c r="KPD165" s="588"/>
      <c r="KPE165" s="589"/>
      <c r="KPF165" s="588"/>
      <c r="KPG165" s="589"/>
      <c r="KPH165" s="588"/>
      <c r="KPI165" s="589"/>
      <c r="KPJ165" s="588"/>
      <c r="KPK165" s="589"/>
      <c r="KPL165" s="588"/>
      <c r="KPM165" s="589"/>
      <c r="KPN165" s="429"/>
      <c r="KPO165" s="364"/>
      <c r="KPP165" s="365"/>
      <c r="KPQ165" s="354"/>
      <c r="KPR165" s="465"/>
      <c r="KPS165" s="565"/>
      <c r="KPT165" s="572"/>
      <c r="KPU165" s="572"/>
      <c r="KPV165" s="566"/>
      <c r="KPW165" s="587"/>
      <c r="KPX165" s="587"/>
      <c r="KPY165" s="587"/>
      <c r="KPZ165" s="587"/>
      <c r="KQA165" s="588"/>
      <c r="KQB165" s="589"/>
      <c r="KQC165" s="588"/>
      <c r="KQD165" s="589"/>
      <c r="KQE165" s="588"/>
      <c r="KQF165" s="589"/>
      <c r="KQG165" s="588"/>
      <c r="KQH165" s="589"/>
      <c r="KQI165" s="588"/>
      <c r="KQJ165" s="589"/>
      <c r="KQK165" s="429"/>
      <c r="KQL165" s="364"/>
      <c r="KQM165" s="365"/>
      <c r="KQN165" s="354"/>
      <c r="KQO165" s="465"/>
      <c r="KQP165" s="565"/>
      <c r="KQQ165" s="572"/>
      <c r="KQR165" s="572"/>
      <c r="KQS165" s="566"/>
      <c r="KQT165" s="587"/>
      <c r="KQU165" s="587"/>
      <c r="KQV165" s="587"/>
      <c r="KQW165" s="587"/>
      <c r="KQX165" s="588"/>
      <c r="KQY165" s="589"/>
      <c r="KQZ165" s="588"/>
      <c r="KRA165" s="589"/>
      <c r="KRB165" s="588"/>
      <c r="KRC165" s="589"/>
      <c r="KRD165" s="588"/>
      <c r="KRE165" s="589"/>
      <c r="KRF165" s="588"/>
      <c r="KRG165" s="589"/>
      <c r="KRH165" s="429"/>
      <c r="KRI165" s="364"/>
      <c r="KRJ165" s="365"/>
      <c r="KRK165" s="354"/>
      <c r="KRL165" s="465"/>
      <c r="KRM165" s="565"/>
      <c r="KRN165" s="572"/>
      <c r="KRO165" s="572"/>
      <c r="KRP165" s="566"/>
      <c r="KRQ165" s="587"/>
      <c r="KRR165" s="587"/>
      <c r="KRS165" s="587"/>
      <c r="KRT165" s="587"/>
      <c r="KRU165" s="588"/>
      <c r="KRV165" s="589"/>
      <c r="KRW165" s="588"/>
      <c r="KRX165" s="589"/>
      <c r="KRY165" s="588"/>
      <c r="KRZ165" s="589"/>
      <c r="KSA165" s="588"/>
      <c r="KSB165" s="589"/>
      <c r="KSC165" s="588"/>
      <c r="KSD165" s="589"/>
      <c r="KSE165" s="429"/>
      <c r="KSF165" s="364"/>
      <c r="KSG165" s="365"/>
      <c r="KSH165" s="354"/>
      <c r="KSI165" s="465"/>
      <c r="KSJ165" s="565"/>
      <c r="KSK165" s="572"/>
      <c r="KSL165" s="572"/>
      <c r="KSM165" s="566"/>
      <c r="KSN165" s="587"/>
      <c r="KSO165" s="587"/>
      <c r="KSP165" s="587"/>
      <c r="KSQ165" s="587"/>
      <c r="KSR165" s="588"/>
      <c r="KSS165" s="589"/>
      <c r="KST165" s="588"/>
      <c r="KSU165" s="589"/>
      <c r="KSV165" s="588"/>
      <c r="KSW165" s="589"/>
      <c r="KSX165" s="588"/>
      <c r="KSY165" s="589"/>
      <c r="KSZ165" s="588"/>
      <c r="KTA165" s="589"/>
      <c r="KTB165" s="429"/>
      <c r="KTC165" s="364"/>
      <c r="KTD165" s="365"/>
      <c r="KTE165" s="354"/>
      <c r="KTF165" s="465"/>
      <c r="KTG165" s="565"/>
      <c r="KTH165" s="572"/>
      <c r="KTI165" s="572"/>
      <c r="KTJ165" s="566"/>
      <c r="KTK165" s="587"/>
      <c r="KTL165" s="587"/>
      <c r="KTM165" s="587"/>
      <c r="KTN165" s="587"/>
      <c r="KTO165" s="588"/>
      <c r="KTP165" s="589"/>
      <c r="KTQ165" s="588"/>
      <c r="KTR165" s="589"/>
      <c r="KTS165" s="588"/>
      <c r="KTT165" s="589"/>
      <c r="KTU165" s="588"/>
      <c r="KTV165" s="589"/>
      <c r="KTW165" s="588"/>
      <c r="KTX165" s="589"/>
      <c r="KTY165" s="429"/>
      <c r="KTZ165" s="364"/>
      <c r="KUA165" s="365"/>
      <c r="KUB165" s="354"/>
      <c r="KUC165" s="465"/>
      <c r="KUD165" s="565"/>
      <c r="KUE165" s="572"/>
      <c r="KUF165" s="572"/>
      <c r="KUG165" s="566"/>
      <c r="KUH165" s="587"/>
      <c r="KUI165" s="587"/>
      <c r="KUJ165" s="587"/>
      <c r="KUK165" s="587"/>
      <c r="KUL165" s="588"/>
      <c r="KUM165" s="589"/>
      <c r="KUN165" s="588"/>
      <c r="KUO165" s="589"/>
      <c r="KUP165" s="588"/>
      <c r="KUQ165" s="589"/>
      <c r="KUR165" s="588"/>
      <c r="KUS165" s="589"/>
      <c r="KUT165" s="588"/>
      <c r="KUU165" s="589"/>
      <c r="KUV165" s="429"/>
      <c r="KUW165" s="364"/>
      <c r="KUX165" s="365"/>
      <c r="KUY165" s="354"/>
      <c r="KUZ165" s="465"/>
      <c r="KVA165" s="565"/>
      <c r="KVB165" s="572"/>
      <c r="KVC165" s="572"/>
      <c r="KVD165" s="566"/>
      <c r="KVE165" s="587"/>
      <c r="KVF165" s="587"/>
      <c r="KVG165" s="587"/>
      <c r="KVH165" s="587"/>
      <c r="KVI165" s="588"/>
      <c r="KVJ165" s="589"/>
      <c r="KVK165" s="588"/>
      <c r="KVL165" s="589"/>
      <c r="KVM165" s="588"/>
      <c r="KVN165" s="589"/>
      <c r="KVO165" s="588"/>
      <c r="KVP165" s="589"/>
      <c r="KVQ165" s="588"/>
      <c r="KVR165" s="589"/>
      <c r="KVS165" s="429"/>
      <c r="KVT165" s="364"/>
      <c r="KVU165" s="365"/>
      <c r="KVV165" s="354"/>
      <c r="KVW165" s="465"/>
      <c r="KVX165" s="565"/>
      <c r="KVY165" s="572"/>
      <c r="KVZ165" s="572"/>
      <c r="KWA165" s="566"/>
      <c r="KWB165" s="587"/>
      <c r="KWC165" s="587"/>
      <c r="KWD165" s="587"/>
      <c r="KWE165" s="587"/>
      <c r="KWF165" s="588"/>
      <c r="KWG165" s="589"/>
      <c r="KWH165" s="588"/>
      <c r="KWI165" s="589"/>
      <c r="KWJ165" s="588"/>
      <c r="KWK165" s="589"/>
      <c r="KWL165" s="588"/>
      <c r="KWM165" s="589"/>
      <c r="KWN165" s="588"/>
      <c r="KWO165" s="589"/>
      <c r="KWP165" s="429"/>
      <c r="KWQ165" s="364"/>
      <c r="KWR165" s="365"/>
      <c r="KWS165" s="354"/>
      <c r="KWT165" s="465"/>
      <c r="KWU165" s="565"/>
      <c r="KWV165" s="572"/>
      <c r="KWW165" s="572"/>
      <c r="KWX165" s="566"/>
      <c r="KWY165" s="587"/>
      <c r="KWZ165" s="587"/>
      <c r="KXA165" s="587"/>
      <c r="KXB165" s="587"/>
      <c r="KXC165" s="588"/>
      <c r="KXD165" s="589"/>
      <c r="KXE165" s="588"/>
      <c r="KXF165" s="589"/>
      <c r="KXG165" s="588"/>
      <c r="KXH165" s="589"/>
      <c r="KXI165" s="588"/>
      <c r="KXJ165" s="589"/>
      <c r="KXK165" s="588"/>
      <c r="KXL165" s="589"/>
      <c r="KXM165" s="429"/>
      <c r="KXN165" s="364"/>
      <c r="KXO165" s="365"/>
      <c r="KXP165" s="354"/>
      <c r="KXQ165" s="465"/>
      <c r="KXR165" s="565"/>
      <c r="KXS165" s="572"/>
      <c r="KXT165" s="572"/>
      <c r="KXU165" s="566"/>
      <c r="KXV165" s="587"/>
      <c r="KXW165" s="587"/>
      <c r="KXX165" s="587"/>
      <c r="KXY165" s="587"/>
      <c r="KXZ165" s="588"/>
      <c r="KYA165" s="589"/>
      <c r="KYB165" s="588"/>
      <c r="KYC165" s="589"/>
      <c r="KYD165" s="588"/>
      <c r="KYE165" s="589"/>
      <c r="KYF165" s="588"/>
      <c r="KYG165" s="589"/>
      <c r="KYH165" s="588"/>
      <c r="KYI165" s="589"/>
      <c r="KYJ165" s="429"/>
      <c r="KYK165" s="364"/>
      <c r="KYL165" s="365"/>
      <c r="KYM165" s="354"/>
      <c r="KYN165" s="465"/>
      <c r="KYO165" s="565"/>
      <c r="KYP165" s="572"/>
      <c r="KYQ165" s="572"/>
      <c r="KYR165" s="566"/>
      <c r="KYS165" s="587"/>
      <c r="KYT165" s="587"/>
      <c r="KYU165" s="587"/>
      <c r="KYV165" s="587"/>
      <c r="KYW165" s="588"/>
      <c r="KYX165" s="589"/>
      <c r="KYY165" s="588"/>
      <c r="KYZ165" s="589"/>
      <c r="KZA165" s="588"/>
      <c r="KZB165" s="589"/>
      <c r="KZC165" s="588"/>
      <c r="KZD165" s="589"/>
      <c r="KZE165" s="588"/>
      <c r="KZF165" s="589"/>
      <c r="KZG165" s="429"/>
      <c r="KZH165" s="364"/>
      <c r="KZI165" s="365"/>
      <c r="KZJ165" s="354"/>
      <c r="KZK165" s="465"/>
      <c r="KZL165" s="565"/>
      <c r="KZM165" s="572"/>
      <c r="KZN165" s="572"/>
      <c r="KZO165" s="566"/>
      <c r="KZP165" s="587"/>
      <c r="KZQ165" s="587"/>
      <c r="KZR165" s="587"/>
      <c r="KZS165" s="587"/>
      <c r="KZT165" s="588"/>
      <c r="KZU165" s="589"/>
      <c r="KZV165" s="588"/>
      <c r="KZW165" s="589"/>
      <c r="KZX165" s="588"/>
      <c r="KZY165" s="589"/>
      <c r="KZZ165" s="588"/>
      <c r="LAA165" s="589"/>
      <c r="LAB165" s="588"/>
      <c r="LAC165" s="589"/>
      <c r="LAD165" s="429"/>
      <c r="LAE165" s="364"/>
      <c r="LAF165" s="365"/>
      <c r="LAG165" s="354"/>
      <c r="LAH165" s="465"/>
      <c r="LAI165" s="565"/>
      <c r="LAJ165" s="572"/>
      <c r="LAK165" s="572"/>
      <c r="LAL165" s="566"/>
      <c r="LAM165" s="587"/>
      <c r="LAN165" s="587"/>
      <c r="LAO165" s="587"/>
      <c r="LAP165" s="587"/>
      <c r="LAQ165" s="588"/>
      <c r="LAR165" s="589"/>
      <c r="LAS165" s="588"/>
      <c r="LAT165" s="589"/>
      <c r="LAU165" s="588"/>
      <c r="LAV165" s="589"/>
      <c r="LAW165" s="588"/>
      <c r="LAX165" s="589"/>
      <c r="LAY165" s="588"/>
      <c r="LAZ165" s="589"/>
      <c r="LBA165" s="429"/>
      <c r="LBB165" s="364"/>
      <c r="LBC165" s="365"/>
      <c r="LBD165" s="354"/>
      <c r="LBE165" s="465"/>
      <c r="LBF165" s="565"/>
      <c r="LBG165" s="572"/>
      <c r="LBH165" s="572"/>
      <c r="LBI165" s="566"/>
      <c r="LBJ165" s="587"/>
      <c r="LBK165" s="587"/>
      <c r="LBL165" s="587"/>
      <c r="LBM165" s="587"/>
      <c r="LBN165" s="588"/>
      <c r="LBO165" s="589"/>
      <c r="LBP165" s="588"/>
      <c r="LBQ165" s="589"/>
      <c r="LBR165" s="588"/>
      <c r="LBS165" s="589"/>
      <c r="LBT165" s="588"/>
      <c r="LBU165" s="589"/>
      <c r="LBV165" s="588"/>
      <c r="LBW165" s="589"/>
      <c r="LBX165" s="429"/>
      <c r="LBY165" s="364"/>
      <c r="LBZ165" s="365"/>
      <c r="LCA165" s="354"/>
      <c r="LCB165" s="465"/>
      <c r="LCC165" s="565"/>
      <c r="LCD165" s="572"/>
      <c r="LCE165" s="572"/>
      <c r="LCF165" s="566"/>
      <c r="LCG165" s="587"/>
      <c r="LCH165" s="587"/>
      <c r="LCI165" s="587"/>
      <c r="LCJ165" s="587"/>
      <c r="LCK165" s="588"/>
      <c r="LCL165" s="589"/>
      <c r="LCM165" s="588"/>
      <c r="LCN165" s="589"/>
      <c r="LCO165" s="588"/>
      <c r="LCP165" s="589"/>
      <c r="LCQ165" s="588"/>
      <c r="LCR165" s="589"/>
      <c r="LCS165" s="588"/>
      <c r="LCT165" s="589"/>
      <c r="LCU165" s="429"/>
      <c r="LCV165" s="364"/>
      <c r="LCW165" s="365"/>
      <c r="LCX165" s="354"/>
      <c r="LCY165" s="465"/>
      <c r="LCZ165" s="565"/>
      <c r="LDA165" s="572"/>
      <c r="LDB165" s="572"/>
      <c r="LDC165" s="566"/>
      <c r="LDD165" s="587"/>
      <c r="LDE165" s="587"/>
      <c r="LDF165" s="587"/>
      <c r="LDG165" s="587"/>
      <c r="LDH165" s="588"/>
      <c r="LDI165" s="589"/>
      <c r="LDJ165" s="588"/>
      <c r="LDK165" s="589"/>
      <c r="LDL165" s="588"/>
      <c r="LDM165" s="589"/>
      <c r="LDN165" s="588"/>
      <c r="LDO165" s="589"/>
      <c r="LDP165" s="588"/>
      <c r="LDQ165" s="589"/>
      <c r="LDR165" s="429"/>
      <c r="LDS165" s="364"/>
      <c r="LDT165" s="365"/>
      <c r="LDU165" s="354"/>
      <c r="LDV165" s="465"/>
      <c r="LDW165" s="565"/>
      <c r="LDX165" s="572"/>
      <c r="LDY165" s="572"/>
      <c r="LDZ165" s="566"/>
      <c r="LEA165" s="587"/>
      <c r="LEB165" s="587"/>
      <c r="LEC165" s="587"/>
      <c r="LED165" s="587"/>
      <c r="LEE165" s="588"/>
      <c r="LEF165" s="589"/>
      <c r="LEG165" s="588"/>
      <c r="LEH165" s="589"/>
      <c r="LEI165" s="588"/>
      <c r="LEJ165" s="589"/>
      <c r="LEK165" s="588"/>
      <c r="LEL165" s="589"/>
      <c r="LEM165" s="588"/>
      <c r="LEN165" s="589"/>
      <c r="LEO165" s="429"/>
      <c r="LEP165" s="364"/>
      <c r="LEQ165" s="365"/>
      <c r="LER165" s="354"/>
      <c r="LES165" s="465"/>
      <c r="LET165" s="565"/>
      <c r="LEU165" s="572"/>
      <c r="LEV165" s="572"/>
      <c r="LEW165" s="566"/>
      <c r="LEX165" s="587"/>
      <c r="LEY165" s="587"/>
      <c r="LEZ165" s="587"/>
      <c r="LFA165" s="587"/>
      <c r="LFB165" s="588"/>
      <c r="LFC165" s="589"/>
      <c r="LFD165" s="588"/>
      <c r="LFE165" s="589"/>
      <c r="LFF165" s="588"/>
      <c r="LFG165" s="589"/>
      <c r="LFH165" s="588"/>
      <c r="LFI165" s="589"/>
      <c r="LFJ165" s="588"/>
      <c r="LFK165" s="589"/>
      <c r="LFL165" s="429"/>
      <c r="LFM165" s="364"/>
      <c r="LFN165" s="365"/>
      <c r="LFO165" s="354"/>
      <c r="LFP165" s="465"/>
      <c r="LFQ165" s="565"/>
      <c r="LFR165" s="572"/>
      <c r="LFS165" s="572"/>
      <c r="LFT165" s="566"/>
      <c r="LFU165" s="587"/>
      <c r="LFV165" s="587"/>
      <c r="LFW165" s="587"/>
      <c r="LFX165" s="587"/>
      <c r="LFY165" s="588"/>
      <c r="LFZ165" s="589"/>
      <c r="LGA165" s="588"/>
      <c r="LGB165" s="589"/>
      <c r="LGC165" s="588"/>
      <c r="LGD165" s="589"/>
      <c r="LGE165" s="588"/>
      <c r="LGF165" s="589"/>
      <c r="LGG165" s="588"/>
      <c r="LGH165" s="589"/>
      <c r="LGI165" s="429"/>
      <c r="LGJ165" s="364"/>
      <c r="LGK165" s="365"/>
      <c r="LGL165" s="354"/>
      <c r="LGM165" s="465"/>
      <c r="LGN165" s="565"/>
      <c r="LGO165" s="572"/>
      <c r="LGP165" s="572"/>
      <c r="LGQ165" s="566"/>
      <c r="LGR165" s="587"/>
      <c r="LGS165" s="587"/>
      <c r="LGT165" s="587"/>
      <c r="LGU165" s="587"/>
      <c r="LGV165" s="588"/>
      <c r="LGW165" s="589"/>
      <c r="LGX165" s="588"/>
      <c r="LGY165" s="589"/>
      <c r="LGZ165" s="588"/>
      <c r="LHA165" s="589"/>
      <c r="LHB165" s="588"/>
      <c r="LHC165" s="589"/>
      <c r="LHD165" s="588"/>
      <c r="LHE165" s="589"/>
      <c r="LHF165" s="429"/>
      <c r="LHG165" s="364"/>
      <c r="LHH165" s="365"/>
      <c r="LHI165" s="354"/>
      <c r="LHJ165" s="465"/>
      <c r="LHK165" s="565"/>
      <c r="LHL165" s="572"/>
      <c r="LHM165" s="572"/>
      <c r="LHN165" s="566"/>
      <c r="LHO165" s="587"/>
      <c r="LHP165" s="587"/>
      <c r="LHQ165" s="587"/>
      <c r="LHR165" s="587"/>
      <c r="LHS165" s="588"/>
      <c r="LHT165" s="589"/>
      <c r="LHU165" s="588"/>
      <c r="LHV165" s="589"/>
      <c r="LHW165" s="588"/>
      <c r="LHX165" s="589"/>
      <c r="LHY165" s="588"/>
      <c r="LHZ165" s="589"/>
      <c r="LIA165" s="588"/>
      <c r="LIB165" s="589"/>
      <c r="LIC165" s="429"/>
      <c r="LID165" s="364"/>
      <c r="LIE165" s="365"/>
      <c r="LIF165" s="354"/>
      <c r="LIG165" s="465"/>
      <c r="LIH165" s="565"/>
      <c r="LII165" s="572"/>
      <c r="LIJ165" s="572"/>
      <c r="LIK165" s="566"/>
      <c r="LIL165" s="587"/>
      <c r="LIM165" s="587"/>
      <c r="LIN165" s="587"/>
      <c r="LIO165" s="587"/>
      <c r="LIP165" s="588"/>
      <c r="LIQ165" s="589"/>
      <c r="LIR165" s="588"/>
      <c r="LIS165" s="589"/>
      <c r="LIT165" s="588"/>
      <c r="LIU165" s="589"/>
      <c r="LIV165" s="588"/>
      <c r="LIW165" s="589"/>
      <c r="LIX165" s="588"/>
      <c r="LIY165" s="589"/>
      <c r="LIZ165" s="429"/>
      <c r="LJA165" s="364"/>
      <c r="LJB165" s="365"/>
      <c r="LJC165" s="354"/>
      <c r="LJD165" s="465"/>
      <c r="LJE165" s="565"/>
      <c r="LJF165" s="572"/>
      <c r="LJG165" s="572"/>
      <c r="LJH165" s="566"/>
      <c r="LJI165" s="587"/>
      <c r="LJJ165" s="587"/>
      <c r="LJK165" s="587"/>
      <c r="LJL165" s="587"/>
      <c r="LJM165" s="588"/>
      <c r="LJN165" s="589"/>
      <c r="LJO165" s="588"/>
      <c r="LJP165" s="589"/>
      <c r="LJQ165" s="588"/>
      <c r="LJR165" s="589"/>
      <c r="LJS165" s="588"/>
      <c r="LJT165" s="589"/>
      <c r="LJU165" s="588"/>
      <c r="LJV165" s="589"/>
      <c r="LJW165" s="429"/>
      <c r="LJX165" s="364"/>
      <c r="LJY165" s="365"/>
      <c r="LJZ165" s="354"/>
      <c r="LKA165" s="465"/>
      <c r="LKB165" s="565"/>
      <c r="LKC165" s="572"/>
      <c r="LKD165" s="572"/>
      <c r="LKE165" s="566"/>
      <c r="LKF165" s="587"/>
      <c r="LKG165" s="587"/>
      <c r="LKH165" s="587"/>
      <c r="LKI165" s="587"/>
      <c r="LKJ165" s="588"/>
      <c r="LKK165" s="589"/>
      <c r="LKL165" s="588"/>
      <c r="LKM165" s="589"/>
      <c r="LKN165" s="588"/>
      <c r="LKO165" s="589"/>
      <c r="LKP165" s="588"/>
      <c r="LKQ165" s="589"/>
      <c r="LKR165" s="588"/>
      <c r="LKS165" s="589"/>
      <c r="LKT165" s="429"/>
      <c r="LKU165" s="364"/>
      <c r="LKV165" s="365"/>
      <c r="LKW165" s="354"/>
      <c r="LKX165" s="465"/>
      <c r="LKY165" s="565"/>
      <c r="LKZ165" s="572"/>
      <c r="LLA165" s="572"/>
      <c r="LLB165" s="566"/>
      <c r="LLC165" s="587"/>
      <c r="LLD165" s="587"/>
      <c r="LLE165" s="587"/>
      <c r="LLF165" s="587"/>
      <c r="LLG165" s="588"/>
      <c r="LLH165" s="589"/>
      <c r="LLI165" s="588"/>
      <c r="LLJ165" s="589"/>
      <c r="LLK165" s="588"/>
      <c r="LLL165" s="589"/>
      <c r="LLM165" s="588"/>
      <c r="LLN165" s="589"/>
      <c r="LLO165" s="588"/>
      <c r="LLP165" s="589"/>
      <c r="LLQ165" s="429"/>
      <c r="LLR165" s="364"/>
      <c r="LLS165" s="365"/>
      <c r="LLT165" s="354"/>
      <c r="LLU165" s="465"/>
      <c r="LLV165" s="565"/>
      <c r="LLW165" s="572"/>
      <c r="LLX165" s="572"/>
      <c r="LLY165" s="566"/>
      <c r="LLZ165" s="587"/>
      <c r="LMA165" s="587"/>
      <c r="LMB165" s="587"/>
      <c r="LMC165" s="587"/>
      <c r="LMD165" s="588"/>
      <c r="LME165" s="589"/>
      <c r="LMF165" s="588"/>
      <c r="LMG165" s="589"/>
      <c r="LMH165" s="588"/>
      <c r="LMI165" s="589"/>
      <c r="LMJ165" s="588"/>
      <c r="LMK165" s="589"/>
      <c r="LML165" s="588"/>
      <c r="LMM165" s="589"/>
      <c r="LMN165" s="429"/>
      <c r="LMO165" s="364"/>
      <c r="LMP165" s="365"/>
      <c r="LMQ165" s="354"/>
      <c r="LMR165" s="465"/>
      <c r="LMS165" s="565"/>
      <c r="LMT165" s="572"/>
      <c r="LMU165" s="572"/>
      <c r="LMV165" s="566"/>
      <c r="LMW165" s="587"/>
      <c r="LMX165" s="587"/>
      <c r="LMY165" s="587"/>
      <c r="LMZ165" s="587"/>
      <c r="LNA165" s="588"/>
      <c r="LNB165" s="589"/>
      <c r="LNC165" s="588"/>
      <c r="LND165" s="589"/>
      <c r="LNE165" s="588"/>
      <c r="LNF165" s="589"/>
      <c r="LNG165" s="588"/>
      <c r="LNH165" s="589"/>
      <c r="LNI165" s="588"/>
      <c r="LNJ165" s="589"/>
      <c r="LNK165" s="429"/>
      <c r="LNL165" s="364"/>
      <c r="LNM165" s="365"/>
      <c r="LNN165" s="354"/>
      <c r="LNO165" s="465"/>
      <c r="LNP165" s="565"/>
      <c r="LNQ165" s="572"/>
      <c r="LNR165" s="572"/>
      <c r="LNS165" s="566"/>
      <c r="LNT165" s="587"/>
      <c r="LNU165" s="587"/>
      <c r="LNV165" s="587"/>
      <c r="LNW165" s="587"/>
      <c r="LNX165" s="588"/>
      <c r="LNY165" s="589"/>
      <c r="LNZ165" s="588"/>
      <c r="LOA165" s="589"/>
      <c r="LOB165" s="588"/>
      <c r="LOC165" s="589"/>
      <c r="LOD165" s="588"/>
      <c r="LOE165" s="589"/>
      <c r="LOF165" s="588"/>
      <c r="LOG165" s="589"/>
      <c r="LOH165" s="429"/>
      <c r="LOI165" s="364"/>
      <c r="LOJ165" s="365"/>
      <c r="LOK165" s="354"/>
      <c r="LOL165" s="465"/>
      <c r="LOM165" s="565"/>
      <c r="LON165" s="572"/>
      <c r="LOO165" s="572"/>
      <c r="LOP165" s="566"/>
      <c r="LOQ165" s="587"/>
      <c r="LOR165" s="587"/>
      <c r="LOS165" s="587"/>
      <c r="LOT165" s="587"/>
      <c r="LOU165" s="588"/>
      <c r="LOV165" s="589"/>
      <c r="LOW165" s="588"/>
      <c r="LOX165" s="589"/>
      <c r="LOY165" s="588"/>
      <c r="LOZ165" s="589"/>
      <c r="LPA165" s="588"/>
      <c r="LPB165" s="589"/>
      <c r="LPC165" s="588"/>
      <c r="LPD165" s="589"/>
      <c r="LPE165" s="429"/>
      <c r="LPF165" s="364"/>
      <c r="LPG165" s="365"/>
      <c r="LPH165" s="354"/>
      <c r="LPI165" s="465"/>
      <c r="LPJ165" s="565"/>
      <c r="LPK165" s="572"/>
      <c r="LPL165" s="572"/>
      <c r="LPM165" s="566"/>
      <c r="LPN165" s="587"/>
      <c r="LPO165" s="587"/>
      <c r="LPP165" s="587"/>
      <c r="LPQ165" s="587"/>
      <c r="LPR165" s="588"/>
      <c r="LPS165" s="589"/>
      <c r="LPT165" s="588"/>
      <c r="LPU165" s="589"/>
      <c r="LPV165" s="588"/>
      <c r="LPW165" s="589"/>
      <c r="LPX165" s="588"/>
      <c r="LPY165" s="589"/>
      <c r="LPZ165" s="588"/>
      <c r="LQA165" s="589"/>
      <c r="LQB165" s="429"/>
      <c r="LQC165" s="364"/>
      <c r="LQD165" s="365"/>
      <c r="LQE165" s="354"/>
      <c r="LQF165" s="465"/>
      <c r="LQG165" s="565"/>
      <c r="LQH165" s="572"/>
      <c r="LQI165" s="572"/>
      <c r="LQJ165" s="566"/>
      <c r="LQK165" s="587"/>
      <c r="LQL165" s="587"/>
      <c r="LQM165" s="587"/>
      <c r="LQN165" s="587"/>
      <c r="LQO165" s="588"/>
      <c r="LQP165" s="589"/>
      <c r="LQQ165" s="588"/>
      <c r="LQR165" s="589"/>
      <c r="LQS165" s="588"/>
      <c r="LQT165" s="589"/>
      <c r="LQU165" s="588"/>
      <c r="LQV165" s="589"/>
      <c r="LQW165" s="588"/>
      <c r="LQX165" s="589"/>
      <c r="LQY165" s="429"/>
      <c r="LQZ165" s="364"/>
      <c r="LRA165" s="365"/>
      <c r="LRB165" s="354"/>
      <c r="LRC165" s="465"/>
      <c r="LRD165" s="565"/>
      <c r="LRE165" s="572"/>
      <c r="LRF165" s="572"/>
      <c r="LRG165" s="566"/>
      <c r="LRH165" s="587"/>
      <c r="LRI165" s="587"/>
      <c r="LRJ165" s="587"/>
      <c r="LRK165" s="587"/>
      <c r="LRL165" s="588"/>
      <c r="LRM165" s="589"/>
      <c r="LRN165" s="588"/>
      <c r="LRO165" s="589"/>
      <c r="LRP165" s="588"/>
      <c r="LRQ165" s="589"/>
      <c r="LRR165" s="588"/>
      <c r="LRS165" s="589"/>
      <c r="LRT165" s="588"/>
      <c r="LRU165" s="589"/>
      <c r="LRV165" s="429"/>
      <c r="LRW165" s="364"/>
      <c r="LRX165" s="365"/>
      <c r="LRY165" s="354"/>
      <c r="LRZ165" s="465"/>
      <c r="LSA165" s="565"/>
      <c r="LSB165" s="572"/>
      <c r="LSC165" s="572"/>
      <c r="LSD165" s="566"/>
      <c r="LSE165" s="587"/>
      <c r="LSF165" s="587"/>
      <c r="LSG165" s="587"/>
      <c r="LSH165" s="587"/>
      <c r="LSI165" s="588"/>
      <c r="LSJ165" s="589"/>
      <c r="LSK165" s="588"/>
      <c r="LSL165" s="589"/>
      <c r="LSM165" s="588"/>
      <c r="LSN165" s="589"/>
      <c r="LSO165" s="588"/>
      <c r="LSP165" s="589"/>
      <c r="LSQ165" s="588"/>
      <c r="LSR165" s="589"/>
      <c r="LSS165" s="429"/>
      <c r="LST165" s="364"/>
      <c r="LSU165" s="365"/>
      <c r="LSV165" s="354"/>
      <c r="LSW165" s="465"/>
      <c r="LSX165" s="565"/>
      <c r="LSY165" s="572"/>
      <c r="LSZ165" s="572"/>
      <c r="LTA165" s="566"/>
      <c r="LTB165" s="587"/>
      <c r="LTC165" s="587"/>
      <c r="LTD165" s="587"/>
      <c r="LTE165" s="587"/>
      <c r="LTF165" s="588"/>
      <c r="LTG165" s="589"/>
      <c r="LTH165" s="588"/>
      <c r="LTI165" s="589"/>
      <c r="LTJ165" s="588"/>
      <c r="LTK165" s="589"/>
      <c r="LTL165" s="588"/>
      <c r="LTM165" s="589"/>
      <c r="LTN165" s="588"/>
      <c r="LTO165" s="589"/>
      <c r="LTP165" s="429"/>
      <c r="LTQ165" s="364"/>
      <c r="LTR165" s="365"/>
      <c r="LTS165" s="354"/>
      <c r="LTT165" s="465"/>
      <c r="LTU165" s="565"/>
      <c r="LTV165" s="572"/>
      <c r="LTW165" s="572"/>
      <c r="LTX165" s="566"/>
      <c r="LTY165" s="587"/>
      <c r="LTZ165" s="587"/>
      <c r="LUA165" s="587"/>
      <c r="LUB165" s="587"/>
      <c r="LUC165" s="588"/>
      <c r="LUD165" s="589"/>
      <c r="LUE165" s="588"/>
      <c r="LUF165" s="589"/>
      <c r="LUG165" s="588"/>
      <c r="LUH165" s="589"/>
      <c r="LUI165" s="588"/>
      <c r="LUJ165" s="589"/>
      <c r="LUK165" s="588"/>
      <c r="LUL165" s="589"/>
      <c r="LUM165" s="429"/>
      <c r="LUN165" s="364"/>
      <c r="LUO165" s="365"/>
      <c r="LUP165" s="354"/>
      <c r="LUQ165" s="465"/>
      <c r="LUR165" s="565"/>
      <c r="LUS165" s="572"/>
      <c r="LUT165" s="572"/>
      <c r="LUU165" s="566"/>
      <c r="LUV165" s="587"/>
      <c r="LUW165" s="587"/>
      <c r="LUX165" s="587"/>
      <c r="LUY165" s="587"/>
      <c r="LUZ165" s="588"/>
      <c r="LVA165" s="589"/>
      <c r="LVB165" s="588"/>
      <c r="LVC165" s="589"/>
      <c r="LVD165" s="588"/>
      <c r="LVE165" s="589"/>
      <c r="LVF165" s="588"/>
      <c r="LVG165" s="589"/>
      <c r="LVH165" s="588"/>
      <c r="LVI165" s="589"/>
      <c r="LVJ165" s="429"/>
      <c r="LVK165" s="364"/>
      <c r="LVL165" s="365"/>
      <c r="LVM165" s="354"/>
      <c r="LVN165" s="465"/>
      <c r="LVO165" s="565"/>
      <c r="LVP165" s="572"/>
      <c r="LVQ165" s="572"/>
      <c r="LVR165" s="566"/>
      <c r="LVS165" s="587"/>
      <c r="LVT165" s="587"/>
      <c r="LVU165" s="587"/>
      <c r="LVV165" s="587"/>
      <c r="LVW165" s="588"/>
      <c r="LVX165" s="589"/>
      <c r="LVY165" s="588"/>
      <c r="LVZ165" s="589"/>
      <c r="LWA165" s="588"/>
      <c r="LWB165" s="589"/>
      <c r="LWC165" s="588"/>
      <c r="LWD165" s="589"/>
      <c r="LWE165" s="588"/>
      <c r="LWF165" s="589"/>
      <c r="LWG165" s="429"/>
      <c r="LWH165" s="364"/>
      <c r="LWI165" s="365"/>
      <c r="LWJ165" s="354"/>
      <c r="LWK165" s="465"/>
      <c r="LWL165" s="565"/>
      <c r="LWM165" s="572"/>
      <c r="LWN165" s="572"/>
      <c r="LWO165" s="566"/>
      <c r="LWP165" s="587"/>
      <c r="LWQ165" s="587"/>
      <c r="LWR165" s="587"/>
      <c r="LWS165" s="587"/>
      <c r="LWT165" s="588"/>
      <c r="LWU165" s="589"/>
      <c r="LWV165" s="588"/>
      <c r="LWW165" s="589"/>
      <c r="LWX165" s="588"/>
      <c r="LWY165" s="589"/>
      <c r="LWZ165" s="588"/>
      <c r="LXA165" s="589"/>
      <c r="LXB165" s="588"/>
      <c r="LXC165" s="589"/>
      <c r="LXD165" s="429"/>
      <c r="LXE165" s="364"/>
      <c r="LXF165" s="365"/>
      <c r="LXG165" s="354"/>
      <c r="LXH165" s="465"/>
      <c r="LXI165" s="565"/>
      <c r="LXJ165" s="572"/>
      <c r="LXK165" s="572"/>
      <c r="LXL165" s="566"/>
      <c r="LXM165" s="587"/>
      <c r="LXN165" s="587"/>
      <c r="LXO165" s="587"/>
      <c r="LXP165" s="587"/>
      <c r="LXQ165" s="588"/>
      <c r="LXR165" s="589"/>
      <c r="LXS165" s="588"/>
      <c r="LXT165" s="589"/>
      <c r="LXU165" s="588"/>
      <c r="LXV165" s="589"/>
      <c r="LXW165" s="588"/>
      <c r="LXX165" s="589"/>
      <c r="LXY165" s="588"/>
      <c r="LXZ165" s="589"/>
      <c r="LYA165" s="429"/>
      <c r="LYB165" s="364"/>
      <c r="LYC165" s="365"/>
      <c r="LYD165" s="354"/>
      <c r="LYE165" s="465"/>
      <c r="LYF165" s="565"/>
      <c r="LYG165" s="572"/>
      <c r="LYH165" s="572"/>
      <c r="LYI165" s="566"/>
      <c r="LYJ165" s="587"/>
      <c r="LYK165" s="587"/>
      <c r="LYL165" s="587"/>
      <c r="LYM165" s="587"/>
      <c r="LYN165" s="588"/>
      <c r="LYO165" s="589"/>
      <c r="LYP165" s="588"/>
      <c r="LYQ165" s="589"/>
      <c r="LYR165" s="588"/>
      <c r="LYS165" s="589"/>
      <c r="LYT165" s="588"/>
      <c r="LYU165" s="589"/>
      <c r="LYV165" s="588"/>
      <c r="LYW165" s="589"/>
      <c r="LYX165" s="429"/>
      <c r="LYY165" s="364"/>
      <c r="LYZ165" s="365"/>
      <c r="LZA165" s="354"/>
      <c r="LZB165" s="465"/>
      <c r="LZC165" s="565"/>
      <c r="LZD165" s="572"/>
      <c r="LZE165" s="572"/>
      <c r="LZF165" s="566"/>
      <c r="LZG165" s="587"/>
      <c r="LZH165" s="587"/>
      <c r="LZI165" s="587"/>
      <c r="LZJ165" s="587"/>
      <c r="LZK165" s="588"/>
      <c r="LZL165" s="589"/>
      <c r="LZM165" s="588"/>
      <c r="LZN165" s="589"/>
      <c r="LZO165" s="588"/>
      <c r="LZP165" s="589"/>
      <c r="LZQ165" s="588"/>
      <c r="LZR165" s="589"/>
      <c r="LZS165" s="588"/>
      <c r="LZT165" s="589"/>
      <c r="LZU165" s="429"/>
      <c r="LZV165" s="364"/>
      <c r="LZW165" s="365"/>
      <c r="LZX165" s="354"/>
      <c r="LZY165" s="465"/>
      <c r="LZZ165" s="565"/>
      <c r="MAA165" s="572"/>
      <c r="MAB165" s="572"/>
      <c r="MAC165" s="566"/>
      <c r="MAD165" s="587"/>
      <c r="MAE165" s="587"/>
      <c r="MAF165" s="587"/>
      <c r="MAG165" s="587"/>
      <c r="MAH165" s="588"/>
      <c r="MAI165" s="589"/>
      <c r="MAJ165" s="588"/>
      <c r="MAK165" s="589"/>
      <c r="MAL165" s="588"/>
      <c r="MAM165" s="589"/>
      <c r="MAN165" s="588"/>
      <c r="MAO165" s="589"/>
      <c r="MAP165" s="588"/>
      <c r="MAQ165" s="589"/>
      <c r="MAR165" s="429"/>
      <c r="MAS165" s="364"/>
      <c r="MAT165" s="365"/>
      <c r="MAU165" s="354"/>
      <c r="MAV165" s="465"/>
      <c r="MAW165" s="565"/>
      <c r="MAX165" s="572"/>
      <c r="MAY165" s="572"/>
      <c r="MAZ165" s="566"/>
      <c r="MBA165" s="587"/>
      <c r="MBB165" s="587"/>
      <c r="MBC165" s="587"/>
      <c r="MBD165" s="587"/>
      <c r="MBE165" s="588"/>
      <c r="MBF165" s="589"/>
      <c r="MBG165" s="588"/>
      <c r="MBH165" s="589"/>
      <c r="MBI165" s="588"/>
      <c r="MBJ165" s="589"/>
      <c r="MBK165" s="588"/>
      <c r="MBL165" s="589"/>
      <c r="MBM165" s="588"/>
      <c r="MBN165" s="589"/>
      <c r="MBO165" s="429"/>
      <c r="MBP165" s="364"/>
      <c r="MBQ165" s="365"/>
      <c r="MBR165" s="354"/>
      <c r="MBS165" s="465"/>
      <c r="MBT165" s="565"/>
      <c r="MBU165" s="572"/>
      <c r="MBV165" s="572"/>
      <c r="MBW165" s="566"/>
      <c r="MBX165" s="587"/>
      <c r="MBY165" s="587"/>
      <c r="MBZ165" s="587"/>
      <c r="MCA165" s="587"/>
      <c r="MCB165" s="588"/>
      <c r="MCC165" s="589"/>
      <c r="MCD165" s="588"/>
      <c r="MCE165" s="589"/>
      <c r="MCF165" s="588"/>
      <c r="MCG165" s="589"/>
      <c r="MCH165" s="588"/>
      <c r="MCI165" s="589"/>
      <c r="MCJ165" s="588"/>
      <c r="MCK165" s="589"/>
      <c r="MCL165" s="429"/>
      <c r="MCM165" s="364"/>
      <c r="MCN165" s="365"/>
      <c r="MCO165" s="354"/>
      <c r="MCP165" s="465"/>
      <c r="MCQ165" s="565"/>
      <c r="MCR165" s="572"/>
      <c r="MCS165" s="572"/>
      <c r="MCT165" s="566"/>
      <c r="MCU165" s="587"/>
      <c r="MCV165" s="587"/>
      <c r="MCW165" s="587"/>
      <c r="MCX165" s="587"/>
      <c r="MCY165" s="588"/>
      <c r="MCZ165" s="589"/>
      <c r="MDA165" s="588"/>
      <c r="MDB165" s="589"/>
      <c r="MDC165" s="588"/>
      <c r="MDD165" s="589"/>
      <c r="MDE165" s="588"/>
      <c r="MDF165" s="589"/>
      <c r="MDG165" s="588"/>
      <c r="MDH165" s="589"/>
      <c r="MDI165" s="429"/>
      <c r="MDJ165" s="364"/>
      <c r="MDK165" s="365"/>
      <c r="MDL165" s="354"/>
      <c r="MDM165" s="465"/>
      <c r="MDN165" s="565"/>
      <c r="MDO165" s="572"/>
      <c r="MDP165" s="572"/>
      <c r="MDQ165" s="566"/>
      <c r="MDR165" s="587"/>
      <c r="MDS165" s="587"/>
      <c r="MDT165" s="587"/>
      <c r="MDU165" s="587"/>
      <c r="MDV165" s="588"/>
      <c r="MDW165" s="589"/>
      <c r="MDX165" s="588"/>
      <c r="MDY165" s="589"/>
      <c r="MDZ165" s="588"/>
      <c r="MEA165" s="589"/>
      <c r="MEB165" s="588"/>
      <c r="MEC165" s="589"/>
      <c r="MED165" s="588"/>
      <c r="MEE165" s="589"/>
      <c r="MEF165" s="429"/>
      <c r="MEG165" s="364"/>
      <c r="MEH165" s="365"/>
      <c r="MEI165" s="354"/>
      <c r="MEJ165" s="465"/>
      <c r="MEK165" s="565"/>
      <c r="MEL165" s="572"/>
      <c r="MEM165" s="572"/>
      <c r="MEN165" s="566"/>
      <c r="MEO165" s="587"/>
      <c r="MEP165" s="587"/>
      <c r="MEQ165" s="587"/>
      <c r="MER165" s="587"/>
      <c r="MES165" s="588"/>
      <c r="MET165" s="589"/>
      <c r="MEU165" s="588"/>
      <c r="MEV165" s="589"/>
      <c r="MEW165" s="588"/>
      <c r="MEX165" s="589"/>
      <c r="MEY165" s="588"/>
      <c r="MEZ165" s="589"/>
      <c r="MFA165" s="588"/>
      <c r="MFB165" s="589"/>
      <c r="MFC165" s="429"/>
      <c r="MFD165" s="364"/>
      <c r="MFE165" s="365"/>
      <c r="MFF165" s="354"/>
      <c r="MFG165" s="465"/>
      <c r="MFH165" s="565"/>
      <c r="MFI165" s="572"/>
      <c r="MFJ165" s="572"/>
      <c r="MFK165" s="566"/>
      <c r="MFL165" s="587"/>
      <c r="MFM165" s="587"/>
      <c r="MFN165" s="587"/>
      <c r="MFO165" s="587"/>
      <c r="MFP165" s="588"/>
      <c r="MFQ165" s="589"/>
      <c r="MFR165" s="588"/>
      <c r="MFS165" s="589"/>
      <c r="MFT165" s="588"/>
      <c r="MFU165" s="589"/>
      <c r="MFV165" s="588"/>
      <c r="MFW165" s="589"/>
      <c r="MFX165" s="588"/>
      <c r="MFY165" s="589"/>
      <c r="MFZ165" s="429"/>
      <c r="MGA165" s="364"/>
      <c r="MGB165" s="365"/>
      <c r="MGC165" s="354"/>
      <c r="MGD165" s="465"/>
      <c r="MGE165" s="565"/>
      <c r="MGF165" s="572"/>
      <c r="MGG165" s="572"/>
      <c r="MGH165" s="566"/>
      <c r="MGI165" s="587"/>
      <c r="MGJ165" s="587"/>
      <c r="MGK165" s="587"/>
      <c r="MGL165" s="587"/>
      <c r="MGM165" s="588"/>
      <c r="MGN165" s="589"/>
      <c r="MGO165" s="588"/>
      <c r="MGP165" s="589"/>
      <c r="MGQ165" s="588"/>
      <c r="MGR165" s="589"/>
      <c r="MGS165" s="588"/>
      <c r="MGT165" s="589"/>
      <c r="MGU165" s="588"/>
      <c r="MGV165" s="589"/>
      <c r="MGW165" s="429"/>
      <c r="MGX165" s="364"/>
      <c r="MGY165" s="365"/>
      <c r="MGZ165" s="354"/>
      <c r="MHA165" s="465"/>
      <c r="MHB165" s="565"/>
      <c r="MHC165" s="572"/>
      <c r="MHD165" s="572"/>
      <c r="MHE165" s="566"/>
      <c r="MHF165" s="587"/>
      <c r="MHG165" s="587"/>
      <c r="MHH165" s="587"/>
      <c r="MHI165" s="587"/>
      <c r="MHJ165" s="588"/>
      <c r="MHK165" s="589"/>
      <c r="MHL165" s="588"/>
      <c r="MHM165" s="589"/>
      <c r="MHN165" s="588"/>
      <c r="MHO165" s="589"/>
      <c r="MHP165" s="588"/>
      <c r="MHQ165" s="589"/>
      <c r="MHR165" s="588"/>
      <c r="MHS165" s="589"/>
      <c r="MHT165" s="429"/>
      <c r="MHU165" s="364"/>
      <c r="MHV165" s="365"/>
      <c r="MHW165" s="354"/>
      <c r="MHX165" s="465"/>
      <c r="MHY165" s="565"/>
      <c r="MHZ165" s="572"/>
      <c r="MIA165" s="572"/>
      <c r="MIB165" s="566"/>
      <c r="MIC165" s="587"/>
      <c r="MID165" s="587"/>
      <c r="MIE165" s="587"/>
      <c r="MIF165" s="587"/>
      <c r="MIG165" s="588"/>
      <c r="MIH165" s="589"/>
      <c r="MII165" s="588"/>
      <c r="MIJ165" s="589"/>
      <c r="MIK165" s="588"/>
      <c r="MIL165" s="589"/>
      <c r="MIM165" s="588"/>
      <c r="MIN165" s="589"/>
      <c r="MIO165" s="588"/>
      <c r="MIP165" s="589"/>
      <c r="MIQ165" s="429"/>
      <c r="MIR165" s="364"/>
      <c r="MIS165" s="365"/>
      <c r="MIT165" s="354"/>
      <c r="MIU165" s="465"/>
      <c r="MIV165" s="565"/>
      <c r="MIW165" s="572"/>
      <c r="MIX165" s="572"/>
      <c r="MIY165" s="566"/>
      <c r="MIZ165" s="587"/>
      <c r="MJA165" s="587"/>
      <c r="MJB165" s="587"/>
      <c r="MJC165" s="587"/>
      <c r="MJD165" s="588"/>
      <c r="MJE165" s="589"/>
      <c r="MJF165" s="588"/>
      <c r="MJG165" s="589"/>
      <c r="MJH165" s="588"/>
      <c r="MJI165" s="589"/>
      <c r="MJJ165" s="588"/>
      <c r="MJK165" s="589"/>
      <c r="MJL165" s="588"/>
      <c r="MJM165" s="589"/>
      <c r="MJN165" s="429"/>
      <c r="MJO165" s="364"/>
      <c r="MJP165" s="365"/>
      <c r="MJQ165" s="354"/>
      <c r="MJR165" s="465"/>
      <c r="MJS165" s="565"/>
      <c r="MJT165" s="572"/>
      <c r="MJU165" s="572"/>
      <c r="MJV165" s="566"/>
      <c r="MJW165" s="587"/>
      <c r="MJX165" s="587"/>
      <c r="MJY165" s="587"/>
      <c r="MJZ165" s="587"/>
      <c r="MKA165" s="588"/>
      <c r="MKB165" s="589"/>
      <c r="MKC165" s="588"/>
      <c r="MKD165" s="589"/>
      <c r="MKE165" s="588"/>
      <c r="MKF165" s="589"/>
      <c r="MKG165" s="588"/>
      <c r="MKH165" s="589"/>
      <c r="MKI165" s="588"/>
      <c r="MKJ165" s="589"/>
      <c r="MKK165" s="429"/>
      <c r="MKL165" s="364"/>
      <c r="MKM165" s="365"/>
      <c r="MKN165" s="354"/>
      <c r="MKO165" s="465"/>
      <c r="MKP165" s="565"/>
      <c r="MKQ165" s="572"/>
      <c r="MKR165" s="572"/>
      <c r="MKS165" s="566"/>
      <c r="MKT165" s="587"/>
      <c r="MKU165" s="587"/>
      <c r="MKV165" s="587"/>
      <c r="MKW165" s="587"/>
      <c r="MKX165" s="588"/>
      <c r="MKY165" s="589"/>
      <c r="MKZ165" s="588"/>
      <c r="MLA165" s="589"/>
      <c r="MLB165" s="588"/>
      <c r="MLC165" s="589"/>
      <c r="MLD165" s="588"/>
      <c r="MLE165" s="589"/>
      <c r="MLF165" s="588"/>
      <c r="MLG165" s="589"/>
      <c r="MLH165" s="429"/>
      <c r="MLI165" s="364"/>
      <c r="MLJ165" s="365"/>
      <c r="MLK165" s="354"/>
      <c r="MLL165" s="465"/>
      <c r="MLM165" s="565"/>
      <c r="MLN165" s="572"/>
      <c r="MLO165" s="572"/>
      <c r="MLP165" s="566"/>
      <c r="MLQ165" s="587"/>
      <c r="MLR165" s="587"/>
      <c r="MLS165" s="587"/>
      <c r="MLT165" s="587"/>
      <c r="MLU165" s="588"/>
      <c r="MLV165" s="589"/>
      <c r="MLW165" s="588"/>
      <c r="MLX165" s="589"/>
      <c r="MLY165" s="588"/>
      <c r="MLZ165" s="589"/>
      <c r="MMA165" s="588"/>
      <c r="MMB165" s="589"/>
      <c r="MMC165" s="588"/>
      <c r="MMD165" s="589"/>
      <c r="MME165" s="429"/>
      <c r="MMF165" s="364"/>
      <c r="MMG165" s="365"/>
      <c r="MMH165" s="354"/>
      <c r="MMI165" s="465"/>
      <c r="MMJ165" s="565"/>
      <c r="MMK165" s="572"/>
      <c r="MML165" s="572"/>
      <c r="MMM165" s="566"/>
      <c r="MMN165" s="587"/>
      <c r="MMO165" s="587"/>
      <c r="MMP165" s="587"/>
      <c r="MMQ165" s="587"/>
      <c r="MMR165" s="588"/>
      <c r="MMS165" s="589"/>
      <c r="MMT165" s="588"/>
      <c r="MMU165" s="589"/>
      <c r="MMV165" s="588"/>
      <c r="MMW165" s="589"/>
      <c r="MMX165" s="588"/>
      <c r="MMY165" s="589"/>
      <c r="MMZ165" s="588"/>
      <c r="MNA165" s="589"/>
      <c r="MNB165" s="429"/>
      <c r="MNC165" s="364"/>
      <c r="MND165" s="365"/>
      <c r="MNE165" s="354"/>
      <c r="MNF165" s="465"/>
      <c r="MNG165" s="565"/>
      <c r="MNH165" s="572"/>
      <c r="MNI165" s="572"/>
      <c r="MNJ165" s="566"/>
      <c r="MNK165" s="587"/>
      <c r="MNL165" s="587"/>
      <c r="MNM165" s="587"/>
      <c r="MNN165" s="587"/>
      <c r="MNO165" s="588"/>
      <c r="MNP165" s="589"/>
      <c r="MNQ165" s="588"/>
      <c r="MNR165" s="589"/>
      <c r="MNS165" s="588"/>
      <c r="MNT165" s="589"/>
      <c r="MNU165" s="588"/>
      <c r="MNV165" s="589"/>
      <c r="MNW165" s="588"/>
      <c r="MNX165" s="589"/>
      <c r="MNY165" s="429"/>
      <c r="MNZ165" s="364"/>
      <c r="MOA165" s="365"/>
      <c r="MOB165" s="354"/>
      <c r="MOC165" s="465"/>
      <c r="MOD165" s="565"/>
      <c r="MOE165" s="572"/>
      <c r="MOF165" s="572"/>
      <c r="MOG165" s="566"/>
      <c r="MOH165" s="587"/>
      <c r="MOI165" s="587"/>
      <c r="MOJ165" s="587"/>
      <c r="MOK165" s="587"/>
      <c r="MOL165" s="588"/>
      <c r="MOM165" s="589"/>
      <c r="MON165" s="588"/>
      <c r="MOO165" s="589"/>
      <c r="MOP165" s="588"/>
      <c r="MOQ165" s="589"/>
      <c r="MOR165" s="588"/>
      <c r="MOS165" s="589"/>
      <c r="MOT165" s="588"/>
      <c r="MOU165" s="589"/>
      <c r="MOV165" s="429"/>
      <c r="MOW165" s="364"/>
      <c r="MOX165" s="365"/>
      <c r="MOY165" s="354"/>
      <c r="MOZ165" s="465"/>
      <c r="MPA165" s="565"/>
      <c r="MPB165" s="572"/>
      <c r="MPC165" s="572"/>
      <c r="MPD165" s="566"/>
      <c r="MPE165" s="587"/>
      <c r="MPF165" s="587"/>
      <c r="MPG165" s="587"/>
      <c r="MPH165" s="587"/>
      <c r="MPI165" s="588"/>
      <c r="MPJ165" s="589"/>
      <c r="MPK165" s="588"/>
      <c r="MPL165" s="589"/>
      <c r="MPM165" s="588"/>
      <c r="MPN165" s="589"/>
      <c r="MPO165" s="588"/>
      <c r="MPP165" s="589"/>
      <c r="MPQ165" s="588"/>
      <c r="MPR165" s="589"/>
      <c r="MPS165" s="429"/>
      <c r="MPT165" s="364"/>
      <c r="MPU165" s="365"/>
      <c r="MPV165" s="354"/>
      <c r="MPW165" s="465"/>
      <c r="MPX165" s="565"/>
      <c r="MPY165" s="572"/>
      <c r="MPZ165" s="572"/>
      <c r="MQA165" s="566"/>
      <c r="MQB165" s="587"/>
      <c r="MQC165" s="587"/>
      <c r="MQD165" s="587"/>
      <c r="MQE165" s="587"/>
      <c r="MQF165" s="588"/>
      <c r="MQG165" s="589"/>
      <c r="MQH165" s="588"/>
      <c r="MQI165" s="589"/>
      <c r="MQJ165" s="588"/>
      <c r="MQK165" s="589"/>
      <c r="MQL165" s="588"/>
      <c r="MQM165" s="589"/>
      <c r="MQN165" s="588"/>
      <c r="MQO165" s="589"/>
      <c r="MQP165" s="429"/>
      <c r="MQQ165" s="364"/>
      <c r="MQR165" s="365"/>
      <c r="MQS165" s="354"/>
      <c r="MQT165" s="465"/>
      <c r="MQU165" s="565"/>
      <c r="MQV165" s="572"/>
      <c r="MQW165" s="572"/>
      <c r="MQX165" s="566"/>
      <c r="MQY165" s="587"/>
      <c r="MQZ165" s="587"/>
      <c r="MRA165" s="587"/>
      <c r="MRB165" s="587"/>
      <c r="MRC165" s="588"/>
      <c r="MRD165" s="589"/>
      <c r="MRE165" s="588"/>
      <c r="MRF165" s="589"/>
      <c r="MRG165" s="588"/>
      <c r="MRH165" s="589"/>
      <c r="MRI165" s="588"/>
      <c r="MRJ165" s="589"/>
      <c r="MRK165" s="588"/>
      <c r="MRL165" s="589"/>
      <c r="MRM165" s="429"/>
      <c r="MRN165" s="364"/>
      <c r="MRO165" s="365"/>
      <c r="MRP165" s="354"/>
      <c r="MRQ165" s="465"/>
      <c r="MRR165" s="565"/>
      <c r="MRS165" s="572"/>
      <c r="MRT165" s="572"/>
      <c r="MRU165" s="566"/>
      <c r="MRV165" s="587"/>
      <c r="MRW165" s="587"/>
      <c r="MRX165" s="587"/>
      <c r="MRY165" s="587"/>
      <c r="MRZ165" s="588"/>
      <c r="MSA165" s="589"/>
      <c r="MSB165" s="588"/>
      <c r="MSC165" s="589"/>
      <c r="MSD165" s="588"/>
      <c r="MSE165" s="589"/>
      <c r="MSF165" s="588"/>
      <c r="MSG165" s="589"/>
      <c r="MSH165" s="588"/>
      <c r="MSI165" s="589"/>
      <c r="MSJ165" s="429"/>
      <c r="MSK165" s="364"/>
      <c r="MSL165" s="365"/>
      <c r="MSM165" s="354"/>
      <c r="MSN165" s="465"/>
      <c r="MSO165" s="565"/>
      <c r="MSP165" s="572"/>
      <c r="MSQ165" s="572"/>
      <c r="MSR165" s="566"/>
      <c r="MSS165" s="587"/>
      <c r="MST165" s="587"/>
      <c r="MSU165" s="587"/>
      <c r="MSV165" s="587"/>
      <c r="MSW165" s="588"/>
      <c r="MSX165" s="589"/>
      <c r="MSY165" s="588"/>
      <c r="MSZ165" s="589"/>
      <c r="MTA165" s="588"/>
      <c r="MTB165" s="589"/>
      <c r="MTC165" s="588"/>
      <c r="MTD165" s="589"/>
      <c r="MTE165" s="588"/>
      <c r="MTF165" s="589"/>
      <c r="MTG165" s="429"/>
      <c r="MTH165" s="364"/>
      <c r="MTI165" s="365"/>
      <c r="MTJ165" s="354"/>
      <c r="MTK165" s="465"/>
      <c r="MTL165" s="565"/>
      <c r="MTM165" s="572"/>
      <c r="MTN165" s="572"/>
      <c r="MTO165" s="566"/>
      <c r="MTP165" s="587"/>
      <c r="MTQ165" s="587"/>
      <c r="MTR165" s="587"/>
      <c r="MTS165" s="587"/>
      <c r="MTT165" s="588"/>
      <c r="MTU165" s="589"/>
      <c r="MTV165" s="588"/>
      <c r="MTW165" s="589"/>
      <c r="MTX165" s="588"/>
      <c r="MTY165" s="589"/>
      <c r="MTZ165" s="588"/>
      <c r="MUA165" s="589"/>
      <c r="MUB165" s="588"/>
      <c r="MUC165" s="589"/>
      <c r="MUD165" s="429"/>
      <c r="MUE165" s="364"/>
      <c r="MUF165" s="365"/>
      <c r="MUG165" s="354"/>
      <c r="MUH165" s="465"/>
      <c r="MUI165" s="565"/>
      <c r="MUJ165" s="572"/>
      <c r="MUK165" s="572"/>
      <c r="MUL165" s="566"/>
      <c r="MUM165" s="587"/>
      <c r="MUN165" s="587"/>
      <c r="MUO165" s="587"/>
      <c r="MUP165" s="587"/>
      <c r="MUQ165" s="588"/>
      <c r="MUR165" s="589"/>
      <c r="MUS165" s="588"/>
      <c r="MUT165" s="589"/>
      <c r="MUU165" s="588"/>
      <c r="MUV165" s="589"/>
      <c r="MUW165" s="588"/>
      <c r="MUX165" s="589"/>
      <c r="MUY165" s="588"/>
      <c r="MUZ165" s="589"/>
      <c r="MVA165" s="429"/>
      <c r="MVB165" s="364"/>
      <c r="MVC165" s="365"/>
      <c r="MVD165" s="354"/>
      <c r="MVE165" s="465"/>
      <c r="MVF165" s="565"/>
      <c r="MVG165" s="572"/>
      <c r="MVH165" s="572"/>
      <c r="MVI165" s="566"/>
      <c r="MVJ165" s="587"/>
      <c r="MVK165" s="587"/>
      <c r="MVL165" s="587"/>
      <c r="MVM165" s="587"/>
      <c r="MVN165" s="588"/>
      <c r="MVO165" s="589"/>
      <c r="MVP165" s="588"/>
      <c r="MVQ165" s="589"/>
      <c r="MVR165" s="588"/>
      <c r="MVS165" s="589"/>
      <c r="MVT165" s="588"/>
      <c r="MVU165" s="589"/>
      <c r="MVV165" s="588"/>
      <c r="MVW165" s="589"/>
      <c r="MVX165" s="429"/>
      <c r="MVY165" s="364"/>
      <c r="MVZ165" s="365"/>
      <c r="MWA165" s="354"/>
      <c r="MWB165" s="465"/>
      <c r="MWC165" s="565"/>
      <c r="MWD165" s="572"/>
      <c r="MWE165" s="572"/>
      <c r="MWF165" s="566"/>
      <c r="MWG165" s="587"/>
      <c r="MWH165" s="587"/>
      <c r="MWI165" s="587"/>
      <c r="MWJ165" s="587"/>
      <c r="MWK165" s="588"/>
      <c r="MWL165" s="589"/>
      <c r="MWM165" s="588"/>
      <c r="MWN165" s="589"/>
      <c r="MWO165" s="588"/>
      <c r="MWP165" s="589"/>
      <c r="MWQ165" s="588"/>
      <c r="MWR165" s="589"/>
      <c r="MWS165" s="588"/>
      <c r="MWT165" s="589"/>
      <c r="MWU165" s="429"/>
      <c r="MWV165" s="364"/>
      <c r="MWW165" s="365"/>
      <c r="MWX165" s="354"/>
      <c r="MWY165" s="465"/>
      <c r="MWZ165" s="565"/>
      <c r="MXA165" s="572"/>
      <c r="MXB165" s="572"/>
      <c r="MXC165" s="566"/>
      <c r="MXD165" s="587"/>
      <c r="MXE165" s="587"/>
      <c r="MXF165" s="587"/>
      <c r="MXG165" s="587"/>
      <c r="MXH165" s="588"/>
      <c r="MXI165" s="589"/>
      <c r="MXJ165" s="588"/>
      <c r="MXK165" s="589"/>
      <c r="MXL165" s="588"/>
      <c r="MXM165" s="589"/>
      <c r="MXN165" s="588"/>
      <c r="MXO165" s="589"/>
      <c r="MXP165" s="588"/>
      <c r="MXQ165" s="589"/>
      <c r="MXR165" s="429"/>
      <c r="MXS165" s="364"/>
      <c r="MXT165" s="365"/>
      <c r="MXU165" s="354"/>
      <c r="MXV165" s="465"/>
      <c r="MXW165" s="565"/>
      <c r="MXX165" s="572"/>
      <c r="MXY165" s="572"/>
      <c r="MXZ165" s="566"/>
      <c r="MYA165" s="587"/>
      <c r="MYB165" s="587"/>
      <c r="MYC165" s="587"/>
      <c r="MYD165" s="587"/>
      <c r="MYE165" s="588"/>
      <c r="MYF165" s="589"/>
      <c r="MYG165" s="588"/>
      <c r="MYH165" s="589"/>
      <c r="MYI165" s="588"/>
      <c r="MYJ165" s="589"/>
      <c r="MYK165" s="588"/>
      <c r="MYL165" s="589"/>
      <c r="MYM165" s="588"/>
      <c r="MYN165" s="589"/>
      <c r="MYO165" s="429"/>
      <c r="MYP165" s="364"/>
      <c r="MYQ165" s="365"/>
      <c r="MYR165" s="354"/>
      <c r="MYS165" s="465"/>
      <c r="MYT165" s="565"/>
      <c r="MYU165" s="572"/>
      <c r="MYV165" s="572"/>
      <c r="MYW165" s="566"/>
      <c r="MYX165" s="587"/>
      <c r="MYY165" s="587"/>
      <c r="MYZ165" s="587"/>
      <c r="MZA165" s="587"/>
      <c r="MZB165" s="588"/>
      <c r="MZC165" s="589"/>
      <c r="MZD165" s="588"/>
      <c r="MZE165" s="589"/>
      <c r="MZF165" s="588"/>
      <c r="MZG165" s="589"/>
      <c r="MZH165" s="588"/>
      <c r="MZI165" s="589"/>
      <c r="MZJ165" s="588"/>
      <c r="MZK165" s="589"/>
      <c r="MZL165" s="429"/>
      <c r="MZM165" s="364"/>
      <c r="MZN165" s="365"/>
      <c r="MZO165" s="354"/>
      <c r="MZP165" s="465"/>
      <c r="MZQ165" s="565"/>
      <c r="MZR165" s="572"/>
      <c r="MZS165" s="572"/>
      <c r="MZT165" s="566"/>
      <c r="MZU165" s="587"/>
      <c r="MZV165" s="587"/>
      <c r="MZW165" s="587"/>
      <c r="MZX165" s="587"/>
      <c r="MZY165" s="588"/>
      <c r="MZZ165" s="589"/>
      <c r="NAA165" s="588"/>
      <c r="NAB165" s="589"/>
      <c r="NAC165" s="588"/>
      <c r="NAD165" s="589"/>
      <c r="NAE165" s="588"/>
      <c r="NAF165" s="589"/>
      <c r="NAG165" s="588"/>
      <c r="NAH165" s="589"/>
      <c r="NAI165" s="429"/>
      <c r="NAJ165" s="364"/>
      <c r="NAK165" s="365"/>
      <c r="NAL165" s="354"/>
      <c r="NAM165" s="465"/>
      <c r="NAN165" s="565"/>
      <c r="NAO165" s="572"/>
      <c r="NAP165" s="572"/>
      <c r="NAQ165" s="566"/>
      <c r="NAR165" s="587"/>
      <c r="NAS165" s="587"/>
      <c r="NAT165" s="587"/>
      <c r="NAU165" s="587"/>
      <c r="NAV165" s="588"/>
      <c r="NAW165" s="589"/>
      <c r="NAX165" s="588"/>
      <c r="NAY165" s="589"/>
      <c r="NAZ165" s="588"/>
      <c r="NBA165" s="589"/>
      <c r="NBB165" s="588"/>
      <c r="NBC165" s="589"/>
      <c r="NBD165" s="588"/>
      <c r="NBE165" s="589"/>
      <c r="NBF165" s="429"/>
      <c r="NBG165" s="364"/>
      <c r="NBH165" s="365"/>
      <c r="NBI165" s="354"/>
      <c r="NBJ165" s="465"/>
      <c r="NBK165" s="565"/>
      <c r="NBL165" s="572"/>
      <c r="NBM165" s="572"/>
      <c r="NBN165" s="566"/>
      <c r="NBO165" s="587"/>
      <c r="NBP165" s="587"/>
      <c r="NBQ165" s="587"/>
      <c r="NBR165" s="587"/>
      <c r="NBS165" s="588"/>
      <c r="NBT165" s="589"/>
      <c r="NBU165" s="588"/>
      <c r="NBV165" s="589"/>
      <c r="NBW165" s="588"/>
      <c r="NBX165" s="589"/>
      <c r="NBY165" s="588"/>
      <c r="NBZ165" s="589"/>
      <c r="NCA165" s="588"/>
      <c r="NCB165" s="589"/>
      <c r="NCC165" s="429"/>
      <c r="NCD165" s="364"/>
      <c r="NCE165" s="365"/>
      <c r="NCF165" s="354"/>
      <c r="NCG165" s="465"/>
      <c r="NCH165" s="565"/>
      <c r="NCI165" s="572"/>
      <c r="NCJ165" s="572"/>
      <c r="NCK165" s="566"/>
      <c r="NCL165" s="587"/>
      <c r="NCM165" s="587"/>
      <c r="NCN165" s="587"/>
      <c r="NCO165" s="587"/>
      <c r="NCP165" s="588"/>
      <c r="NCQ165" s="589"/>
      <c r="NCR165" s="588"/>
      <c r="NCS165" s="589"/>
      <c r="NCT165" s="588"/>
      <c r="NCU165" s="589"/>
      <c r="NCV165" s="588"/>
      <c r="NCW165" s="589"/>
      <c r="NCX165" s="588"/>
      <c r="NCY165" s="589"/>
      <c r="NCZ165" s="429"/>
      <c r="NDA165" s="364"/>
      <c r="NDB165" s="365"/>
      <c r="NDC165" s="354"/>
      <c r="NDD165" s="465"/>
      <c r="NDE165" s="565"/>
      <c r="NDF165" s="572"/>
      <c r="NDG165" s="572"/>
      <c r="NDH165" s="566"/>
      <c r="NDI165" s="587"/>
      <c r="NDJ165" s="587"/>
      <c r="NDK165" s="587"/>
      <c r="NDL165" s="587"/>
      <c r="NDM165" s="588"/>
      <c r="NDN165" s="589"/>
      <c r="NDO165" s="588"/>
      <c r="NDP165" s="589"/>
      <c r="NDQ165" s="588"/>
      <c r="NDR165" s="589"/>
      <c r="NDS165" s="588"/>
      <c r="NDT165" s="589"/>
      <c r="NDU165" s="588"/>
      <c r="NDV165" s="589"/>
      <c r="NDW165" s="429"/>
      <c r="NDX165" s="364"/>
      <c r="NDY165" s="365"/>
      <c r="NDZ165" s="354"/>
      <c r="NEA165" s="465"/>
      <c r="NEB165" s="565"/>
      <c r="NEC165" s="572"/>
      <c r="NED165" s="572"/>
      <c r="NEE165" s="566"/>
      <c r="NEF165" s="587"/>
      <c r="NEG165" s="587"/>
      <c r="NEH165" s="587"/>
      <c r="NEI165" s="587"/>
      <c r="NEJ165" s="588"/>
      <c r="NEK165" s="589"/>
      <c r="NEL165" s="588"/>
      <c r="NEM165" s="589"/>
      <c r="NEN165" s="588"/>
      <c r="NEO165" s="589"/>
      <c r="NEP165" s="588"/>
      <c r="NEQ165" s="589"/>
      <c r="NER165" s="588"/>
      <c r="NES165" s="589"/>
      <c r="NET165" s="429"/>
      <c r="NEU165" s="364"/>
      <c r="NEV165" s="365"/>
      <c r="NEW165" s="354"/>
      <c r="NEX165" s="465"/>
      <c r="NEY165" s="565"/>
      <c r="NEZ165" s="572"/>
      <c r="NFA165" s="572"/>
      <c r="NFB165" s="566"/>
      <c r="NFC165" s="587"/>
      <c r="NFD165" s="587"/>
      <c r="NFE165" s="587"/>
      <c r="NFF165" s="587"/>
      <c r="NFG165" s="588"/>
      <c r="NFH165" s="589"/>
      <c r="NFI165" s="588"/>
      <c r="NFJ165" s="589"/>
      <c r="NFK165" s="588"/>
      <c r="NFL165" s="589"/>
      <c r="NFM165" s="588"/>
      <c r="NFN165" s="589"/>
      <c r="NFO165" s="588"/>
      <c r="NFP165" s="589"/>
      <c r="NFQ165" s="429"/>
      <c r="NFR165" s="364"/>
      <c r="NFS165" s="365"/>
      <c r="NFT165" s="354"/>
      <c r="NFU165" s="465"/>
      <c r="NFV165" s="565"/>
      <c r="NFW165" s="572"/>
      <c r="NFX165" s="572"/>
      <c r="NFY165" s="566"/>
      <c r="NFZ165" s="587"/>
      <c r="NGA165" s="587"/>
      <c r="NGB165" s="587"/>
      <c r="NGC165" s="587"/>
      <c r="NGD165" s="588"/>
      <c r="NGE165" s="589"/>
      <c r="NGF165" s="588"/>
      <c r="NGG165" s="589"/>
      <c r="NGH165" s="588"/>
      <c r="NGI165" s="589"/>
      <c r="NGJ165" s="588"/>
      <c r="NGK165" s="589"/>
      <c r="NGL165" s="588"/>
      <c r="NGM165" s="589"/>
      <c r="NGN165" s="429"/>
      <c r="NGO165" s="364"/>
      <c r="NGP165" s="365"/>
      <c r="NGQ165" s="354"/>
      <c r="NGR165" s="465"/>
      <c r="NGS165" s="565"/>
      <c r="NGT165" s="572"/>
      <c r="NGU165" s="572"/>
      <c r="NGV165" s="566"/>
      <c r="NGW165" s="587"/>
      <c r="NGX165" s="587"/>
      <c r="NGY165" s="587"/>
      <c r="NGZ165" s="587"/>
      <c r="NHA165" s="588"/>
      <c r="NHB165" s="589"/>
      <c r="NHC165" s="588"/>
      <c r="NHD165" s="589"/>
      <c r="NHE165" s="588"/>
      <c r="NHF165" s="589"/>
      <c r="NHG165" s="588"/>
      <c r="NHH165" s="589"/>
      <c r="NHI165" s="588"/>
      <c r="NHJ165" s="589"/>
      <c r="NHK165" s="429"/>
      <c r="NHL165" s="364"/>
      <c r="NHM165" s="365"/>
      <c r="NHN165" s="354"/>
      <c r="NHO165" s="465"/>
      <c r="NHP165" s="565"/>
      <c r="NHQ165" s="572"/>
      <c r="NHR165" s="572"/>
      <c r="NHS165" s="566"/>
      <c r="NHT165" s="587"/>
      <c r="NHU165" s="587"/>
      <c r="NHV165" s="587"/>
      <c r="NHW165" s="587"/>
      <c r="NHX165" s="588"/>
      <c r="NHY165" s="589"/>
      <c r="NHZ165" s="588"/>
      <c r="NIA165" s="589"/>
      <c r="NIB165" s="588"/>
      <c r="NIC165" s="589"/>
      <c r="NID165" s="588"/>
      <c r="NIE165" s="589"/>
      <c r="NIF165" s="588"/>
      <c r="NIG165" s="589"/>
      <c r="NIH165" s="429"/>
      <c r="NII165" s="364"/>
      <c r="NIJ165" s="365"/>
      <c r="NIK165" s="354"/>
      <c r="NIL165" s="465"/>
      <c r="NIM165" s="565"/>
      <c r="NIN165" s="572"/>
      <c r="NIO165" s="572"/>
      <c r="NIP165" s="566"/>
      <c r="NIQ165" s="587"/>
      <c r="NIR165" s="587"/>
      <c r="NIS165" s="587"/>
      <c r="NIT165" s="587"/>
      <c r="NIU165" s="588"/>
      <c r="NIV165" s="589"/>
      <c r="NIW165" s="588"/>
      <c r="NIX165" s="589"/>
      <c r="NIY165" s="588"/>
      <c r="NIZ165" s="589"/>
      <c r="NJA165" s="588"/>
      <c r="NJB165" s="589"/>
      <c r="NJC165" s="588"/>
      <c r="NJD165" s="589"/>
      <c r="NJE165" s="429"/>
      <c r="NJF165" s="364"/>
      <c r="NJG165" s="365"/>
      <c r="NJH165" s="354"/>
      <c r="NJI165" s="465"/>
      <c r="NJJ165" s="565"/>
      <c r="NJK165" s="572"/>
      <c r="NJL165" s="572"/>
      <c r="NJM165" s="566"/>
      <c r="NJN165" s="587"/>
      <c r="NJO165" s="587"/>
      <c r="NJP165" s="587"/>
      <c r="NJQ165" s="587"/>
      <c r="NJR165" s="588"/>
      <c r="NJS165" s="589"/>
      <c r="NJT165" s="588"/>
      <c r="NJU165" s="589"/>
      <c r="NJV165" s="588"/>
      <c r="NJW165" s="589"/>
      <c r="NJX165" s="588"/>
      <c r="NJY165" s="589"/>
      <c r="NJZ165" s="588"/>
      <c r="NKA165" s="589"/>
      <c r="NKB165" s="429"/>
      <c r="NKC165" s="364"/>
      <c r="NKD165" s="365"/>
      <c r="NKE165" s="354"/>
      <c r="NKF165" s="465"/>
      <c r="NKG165" s="565"/>
      <c r="NKH165" s="572"/>
      <c r="NKI165" s="572"/>
      <c r="NKJ165" s="566"/>
      <c r="NKK165" s="587"/>
      <c r="NKL165" s="587"/>
      <c r="NKM165" s="587"/>
      <c r="NKN165" s="587"/>
      <c r="NKO165" s="588"/>
      <c r="NKP165" s="589"/>
      <c r="NKQ165" s="588"/>
      <c r="NKR165" s="589"/>
      <c r="NKS165" s="588"/>
      <c r="NKT165" s="589"/>
      <c r="NKU165" s="588"/>
      <c r="NKV165" s="589"/>
      <c r="NKW165" s="588"/>
      <c r="NKX165" s="589"/>
      <c r="NKY165" s="429"/>
      <c r="NKZ165" s="364"/>
      <c r="NLA165" s="365"/>
      <c r="NLB165" s="354"/>
      <c r="NLC165" s="465"/>
      <c r="NLD165" s="565"/>
      <c r="NLE165" s="572"/>
      <c r="NLF165" s="572"/>
      <c r="NLG165" s="566"/>
      <c r="NLH165" s="587"/>
      <c r="NLI165" s="587"/>
      <c r="NLJ165" s="587"/>
      <c r="NLK165" s="587"/>
      <c r="NLL165" s="588"/>
      <c r="NLM165" s="589"/>
      <c r="NLN165" s="588"/>
      <c r="NLO165" s="589"/>
      <c r="NLP165" s="588"/>
      <c r="NLQ165" s="589"/>
      <c r="NLR165" s="588"/>
      <c r="NLS165" s="589"/>
      <c r="NLT165" s="588"/>
      <c r="NLU165" s="589"/>
      <c r="NLV165" s="429"/>
      <c r="NLW165" s="364"/>
      <c r="NLX165" s="365"/>
      <c r="NLY165" s="354"/>
      <c r="NLZ165" s="465"/>
      <c r="NMA165" s="565"/>
      <c r="NMB165" s="572"/>
      <c r="NMC165" s="572"/>
      <c r="NMD165" s="566"/>
      <c r="NME165" s="587"/>
      <c r="NMF165" s="587"/>
      <c r="NMG165" s="587"/>
      <c r="NMH165" s="587"/>
      <c r="NMI165" s="588"/>
      <c r="NMJ165" s="589"/>
      <c r="NMK165" s="588"/>
      <c r="NML165" s="589"/>
      <c r="NMM165" s="588"/>
      <c r="NMN165" s="589"/>
      <c r="NMO165" s="588"/>
      <c r="NMP165" s="589"/>
      <c r="NMQ165" s="588"/>
      <c r="NMR165" s="589"/>
      <c r="NMS165" s="429"/>
      <c r="NMT165" s="364"/>
      <c r="NMU165" s="365"/>
      <c r="NMV165" s="354"/>
      <c r="NMW165" s="465"/>
      <c r="NMX165" s="565"/>
      <c r="NMY165" s="572"/>
      <c r="NMZ165" s="572"/>
      <c r="NNA165" s="566"/>
      <c r="NNB165" s="587"/>
      <c r="NNC165" s="587"/>
      <c r="NND165" s="587"/>
      <c r="NNE165" s="587"/>
      <c r="NNF165" s="588"/>
      <c r="NNG165" s="589"/>
      <c r="NNH165" s="588"/>
      <c r="NNI165" s="589"/>
      <c r="NNJ165" s="588"/>
      <c r="NNK165" s="589"/>
      <c r="NNL165" s="588"/>
      <c r="NNM165" s="589"/>
      <c r="NNN165" s="588"/>
      <c r="NNO165" s="589"/>
      <c r="NNP165" s="429"/>
      <c r="NNQ165" s="364"/>
      <c r="NNR165" s="365"/>
      <c r="NNS165" s="354"/>
      <c r="NNT165" s="465"/>
      <c r="NNU165" s="565"/>
      <c r="NNV165" s="572"/>
      <c r="NNW165" s="572"/>
      <c r="NNX165" s="566"/>
      <c r="NNY165" s="587"/>
      <c r="NNZ165" s="587"/>
      <c r="NOA165" s="587"/>
      <c r="NOB165" s="587"/>
      <c r="NOC165" s="588"/>
      <c r="NOD165" s="589"/>
      <c r="NOE165" s="588"/>
      <c r="NOF165" s="589"/>
      <c r="NOG165" s="588"/>
      <c r="NOH165" s="589"/>
      <c r="NOI165" s="588"/>
      <c r="NOJ165" s="589"/>
      <c r="NOK165" s="588"/>
      <c r="NOL165" s="589"/>
      <c r="NOM165" s="429"/>
      <c r="NON165" s="364"/>
      <c r="NOO165" s="365"/>
      <c r="NOP165" s="354"/>
      <c r="NOQ165" s="465"/>
      <c r="NOR165" s="565"/>
      <c r="NOS165" s="572"/>
      <c r="NOT165" s="572"/>
      <c r="NOU165" s="566"/>
      <c r="NOV165" s="587"/>
      <c r="NOW165" s="587"/>
      <c r="NOX165" s="587"/>
      <c r="NOY165" s="587"/>
      <c r="NOZ165" s="588"/>
      <c r="NPA165" s="589"/>
      <c r="NPB165" s="588"/>
      <c r="NPC165" s="589"/>
      <c r="NPD165" s="588"/>
      <c r="NPE165" s="589"/>
      <c r="NPF165" s="588"/>
      <c r="NPG165" s="589"/>
      <c r="NPH165" s="588"/>
      <c r="NPI165" s="589"/>
      <c r="NPJ165" s="429"/>
      <c r="NPK165" s="364"/>
      <c r="NPL165" s="365"/>
      <c r="NPM165" s="354"/>
      <c r="NPN165" s="465"/>
      <c r="NPO165" s="565"/>
      <c r="NPP165" s="572"/>
      <c r="NPQ165" s="572"/>
      <c r="NPR165" s="566"/>
      <c r="NPS165" s="587"/>
      <c r="NPT165" s="587"/>
      <c r="NPU165" s="587"/>
      <c r="NPV165" s="587"/>
      <c r="NPW165" s="588"/>
      <c r="NPX165" s="589"/>
      <c r="NPY165" s="588"/>
      <c r="NPZ165" s="589"/>
      <c r="NQA165" s="588"/>
      <c r="NQB165" s="589"/>
      <c r="NQC165" s="588"/>
      <c r="NQD165" s="589"/>
      <c r="NQE165" s="588"/>
      <c r="NQF165" s="589"/>
      <c r="NQG165" s="429"/>
      <c r="NQH165" s="364"/>
      <c r="NQI165" s="365"/>
      <c r="NQJ165" s="354"/>
      <c r="NQK165" s="465"/>
      <c r="NQL165" s="565"/>
      <c r="NQM165" s="572"/>
      <c r="NQN165" s="572"/>
      <c r="NQO165" s="566"/>
      <c r="NQP165" s="587"/>
      <c r="NQQ165" s="587"/>
      <c r="NQR165" s="587"/>
      <c r="NQS165" s="587"/>
      <c r="NQT165" s="588"/>
      <c r="NQU165" s="589"/>
      <c r="NQV165" s="588"/>
      <c r="NQW165" s="589"/>
      <c r="NQX165" s="588"/>
      <c r="NQY165" s="589"/>
      <c r="NQZ165" s="588"/>
      <c r="NRA165" s="589"/>
      <c r="NRB165" s="588"/>
      <c r="NRC165" s="589"/>
      <c r="NRD165" s="429"/>
      <c r="NRE165" s="364"/>
      <c r="NRF165" s="365"/>
      <c r="NRG165" s="354"/>
      <c r="NRH165" s="465"/>
      <c r="NRI165" s="565"/>
      <c r="NRJ165" s="572"/>
      <c r="NRK165" s="572"/>
      <c r="NRL165" s="566"/>
      <c r="NRM165" s="587"/>
      <c r="NRN165" s="587"/>
      <c r="NRO165" s="587"/>
      <c r="NRP165" s="587"/>
      <c r="NRQ165" s="588"/>
      <c r="NRR165" s="589"/>
      <c r="NRS165" s="588"/>
      <c r="NRT165" s="589"/>
      <c r="NRU165" s="588"/>
      <c r="NRV165" s="589"/>
      <c r="NRW165" s="588"/>
      <c r="NRX165" s="589"/>
      <c r="NRY165" s="588"/>
      <c r="NRZ165" s="589"/>
      <c r="NSA165" s="429"/>
      <c r="NSB165" s="364"/>
      <c r="NSC165" s="365"/>
      <c r="NSD165" s="354"/>
      <c r="NSE165" s="465"/>
      <c r="NSF165" s="565"/>
      <c r="NSG165" s="572"/>
      <c r="NSH165" s="572"/>
      <c r="NSI165" s="566"/>
      <c r="NSJ165" s="587"/>
      <c r="NSK165" s="587"/>
      <c r="NSL165" s="587"/>
      <c r="NSM165" s="587"/>
      <c r="NSN165" s="588"/>
      <c r="NSO165" s="589"/>
      <c r="NSP165" s="588"/>
      <c r="NSQ165" s="589"/>
      <c r="NSR165" s="588"/>
      <c r="NSS165" s="589"/>
      <c r="NST165" s="588"/>
      <c r="NSU165" s="589"/>
      <c r="NSV165" s="588"/>
      <c r="NSW165" s="589"/>
      <c r="NSX165" s="429"/>
      <c r="NSY165" s="364"/>
      <c r="NSZ165" s="365"/>
      <c r="NTA165" s="354"/>
      <c r="NTB165" s="465"/>
      <c r="NTC165" s="565"/>
      <c r="NTD165" s="572"/>
      <c r="NTE165" s="572"/>
      <c r="NTF165" s="566"/>
      <c r="NTG165" s="587"/>
      <c r="NTH165" s="587"/>
      <c r="NTI165" s="587"/>
      <c r="NTJ165" s="587"/>
      <c r="NTK165" s="588"/>
      <c r="NTL165" s="589"/>
      <c r="NTM165" s="588"/>
      <c r="NTN165" s="589"/>
      <c r="NTO165" s="588"/>
      <c r="NTP165" s="589"/>
      <c r="NTQ165" s="588"/>
      <c r="NTR165" s="589"/>
      <c r="NTS165" s="588"/>
      <c r="NTT165" s="589"/>
      <c r="NTU165" s="429"/>
      <c r="NTV165" s="364"/>
      <c r="NTW165" s="365"/>
      <c r="NTX165" s="354"/>
      <c r="NTY165" s="465"/>
      <c r="NTZ165" s="565"/>
      <c r="NUA165" s="572"/>
      <c r="NUB165" s="572"/>
      <c r="NUC165" s="566"/>
      <c r="NUD165" s="587"/>
      <c r="NUE165" s="587"/>
      <c r="NUF165" s="587"/>
      <c r="NUG165" s="587"/>
      <c r="NUH165" s="588"/>
      <c r="NUI165" s="589"/>
      <c r="NUJ165" s="588"/>
      <c r="NUK165" s="589"/>
      <c r="NUL165" s="588"/>
      <c r="NUM165" s="589"/>
      <c r="NUN165" s="588"/>
      <c r="NUO165" s="589"/>
      <c r="NUP165" s="588"/>
      <c r="NUQ165" s="589"/>
      <c r="NUR165" s="429"/>
      <c r="NUS165" s="364"/>
      <c r="NUT165" s="365"/>
      <c r="NUU165" s="354"/>
      <c r="NUV165" s="465"/>
      <c r="NUW165" s="565"/>
      <c r="NUX165" s="572"/>
      <c r="NUY165" s="572"/>
      <c r="NUZ165" s="566"/>
      <c r="NVA165" s="587"/>
      <c r="NVB165" s="587"/>
      <c r="NVC165" s="587"/>
      <c r="NVD165" s="587"/>
      <c r="NVE165" s="588"/>
      <c r="NVF165" s="589"/>
      <c r="NVG165" s="588"/>
      <c r="NVH165" s="589"/>
      <c r="NVI165" s="588"/>
      <c r="NVJ165" s="589"/>
      <c r="NVK165" s="588"/>
      <c r="NVL165" s="589"/>
      <c r="NVM165" s="588"/>
      <c r="NVN165" s="589"/>
      <c r="NVO165" s="429"/>
      <c r="NVP165" s="364"/>
      <c r="NVQ165" s="365"/>
      <c r="NVR165" s="354"/>
      <c r="NVS165" s="465"/>
      <c r="NVT165" s="565"/>
      <c r="NVU165" s="572"/>
      <c r="NVV165" s="572"/>
      <c r="NVW165" s="566"/>
      <c r="NVX165" s="587"/>
      <c r="NVY165" s="587"/>
      <c r="NVZ165" s="587"/>
      <c r="NWA165" s="587"/>
      <c r="NWB165" s="588"/>
      <c r="NWC165" s="589"/>
      <c r="NWD165" s="588"/>
      <c r="NWE165" s="589"/>
      <c r="NWF165" s="588"/>
      <c r="NWG165" s="589"/>
      <c r="NWH165" s="588"/>
      <c r="NWI165" s="589"/>
      <c r="NWJ165" s="588"/>
      <c r="NWK165" s="589"/>
      <c r="NWL165" s="429"/>
      <c r="NWM165" s="364"/>
      <c r="NWN165" s="365"/>
      <c r="NWO165" s="354"/>
      <c r="NWP165" s="465"/>
      <c r="NWQ165" s="565"/>
      <c r="NWR165" s="572"/>
      <c r="NWS165" s="572"/>
      <c r="NWT165" s="566"/>
      <c r="NWU165" s="587"/>
      <c r="NWV165" s="587"/>
      <c r="NWW165" s="587"/>
      <c r="NWX165" s="587"/>
      <c r="NWY165" s="588"/>
      <c r="NWZ165" s="589"/>
      <c r="NXA165" s="588"/>
      <c r="NXB165" s="589"/>
      <c r="NXC165" s="588"/>
      <c r="NXD165" s="589"/>
      <c r="NXE165" s="588"/>
      <c r="NXF165" s="589"/>
      <c r="NXG165" s="588"/>
      <c r="NXH165" s="589"/>
      <c r="NXI165" s="429"/>
      <c r="NXJ165" s="364"/>
      <c r="NXK165" s="365"/>
      <c r="NXL165" s="354"/>
      <c r="NXM165" s="465"/>
      <c r="NXN165" s="565"/>
      <c r="NXO165" s="572"/>
      <c r="NXP165" s="572"/>
      <c r="NXQ165" s="566"/>
      <c r="NXR165" s="587"/>
      <c r="NXS165" s="587"/>
      <c r="NXT165" s="587"/>
      <c r="NXU165" s="587"/>
      <c r="NXV165" s="588"/>
      <c r="NXW165" s="589"/>
      <c r="NXX165" s="588"/>
      <c r="NXY165" s="589"/>
      <c r="NXZ165" s="588"/>
      <c r="NYA165" s="589"/>
      <c r="NYB165" s="588"/>
      <c r="NYC165" s="589"/>
      <c r="NYD165" s="588"/>
      <c r="NYE165" s="589"/>
      <c r="NYF165" s="429"/>
      <c r="NYG165" s="364"/>
      <c r="NYH165" s="365"/>
      <c r="NYI165" s="354"/>
      <c r="NYJ165" s="465"/>
      <c r="NYK165" s="565"/>
      <c r="NYL165" s="572"/>
      <c r="NYM165" s="572"/>
      <c r="NYN165" s="566"/>
      <c r="NYO165" s="587"/>
      <c r="NYP165" s="587"/>
      <c r="NYQ165" s="587"/>
      <c r="NYR165" s="587"/>
      <c r="NYS165" s="588"/>
      <c r="NYT165" s="589"/>
      <c r="NYU165" s="588"/>
      <c r="NYV165" s="589"/>
      <c r="NYW165" s="588"/>
      <c r="NYX165" s="589"/>
      <c r="NYY165" s="588"/>
      <c r="NYZ165" s="589"/>
      <c r="NZA165" s="588"/>
      <c r="NZB165" s="589"/>
      <c r="NZC165" s="429"/>
      <c r="NZD165" s="364"/>
      <c r="NZE165" s="365"/>
      <c r="NZF165" s="354"/>
      <c r="NZG165" s="465"/>
      <c r="NZH165" s="565"/>
      <c r="NZI165" s="572"/>
      <c r="NZJ165" s="572"/>
      <c r="NZK165" s="566"/>
      <c r="NZL165" s="587"/>
      <c r="NZM165" s="587"/>
      <c r="NZN165" s="587"/>
      <c r="NZO165" s="587"/>
      <c r="NZP165" s="588"/>
      <c r="NZQ165" s="589"/>
      <c r="NZR165" s="588"/>
      <c r="NZS165" s="589"/>
      <c r="NZT165" s="588"/>
      <c r="NZU165" s="589"/>
      <c r="NZV165" s="588"/>
      <c r="NZW165" s="589"/>
      <c r="NZX165" s="588"/>
      <c r="NZY165" s="589"/>
      <c r="NZZ165" s="429"/>
      <c r="OAA165" s="364"/>
      <c r="OAB165" s="365"/>
      <c r="OAC165" s="354"/>
      <c r="OAD165" s="465"/>
      <c r="OAE165" s="565"/>
      <c r="OAF165" s="572"/>
      <c r="OAG165" s="572"/>
      <c r="OAH165" s="566"/>
      <c r="OAI165" s="587"/>
      <c r="OAJ165" s="587"/>
      <c r="OAK165" s="587"/>
      <c r="OAL165" s="587"/>
      <c r="OAM165" s="588"/>
      <c r="OAN165" s="589"/>
      <c r="OAO165" s="588"/>
      <c r="OAP165" s="589"/>
      <c r="OAQ165" s="588"/>
      <c r="OAR165" s="589"/>
      <c r="OAS165" s="588"/>
      <c r="OAT165" s="589"/>
      <c r="OAU165" s="588"/>
      <c r="OAV165" s="589"/>
      <c r="OAW165" s="429"/>
      <c r="OAX165" s="364"/>
      <c r="OAY165" s="365"/>
      <c r="OAZ165" s="354"/>
      <c r="OBA165" s="465"/>
      <c r="OBB165" s="565"/>
      <c r="OBC165" s="572"/>
      <c r="OBD165" s="572"/>
      <c r="OBE165" s="566"/>
      <c r="OBF165" s="587"/>
      <c r="OBG165" s="587"/>
      <c r="OBH165" s="587"/>
      <c r="OBI165" s="587"/>
      <c r="OBJ165" s="588"/>
      <c r="OBK165" s="589"/>
      <c r="OBL165" s="588"/>
      <c r="OBM165" s="589"/>
      <c r="OBN165" s="588"/>
      <c r="OBO165" s="589"/>
      <c r="OBP165" s="588"/>
      <c r="OBQ165" s="589"/>
      <c r="OBR165" s="588"/>
      <c r="OBS165" s="589"/>
      <c r="OBT165" s="429"/>
      <c r="OBU165" s="364"/>
      <c r="OBV165" s="365"/>
      <c r="OBW165" s="354"/>
      <c r="OBX165" s="465"/>
      <c r="OBY165" s="565"/>
      <c r="OBZ165" s="572"/>
      <c r="OCA165" s="572"/>
      <c r="OCB165" s="566"/>
      <c r="OCC165" s="587"/>
      <c r="OCD165" s="587"/>
      <c r="OCE165" s="587"/>
      <c r="OCF165" s="587"/>
      <c r="OCG165" s="588"/>
      <c r="OCH165" s="589"/>
      <c r="OCI165" s="588"/>
      <c r="OCJ165" s="589"/>
      <c r="OCK165" s="588"/>
      <c r="OCL165" s="589"/>
      <c r="OCM165" s="588"/>
      <c r="OCN165" s="589"/>
      <c r="OCO165" s="588"/>
      <c r="OCP165" s="589"/>
      <c r="OCQ165" s="429"/>
      <c r="OCR165" s="364"/>
      <c r="OCS165" s="365"/>
      <c r="OCT165" s="354"/>
      <c r="OCU165" s="465"/>
      <c r="OCV165" s="565"/>
      <c r="OCW165" s="572"/>
      <c r="OCX165" s="572"/>
      <c r="OCY165" s="566"/>
      <c r="OCZ165" s="587"/>
      <c r="ODA165" s="587"/>
      <c r="ODB165" s="587"/>
      <c r="ODC165" s="587"/>
      <c r="ODD165" s="588"/>
      <c r="ODE165" s="589"/>
      <c r="ODF165" s="588"/>
      <c r="ODG165" s="589"/>
      <c r="ODH165" s="588"/>
      <c r="ODI165" s="589"/>
      <c r="ODJ165" s="588"/>
      <c r="ODK165" s="589"/>
      <c r="ODL165" s="588"/>
      <c r="ODM165" s="589"/>
      <c r="ODN165" s="429"/>
      <c r="ODO165" s="364"/>
      <c r="ODP165" s="365"/>
      <c r="ODQ165" s="354"/>
      <c r="ODR165" s="465"/>
      <c r="ODS165" s="565"/>
      <c r="ODT165" s="572"/>
      <c r="ODU165" s="572"/>
      <c r="ODV165" s="566"/>
      <c r="ODW165" s="587"/>
      <c r="ODX165" s="587"/>
      <c r="ODY165" s="587"/>
      <c r="ODZ165" s="587"/>
      <c r="OEA165" s="588"/>
      <c r="OEB165" s="589"/>
      <c r="OEC165" s="588"/>
      <c r="OED165" s="589"/>
      <c r="OEE165" s="588"/>
      <c r="OEF165" s="589"/>
      <c r="OEG165" s="588"/>
      <c r="OEH165" s="589"/>
      <c r="OEI165" s="588"/>
      <c r="OEJ165" s="589"/>
      <c r="OEK165" s="429"/>
      <c r="OEL165" s="364"/>
      <c r="OEM165" s="365"/>
      <c r="OEN165" s="354"/>
      <c r="OEO165" s="465"/>
      <c r="OEP165" s="565"/>
      <c r="OEQ165" s="572"/>
      <c r="OER165" s="572"/>
      <c r="OES165" s="566"/>
      <c r="OET165" s="587"/>
      <c r="OEU165" s="587"/>
      <c r="OEV165" s="587"/>
      <c r="OEW165" s="587"/>
      <c r="OEX165" s="588"/>
      <c r="OEY165" s="589"/>
      <c r="OEZ165" s="588"/>
      <c r="OFA165" s="589"/>
      <c r="OFB165" s="588"/>
      <c r="OFC165" s="589"/>
      <c r="OFD165" s="588"/>
      <c r="OFE165" s="589"/>
      <c r="OFF165" s="588"/>
      <c r="OFG165" s="589"/>
      <c r="OFH165" s="429"/>
      <c r="OFI165" s="364"/>
      <c r="OFJ165" s="365"/>
      <c r="OFK165" s="354"/>
      <c r="OFL165" s="465"/>
      <c r="OFM165" s="565"/>
      <c r="OFN165" s="572"/>
      <c r="OFO165" s="572"/>
      <c r="OFP165" s="566"/>
      <c r="OFQ165" s="587"/>
      <c r="OFR165" s="587"/>
      <c r="OFS165" s="587"/>
      <c r="OFT165" s="587"/>
      <c r="OFU165" s="588"/>
      <c r="OFV165" s="589"/>
      <c r="OFW165" s="588"/>
      <c r="OFX165" s="589"/>
      <c r="OFY165" s="588"/>
      <c r="OFZ165" s="589"/>
      <c r="OGA165" s="588"/>
      <c r="OGB165" s="589"/>
      <c r="OGC165" s="588"/>
      <c r="OGD165" s="589"/>
      <c r="OGE165" s="429"/>
      <c r="OGF165" s="364"/>
      <c r="OGG165" s="365"/>
      <c r="OGH165" s="354"/>
      <c r="OGI165" s="465"/>
      <c r="OGJ165" s="565"/>
      <c r="OGK165" s="572"/>
      <c r="OGL165" s="572"/>
      <c r="OGM165" s="566"/>
      <c r="OGN165" s="587"/>
      <c r="OGO165" s="587"/>
      <c r="OGP165" s="587"/>
      <c r="OGQ165" s="587"/>
      <c r="OGR165" s="588"/>
      <c r="OGS165" s="589"/>
      <c r="OGT165" s="588"/>
      <c r="OGU165" s="589"/>
      <c r="OGV165" s="588"/>
      <c r="OGW165" s="589"/>
      <c r="OGX165" s="588"/>
      <c r="OGY165" s="589"/>
      <c r="OGZ165" s="588"/>
      <c r="OHA165" s="589"/>
      <c r="OHB165" s="429"/>
      <c r="OHC165" s="364"/>
      <c r="OHD165" s="365"/>
      <c r="OHE165" s="354"/>
      <c r="OHF165" s="465"/>
      <c r="OHG165" s="565"/>
      <c r="OHH165" s="572"/>
      <c r="OHI165" s="572"/>
      <c r="OHJ165" s="566"/>
      <c r="OHK165" s="587"/>
      <c r="OHL165" s="587"/>
      <c r="OHM165" s="587"/>
      <c r="OHN165" s="587"/>
      <c r="OHO165" s="588"/>
      <c r="OHP165" s="589"/>
      <c r="OHQ165" s="588"/>
      <c r="OHR165" s="589"/>
      <c r="OHS165" s="588"/>
      <c r="OHT165" s="589"/>
      <c r="OHU165" s="588"/>
      <c r="OHV165" s="589"/>
      <c r="OHW165" s="588"/>
      <c r="OHX165" s="589"/>
      <c r="OHY165" s="429"/>
      <c r="OHZ165" s="364"/>
      <c r="OIA165" s="365"/>
      <c r="OIB165" s="354"/>
      <c r="OIC165" s="465"/>
      <c r="OID165" s="565"/>
      <c r="OIE165" s="572"/>
      <c r="OIF165" s="572"/>
      <c r="OIG165" s="566"/>
      <c r="OIH165" s="587"/>
      <c r="OII165" s="587"/>
      <c r="OIJ165" s="587"/>
      <c r="OIK165" s="587"/>
      <c r="OIL165" s="588"/>
      <c r="OIM165" s="589"/>
      <c r="OIN165" s="588"/>
      <c r="OIO165" s="589"/>
      <c r="OIP165" s="588"/>
      <c r="OIQ165" s="589"/>
      <c r="OIR165" s="588"/>
      <c r="OIS165" s="589"/>
      <c r="OIT165" s="588"/>
      <c r="OIU165" s="589"/>
      <c r="OIV165" s="429"/>
      <c r="OIW165" s="364"/>
      <c r="OIX165" s="365"/>
      <c r="OIY165" s="354"/>
      <c r="OIZ165" s="465"/>
      <c r="OJA165" s="565"/>
      <c r="OJB165" s="572"/>
      <c r="OJC165" s="572"/>
      <c r="OJD165" s="566"/>
      <c r="OJE165" s="587"/>
      <c r="OJF165" s="587"/>
      <c r="OJG165" s="587"/>
      <c r="OJH165" s="587"/>
      <c r="OJI165" s="588"/>
      <c r="OJJ165" s="589"/>
      <c r="OJK165" s="588"/>
      <c r="OJL165" s="589"/>
      <c r="OJM165" s="588"/>
      <c r="OJN165" s="589"/>
      <c r="OJO165" s="588"/>
      <c r="OJP165" s="589"/>
      <c r="OJQ165" s="588"/>
      <c r="OJR165" s="589"/>
      <c r="OJS165" s="429"/>
      <c r="OJT165" s="364"/>
      <c r="OJU165" s="365"/>
      <c r="OJV165" s="354"/>
      <c r="OJW165" s="465"/>
      <c r="OJX165" s="565"/>
      <c r="OJY165" s="572"/>
      <c r="OJZ165" s="572"/>
      <c r="OKA165" s="566"/>
      <c r="OKB165" s="587"/>
      <c r="OKC165" s="587"/>
      <c r="OKD165" s="587"/>
      <c r="OKE165" s="587"/>
      <c r="OKF165" s="588"/>
      <c r="OKG165" s="589"/>
      <c r="OKH165" s="588"/>
      <c r="OKI165" s="589"/>
      <c r="OKJ165" s="588"/>
      <c r="OKK165" s="589"/>
      <c r="OKL165" s="588"/>
      <c r="OKM165" s="589"/>
      <c r="OKN165" s="588"/>
      <c r="OKO165" s="589"/>
      <c r="OKP165" s="429"/>
      <c r="OKQ165" s="364"/>
      <c r="OKR165" s="365"/>
      <c r="OKS165" s="354"/>
      <c r="OKT165" s="465"/>
      <c r="OKU165" s="565"/>
      <c r="OKV165" s="572"/>
      <c r="OKW165" s="572"/>
      <c r="OKX165" s="566"/>
      <c r="OKY165" s="587"/>
      <c r="OKZ165" s="587"/>
      <c r="OLA165" s="587"/>
      <c r="OLB165" s="587"/>
      <c r="OLC165" s="588"/>
      <c r="OLD165" s="589"/>
      <c r="OLE165" s="588"/>
      <c r="OLF165" s="589"/>
      <c r="OLG165" s="588"/>
      <c r="OLH165" s="589"/>
      <c r="OLI165" s="588"/>
      <c r="OLJ165" s="589"/>
      <c r="OLK165" s="588"/>
      <c r="OLL165" s="589"/>
      <c r="OLM165" s="429"/>
      <c r="OLN165" s="364"/>
      <c r="OLO165" s="365"/>
      <c r="OLP165" s="354"/>
      <c r="OLQ165" s="465"/>
      <c r="OLR165" s="565"/>
      <c r="OLS165" s="572"/>
      <c r="OLT165" s="572"/>
      <c r="OLU165" s="566"/>
      <c r="OLV165" s="587"/>
      <c r="OLW165" s="587"/>
      <c r="OLX165" s="587"/>
      <c r="OLY165" s="587"/>
      <c r="OLZ165" s="588"/>
      <c r="OMA165" s="589"/>
      <c r="OMB165" s="588"/>
      <c r="OMC165" s="589"/>
      <c r="OMD165" s="588"/>
      <c r="OME165" s="589"/>
      <c r="OMF165" s="588"/>
      <c r="OMG165" s="589"/>
      <c r="OMH165" s="588"/>
      <c r="OMI165" s="589"/>
      <c r="OMJ165" s="429"/>
      <c r="OMK165" s="364"/>
      <c r="OML165" s="365"/>
      <c r="OMM165" s="354"/>
      <c r="OMN165" s="465"/>
      <c r="OMO165" s="565"/>
      <c r="OMP165" s="572"/>
      <c r="OMQ165" s="572"/>
      <c r="OMR165" s="566"/>
      <c r="OMS165" s="587"/>
      <c r="OMT165" s="587"/>
      <c r="OMU165" s="587"/>
      <c r="OMV165" s="587"/>
      <c r="OMW165" s="588"/>
      <c r="OMX165" s="589"/>
      <c r="OMY165" s="588"/>
      <c r="OMZ165" s="589"/>
      <c r="ONA165" s="588"/>
      <c r="ONB165" s="589"/>
      <c r="ONC165" s="588"/>
      <c r="OND165" s="589"/>
      <c r="ONE165" s="588"/>
      <c r="ONF165" s="589"/>
      <c r="ONG165" s="429"/>
      <c r="ONH165" s="364"/>
      <c r="ONI165" s="365"/>
      <c r="ONJ165" s="354"/>
      <c r="ONK165" s="465"/>
      <c r="ONL165" s="565"/>
      <c r="ONM165" s="572"/>
      <c r="ONN165" s="572"/>
      <c r="ONO165" s="566"/>
      <c r="ONP165" s="587"/>
      <c r="ONQ165" s="587"/>
      <c r="ONR165" s="587"/>
      <c r="ONS165" s="587"/>
      <c r="ONT165" s="588"/>
      <c r="ONU165" s="589"/>
      <c r="ONV165" s="588"/>
      <c r="ONW165" s="589"/>
      <c r="ONX165" s="588"/>
      <c r="ONY165" s="589"/>
      <c r="ONZ165" s="588"/>
      <c r="OOA165" s="589"/>
      <c r="OOB165" s="588"/>
      <c r="OOC165" s="589"/>
      <c r="OOD165" s="429"/>
      <c r="OOE165" s="364"/>
      <c r="OOF165" s="365"/>
      <c r="OOG165" s="354"/>
      <c r="OOH165" s="465"/>
      <c r="OOI165" s="565"/>
      <c r="OOJ165" s="572"/>
      <c r="OOK165" s="572"/>
      <c r="OOL165" s="566"/>
      <c r="OOM165" s="587"/>
      <c r="OON165" s="587"/>
      <c r="OOO165" s="587"/>
      <c r="OOP165" s="587"/>
      <c r="OOQ165" s="588"/>
      <c r="OOR165" s="589"/>
      <c r="OOS165" s="588"/>
      <c r="OOT165" s="589"/>
      <c r="OOU165" s="588"/>
      <c r="OOV165" s="589"/>
      <c r="OOW165" s="588"/>
      <c r="OOX165" s="589"/>
      <c r="OOY165" s="588"/>
      <c r="OOZ165" s="589"/>
      <c r="OPA165" s="429"/>
      <c r="OPB165" s="364"/>
      <c r="OPC165" s="365"/>
      <c r="OPD165" s="354"/>
      <c r="OPE165" s="465"/>
      <c r="OPF165" s="565"/>
      <c r="OPG165" s="572"/>
      <c r="OPH165" s="572"/>
      <c r="OPI165" s="566"/>
      <c r="OPJ165" s="587"/>
      <c r="OPK165" s="587"/>
      <c r="OPL165" s="587"/>
      <c r="OPM165" s="587"/>
      <c r="OPN165" s="588"/>
      <c r="OPO165" s="589"/>
      <c r="OPP165" s="588"/>
      <c r="OPQ165" s="589"/>
      <c r="OPR165" s="588"/>
      <c r="OPS165" s="589"/>
      <c r="OPT165" s="588"/>
      <c r="OPU165" s="589"/>
      <c r="OPV165" s="588"/>
      <c r="OPW165" s="589"/>
      <c r="OPX165" s="429"/>
      <c r="OPY165" s="364"/>
      <c r="OPZ165" s="365"/>
      <c r="OQA165" s="354"/>
      <c r="OQB165" s="465"/>
      <c r="OQC165" s="565"/>
      <c r="OQD165" s="572"/>
      <c r="OQE165" s="572"/>
      <c r="OQF165" s="566"/>
      <c r="OQG165" s="587"/>
      <c r="OQH165" s="587"/>
      <c r="OQI165" s="587"/>
      <c r="OQJ165" s="587"/>
      <c r="OQK165" s="588"/>
      <c r="OQL165" s="589"/>
      <c r="OQM165" s="588"/>
      <c r="OQN165" s="589"/>
      <c r="OQO165" s="588"/>
      <c r="OQP165" s="589"/>
      <c r="OQQ165" s="588"/>
      <c r="OQR165" s="589"/>
      <c r="OQS165" s="588"/>
      <c r="OQT165" s="589"/>
      <c r="OQU165" s="429"/>
      <c r="OQV165" s="364"/>
      <c r="OQW165" s="365"/>
      <c r="OQX165" s="354"/>
      <c r="OQY165" s="465"/>
      <c r="OQZ165" s="565"/>
      <c r="ORA165" s="572"/>
      <c r="ORB165" s="572"/>
      <c r="ORC165" s="566"/>
      <c r="ORD165" s="587"/>
      <c r="ORE165" s="587"/>
      <c r="ORF165" s="587"/>
      <c r="ORG165" s="587"/>
      <c r="ORH165" s="588"/>
      <c r="ORI165" s="589"/>
      <c r="ORJ165" s="588"/>
      <c r="ORK165" s="589"/>
      <c r="ORL165" s="588"/>
      <c r="ORM165" s="589"/>
      <c r="ORN165" s="588"/>
      <c r="ORO165" s="589"/>
      <c r="ORP165" s="588"/>
      <c r="ORQ165" s="589"/>
      <c r="ORR165" s="429"/>
      <c r="ORS165" s="364"/>
      <c r="ORT165" s="365"/>
      <c r="ORU165" s="354"/>
      <c r="ORV165" s="465"/>
      <c r="ORW165" s="565"/>
      <c r="ORX165" s="572"/>
      <c r="ORY165" s="572"/>
      <c r="ORZ165" s="566"/>
      <c r="OSA165" s="587"/>
      <c r="OSB165" s="587"/>
      <c r="OSC165" s="587"/>
      <c r="OSD165" s="587"/>
      <c r="OSE165" s="588"/>
      <c r="OSF165" s="589"/>
      <c r="OSG165" s="588"/>
      <c r="OSH165" s="589"/>
      <c r="OSI165" s="588"/>
      <c r="OSJ165" s="589"/>
      <c r="OSK165" s="588"/>
      <c r="OSL165" s="589"/>
      <c r="OSM165" s="588"/>
      <c r="OSN165" s="589"/>
      <c r="OSO165" s="429"/>
      <c r="OSP165" s="364"/>
      <c r="OSQ165" s="365"/>
      <c r="OSR165" s="354"/>
      <c r="OSS165" s="465"/>
      <c r="OST165" s="565"/>
      <c r="OSU165" s="572"/>
      <c r="OSV165" s="572"/>
      <c r="OSW165" s="566"/>
      <c r="OSX165" s="587"/>
      <c r="OSY165" s="587"/>
      <c r="OSZ165" s="587"/>
      <c r="OTA165" s="587"/>
      <c r="OTB165" s="588"/>
      <c r="OTC165" s="589"/>
      <c r="OTD165" s="588"/>
      <c r="OTE165" s="589"/>
      <c r="OTF165" s="588"/>
      <c r="OTG165" s="589"/>
      <c r="OTH165" s="588"/>
      <c r="OTI165" s="589"/>
      <c r="OTJ165" s="588"/>
      <c r="OTK165" s="589"/>
      <c r="OTL165" s="429"/>
      <c r="OTM165" s="364"/>
      <c r="OTN165" s="365"/>
      <c r="OTO165" s="354"/>
      <c r="OTP165" s="465"/>
      <c r="OTQ165" s="565"/>
      <c r="OTR165" s="572"/>
      <c r="OTS165" s="572"/>
      <c r="OTT165" s="566"/>
      <c r="OTU165" s="587"/>
      <c r="OTV165" s="587"/>
      <c r="OTW165" s="587"/>
      <c r="OTX165" s="587"/>
      <c r="OTY165" s="588"/>
      <c r="OTZ165" s="589"/>
      <c r="OUA165" s="588"/>
      <c r="OUB165" s="589"/>
      <c r="OUC165" s="588"/>
      <c r="OUD165" s="589"/>
      <c r="OUE165" s="588"/>
      <c r="OUF165" s="589"/>
      <c r="OUG165" s="588"/>
      <c r="OUH165" s="589"/>
      <c r="OUI165" s="429"/>
      <c r="OUJ165" s="364"/>
      <c r="OUK165" s="365"/>
      <c r="OUL165" s="354"/>
      <c r="OUM165" s="465"/>
      <c r="OUN165" s="565"/>
      <c r="OUO165" s="572"/>
      <c r="OUP165" s="572"/>
      <c r="OUQ165" s="566"/>
      <c r="OUR165" s="587"/>
      <c r="OUS165" s="587"/>
      <c r="OUT165" s="587"/>
      <c r="OUU165" s="587"/>
      <c r="OUV165" s="588"/>
      <c r="OUW165" s="589"/>
      <c r="OUX165" s="588"/>
      <c r="OUY165" s="589"/>
      <c r="OUZ165" s="588"/>
      <c r="OVA165" s="589"/>
      <c r="OVB165" s="588"/>
      <c r="OVC165" s="589"/>
      <c r="OVD165" s="588"/>
      <c r="OVE165" s="589"/>
      <c r="OVF165" s="429"/>
      <c r="OVG165" s="364"/>
      <c r="OVH165" s="365"/>
      <c r="OVI165" s="354"/>
      <c r="OVJ165" s="465"/>
      <c r="OVK165" s="565"/>
      <c r="OVL165" s="572"/>
      <c r="OVM165" s="572"/>
      <c r="OVN165" s="566"/>
      <c r="OVO165" s="587"/>
      <c r="OVP165" s="587"/>
      <c r="OVQ165" s="587"/>
      <c r="OVR165" s="587"/>
      <c r="OVS165" s="588"/>
      <c r="OVT165" s="589"/>
      <c r="OVU165" s="588"/>
      <c r="OVV165" s="589"/>
      <c r="OVW165" s="588"/>
      <c r="OVX165" s="589"/>
      <c r="OVY165" s="588"/>
      <c r="OVZ165" s="589"/>
      <c r="OWA165" s="588"/>
      <c r="OWB165" s="589"/>
      <c r="OWC165" s="429"/>
      <c r="OWD165" s="364"/>
      <c r="OWE165" s="365"/>
      <c r="OWF165" s="354"/>
      <c r="OWG165" s="465"/>
      <c r="OWH165" s="565"/>
      <c r="OWI165" s="572"/>
      <c r="OWJ165" s="572"/>
      <c r="OWK165" s="566"/>
      <c r="OWL165" s="587"/>
      <c r="OWM165" s="587"/>
      <c r="OWN165" s="587"/>
      <c r="OWO165" s="587"/>
      <c r="OWP165" s="588"/>
      <c r="OWQ165" s="589"/>
      <c r="OWR165" s="588"/>
      <c r="OWS165" s="589"/>
      <c r="OWT165" s="588"/>
      <c r="OWU165" s="589"/>
      <c r="OWV165" s="588"/>
      <c r="OWW165" s="589"/>
      <c r="OWX165" s="588"/>
      <c r="OWY165" s="589"/>
      <c r="OWZ165" s="429"/>
      <c r="OXA165" s="364"/>
      <c r="OXB165" s="365"/>
      <c r="OXC165" s="354"/>
      <c r="OXD165" s="465"/>
      <c r="OXE165" s="565"/>
      <c r="OXF165" s="572"/>
      <c r="OXG165" s="572"/>
      <c r="OXH165" s="566"/>
      <c r="OXI165" s="587"/>
      <c r="OXJ165" s="587"/>
      <c r="OXK165" s="587"/>
      <c r="OXL165" s="587"/>
      <c r="OXM165" s="588"/>
      <c r="OXN165" s="589"/>
      <c r="OXO165" s="588"/>
      <c r="OXP165" s="589"/>
      <c r="OXQ165" s="588"/>
      <c r="OXR165" s="589"/>
      <c r="OXS165" s="588"/>
      <c r="OXT165" s="589"/>
      <c r="OXU165" s="588"/>
      <c r="OXV165" s="589"/>
      <c r="OXW165" s="429"/>
      <c r="OXX165" s="364"/>
      <c r="OXY165" s="365"/>
      <c r="OXZ165" s="354"/>
      <c r="OYA165" s="465"/>
      <c r="OYB165" s="565"/>
      <c r="OYC165" s="572"/>
      <c r="OYD165" s="572"/>
      <c r="OYE165" s="566"/>
      <c r="OYF165" s="587"/>
      <c r="OYG165" s="587"/>
      <c r="OYH165" s="587"/>
      <c r="OYI165" s="587"/>
      <c r="OYJ165" s="588"/>
      <c r="OYK165" s="589"/>
      <c r="OYL165" s="588"/>
      <c r="OYM165" s="589"/>
      <c r="OYN165" s="588"/>
      <c r="OYO165" s="589"/>
      <c r="OYP165" s="588"/>
      <c r="OYQ165" s="589"/>
      <c r="OYR165" s="588"/>
      <c r="OYS165" s="589"/>
      <c r="OYT165" s="429"/>
      <c r="OYU165" s="364"/>
      <c r="OYV165" s="365"/>
      <c r="OYW165" s="354"/>
      <c r="OYX165" s="465"/>
      <c r="OYY165" s="565"/>
      <c r="OYZ165" s="572"/>
      <c r="OZA165" s="572"/>
      <c r="OZB165" s="566"/>
      <c r="OZC165" s="587"/>
      <c r="OZD165" s="587"/>
      <c r="OZE165" s="587"/>
      <c r="OZF165" s="587"/>
      <c r="OZG165" s="588"/>
      <c r="OZH165" s="589"/>
      <c r="OZI165" s="588"/>
      <c r="OZJ165" s="589"/>
      <c r="OZK165" s="588"/>
      <c r="OZL165" s="589"/>
      <c r="OZM165" s="588"/>
      <c r="OZN165" s="589"/>
      <c r="OZO165" s="588"/>
      <c r="OZP165" s="589"/>
      <c r="OZQ165" s="429"/>
      <c r="OZR165" s="364"/>
      <c r="OZS165" s="365"/>
      <c r="OZT165" s="354"/>
      <c r="OZU165" s="465"/>
      <c r="OZV165" s="565"/>
      <c r="OZW165" s="572"/>
      <c r="OZX165" s="572"/>
      <c r="OZY165" s="566"/>
      <c r="OZZ165" s="587"/>
      <c r="PAA165" s="587"/>
      <c r="PAB165" s="587"/>
      <c r="PAC165" s="587"/>
      <c r="PAD165" s="588"/>
      <c r="PAE165" s="589"/>
      <c r="PAF165" s="588"/>
      <c r="PAG165" s="589"/>
      <c r="PAH165" s="588"/>
      <c r="PAI165" s="589"/>
      <c r="PAJ165" s="588"/>
      <c r="PAK165" s="589"/>
      <c r="PAL165" s="588"/>
      <c r="PAM165" s="589"/>
      <c r="PAN165" s="429"/>
      <c r="PAO165" s="364"/>
      <c r="PAP165" s="365"/>
      <c r="PAQ165" s="354"/>
      <c r="PAR165" s="465"/>
      <c r="PAS165" s="565"/>
      <c r="PAT165" s="572"/>
      <c r="PAU165" s="572"/>
      <c r="PAV165" s="566"/>
      <c r="PAW165" s="587"/>
      <c r="PAX165" s="587"/>
      <c r="PAY165" s="587"/>
      <c r="PAZ165" s="587"/>
      <c r="PBA165" s="588"/>
      <c r="PBB165" s="589"/>
      <c r="PBC165" s="588"/>
      <c r="PBD165" s="589"/>
      <c r="PBE165" s="588"/>
      <c r="PBF165" s="589"/>
      <c r="PBG165" s="588"/>
      <c r="PBH165" s="589"/>
      <c r="PBI165" s="588"/>
      <c r="PBJ165" s="589"/>
      <c r="PBK165" s="429"/>
      <c r="PBL165" s="364"/>
      <c r="PBM165" s="365"/>
      <c r="PBN165" s="354"/>
      <c r="PBO165" s="465"/>
      <c r="PBP165" s="565"/>
      <c r="PBQ165" s="572"/>
      <c r="PBR165" s="572"/>
      <c r="PBS165" s="566"/>
      <c r="PBT165" s="587"/>
      <c r="PBU165" s="587"/>
      <c r="PBV165" s="587"/>
      <c r="PBW165" s="587"/>
      <c r="PBX165" s="588"/>
      <c r="PBY165" s="589"/>
      <c r="PBZ165" s="588"/>
      <c r="PCA165" s="589"/>
      <c r="PCB165" s="588"/>
      <c r="PCC165" s="589"/>
      <c r="PCD165" s="588"/>
      <c r="PCE165" s="589"/>
      <c r="PCF165" s="588"/>
      <c r="PCG165" s="589"/>
      <c r="PCH165" s="429"/>
      <c r="PCI165" s="364"/>
      <c r="PCJ165" s="365"/>
      <c r="PCK165" s="354"/>
      <c r="PCL165" s="465"/>
      <c r="PCM165" s="565"/>
      <c r="PCN165" s="572"/>
      <c r="PCO165" s="572"/>
      <c r="PCP165" s="566"/>
      <c r="PCQ165" s="587"/>
      <c r="PCR165" s="587"/>
      <c r="PCS165" s="587"/>
      <c r="PCT165" s="587"/>
      <c r="PCU165" s="588"/>
      <c r="PCV165" s="589"/>
      <c r="PCW165" s="588"/>
      <c r="PCX165" s="589"/>
      <c r="PCY165" s="588"/>
      <c r="PCZ165" s="589"/>
      <c r="PDA165" s="588"/>
      <c r="PDB165" s="589"/>
      <c r="PDC165" s="588"/>
      <c r="PDD165" s="589"/>
      <c r="PDE165" s="429"/>
      <c r="PDF165" s="364"/>
      <c r="PDG165" s="365"/>
      <c r="PDH165" s="354"/>
      <c r="PDI165" s="465"/>
      <c r="PDJ165" s="565"/>
      <c r="PDK165" s="572"/>
      <c r="PDL165" s="572"/>
      <c r="PDM165" s="566"/>
      <c r="PDN165" s="587"/>
      <c r="PDO165" s="587"/>
      <c r="PDP165" s="587"/>
      <c r="PDQ165" s="587"/>
      <c r="PDR165" s="588"/>
      <c r="PDS165" s="589"/>
      <c r="PDT165" s="588"/>
      <c r="PDU165" s="589"/>
      <c r="PDV165" s="588"/>
      <c r="PDW165" s="589"/>
      <c r="PDX165" s="588"/>
      <c r="PDY165" s="589"/>
      <c r="PDZ165" s="588"/>
      <c r="PEA165" s="589"/>
      <c r="PEB165" s="429"/>
      <c r="PEC165" s="364"/>
      <c r="PED165" s="365"/>
      <c r="PEE165" s="354"/>
      <c r="PEF165" s="465"/>
      <c r="PEG165" s="565"/>
      <c r="PEH165" s="572"/>
      <c r="PEI165" s="572"/>
      <c r="PEJ165" s="566"/>
      <c r="PEK165" s="587"/>
      <c r="PEL165" s="587"/>
      <c r="PEM165" s="587"/>
      <c r="PEN165" s="587"/>
      <c r="PEO165" s="588"/>
      <c r="PEP165" s="589"/>
      <c r="PEQ165" s="588"/>
      <c r="PER165" s="589"/>
      <c r="PES165" s="588"/>
      <c r="PET165" s="589"/>
      <c r="PEU165" s="588"/>
      <c r="PEV165" s="589"/>
      <c r="PEW165" s="588"/>
      <c r="PEX165" s="589"/>
      <c r="PEY165" s="429"/>
      <c r="PEZ165" s="364"/>
      <c r="PFA165" s="365"/>
      <c r="PFB165" s="354"/>
      <c r="PFC165" s="465"/>
      <c r="PFD165" s="565"/>
      <c r="PFE165" s="572"/>
      <c r="PFF165" s="572"/>
      <c r="PFG165" s="566"/>
      <c r="PFH165" s="587"/>
      <c r="PFI165" s="587"/>
      <c r="PFJ165" s="587"/>
      <c r="PFK165" s="587"/>
      <c r="PFL165" s="588"/>
      <c r="PFM165" s="589"/>
      <c r="PFN165" s="588"/>
      <c r="PFO165" s="589"/>
      <c r="PFP165" s="588"/>
      <c r="PFQ165" s="589"/>
      <c r="PFR165" s="588"/>
      <c r="PFS165" s="589"/>
      <c r="PFT165" s="588"/>
      <c r="PFU165" s="589"/>
      <c r="PFV165" s="429"/>
      <c r="PFW165" s="364"/>
      <c r="PFX165" s="365"/>
      <c r="PFY165" s="354"/>
      <c r="PFZ165" s="465"/>
      <c r="PGA165" s="565"/>
      <c r="PGB165" s="572"/>
      <c r="PGC165" s="572"/>
      <c r="PGD165" s="566"/>
      <c r="PGE165" s="587"/>
      <c r="PGF165" s="587"/>
      <c r="PGG165" s="587"/>
      <c r="PGH165" s="587"/>
      <c r="PGI165" s="588"/>
      <c r="PGJ165" s="589"/>
      <c r="PGK165" s="588"/>
      <c r="PGL165" s="589"/>
      <c r="PGM165" s="588"/>
      <c r="PGN165" s="589"/>
      <c r="PGO165" s="588"/>
      <c r="PGP165" s="589"/>
      <c r="PGQ165" s="588"/>
      <c r="PGR165" s="589"/>
      <c r="PGS165" s="429"/>
      <c r="PGT165" s="364"/>
      <c r="PGU165" s="365"/>
      <c r="PGV165" s="354"/>
      <c r="PGW165" s="465"/>
      <c r="PGX165" s="565"/>
      <c r="PGY165" s="572"/>
      <c r="PGZ165" s="572"/>
      <c r="PHA165" s="566"/>
      <c r="PHB165" s="587"/>
      <c r="PHC165" s="587"/>
      <c r="PHD165" s="587"/>
      <c r="PHE165" s="587"/>
      <c r="PHF165" s="588"/>
      <c r="PHG165" s="589"/>
      <c r="PHH165" s="588"/>
      <c r="PHI165" s="589"/>
      <c r="PHJ165" s="588"/>
      <c r="PHK165" s="589"/>
      <c r="PHL165" s="588"/>
      <c r="PHM165" s="589"/>
      <c r="PHN165" s="588"/>
      <c r="PHO165" s="589"/>
      <c r="PHP165" s="429"/>
      <c r="PHQ165" s="364"/>
      <c r="PHR165" s="365"/>
      <c r="PHS165" s="354"/>
      <c r="PHT165" s="465"/>
      <c r="PHU165" s="565"/>
      <c r="PHV165" s="572"/>
      <c r="PHW165" s="572"/>
      <c r="PHX165" s="566"/>
      <c r="PHY165" s="587"/>
      <c r="PHZ165" s="587"/>
      <c r="PIA165" s="587"/>
      <c r="PIB165" s="587"/>
      <c r="PIC165" s="588"/>
      <c r="PID165" s="589"/>
      <c r="PIE165" s="588"/>
      <c r="PIF165" s="589"/>
      <c r="PIG165" s="588"/>
      <c r="PIH165" s="589"/>
      <c r="PII165" s="588"/>
      <c r="PIJ165" s="589"/>
      <c r="PIK165" s="588"/>
      <c r="PIL165" s="589"/>
      <c r="PIM165" s="429"/>
      <c r="PIN165" s="364"/>
      <c r="PIO165" s="365"/>
      <c r="PIP165" s="354"/>
      <c r="PIQ165" s="465"/>
      <c r="PIR165" s="565"/>
      <c r="PIS165" s="572"/>
      <c r="PIT165" s="572"/>
      <c r="PIU165" s="566"/>
      <c r="PIV165" s="587"/>
      <c r="PIW165" s="587"/>
      <c r="PIX165" s="587"/>
      <c r="PIY165" s="587"/>
      <c r="PIZ165" s="588"/>
      <c r="PJA165" s="589"/>
      <c r="PJB165" s="588"/>
      <c r="PJC165" s="589"/>
      <c r="PJD165" s="588"/>
      <c r="PJE165" s="589"/>
      <c r="PJF165" s="588"/>
      <c r="PJG165" s="589"/>
      <c r="PJH165" s="588"/>
      <c r="PJI165" s="589"/>
      <c r="PJJ165" s="429"/>
      <c r="PJK165" s="364"/>
      <c r="PJL165" s="365"/>
      <c r="PJM165" s="354"/>
      <c r="PJN165" s="465"/>
      <c r="PJO165" s="565"/>
      <c r="PJP165" s="572"/>
      <c r="PJQ165" s="572"/>
      <c r="PJR165" s="566"/>
      <c r="PJS165" s="587"/>
      <c r="PJT165" s="587"/>
      <c r="PJU165" s="587"/>
      <c r="PJV165" s="587"/>
      <c r="PJW165" s="588"/>
      <c r="PJX165" s="589"/>
      <c r="PJY165" s="588"/>
      <c r="PJZ165" s="589"/>
      <c r="PKA165" s="588"/>
      <c r="PKB165" s="589"/>
      <c r="PKC165" s="588"/>
      <c r="PKD165" s="589"/>
      <c r="PKE165" s="588"/>
      <c r="PKF165" s="589"/>
      <c r="PKG165" s="429"/>
      <c r="PKH165" s="364"/>
      <c r="PKI165" s="365"/>
      <c r="PKJ165" s="354"/>
      <c r="PKK165" s="465"/>
      <c r="PKL165" s="565"/>
      <c r="PKM165" s="572"/>
      <c r="PKN165" s="572"/>
      <c r="PKO165" s="566"/>
      <c r="PKP165" s="587"/>
      <c r="PKQ165" s="587"/>
      <c r="PKR165" s="587"/>
      <c r="PKS165" s="587"/>
      <c r="PKT165" s="588"/>
      <c r="PKU165" s="589"/>
      <c r="PKV165" s="588"/>
      <c r="PKW165" s="589"/>
      <c r="PKX165" s="588"/>
      <c r="PKY165" s="589"/>
      <c r="PKZ165" s="588"/>
      <c r="PLA165" s="589"/>
      <c r="PLB165" s="588"/>
      <c r="PLC165" s="589"/>
      <c r="PLD165" s="429"/>
      <c r="PLE165" s="364"/>
      <c r="PLF165" s="365"/>
      <c r="PLG165" s="354"/>
      <c r="PLH165" s="465"/>
      <c r="PLI165" s="565"/>
      <c r="PLJ165" s="572"/>
      <c r="PLK165" s="572"/>
      <c r="PLL165" s="566"/>
      <c r="PLM165" s="587"/>
      <c r="PLN165" s="587"/>
      <c r="PLO165" s="587"/>
      <c r="PLP165" s="587"/>
      <c r="PLQ165" s="588"/>
      <c r="PLR165" s="589"/>
      <c r="PLS165" s="588"/>
      <c r="PLT165" s="589"/>
      <c r="PLU165" s="588"/>
      <c r="PLV165" s="589"/>
      <c r="PLW165" s="588"/>
      <c r="PLX165" s="589"/>
      <c r="PLY165" s="588"/>
      <c r="PLZ165" s="589"/>
      <c r="PMA165" s="429"/>
      <c r="PMB165" s="364"/>
      <c r="PMC165" s="365"/>
      <c r="PMD165" s="354"/>
      <c r="PME165" s="465"/>
      <c r="PMF165" s="565"/>
      <c r="PMG165" s="572"/>
      <c r="PMH165" s="572"/>
      <c r="PMI165" s="566"/>
      <c r="PMJ165" s="587"/>
      <c r="PMK165" s="587"/>
      <c r="PML165" s="587"/>
      <c r="PMM165" s="587"/>
      <c r="PMN165" s="588"/>
      <c r="PMO165" s="589"/>
      <c r="PMP165" s="588"/>
      <c r="PMQ165" s="589"/>
      <c r="PMR165" s="588"/>
      <c r="PMS165" s="589"/>
      <c r="PMT165" s="588"/>
      <c r="PMU165" s="589"/>
      <c r="PMV165" s="588"/>
      <c r="PMW165" s="589"/>
      <c r="PMX165" s="429"/>
      <c r="PMY165" s="364"/>
      <c r="PMZ165" s="365"/>
      <c r="PNA165" s="354"/>
      <c r="PNB165" s="465"/>
      <c r="PNC165" s="565"/>
      <c r="PND165" s="572"/>
      <c r="PNE165" s="572"/>
      <c r="PNF165" s="566"/>
      <c r="PNG165" s="587"/>
      <c r="PNH165" s="587"/>
      <c r="PNI165" s="587"/>
      <c r="PNJ165" s="587"/>
      <c r="PNK165" s="588"/>
      <c r="PNL165" s="589"/>
      <c r="PNM165" s="588"/>
      <c r="PNN165" s="589"/>
      <c r="PNO165" s="588"/>
      <c r="PNP165" s="589"/>
      <c r="PNQ165" s="588"/>
      <c r="PNR165" s="589"/>
      <c r="PNS165" s="588"/>
      <c r="PNT165" s="589"/>
      <c r="PNU165" s="429"/>
      <c r="PNV165" s="364"/>
      <c r="PNW165" s="365"/>
      <c r="PNX165" s="354"/>
      <c r="PNY165" s="465"/>
      <c r="PNZ165" s="565"/>
      <c r="POA165" s="572"/>
      <c r="POB165" s="572"/>
      <c r="POC165" s="566"/>
      <c r="POD165" s="587"/>
      <c r="POE165" s="587"/>
      <c r="POF165" s="587"/>
      <c r="POG165" s="587"/>
      <c r="POH165" s="588"/>
      <c r="POI165" s="589"/>
      <c r="POJ165" s="588"/>
      <c r="POK165" s="589"/>
      <c r="POL165" s="588"/>
      <c r="POM165" s="589"/>
      <c r="PON165" s="588"/>
      <c r="POO165" s="589"/>
      <c r="POP165" s="588"/>
      <c r="POQ165" s="589"/>
      <c r="POR165" s="429"/>
      <c r="POS165" s="364"/>
      <c r="POT165" s="365"/>
      <c r="POU165" s="354"/>
      <c r="POV165" s="465"/>
      <c r="POW165" s="565"/>
      <c r="POX165" s="572"/>
      <c r="POY165" s="572"/>
      <c r="POZ165" s="566"/>
      <c r="PPA165" s="587"/>
      <c r="PPB165" s="587"/>
      <c r="PPC165" s="587"/>
      <c r="PPD165" s="587"/>
      <c r="PPE165" s="588"/>
      <c r="PPF165" s="589"/>
      <c r="PPG165" s="588"/>
      <c r="PPH165" s="589"/>
      <c r="PPI165" s="588"/>
      <c r="PPJ165" s="589"/>
      <c r="PPK165" s="588"/>
      <c r="PPL165" s="589"/>
      <c r="PPM165" s="588"/>
      <c r="PPN165" s="589"/>
      <c r="PPO165" s="429"/>
      <c r="PPP165" s="364"/>
      <c r="PPQ165" s="365"/>
      <c r="PPR165" s="354"/>
      <c r="PPS165" s="465"/>
      <c r="PPT165" s="565"/>
      <c r="PPU165" s="572"/>
      <c r="PPV165" s="572"/>
      <c r="PPW165" s="566"/>
      <c r="PPX165" s="587"/>
      <c r="PPY165" s="587"/>
      <c r="PPZ165" s="587"/>
      <c r="PQA165" s="587"/>
      <c r="PQB165" s="588"/>
      <c r="PQC165" s="589"/>
      <c r="PQD165" s="588"/>
      <c r="PQE165" s="589"/>
      <c r="PQF165" s="588"/>
      <c r="PQG165" s="589"/>
      <c r="PQH165" s="588"/>
      <c r="PQI165" s="589"/>
      <c r="PQJ165" s="588"/>
      <c r="PQK165" s="589"/>
      <c r="PQL165" s="429"/>
      <c r="PQM165" s="364"/>
      <c r="PQN165" s="365"/>
      <c r="PQO165" s="354"/>
      <c r="PQP165" s="465"/>
      <c r="PQQ165" s="565"/>
      <c r="PQR165" s="572"/>
      <c r="PQS165" s="572"/>
      <c r="PQT165" s="566"/>
      <c r="PQU165" s="587"/>
      <c r="PQV165" s="587"/>
      <c r="PQW165" s="587"/>
      <c r="PQX165" s="587"/>
      <c r="PQY165" s="588"/>
      <c r="PQZ165" s="589"/>
      <c r="PRA165" s="588"/>
      <c r="PRB165" s="589"/>
      <c r="PRC165" s="588"/>
      <c r="PRD165" s="589"/>
      <c r="PRE165" s="588"/>
      <c r="PRF165" s="589"/>
      <c r="PRG165" s="588"/>
      <c r="PRH165" s="589"/>
      <c r="PRI165" s="429"/>
      <c r="PRJ165" s="364"/>
      <c r="PRK165" s="365"/>
      <c r="PRL165" s="354"/>
      <c r="PRM165" s="465"/>
      <c r="PRN165" s="565"/>
      <c r="PRO165" s="572"/>
      <c r="PRP165" s="572"/>
      <c r="PRQ165" s="566"/>
      <c r="PRR165" s="587"/>
      <c r="PRS165" s="587"/>
      <c r="PRT165" s="587"/>
      <c r="PRU165" s="587"/>
      <c r="PRV165" s="588"/>
      <c r="PRW165" s="589"/>
      <c r="PRX165" s="588"/>
      <c r="PRY165" s="589"/>
      <c r="PRZ165" s="588"/>
      <c r="PSA165" s="589"/>
      <c r="PSB165" s="588"/>
      <c r="PSC165" s="589"/>
      <c r="PSD165" s="588"/>
      <c r="PSE165" s="589"/>
      <c r="PSF165" s="429"/>
      <c r="PSG165" s="364"/>
      <c r="PSH165" s="365"/>
      <c r="PSI165" s="354"/>
      <c r="PSJ165" s="465"/>
      <c r="PSK165" s="565"/>
      <c r="PSL165" s="572"/>
      <c r="PSM165" s="572"/>
      <c r="PSN165" s="566"/>
      <c r="PSO165" s="587"/>
      <c r="PSP165" s="587"/>
      <c r="PSQ165" s="587"/>
      <c r="PSR165" s="587"/>
      <c r="PSS165" s="588"/>
      <c r="PST165" s="589"/>
      <c r="PSU165" s="588"/>
      <c r="PSV165" s="589"/>
      <c r="PSW165" s="588"/>
      <c r="PSX165" s="589"/>
      <c r="PSY165" s="588"/>
      <c r="PSZ165" s="589"/>
      <c r="PTA165" s="588"/>
      <c r="PTB165" s="589"/>
      <c r="PTC165" s="429"/>
      <c r="PTD165" s="364"/>
      <c r="PTE165" s="365"/>
      <c r="PTF165" s="354"/>
      <c r="PTG165" s="465"/>
      <c r="PTH165" s="565"/>
      <c r="PTI165" s="572"/>
      <c r="PTJ165" s="572"/>
      <c r="PTK165" s="566"/>
      <c r="PTL165" s="587"/>
      <c r="PTM165" s="587"/>
      <c r="PTN165" s="587"/>
      <c r="PTO165" s="587"/>
      <c r="PTP165" s="588"/>
      <c r="PTQ165" s="589"/>
      <c r="PTR165" s="588"/>
      <c r="PTS165" s="589"/>
      <c r="PTT165" s="588"/>
      <c r="PTU165" s="589"/>
      <c r="PTV165" s="588"/>
      <c r="PTW165" s="589"/>
      <c r="PTX165" s="588"/>
      <c r="PTY165" s="589"/>
      <c r="PTZ165" s="429"/>
      <c r="PUA165" s="364"/>
      <c r="PUB165" s="365"/>
      <c r="PUC165" s="354"/>
      <c r="PUD165" s="465"/>
      <c r="PUE165" s="565"/>
      <c r="PUF165" s="572"/>
      <c r="PUG165" s="572"/>
      <c r="PUH165" s="566"/>
      <c r="PUI165" s="587"/>
      <c r="PUJ165" s="587"/>
      <c r="PUK165" s="587"/>
      <c r="PUL165" s="587"/>
      <c r="PUM165" s="588"/>
      <c r="PUN165" s="589"/>
      <c r="PUO165" s="588"/>
      <c r="PUP165" s="589"/>
      <c r="PUQ165" s="588"/>
      <c r="PUR165" s="589"/>
      <c r="PUS165" s="588"/>
      <c r="PUT165" s="589"/>
      <c r="PUU165" s="588"/>
      <c r="PUV165" s="589"/>
      <c r="PUW165" s="429"/>
      <c r="PUX165" s="364"/>
      <c r="PUY165" s="365"/>
      <c r="PUZ165" s="354"/>
      <c r="PVA165" s="465"/>
      <c r="PVB165" s="565"/>
      <c r="PVC165" s="572"/>
      <c r="PVD165" s="572"/>
      <c r="PVE165" s="566"/>
      <c r="PVF165" s="587"/>
      <c r="PVG165" s="587"/>
      <c r="PVH165" s="587"/>
      <c r="PVI165" s="587"/>
      <c r="PVJ165" s="588"/>
      <c r="PVK165" s="589"/>
      <c r="PVL165" s="588"/>
      <c r="PVM165" s="589"/>
      <c r="PVN165" s="588"/>
      <c r="PVO165" s="589"/>
      <c r="PVP165" s="588"/>
      <c r="PVQ165" s="589"/>
      <c r="PVR165" s="588"/>
      <c r="PVS165" s="589"/>
      <c r="PVT165" s="429"/>
      <c r="PVU165" s="364"/>
      <c r="PVV165" s="365"/>
      <c r="PVW165" s="354"/>
      <c r="PVX165" s="465"/>
      <c r="PVY165" s="565"/>
      <c r="PVZ165" s="572"/>
      <c r="PWA165" s="572"/>
      <c r="PWB165" s="566"/>
      <c r="PWC165" s="587"/>
      <c r="PWD165" s="587"/>
      <c r="PWE165" s="587"/>
      <c r="PWF165" s="587"/>
      <c r="PWG165" s="588"/>
      <c r="PWH165" s="589"/>
      <c r="PWI165" s="588"/>
      <c r="PWJ165" s="589"/>
      <c r="PWK165" s="588"/>
      <c r="PWL165" s="589"/>
      <c r="PWM165" s="588"/>
      <c r="PWN165" s="589"/>
      <c r="PWO165" s="588"/>
      <c r="PWP165" s="589"/>
      <c r="PWQ165" s="429"/>
      <c r="PWR165" s="364"/>
      <c r="PWS165" s="365"/>
      <c r="PWT165" s="354"/>
      <c r="PWU165" s="465"/>
      <c r="PWV165" s="565"/>
      <c r="PWW165" s="572"/>
      <c r="PWX165" s="572"/>
      <c r="PWY165" s="566"/>
      <c r="PWZ165" s="587"/>
      <c r="PXA165" s="587"/>
      <c r="PXB165" s="587"/>
      <c r="PXC165" s="587"/>
      <c r="PXD165" s="588"/>
      <c r="PXE165" s="589"/>
      <c r="PXF165" s="588"/>
      <c r="PXG165" s="589"/>
      <c r="PXH165" s="588"/>
      <c r="PXI165" s="589"/>
      <c r="PXJ165" s="588"/>
      <c r="PXK165" s="589"/>
      <c r="PXL165" s="588"/>
      <c r="PXM165" s="589"/>
      <c r="PXN165" s="429"/>
      <c r="PXO165" s="364"/>
      <c r="PXP165" s="365"/>
      <c r="PXQ165" s="354"/>
      <c r="PXR165" s="465"/>
      <c r="PXS165" s="565"/>
      <c r="PXT165" s="572"/>
      <c r="PXU165" s="572"/>
      <c r="PXV165" s="566"/>
      <c r="PXW165" s="587"/>
      <c r="PXX165" s="587"/>
      <c r="PXY165" s="587"/>
      <c r="PXZ165" s="587"/>
      <c r="PYA165" s="588"/>
      <c r="PYB165" s="589"/>
      <c r="PYC165" s="588"/>
      <c r="PYD165" s="589"/>
      <c r="PYE165" s="588"/>
      <c r="PYF165" s="589"/>
      <c r="PYG165" s="588"/>
      <c r="PYH165" s="589"/>
      <c r="PYI165" s="588"/>
      <c r="PYJ165" s="589"/>
      <c r="PYK165" s="429"/>
      <c r="PYL165" s="364"/>
      <c r="PYM165" s="365"/>
      <c r="PYN165" s="354"/>
      <c r="PYO165" s="465"/>
      <c r="PYP165" s="565"/>
      <c r="PYQ165" s="572"/>
      <c r="PYR165" s="572"/>
      <c r="PYS165" s="566"/>
      <c r="PYT165" s="587"/>
      <c r="PYU165" s="587"/>
      <c r="PYV165" s="587"/>
      <c r="PYW165" s="587"/>
      <c r="PYX165" s="588"/>
      <c r="PYY165" s="589"/>
      <c r="PYZ165" s="588"/>
      <c r="PZA165" s="589"/>
      <c r="PZB165" s="588"/>
      <c r="PZC165" s="589"/>
      <c r="PZD165" s="588"/>
      <c r="PZE165" s="589"/>
      <c r="PZF165" s="588"/>
      <c r="PZG165" s="589"/>
      <c r="PZH165" s="429"/>
      <c r="PZI165" s="364"/>
      <c r="PZJ165" s="365"/>
      <c r="PZK165" s="354"/>
      <c r="PZL165" s="465"/>
      <c r="PZM165" s="565"/>
      <c r="PZN165" s="572"/>
      <c r="PZO165" s="572"/>
      <c r="PZP165" s="566"/>
      <c r="PZQ165" s="587"/>
      <c r="PZR165" s="587"/>
      <c r="PZS165" s="587"/>
      <c r="PZT165" s="587"/>
      <c r="PZU165" s="588"/>
      <c r="PZV165" s="589"/>
      <c r="PZW165" s="588"/>
      <c r="PZX165" s="589"/>
      <c r="PZY165" s="588"/>
      <c r="PZZ165" s="589"/>
      <c r="QAA165" s="588"/>
      <c r="QAB165" s="589"/>
      <c r="QAC165" s="588"/>
      <c r="QAD165" s="589"/>
      <c r="QAE165" s="429"/>
      <c r="QAF165" s="364"/>
      <c r="QAG165" s="365"/>
      <c r="QAH165" s="354"/>
      <c r="QAI165" s="465"/>
      <c r="QAJ165" s="565"/>
      <c r="QAK165" s="572"/>
      <c r="QAL165" s="572"/>
      <c r="QAM165" s="566"/>
      <c r="QAN165" s="587"/>
      <c r="QAO165" s="587"/>
      <c r="QAP165" s="587"/>
      <c r="QAQ165" s="587"/>
      <c r="QAR165" s="588"/>
      <c r="QAS165" s="589"/>
      <c r="QAT165" s="588"/>
      <c r="QAU165" s="589"/>
      <c r="QAV165" s="588"/>
      <c r="QAW165" s="589"/>
      <c r="QAX165" s="588"/>
      <c r="QAY165" s="589"/>
      <c r="QAZ165" s="588"/>
      <c r="QBA165" s="589"/>
      <c r="QBB165" s="429"/>
      <c r="QBC165" s="364"/>
      <c r="QBD165" s="365"/>
      <c r="QBE165" s="354"/>
      <c r="QBF165" s="465"/>
      <c r="QBG165" s="565"/>
      <c r="QBH165" s="572"/>
      <c r="QBI165" s="572"/>
      <c r="QBJ165" s="566"/>
      <c r="QBK165" s="587"/>
      <c r="QBL165" s="587"/>
      <c r="QBM165" s="587"/>
      <c r="QBN165" s="587"/>
      <c r="QBO165" s="588"/>
      <c r="QBP165" s="589"/>
      <c r="QBQ165" s="588"/>
      <c r="QBR165" s="589"/>
      <c r="QBS165" s="588"/>
      <c r="QBT165" s="589"/>
      <c r="QBU165" s="588"/>
      <c r="QBV165" s="589"/>
      <c r="QBW165" s="588"/>
      <c r="QBX165" s="589"/>
      <c r="QBY165" s="429"/>
      <c r="QBZ165" s="364"/>
      <c r="QCA165" s="365"/>
      <c r="QCB165" s="354"/>
      <c r="QCC165" s="465"/>
      <c r="QCD165" s="565"/>
      <c r="QCE165" s="572"/>
      <c r="QCF165" s="572"/>
      <c r="QCG165" s="566"/>
      <c r="QCH165" s="587"/>
      <c r="QCI165" s="587"/>
      <c r="QCJ165" s="587"/>
      <c r="QCK165" s="587"/>
      <c r="QCL165" s="588"/>
      <c r="QCM165" s="589"/>
      <c r="QCN165" s="588"/>
      <c r="QCO165" s="589"/>
      <c r="QCP165" s="588"/>
      <c r="QCQ165" s="589"/>
      <c r="QCR165" s="588"/>
      <c r="QCS165" s="589"/>
      <c r="QCT165" s="588"/>
      <c r="QCU165" s="589"/>
      <c r="QCV165" s="429"/>
      <c r="QCW165" s="364"/>
      <c r="QCX165" s="365"/>
      <c r="QCY165" s="354"/>
      <c r="QCZ165" s="465"/>
      <c r="QDA165" s="565"/>
      <c r="QDB165" s="572"/>
      <c r="QDC165" s="572"/>
      <c r="QDD165" s="566"/>
      <c r="QDE165" s="587"/>
      <c r="QDF165" s="587"/>
      <c r="QDG165" s="587"/>
      <c r="QDH165" s="587"/>
      <c r="QDI165" s="588"/>
      <c r="QDJ165" s="589"/>
      <c r="QDK165" s="588"/>
      <c r="QDL165" s="589"/>
      <c r="QDM165" s="588"/>
      <c r="QDN165" s="589"/>
      <c r="QDO165" s="588"/>
      <c r="QDP165" s="589"/>
      <c r="QDQ165" s="588"/>
      <c r="QDR165" s="589"/>
      <c r="QDS165" s="429"/>
      <c r="QDT165" s="364"/>
      <c r="QDU165" s="365"/>
      <c r="QDV165" s="354"/>
      <c r="QDW165" s="465"/>
      <c r="QDX165" s="565"/>
      <c r="QDY165" s="572"/>
      <c r="QDZ165" s="572"/>
      <c r="QEA165" s="566"/>
      <c r="QEB165" s="587"/>
      <c r="QEC165" s="587"/>
      <c r="QED165" s="587"/>
      <c r="QEE165" s="587"/>
      <c r="QEF165" s="588"/>
      <c r="QEG165" s="589"/>
      <c r="QEH165" s="588"/>
      <c r="QEI165" s="589"/>
      <c r="QEJ165" s="588"/>
      <c r="QEK165" s="589"/>
      <c r="QEL165" s="588"/>
      <c r="QEM165" s="589"/>
      <c r="QEN165" s="588"/>
      <c r="QEO165" s="589"/>
      <c r="QEP165" s="429"/>
      <c r="QEQ165" s="364"/>
      <c r="QER165" s="365"/>
      <c r="QES165" s="354"/>
      <c r="QET165" s="465"/>
      <c r="QEU165" s="565"/>
      <c r="QEV165" s="572"/>
      <c r="QEW165" s="572"/>
      <c r="QEX165" s="566"/>
      <c r="QEY165" s="587"/>
      <c r="QEZ165" s="587"/>
      <c r="QFA165" s="587"/>
      <c r="QFB165" s="587"/>
      <c r="QFC165" s="588"/>
      <c r="QFD165" s="589"/>
      <c r="QFE165" s="588"/>
      <c r="QFF165" s="589"/>
      <c r="QFG165" s="588"/>
      <c r="QFH165" s="589"/>
      <c r="QFI165" s="588"/>
      <c r="QFJ165" s="589"/>
      <c r="QFK165" s="588"/>
      <c r="QFL165" s="589"/>
      <c r="QFM165" s="429"/>
      <c r="QFN165" s="364"/>
      <c r="QFO165" s="365"/>
      <c r="QFP165" s="354"/>
      <c r="QFQ165" s="465"/>
      <c r="QFR165" s="565"/>
      <c r="QFS165" s="572"/>
      <c r="QFT165" s="572"/>
      <c r="QFU165" s="566"/>
      <c r="QFV165" s="587"/>
      <c r="QFW165" s="587"/>
      <c r="QFX165" s="587"/>
      <c r="QFY165" s="587"/>
      <c r="QFZ165" s="588"/>
      <c r="QGA165" s="589"/>
      <c r="QGB165" s="588"/>
      <c r="QGC165" s="589"/>
      <c r="QGD165" s="588"/>
      <c r="QGE165" s="589"/>
      <c r="QGF165" s="588"/>
      <c r="QGG165" s="589"/>
      <c r="QGH165" s="588"/>
      <c r="QGI165" s="589"/>
      <c r="QGJ165" s="429"/>
      <c r="QGK165" s="364"/>
      <c r="QGL165" s="365"/>
      <c r="QGM165" s="354"/>
      <c r="QGN165" s="465"/>
      <c r="QGO165" s="565"/>
      <c r="QGP165" s="572"/>
      <c r="QGQ165" s="572"/>
      <c r="QGR165" s="566"/>
      <c r="QGS165" s="587"/>
      <c r="QGT165" s="587"/>
      <c r="QGU165" s="587"/>
      <c r="QGV165" s="587"/>
      <c r="QGW165" s="588"/>
      <c r="QGX165" s="589"/>
      <c r="QGY165" s="588"/>
      <c r="QGZ165" s="589"/>
      <c r="QHA165" s="588"/>
      <c r="QHB165" s="589"/>
      <c r="QHC165" s="588"/>
      <c r="QHD165" s="589"/>
      <c r="QHE165" s="588"/>
      <c r="QHF165" s="589"/>
      <c r="QHG165" s="429"/>
      <c r="QHH165" s="364"/>
      <c r="QHI165" s="365"/>
      <c r="QHJ165" s="354"/>
      <c r="QHK165" s="465"/>
      <c r="QHL165" s="565"/>
      <c r="QHM165" s="572"/>
      <c r="QHN165" s="572"/>
      <c r="QHO165" s="566"/>
      <c r="QHP165" s="587"/>
      <c r="QHQ165" s="587"/>
      <c r="QHR165" s="587"/>
      <c r="QHS165" s="587"/>
      <c r="QHT165" s="588"/>
      <c r="QHU165" s="589"/>
      <c r="QHV165" s="588"/>
      <c r="QHW165" s="589"/>
      <c r="QHX165" s="588"/>
      <c r="QHY165" s="589"/>
      <c r="QHZ165" s="588"/>
      <c r="QIA165" s="589"/>
      <c r="QIB165" s="588"/>
      <c r="QIC165" s="589"/>
      <c r="QID165" s="429"/>
      <c r="QIE165" s="364"/>
      <c r="QIF165" s="365"/>
      <c r="QIG165" s="354"/>
      <c r="QIH165" s="465"/>
      <c r="QII165" s="565"/>
      <c r="QIJ165" s="572"/>
      <c r="QIK165" s="572"/>
      <c r="QIL165" s="566"/>
      <c r="QIM165" s="587"/>
      <c r="QIN165" s="587"/>
      <c r="QIO165" s="587"/>
      <c r="QIP165" s="587"/>
      <c r="QIQ165" s="588"/>
      <c r="QIR165" s="589"/>
      <c r="QIS165" s="588"/>
      <c r="QIT165" s="589"/>
      <c r="QIU165" s="588"/>
      <c r="QIV165" s="589"/>
      <c r="QIW165" s="588"/>
      <c r="QIX165" s="589"/>
      <c r="QIY165" s="588"/>
      <c r="QIZ165" s="589"/>
      <c r="QJA165" s="429"/>
      <c r="QJB165" s="364"/>
      <c r="QJC165" s="365"/>
      <c r="QJD165" s="354"/>
      <c r="QJE165" s="465"/>
      <c r="QJF165" s="565"/>
      <c r="QJG165" s="572"/>
      <c r="QJH165" s="572"/>
      <c r="QJI165" s="566"/>
      <c r="QJJ165" s="587"/>
      <c r="QJK165" s="587"/>
      <c r="QJL165" s="587"/>
      <c r="QJM165" s="587"/>
      <c r="QJN165" s="588"/>
      <c r="QJO165" s="589"/>
      <c r="QJP165" s="588"/>
      <c r="QJQ165" s="589"/>
      <c r="QJR165" s="588"/>
      <c r="QJS165" s="589"/>
      <c r="QJT165" s="588"/>
      <c r="QJU165" s="589"/>
      <c r="QJV165" s="588"/>
      <c r="QJW165" s="589"/>
      <c r="QJX165" s="429"/>
      <c r="QJY165" s="364"/>
      <c r="QJZ165" s="365"/>
      <c r="QKA165" s="354"/>
      <c r="QKB165" s="465"/>
      <c r="QKC165" s="565"/>
      <c r="QKD165" s="572"/>
      <c r="QKE165" s="572"/>
      <c r="QKF165" s="566"/>
      <c r="QKG165" s="587"/>
      <c r="QKH165" s="587"/>
      <c r="QKI165" s="587"/>
      <c r="QKJ165" s="587"/>
      <c r="QKK165" s="588"/>
      <c r="QKL165" s="589"/>
      <c r="QKM165" s="588"/>
      <c r="QKN165" s="589"/>
      <c r="QKO165" s="588"/>
      <c r="QKP165" s="589"/>
      <c r="QKQ165" s="588"/>
      <c r="QKR165" s="589"/>
      <c r="QKS165" s="588"/>
      <c r="QKT165" s="589"/>
      <c r="QKU165" s="429"/>
      <c r="QKV165" s="364"/>
      <c r="QKW165" s="365"/>
      <c r="QKX165" s="354"/>
      <c r="QKY165" s="465"/>
      <c r="QKZ165" s="565"/>
      <c r="QLA165" s="572"/>
      <c r="QLB165" s="572"/>
      <c r="QLC165" s="566"/>
      <c r="QLD165" s="587"/>
      <c r="QLE165" s="587"/>
      <c r="QLF165" s="587"/>
      <c r="QLG165" s="587"/>
      <c r="QLH165" s="588"/>
      <c r="QLI165" s="589"/>
      <c r="QLJ165" s="588"/>
      <c r="QLK165" s="589"/>
      <c r="QLL165" s="588"/>
      <c r="QLM165" s="589"/>
      <c r="QLN165" s="588"/>
      <c r="QLO165" s="589"/>
      <c r="QLP165" s="588"/>
      <c r="QLQ165" s="589"/>
      <c r="QLR165" s="429"/>
      <c r="QLS165" s="364"/>
      <c r="QLT165" s="365"/>
      <c r="QLU165" s="354"/>
      <c r="QLV165" s="465"/>
      <c r="QLW165" s="565"/>
      <c r="QLX165" s="572"/>
      <c r="QLY165" s="572"/>
      <c r="QLZ165" s="566"/>
      <c r="QMA165" s="587"/>
      <c r="QMB165" s="587"/>
      <c r="QMC165" s="587"/>
      <c r="QMD165" s="587"/>
      <c r="QME165" s="588"/>
      <c r="QMF165" s="589"/>
      <c r="QMG165" s="588"/>
      <c r="QMH165" s="589"/>
      <c r="QMI165" s="588"/>
      <c r="QMJ165" s="589"/>
      <c r="QMK165" s="588"/>
      <c r="QML165" s="589"/>
      <c r="QMM165" s="588"/>
      <c r="QMN165" s="589"/>
      <c r="QMO165" s="429"/>
      <c r="QMP165" s="364"/>
      <c r="QMQ165" s="365"/>
      <c r="QMR165" s="354"/>
      <c r="QMS165" s="465"/>
      <c r="QMT165" s="565"/>
      <c r="QMU165" s="572"/>
      <c r="QMV165" s="572"/>
      <c r="QMW165" s="566"/>
      <c r="QMX165" s="587"/>
      <c r="QMY165" s="587"/>
      <c r="QMZ165" s="587"/>
      <c r="QNA165" s="587"/>
      <c r="QNB165" s="588"/>
      <c r="QNC165" s="589"/>
      <c r="QND165" s="588"/>
      <c r="QNE165" s="589"/>
      <c r="QNF165" s="588"/>
      <c r="QNG165" s="589"/>
      <c r="QNH165" s="588"/>
      <c r="QNI165" s="589"/>
      <c r="QNJ165" s="588"/>
      <c r="QNK165" s="589"/>
      <c r="QNL165" s="429"/>
      <c r="QNM165" s="364"/>
      <c r="QNN165" s="365"/>
      <c r="QNO165" s="354"/>
      <c r="QNP165" s="465"/>
      <c r="QNQ165" s="565"/>
      <c r="QNR165" s="572"/>
      <c r="QNS165" s="572"/>
      <c r="QNT165" s="566"/>
      <c r="QNU165" s="587"/>
      <c r="QNV165" s="587"/>
      <c r="QNW165" s="587"/>
      <c r="QNX165" s="587"/>
      <c r="QNY165" s="588"/>
      <c r="QNZ165" s="589"/>
      <c r="QOA165" s="588"/>
      <c r="QOB165" s="589"/>
      <c r="QOC165" s="588"/>
      <c r="QOD165" s="589"/>
      <c r="QOE165" s="588"/>
      <c r="QOF165" s="589"/>
      <c r="QOG165" s="588"/>
      <c r="QOH165" s="589"/>
      <c r="QOI165" s="429"/>
      <c r="QOJ165" s="364"/>
      <c r="QOK165" s="365"/>
      <c r="QOL165" s="354"/>
      <c r="QOM165" s="465"/>
      <c r="QON165" s="565"/>
      <c r="QOO165" s="572"/>
      <c r="QOP165" s="572"/>
      <c r="QOQ165" s="566"/>
      <c r="QOR165" s="587"/>
      <c r="QOS165" s="587"/>
      <c r="QOT165" s="587"/>
      <c r="QOU165" s="587"/>
      <c r="QOV165" s="588"/>
      <c r="QOW165" s="589"/>
      <c r="QOX165" s="588"/>
      <c r="QOY165" s="589"/>
      <c r="QOZ165" s="588"/>
      <c r="QPA165" s="589"/>
      <c r="QPB165" s="588"/>
      <c r="QPC165" s="589"/>
      <c r="QPD165" s="588"/>
      <c r="QPE165" s="589"/>
      <c r="QPF165" s="429"/>
      <c r="QPG165" s="364"/>
      <c r="QPH165" s="365"/>
      <c r="QPI165" s="354"/>
      <c r="QPJ165" s="465"/>
      <c r="QPK165" s="565"/>
      <c r="QPL165" s="572"/>
      <c r="QPM165" s="572"/>
      <c r="QPN165" s="566"/>
      <c r="QPO165" s="587"/>
      <c r="QPP165" s="587"/>
      <c r="QPQ165" s="587"/>
      <c r="QPR165" s="587"/>
      <c r="QPS165" s="588"/>
      <c r="QPT165" s="589"/>
      <c r="QPU165" s="588"/>
      <c r="QPV165" s="589"/>
      <c r="QPW165" s="588"/>
      <c r="QPX165" s="589"/>
      <c r="QPY165" s="588"/>
      <c r="QPZ165" s="589"/>
      <c r="QQA165" s="588"/>
      <c r="QQB165" s="589"/>
      <c r="QQC165" s="429"/>
      <c r="QQD165" s="364"/>
      <c r="QQE165" s="365"/>
      <c r="QQF165" s="354"/>
      <c r="QQG165" s="465"/>
      <c r="QQH165" s="565"/>
      <c r="QQI165" s="572"/>
      <c r="QQJ165" s="572"/>
      <c r="QQK165" s="566"/>
      <c r="QQL165" s="587"/>
      <c r="QQM165" s="587"/>
      <c r="QQN165" s="587"/>
      <c r="QQO165" s="587"/>
      <c r="QQP165" s="588"/>
      <c r="QQQ165" s="589"/>
      <c r="QQR165" s="588"/>
      <c r="QQS165" s="589"/>
      <c r="QQT165" s="588"/>
      <c r="QQU165" s="589"/>
      <c r="QQV165" s="588"/>
      <c r="QQW165" s="589"/>
      <c r="QQX165" s="588"/>
      <c r="QQY165" s="589"/>
      <c r="QQZ165" s="429"/>
      <c r="QRA165" s="364"/>
      <c r="QRB165" s="365"/>
      <c r="QRC165" s="354"/>
      <c r="QRD165" s="465"/>
      <c r="QRE165" s="565"/>
      <c r="QRF165" s="572"/>
      <c r="QRG165" s="572"/>
      <c r="QRH165" s="566"/>
      <c r="QRI165" s="587"/>
      <c r="QRJ165" s="587"/>
      <c r="QRK165" s="587"/>
      <c r="QRL165" s="587"/>
      <c r="QRM165" s="588"/>
      <c r="QRN165" s="589"/>
      <c r="QRO165" s="588"/>
      <c r="QRP165" s="589"/>
      <c r="QRQ165" s="588"/>
      <c r="QRR165" s="589"/>
      <c r="QRS165" s="588"/>
      <c r="QRT165" s="589"/>
      <c r="QRU165" s="588"/>
      <c r="QRV165" s="589"/>
      <c r="QRW165" s="429"/>
      <c r="QRX165" s="364"/>
      <c r="QRY165" s="365"/>
      <c r="QRZ165" s="354"/>
      <c r="QSA165" s="465"/>
      <c r="QSB165" s="565"/>
      <c r="QSC165" s="572"/>
      <c r="QSD165" s="572"/>
      <c r="QSE165" s="566"/>
      <c r="QSF165" s="587"/>
      <c r="QSG165" s="587"/>
      <c r="QSH165" s="587"/>
      <c r="QSI165" s="587"/>
      <c r="QSJ165" s="588"/>
      <c r="QSK165" s="589"/>
      <c r="QSL165" s="588"/>
      <c r="QSM165" s="589"/>
      <c r="QSN165" s="588"/>
      <c r="QSO165" s="589"/>
      <c r="QSP165" s="588"/>
      <c r="QSQ165" s="589"/>
      <c r="QSR165" s="588"/>
      <c r="QSS165" s="589"/>
      <c r="QST165" s="429"/>
      <c r="QSU165" s="364"/>
      <c r="QSV165" s="365"/>
      <c r="QSW165" s="354"/>
      <c r="QSX165" s="465"/>
      <c r="QSY165" s="565"/>
      <c r="QSZ165" s="572"/>
      <c r="QTA165" s="572"/>
      <c r="QTB165" s="566"/>
      <c r="QTC165" s="587"/>
      <c r="QTD165" s="587"/>
      <c r="QTE165" s="587"/>
      <c r="QTF165" s="587"/>
      <c r="QTG165" s="588"/>
      <c r="QTH165" s="589"/>
      <c r="QTI165" s="588"/>
      <c r="QTJ165" s="589"/>
      <c r="QTK165" s="588"/>
      <c r="QTL165" s="589"/>
      <c r="QTM165" s="588"/>
      <c r="QTN165" s="589"/>
      <c r="QTO165" s="588"/>
      <c r="QTP165" s="589"/>
      <c r="QTQ165" s="429"/>
      <c r="QTR165" s="364"/>
      <c r="QTS165" s="365"/>
      <c r="QTT165" s="354"/>
      <c r="QTU165" s="465"/>
      <c r="QTV165" s="565"/>
      <c r="QTW165" s="572"/>
      <c r="QTX165" s="572"/>
      <c r="QTY165" s="566"/>
      <c r="QTZ165" s="587"/>
      <c r="QUA165" s="587"/>
      <c r="QUB165" s="587"/>
      <c r="QUC165" s="587"/>
      <c r="QUD165" s="588"/>
      <c r="QUE165" s="589"/>
      <c r="QUF165" s="588"/>
      <c r="QUG165" s="589"/>
      <c r="QUH165" s="588"/>
      <c r="QUI165" s="589"/>
      <c r="QUJ165" s="588"/>
      <c r="QUK165" s="589"/>
      <c r="QUL165" s="588"/>
      <c r="QUM165" s="589"/>
      <c r="QUN165" s="429"/>
      <c r="QUO165" s="364"/>
      <c r="QUP165" s="365"/>
      <c r="QUQ165" s="354"/>
      <c r="QUR165" s="465"/>
      <c r="QUS165" s="565"/>
      <c r="QUT165" s="572"/>
      <c r="QUU165" s="572"/>
      <c r="QUV165" s="566"/>
      <c r="QUW165" s="587"/>
      <c r="QUX165" s="587"/>
      <c r="QUY165" s="587"/>
      <c r="QUZ165" s="587"/>
      <c r="QVA165" s="588"/>
      <c r="QVB165" s="589"/>
      <c r="QVC165" s="588"/>
      <c r="QVD165" s="589"/>
      <c r="QVE165" s="588"/>
      <c r="QVF165" s="589"/>
      <c r="QVG165" s="588"/>
      <c r="QVH165" s="589"/>
      <c r="QVI165" s="588"/>
      <c r="QVJ165" s="589"/>
      <c r="QVK165" s="429"/>
      <c r="QVL165" s="364"/>
      <c r="QVM165" s="365"/>
      <c r="QVN165" s="354"/>
      <c r="QVO165" s="465"/>
      <c r="QVP165" s="565"/>
      <c r="QVQ165" s="572"/>
      <c r="QVR165" s="572"/>
      <c r="QVS165" s="566"/>
      <c r="QVT165" s="587"/>
      <c r="QVU165" s="587"/>
      <c r="QVV165" s="587"/>
      <c r="QVW165" s="587"/>
      <c r="QVX165" s="588"/>
      <c r="QVY165" s="589"/>
      <c r="QVZ165" s="588"/>
      <c r="QWA165" s="589"/>
      <c r="QWB165" s="588"/>
      <c r="QWC165" s="589"/>
      <c r="QWD165" s="588"/>
      <c r="QWE165" s="589"/>
      <c r="QWF165" s="588"/>
      <c r="QWG165" s="589"/>
      <c r="QWH165" s="429"/>
      <c r="QWI165" s="364"/>
      <c r="QWJ165" s="365"/>
      <c r="QWK165" s="354"/>
      <c r="QWL165" s="465"/>
      <c r="QWM165" s="565"/>
      <c r="QWN165" s="572"/>
      <c r="QWO165" s="572"/>
      <c r="QWP165" s="566"/>
      <c r="QWQ165" s="587"/>
      <c r="QWR165" s="587"/>
      <c r="QWS165" s="587"/>
      <c r="QWT165" s="587"/>
      <c r="QWU165" s="588"/>
      <c r="QWV165" s="589"/>
      <c r="QWW165" s="588"/>
      <c r="QWX165" s="589"/>
      <c r="QWY165" s="588"/>
      <c r="QWZ165" s="589"/>
      <c r="QXA165" s="588"/>
      <c r="QXB165" s="589"/>
      <c r="QXC165" s="588"/>
      <c r="QXD165" s="589"/>
      <c r="QXE165" s="429"/>
      <c r="QXF165" s="364"/>
      <c r="QXG165" s="365"/>
      <c r="QXH165" s="354"/>
      <c r="QXI165" s="465"/>
      <c r="QXJ165" s="565"/>
      <c r="QXK165" s="572"/>
      <c r="QXL165" s="572"/>
      <c r="QXM165" s="566"/>
      <c r="QXN165" s="587"/>
      <c r="QXO165" s="587"/>
      <c r="QXP165" s="587"/>
      <c r="QXQ165" s="587"/>
      <c r="QXR165" s="588"/>
      <c r="QXS165" s="589"/>
      <c r="QXT165" s="588"/>
      <c r="QXU165" s="589"/>
      <c r="QXV165" s="588"/>
      <c r="QXW165" s="589"/>
      <c r="QXX165" s="588"/>
      <c r="QXY165" s="589"/>
      <c r="QXZ165" s="588"/>
      <c r="QYA165" s="589"/>
      <c r="QYB165" s="429"/>
      <c r="QYC165" s="364"/>
      <c r="QYD165" s="365"/>
      <c r="QYE165" s="354"/>
      <c r="QYF165" s="465"/>
      <c r="QYG165" s="565"/>
      <c r="QYH165" s="572"/>
      <c r="QYI165" s="572"/>
      <c r="QYJ165" s="566"/>
      <c r="QYK165" s="587"/>
      <c r="QYL165" s="587"/>
      <c r="QYM165" s="587"/>
      <c r="QYN165" s="587"/>
      <c r="QYO165" s="588"/>
      <c r="QYP165" s="589"/>
      <c r="QYQ165" s="588"/>
      <c r="QYR165" s="589"/>
      <c r="QYS165" s="588"/>
      <c r="QYT165" s="589"/>
      <c r="QYU165" s="588"/>
      <c r="QYV165" s="589"/>
      <c r="QYW165" s="588"/>
      <c r="QYX165" s="589"/>
      <c r="QYY165" s="429"/>
      <c r="QYZ165" s="364"/>
      <c r="QZA165" s="365"/>
      <c r="QZB165" s="354"/>
      <c r="QZC165" s="465"/>
      <c r="QZD165" s="565"/>
      <c r="QZE165" s="572"/>
      <c r="QZF165" s="572"/>
      <c r="QZG165" s="566"/>
      <c r="QZH165" s="587"/>
      <c r="QZI165" s="587"/>
      <c r="QZJ165" s="587"/>
      <c r="QZK165" s="587"/>
      <c r="QZL165" s="588"/>
      <c r="QZM165" s="589"/>
      <c r="QZN165" s="588"/>
      <c r="QZO165" s="589"/>
      <c r="QZP165" s="588"/>
      <c r="QZQ165" s="589"/>
      <c r="QZR165" s="588"/>
      <c r="QZS165" s="589"/>
      <c r="QZT165" s="588"/>
      <c r="QZU165" s="589"/>
      <c r="QZV165" s="429"/>
      <c r="QZW165" s="364"/>
      <c r="QZX165" s="365"/>
      <c r="QZY165" s="354"/>
      <c r="QZZ165" s="465"/>
      <c r="RAA165" s="565"/>
      <c r="RAB165" s="572"/>
      <c r="RAC165" s="572"/>
      <c r="RAD165" s="566"/>
      <c r="RAE165" s="587"/>
      <c r="RAF165" s="587"/>
      <c r="RAG165" s="587"/>
      <c r="RAH165" s="587"/>
      <c r="RAI165" s="588"/>
      <c r="RAJ165" s="589"/>
      <c r="RAK165" s="588"/>
      <c r="RAL165" s="589"/>
      <c r="RAM165" s="588"/>
      <c r="RAN165" s="589"/>
      <c r="RAO165" s="588"/>
      <c r="RAP165" s="589"/>
      <c r="RAQ165" s="588"/>
      <c r="RAR165" s="589"/>
      <c r="RAS165" s="429"/>
      <c r="RAT165" s="364"/>
      <c r="RAU165" s="365"/>
      <c r="RAV165" s="354"/>
      <c r="RAW165" s="465"/>
      <c r="RAX165" s="565"/>
      <c r="RAY165" s="572"/>
      <c r="RAZ165" s="572"/>
      <c r="RBA165" s="566"/>
      <c r="RBB165" s="587"/>
      <c r="RBC165" s="587"/>
      <c r="RBD165" s="587"/>
      <c r="RBE165" s="587"/>
      <c r="RBF165" s="588"/>
      <c r="RBG165" s="589"/>
      <c r="RBH165" s="588"/>
      <c r="RBI165" s="589"/>
      <c r="RBJ165" s="588"/>
      <c r="RBK165" s="589"/>
      <c r="RBL165" s="588"/>
      <c r="RBM165" s="589"/>
      <c r="RBN165" s="588"/>
      <c r="RBO165" s="589"/>
      <c r="RBP165" s="429"/>
      <c r="RBQ165" s="364"/>
      <c r="RBR165" s="365"/>
      <c r="RBS165" s="354"/>
      <c r="RBT165" s="465"/>
      <c r="RBU165" s="565"/>
      <c r="RBV165" s="572"/>
      <c r="RBW165" s="572"/>
      <c r="RBX165" s="566"/>
      <c r="RBY165" s="587"/>
      <c r="RBZ165" s="587"/>
      <c r="RCA165" s="587"/>
      <c r="RCB165" s="587"/>
      <c r="RCC165" s="588"/>
      <c r="RCD165" s="589"/>
      <c r="RCE165" s="588"/>
      <c r="RCF165" s="589"/>
      <c r="RCG165" s="588"/>
      <c r="RCH165" s="589"/>
      <c r="RCI165" s="588"/>
      <c r="RCJ165" s="589"/>
      <c r="RCK165" s="588"/>
      <c r="RCL165" s="589"/>
      <c r="RCM165" s="429"/>
      <c r="RCN165" s="364"/>
      <c r="RCO165" s="365"/>
      <c r="RCP165" s="354"/>
      <c r="RCQ165" s="465"/>
      <c r="RCR165" s="565"/>
      <c r="RCS165" s="572"/>
      <c r="RCT165" s="572"/>
      <c r="RCU165" s="566"/>
      <c r="RCV165" s="587"/>
      <c r="RCW165" s="587"/>
      <c r="RCX165" s="587"/>
      <c r="RCY165" s="587"/>
      <c r="RCZ165" s="588"/>
      <c r="RDA165" s="589"/>
      <c r="RDB165" s="588"/>
      <c r="RDC165" s="589"/>
      <c r="RDD165" s="588"/>
      <c r="RDE165" s="589"/>
      <c r="RDF165" s="588"/>
      <c r="RDG165" s="589"/>
      <c r="RDH165" s="588"/>
      <c r="RDI165" s="589"/>
      <c r="RDJ165" s="429"/>
      <c r="RDK165" s="364"/>
      <c r="RDL165" s="365"/>
      <c r="RDM165" s="354"/>
      <c r="RDN165" s="465"/>
      <c r="RDO165" s="565"/>
      <c r="RDP165" s="572"/>
      <c r="RDQ165" s="572"/>
      <c r="RDR165" s="566"/>
      <c r="RDS165" s="587"/>
      <c r="RDT165" s="587"/>
      <c r="RDU165" s="587"/>
      <c r="RDV165" s="587"/>
      <c r="RDW165" s="588"/>
      <c r="RDX165" s="589"/>
      <c r="RDY165" s="588"/>
      <c r="RDZ165" s="589"/>
      <c r="REA165" s="588"/>
      <c r="REB165" s="589"/>
      <c r="REC165" s="588"/>
      <c r="RED165" s="589"/>
      <c r="REE165" s="588"/>
      <c r="REF165" s="589"/>
      <c r="REG165" s="429"/>
      <c r="REH165" s="364"/>
      <c r="REI165" s="365"/>
      <c r="REJ165" s="354"/>
      <c r="REK165" s="465"/>
      <c r="REL165" s="565"/>
      <c r="REM165" s="572"/>
      <c r="REN165" s="572"/>
      <c r="REO165" s="566"/>
      <c r="REP165" s="587"/>
      <c r="REQ165" s="587"/>
      <c r="RER165" s="587"/>
      <c r="RES165" s="587"/>
      <c r="RET165" s="588"/>
      <c r="REU165" s="589"/>
      <c r="REV165" s="588"/>
      <c r="REW165" s="589"/>
      <c r="REX165" s="588"/>
      <c r="REY165" s="589"/>
      <c r="REZ165" s="588"/>
      <c r="RFA165" s="589"/>
      <c r="RFB165" s="588"/>
      <c r="RFC165" s="589"/>
      <c r="RFD165" s="429"/>
      <c r="RFE165" s="364"/>
      <c r="RFF165" s="365"/>
      <c r="RFG165" s="354"/>
      <c r="RFH165" s="465"/>
      <c r="RFI165" s="565"/>
      <c r="RFJ165" s="572"/>
      <c r="RFK165" s="572"/>
      <c r="RFL165" s="566"/>
      <c r="RFM165" s="587"/>
      <c r="RFN165" s="587"/>
      <c r="RFO165" s="587"/>
      <c r="RFP165" s="587"/>
      <c r="RFQ165" s="588"/>
      <c r="RFR165" s="589"/>
      <c r="RFS165" s="588"/>
      <c r="RFT165" s="589"/>
      <c r="RFU165" s="588"/>
      <c r="RFV165" s="589"/>
      <c r="RFW165" s="588"/>
      <c r="RFX165" s="589"/>
      <c r="RFY165" s="588"/>
      <c r="RFZ165" s="589"/>
      <c r="RGA165" s="429"/>
      <c r="RGB165" s="364"/>
      <c r="RGC165" s="365"/>
      <c r="RGD165" s="354"/>
      <c r="RGE165" s="465"/>
      <c r="RGF165" s="565"/>
      <c r="RGG165" s="572"/>
      <c r="RGH165" s="572"/>
      <c r="RGI165" s="566"/>
      <c r="RGJ165" s="587"/>
      <c r="RGK165" s="587"/>
      <c r="RGL165" s="587"/>
      <c r="RGM165" s="587"/>
      <c r="RGN165" s="588"/>
      <c r="RGO165" s="589"/>
      <c r="RGP165" s="588"/>
      <c r="RGQ165" s="589"/>
      <c r="RGR165" s="588"/>
      <c r="RGS165" s="589"/>
      <c r="RGT165" s="588"/>
      <c r="RGU165" s="589"/>
      <c r="RGV165" s="588"/>
      <c r="RGW165" s="589"/>
      <c r="RGX165" s="429"/>
      <c r="RGY165" s="364"/>
      <c r="RGZ165" s="365"/>
      <c r="RHA165" s="354"/>
      <c r="RHB165" s="465"/>
      <c r="RHC165" s="565"/>
      <c r="RHD165" s="572"/>
      <c r="RHE165" s="572"/>
      <c r="RHF165" s="566"/>
      <c r="RHG165" s="587"/>
      <c r="RHH165" s="587"/>
      <c r="RHI165" s="587"/>
      <c r="RHJ165" s="587"/>
      <c r="RHK165" s="588"/>
      <c r="RHL165" s="589"/>
      <c r="RHM165" s="588"/>
      <c r="RHN165" s="589"/>
      <c r="RHO165" s="588"/>
      <c r="RHP165" s="589"/>
      <c r="RHQ165" s="588"/>
      <c r="RHR165" s="589"/>
      <c r="RHS165" s="588"/>
      <c r="RHT165" s="589"/>
      <c r="RHU165" s="429"/>
      <c r="RHV165" s="364"/>
      <c r="RHW165" s="365"/>
      <c r="RHX165" s="354"/>
      <c r="RHY165" s="465"/>
      <c r="RHZ165" s="565"/>
      <c r="RIA165" s="572"/>
      <c r="RIB165" s="572"/>
      <c r="RIC165" s="566"/>
      <c r="RID165" s="587"/>
      <c r="RIE165" s="587"/>
      <c r="RIF165" s="587"/>
      <c r="RIG165" s="587"/>
      <c r="RIH165" s="588"/>
      <c r="RII165" s="589"/>
      <c r="RIJ165" s="588"/>
      <c r="RIK165" s="589"/>
      <c r="RIL165" s="588"/>
      <c r="RIM165" s="589"/>
      <c r="RIN165" s="588"/>
      <c r="RIO165" s="589"/>
      <c r="RIP165" s="588"/>
      <c r="RIQ165" s="589"/>
      <c r="RIR165" s="429"/>
      <c r="RIS165" s="364"/>
      <c r="RIT165" s="365"/>
      <c r="RIU165" s="354"/>
      <c r="RIV165" s="465"/>
      <c r="RIW165" s="565"/>
      <c r="RIX165" s="572"/>
      <c r="RIY165" s="572"/>
      <c r="RIZ165" s="566"/>
      <c r="RJA165" s="587"/>
      <c r="RJB165" s="587"/>
      <c r="RJC165" s="587"/>
      <c r="RJD165" s="587"/>
      <c r="RJE165" s="588"/>
      <c r="RJF165" s="589"/>
      <c r="RJG165" s="588"/>
      <c r="RJH165" s="589"/>
      <c r="RJI165" s="588"/>
      <c r="RJJ165" s="589"/>
      <c r="RJK165" s="588"/>
      <c r="RJL165" s="589"/>
      <c r="RJM165" s="588"/>
      <c r="RJN165" s="589"/>
      <c r="RJO165" s="429"/>
      <c r="RJP165" s="364"/>
      <c r="RJQ165" s="365"/>
      <c r="RJR165" s="354"/>
      <c r="RJS165" s="465"/>
      <c r="RJT165" s="565"/>
      <c r="RJU165" s="572"/>
      <c r="RJV165" s="572"/>
      <c r="RJW165" s="566"/>
      <c r="RJX165" s="587"/>
      <c r="RJY165" s="587"/>
      <c r="RJZ165" s="587"/>
      <c r="RKA165" s="587"/>
      <c r="RKB165" s="588"/>
      <c r="RKC165" s="589"/>
      <c r="RKD165" s="588"/>
      <c r="RKE165" s="589"/>
      <c r="RKF165" s="588"/>
      <c r="RKG165" s="589"/>
      <c r="RKH165" s="588"/>
      <c r="RKI165" s="589"/>
      <c r="RKJ165" s="588"/>
      <c r="RKK165" s="589"/>
      <c r="RKL165" s="429"/>
      <c r="RKM165" s="364"/>
      <c r="RKN165" s="365"/>
      <c r="RKO165" s="354"/>
      <c r="RKP165" s="465"/>
      <c r="RKQ165" s="565"/>
      <c r="RKR165" s="572"/>
      <c r="RKS165" s="572"/>
      <c r="RKT165" s="566"/>
      <c r="RKU165" s="587"/>
      <c r="RKV165" s="587"/>
      <c r="RKW165" s="587"/>
      <c r="RKX165" s="587"/>
      <c r="RKY165" s="588"/>
      <c r="RKZ165" s="589"/>
      <c r="RLA165" s="588"/>
      <c r="RLB165" s="589"/>
      <c r="RLC165" s="588"/>
      <c r="RLD165" s="589"/>
      <c r="RLE165" s="588"/>
      <c r="RLF165" s="589"/>
      <c r="RLG165" s="588"/>
      <c r="RLH165" s="589"/>
      <c r="RLI165" s="429"/>
      <c r="RLJ165" s="364"/>
      <c r="RLK165" s="365"/>
      <c r="RLL165" s="354"/>
      <c r="RLM165" s="465"/>
      <c r="RLN165" s="565"/>
      <c r="RLO165" s="572"/>
      <c r="RLP165" s="572"/>
      <c r="RLQ165" s="566"/>
      <c r="RLR165" s="587"/>
      <c r="RLS165" s="587"/>
      <c r="RLT165" s="587"/>
      <c r="RLU165" s="587"/>
      <c r="RLV165" s="588"/>
      <c r="RLW165" s="589"/>
      <c r="RLX165" s="588"/>
      <c r="RLY165" s="589"/>
      <c r="RLZ165" s="588"/>
      <c r="RMA165" s="589"/>
      <c r="RMB165" s="588"/>
      <c r="RMC165" s="589"/>
      <c r="RMD165" s="588"/>
      <c r="RME165" s="589"/>
      <c r="RMF165" s="429"/>
      <c r="RMG165" s="364"/>
      <c r="RMH165" s="365"/>
      <c r="RMI165" s="354"/>
      <c r="RMJ165" s="465"/>
      <c r="RMK165" s="565"/>
      <c r="RML165" s="572"/>
      <c r="RMM165" s="572"/>
      <c r="RMN165" s="566"/>
      <c r="RMO165" s="587"/>
      <c r="RMP165" s="587"/>
      <c r="RMQ165" s="587"/>
      <c r="RMR165" s="587"/>
      <c r="RMS165" s="588"/>
      <c r="RMT165" s="589"/>
      <c r="RMU165" s="588"/>
      <c r="RMV165" s="589"/>
      <c r="RMW165" s="588"/>
      <c r="RMX165" s="589"/>
      <c r="RMY165" s="588"/>
      <c r="RMZ165" s="589"/>
      <c r="RNA165" s="588"/>
      <c r="RNB165" s="589"/>
      <c r="RNC165" s="429"/>
      <c r="RND165" s="364"/>
      <c r="RNE165" s="365"/>
      <c r="RNF165" s="354"/>
      <c r="RNG165" s="465"/>
      <c r="RNH165" s="565"/>
      <c r="RNI165" s="572"/>
      <c r="RNJ165" s="572"/>
      <c r="RNK165" s="566"/>
      <c r="RNL165" s="587"/>
      <c r="RNM165" s="587"/>
      <c r="RNN165" s="587"/>
      <c r="RNO165" s="587"/>
      <c r="RNP165" s="588"/>
      <c r="RNQ165" s="589"/>
      <c r="RNR165" s="588"/>
      <c r="RNS165" s="589"/>
      <c r="RNT165" s="588"/>
      <c r="RNU165" s="589"/>
      <c r="RNV165" s="588"/>
      <c r="RNW165" s="589"/>
      <c r="RNX165" s="588"/>
      <c r="RNY165" s="589"/>
      <c r="RNZ165" s="429"/>
      <c r="ROA165" s="364"/>
      <c r="ROB165" s="365"/>
      <c r="ROC165" s="354"/>
      <c r="ROD165" s="465"/>
      <c r="ROE165" s="565"/>
      <c r="ROF165" s="572"/>
      <c r="ROG165" s="572"/>
      <c r="ROH165" s="566"/>
      <c r="ROI165" s="587"/>
      <c r="ROJ165" s="587"/>
      <c r="ROK165" s="587"/>
      <c r="ROL165" s="587"/>
      <c r="ROM165" s="588"/>
      <c r="RON165" s="589"/>
      <c r="ROO165" s="588"/>
      <c r="ROP165" s="589"/>
      <c r="ROQ165" s="588"/>
      <c r="ROR165" s="589"/>
      <c r="ROS165" s="588"/>
      <c r="ROT165" s="589"/>
      <c r="ROU165" s="588"/>
      <c r="ROV165" s="589"/>
      <c r="ROW165" s="429"/>
      <c r="ROX165" s="364"/>
      <c r="ROY165" s="365"/>
      <c r="ROZ165" s="354"/>
      <c r="RPA165" s="465"/>
      <c r="RPB165" s="565"/>
      <c r="RPC165" s="572"/>
      <c r="RPD165" s="572"/>
      <c r="RPE165" s="566"/>
      <c r="RPF165" s="587"/>
      <c r="RPG165" s="587"/>
      <c r="RPH165" s="587"/>
      <c r="RPI165" s="587"/>
      <c r="RPJ165" s="588"/>
      <c r="RPK165" s="589"/>
      <c r="RPL165" s="588"/>
      <c r="RPM165" s="589"/>
      <c r="RPN165" s="588"/>
      <c r="RPO165" s="589"/>
      <c r="RPP165" s="588"/>
      <c r="RPQ165" s="589"/>
      <c r="RPR165" s="588"/>
      <c r="RPS165" s="589"/>
      <c r="RPT165" s="429"/>
      <c r="RPU165" s="364"/>
      <c r="RPV165" s="365"/>
      <c r="RPW165" s="354"/>
      <c r="RPX165" s="465"/>
      <c r="RPY165" s="565"/>
      <c r="RPZ165" s="572"/>
      <c r="RQA165" s="572"/>
      <c r="RQB165" s="566"/>
      <c r="RQC165" s="587"/>
      <c r="RQD165" s="587"/>
      <c r="RQE165" s="587"/>
      <c r="RQF165" s="587"/>
      <c r="RQG165" s="588"/>
      <c r="RQH165" s="589"/>
      <c r="RQI165" s="588"/>
      <c r="RQJ165" s="589"/>
      <c r="RQK165" s="588"/>
      <c r="RQL165" s="589"/>
      <c r="RQM165" s="588"/>
      <c r="RQN165" s="589"/>
      <c r="RQO165" s="588"/>
      <c r="RQP165" s="589"/>
      <c r="RQQ165" s="429"/>
      <c r="RQR165" s="364"/>
      <c r="RQS165" s="365"/>
      <c r="RQT165" s="354"/>
      <c r="RQU165" s="465"/>
      <c r="RQV165" s="565"/>
      <c r="RQW165" s="572"/>
      <c r="RQX165" s="572"/>
      <c r="RQY165" s="566"/>
      <c r="RQZ165" s="587"/>
      <c r="RRA165" s="587"/>
      <c r="RRB165" s="587"/>
      <c r="RRC165" s="587"/>
      <c r="RRD165" s="588"/>
      <c r="RRE165" s="589"/>
      <c r="RRF165" s="588"/>
      <c r="RRG165" s="589"/>
      <c r="RRH165" s="588"/>
      <c r="RRI165" s="589"/>
      <c r="RRJ165" s="588"/>
      <c r="RRK165" s="589"/>
      <c r="RRL165" s="588"/>
      <c r="RRM165" s="589"/>
      <c r="RRN165" s="429"/>
      <c r="RRO165" s="364"/>
      <c r="RRP165" s="365"/>
      <c r="RRQ165" s="354"/>
      <c r="RRR165" s="465"/>
      <c r="RRS165" s="565"/>
      <c r="RRT165" s="572"/>
      <c r="RRU165" s="572"/>
      <c r="RRV165" s="566"/>
      <c r="RRW165" s="587"/>
      <c r="RRX165" s="587"/>
      <c r="RRY165" s="587"/>
      <c r="RRZ165" s="587"/>
      <c r="RSA165" s="588"/>
      <c r="RSB165" s="589"/>
      <c r="RSC165" s="588"/>
      <c r="RSD165" s="589"/>
      <c r="RSE165" s="588"/>
      <c r="RSF165" s="589"/>
      <c r="RSG165" s="588"/>
      <c r="RSH165" s="589"/>
      <c r="RSI165" s="588"/>
      <c r="RSJ165" s="589"/>
      <c r="RSK165" s="429"/>
      <c r="RSL165" s="364"/>
      <c r="RSM165" s="365"/>
      <c r="RSN165" s="354"/>
      <c r="RSO165" s="465"/>
      <c r="RSP165" s="565"/>
      <c r="RSQ165" s="572"/>
      <c r="RSR165" s="572"/>
      <c r="RSS165" s="566"/>
      <c r="RST165" s="587"/>
      <c r="RSU165" s="587"/>
      <c r="RSV165" s="587"/>
      <c r="RSW165" s="587"/>
      <c r="RSX165" s="588"/>
      <c r="RSY165" s="589"/>
      <c r="RSZ165" s="588"/>
      <c r="RTA165" s="589"/>
      <c r="RTB165" s="588"/>
      <c r="RTC165" s="589"/>
      <c r="RTD165" s="588"/>
      <c r="RTE165" s="589"/>
      <c r="RTF165" s="588"/>
      <c r="RTG165" s="589"/>
      <c r="RTH165" s="429"/>
      <c r="RTI165" s="364"/>
      <c r="RTJ165" s="365"/>
      <c r="RTK165" s="354"/>
      <c r="RTL165" s="465"/>
      <c r="RTM165" s="565"/>
      <c r="RTN165" s="572"/>
      <c r="RTO165" s="572"/>
      <c r="RTP165" s="566"/>
      <c r="RTQ165" s="587"/>
      <c r="RTR165" s="587"/>
      <c r="RTS165" s="587"/>
      <c r="RTT165" s="587"/>
      <c r="RTU165" s="588"/>
      <c r="RTV165" s="589"/>
      <c r="RTW165" s="588"/>
      <c r="RTX165" s="589"/>
      <c r="RTY165" s="588"/>
      <c r="RTZ165" s="589"/>
      <c r="RUA165" s="588"/>
      <c r="RUB165" s="589"/>
      <c r="RUC165" s="588"/>
      <c r="RUD165" s="589"/>
      <c r="RUE165" s="429"/>
      <c r="RUF165" s="364"/>
      <c r="RUG165" s="365"/>
      <c r="RUH165" s="354"/>
      <c r="RUI165" s="465"/>
      <c r="RUJ165" s="565"/>
      <c r="RUK165" s="572"/>
      <c r="RUL165" s="572"/>
      <c r="RUM165" s="566"/>
      <c r="RUN165" s="587"/>
      <c r="RUO165" s="587"/>
      <c r="RUP165" s="587"/>
      <c r="RUQ165" s="587"/>
      <c r="RUR165" s="588"/>
      <c r="RUS165" s="589"/>
      <c r="RUT165" s="588"/>
      <c r="RUU165" s="589"/>
      <c r="RUV165" s="588"/>
      <c r="RUW165" s="589"/>
      <c r="RUX165" s="588"/>
      <c r="RUY165" s="589"/>
      <c r="RUZ165" s="588"/>
      <c r="RVA165" s="589"/>
      <c r="RVB165" s="429"/>
      <c r="RVC165" s="364"/>
      <c r="RVD165" s="365"/>
      <c r="RVE165" s="354"/>
      <c r="RVF165" s="465"/>
      <c r="RVG165" s="565"/>
      <c r="RVH165" s="572"/>
      <c r="RVI165" s="572"/>
      <c r="RVJ165" s="566"/>
      <c r="RVK165" s="587"/>
      <c r="RVL165" s="587"/>
      <c r="RVM165" s="587"/>
      <c r="RVN165" s="587"/>
      <c r="RVO165" s="588"/>
      <c r="RVP165" s="589"/>
      <c r="RVQ165" s="588"/>
      <c r="RVR165" s="589"/>
      <c r="RVS165" s="588"/>
      <c r="RVT165" s="589"/>
      <c r="RVU165" s="588"/>
      <c r="RVV165" s="589"/>
      <c r="RVW165" s="588"/>
      <c r="RVX165" s="589"/>
      <c r="RVY165" s="429"/>
      <c r="RVZ165" s="364"/>
      <c r="RWA165" s="365"/>
      <c r="RWB165" s="354"/>
      <c r="RWC165" s="465"/>
      <c r="RWD165" s="565"/>
      <c r="RWE165" s="572"/>
      <c r="RWF165" s="572"/>
      <c r="RWG165" s="566"/>
      <c r="RWH165" s="587"/>
      <c r="RWI165" s="587"/>
      <c r="RWJ165" s="587"/>
      <c r="RWK165" s="587"/>
      <c r="RWL165" s="588"/>
      <c r="RWM165" s="589"/>
      <c r="RWN165" s="588"/>
      <c r="RWO165" s="589"/>
      <c r="RWP165" s="588"/>
      <c r="RWQ165" s="589"/>
      <c r="RWR165" s="588"/>
      <c r="RWS165" s="589"/>
      <c r="RWT165" s="588"/>
      <c r="RWU165" s="589"/>
      <c r="RWV165" s="429"/>
      <c r="RWW165" s="364"/>
      <c r="RWX165" s="365"/>
      <c r="RWY165" s="354"/>
      <c r="RWZ165" s="465"/>
      <c r="RXA165" s="565"/>
      <c r="RXB165" s="572"/>
      <c r="RXC165" s="572"/>
      <c r="RXD165" s="566"/>
      <c r="RXE165" s="587"/>
      <c r="RXF165" s="587"/>
      <c r="RXG165" s="587"/>
      <c r="RXH165" s="587"/>
      <c r="RXI165" s="588"/>
      <c r="RXJ165" s="589"/>
      <c r="RXK165" s="588"/>
      <c r="RXL165" s="589"/>
      <c r="RXM165" s="588"/>
      <c r="RXN165" s="589"/>
      <c r="RXO165" s="588"/>
      <c r="RXP165" s="589"/>
      <c r="RXQ165" s="588"/>
      <c r="RXR165" s="589"/>
      <c r="RXS165" s="429"/>
      <c r="RXT165" s="364"/>
      <c r="RXU165" s="365"/>
      <c r="RXV165" s="354"/>
      <c r="RXW165" s="465"/>
      <c r="RXX165" s="565"/>
      <c r="RXY165" s="572"/>
      <c r="RXZ165" s="572"/>
      <c r="RYA165" s="566"/>
      <c r="RYB165" s="587"/>
      <c r="RYC165" s="587"/>
      <c r="RYD165" s="587"/>
      <c r="RYE165" s="587"/>
      <c r="RYF165" s="588"/>
      <c r="RYG165" s="589"/>
      <c r="RYH165" s="588"/>
      <c r="RYI165" s="589"/>
      <c r="RYJ165" s="588"/>
      <c r="RYK165" s="589"/>
      <c r="RYL165" s="588"/>
      <c r="RYM165" s="589"/>
      <c r="RYN165" s="588"/>
      <c r="RYO165" s="589"/>
      <c r="RYP165" s="429"/>
      <c r="RYQ165" s="364"/>
      <c r="RYR165" s="365"/>
      <c r="RYS165" s="354"/>
      <c r="RYT165" s="465"/>
      <c r="RYU165" s="565"/>
      <c r="RYV165" s="572"/>
      <c r="RYW165" s="572"/>
      <c r="RYX165" s="566"/>
      <c r="RYY165" s="587"/>
      <c r="RYZ165" s="587"/>
      <c r="RZA165" s="587"/>
      <c r="RZB165" s="587"/>
      <c r="RZC165" s="588"/>
      <c r="RZD165" s="589"/>
      <c r="RZE165" s="588"/>
      <c r="RZF165" s="589"/>
      <c r="RZG165" s="588"/>
      <c r="RZH165" s="589"/>
      <c r="RZI165" s="588"/>
      <c r="RZJ165" s="589"/>
      <c r="RZK165" s="588"/>
      <c r="RZL165" s="589"/>
      <c r="RZM165" s="429"/>
      <c r="RZN165" s="364"/>
      <c r="RZO165" s="365"/>
      <c r="RZP165" s="354"/>
      <c r="RZQ165" s="465"/>
      <c r="RZR165" s="565"/>
      <c r="RZS165" s="572"/>
      <c r="RZT165" s="572"/>
      <c r="RZU165" s="566"/>
      <c r="RZV165" s="587"/>
      <c r="RZW165" s="587"/>
      <c r="RZX165" s="587"/>
      <c r="RZY165" s="587"/>
      <c r="RZZ165" s="588"/>
      <c r="SAA165" s="589"/>
      <c r="SAB165" s="588"/>
      <c r="SAC165" s="589"/>
      <c r="SAD165" s="588"/>
      <c r="SAE165" s="589"/>
      <c r="SAF165" s="588"/>
      <c r="SAG165" s="589"/>
      <c r="SAH165" s="588"/>
      <c r="SAI165" s="589"/>
      <c r="SAJ165" s="429"/>
      <c r="SAK165" s="364"/>
      <c r="SAL165" s="365"/>
      <c r="SAM165" s="354"/>
      <c r="SAN165" s="465"/>
      <c r="SAO165" s="565"/>
      <c r="SAP165" s="572"/>
      <c r="SAQ165" s="572"/>
      <c r="SAR165" s="566"/>
      <c r="SAS165" s="587"/>
      <c r="SAT165" s="587"/>
      <c r="SAU165" s="587"/>
      <c r="SAV165" s="587"/>
      <c r="SAW165" s="588"/>
      <c r="SAX165" s="589"/>
      <c r="SAY165" s="588"/>
      <c r="SAZ165" s="589"/>
      <c r="SBA165" s="588"/>
      <c r="SBB165" s="589"/>
      <c r="SBC165" s="588"/>
      <c r="SBD165" s="589"/>
      <c r="SBE165" s="588"/>
      <c r="SBF165" s="589"/>
      <c r="SBG165" s="429"/>
      <c r="SBH165" s="364"/>
      <c r="SBI165" s="365"/>
      <c r="SBJ165" s="354"/>
      <c r="SBK165" s="465"/>
      <c r="SBL165" s="565"/>
      <c r="SBM165" s="572"/>
      <c r="SBN165" s="572"/>
      <c r="SBO165" s="566"/>
      <c r="SBP165" s="587"/>
      <c r="SBQ165" s="587"/>
      <c r="SBR165" s="587"/>
      <c r="SBS165" s="587"/>
      <c r="SBT165" s="588"/>
      <c r="SBU165" s="589"/>
      <c r="SBV165" s="588"/>
      <c r="SBW165" s="589"/>
      <c r="SBX165" s="588"/>
      <c r="SBY165" s="589"/>
      <c r="SBZ165" s="588"/>
      <c r="SCA165" s="589"/>
      <c r="SCB165" s="588"/>
      <c r="SCC165" s="589"/>
      <c r="SCD165" s="429"/>
      <c r="SCE165" s="364"/>
      <c r="SCF165" s="365"/>
      <c r="SCG165" s="354"/>
      <c r="SCH165" s="465"/>
      <c r="SCI165" s="565"/>
      <c r="SCJ165" s="572"/>
      <c r="SCK165" s="572"/>
      <c r="SCL165" s="566"/>
      <c r="SCM165" s="587"/>
      <c r="SCN165" s="587"/>
      <c r="SCO165" s="587"/>
      <c r="SCP165" s="587"/>
      <c r="SCQ165" s="588"/>
      <c r="SCR165" s="589"/>
      <c r="SCS165" s="588"/>
      <c r="SCT165" s="589"/>
      <c r="SCU165" s="588"/>
      <c r="SCV165" s="589"/>
      <c r="SCW165" s="588"/>
      <c r="SCX165" s="589"/>
      <c r="SCY165" s="588"/>
      <c r="SCZ165" s="589"/>
      <c r="SDA165" s="429"/>
      <c r="SDB165" s="364"/>
      <c r="SDC165" s="365"/>
      <c r="SDD165" s="354"/>
      <c r="SDE165" s="465"/>
      <c r="SDF165" s="565"/>
      <c r="SDG165" s="572"/>
      <c r="SDH165" s="572"/>
      <c r="SDI165" s="566"/>
      <c r="SDJ165" s="587"/>
      <c r="SDK165" s="587"/>
      <c r="SDL165" s="587"/>
      <c r="SDM165" s="587"/>
      <c r="SDN165" s="588"/>
      <c r="SDO165" s="589"/>
      <c r="SDP165" s="588"/>
      <c r="SDQ165" s="589"/>
      <c r="SDR165" s="588"/>
      <c r="SDS165" s="589"/>
      <c r="SDT165" s="588"/>
      <c r="SDU165" s="589"/>
      <c r="SDV165" s="588"/>
      <c r="SDW165" s="589"/>
      <c r="SDX165" s="429"/>
      <c r="SDY165" s="364"/>
      <c r="SDZ165" s="365"/>
      <c r="SEA165" s="354"/>
      <c r="SEB165" s="465"/>
      <c r="SEC165" s="565"/>
      <c r="SED165" s="572"/>
      <c r="SEE165" s="572"/>
      <c r="SEF165" s="566"/>
      <c r="SEG165" s="587"/>
      <c r="SEH165" s="587"/>
      <c r="SEI165" s="587"/>
      <c r="SEJ165" s="587"/>
      <c r="SEK165" s="588"/>
      <c r="SEL165" s="589"/>
      <c r="SEM165" s="588"/>
      <c r="SEN165" s="589"/>
      <c r="SEO165" s="588"/>
      <c r="SEP165" s="589"/>
      <c r="SEQ165" s="588"/>
      <c r="SER165" s="589"/>
      <c r="SES165" s="588"/>
      <c r="SET165" s="589"/>
      <c r="SEU165" s="429"/>
      <c r="SEV165" s="364"/>
      <c r="SEW165" s="365"/>
      <c r="SEX165" s="354"/>
      <c r="SEY165" s="465"/>
      <c r="SEZ165" s="565"/>
      <c r="SFA165" s="572"/>
      <c r="SFB165" s="572"/>
      <c r="SFC165" s="566"/>
      <c r="SFD165" s="587"/>
      <c r="SFE165" s="587"/>
      <c r="SFF165" s="587"/>
      <c r="SFG165" s="587"/>
      <c r="SFH165" s="588"/>
      <c r="SFI165" s="589"/>
      <c r="SFJ165" s="588"/>
      <c r="SFK165" s="589"/>
      <c r="SFL165" s="588"/>
      <c r="SFM165" s="589"/>
      <c r="SFN165" s="588"/>
      <c r="SFO165" s="589"/>
      <c r="SFP165" s="588"/>
      <c r="SFQ165" s="589"/>
      <c r="SFR165" s="429"/>
      <c r="SFS165" s="364"/>
      <c r="SFT165" s="365"/>
      <c r="SFU165" s="354"/>
      <c r="SFV165" s="465"/>
      <c r="SFW165" s="565"/>
      <c r="SFX165" s="572"/>
      <c r="SFY165" s="572"/>
      <c r="SFZ165" s="566"/>
      <c r="SGA165" s="587"/>
      <c r="SGB165" s="587"/>
      <c r="SGC165" s="587"/>
      <c r="SGD165" s="587"/>
      <c r="SGE165" s="588"/>
      <c r="SGF165" s="589"/>
      <c r="SGG165" s="588"/>
      <c r="SGH165" s="589"/>
      <c r="SGI165" s="588"/>
      <c r="SGJ165" s="589"/>
      <c r="SGK165" s="588"/>
      <c r="SGL165" s="589"/>
      <c r="SGM165" s="588"/>
      <c r="SGN165" s="589"/>
      <c r="SGO165" s="429"/>
      <c r="SGP165" s="364"/>
      <c r="SGQ165" s="365"/>
      <c r="SGR165" s="354"/>
      <c r="SGS165" s="465"/>
      <c r="SGT165" s="565"/>
      <c r="SGU165" s="572"/>
      <c r="SGV165" s="572"/>
      <c r="SGW165" s="566"/>
      <c r="SGX165" s="587"/>
      <c r="SGY165" s="587"/>
      <c r="SGZ165" s="587"/>
      <c r="SHA165" s="587"/>
      <c r="SHB165" s="588"/>
      <c r="SHC165" s="589"/>
      <c r="SHD165" s="588"/>
      <c r="SHE165" s="589"/>
      <c r="SHF165" s="588"/>
      <c r="SHG165" s="589"/>
      <c r="SHH165" s="588"/>
      <c r="SHI165" s="589"/>
      <c r="SHJ165" s="588"/>
      <c r="SHK165" s="589"/>
      <c r="SHL165" s="429"/>
      <c r="SHM165" s="364"/>
      <c r="SHN165" s="365"/>
      <c r="SHO165" s="354"/>
      <c r="SHP165" s="465"/>
      <c r="SHQ165" s="565"/>
      <c r="SHR165" s="572"/>
      <c r="SHS165" s="572"/>
      <c r="SHT165" s="566"/>
      <c r="SHU165" s="587"/>
      <c r="SHV165" s="587"/>
      <c r="SHW165" s="587"/>
      <c r="SHX165" s="587"/>
      <c r="SHY165" s="588"/>
      <c r="SHZ165" s="589"/>
      <c r="SIA165" s="588"/>
      <c r="SIB165" s="589"/>
      <c r="SIC165" s="588"/>
      <c r="SID165" s="589"/>
      <c r="SIE165" s="588"/>
      <c r="SIF165" s="589"/>
      <c r="SIG165" s="588"/>
      <c r="SIH165" s="589"/>
      <c r="SII165" s="429"/>
      <c r="SIJ165" s="364"/>
      <c r="SIK165" s="365"/>
      <c r="SIL165" s="354"/>
      <c r="SIM165" s="465"/>
      <c r="SIN165" s="565"/>
      <c r="SIO165" s="572"/>
      <c r="SIP165" s="572"/>
      <c r="SIQ165" s="566"/>
      <c r="SIR165" s="587"/>
      <c r="SIS165" s="587"/>
      <c r="SIT165" s="587"/>
      <c r="SIU165" s="587"/>
      <c r="SIV165" s="588"/>
      <c r="SIW165" s="589"/>
      <c r="SIX165" s="588"/>
      <c r="SIY165" s="589"/>
      <c r="SIZ165" s="588"/>
      <c r="SJA165" s="589"/>
      <c r="SJB165" s="588"/>
      <c r="SJC165" s="589"/>
      <c r="SJD165" s="588"/>
      <c r="SJE165" s="589"/>
      <c r="SJF165" s="429"/>
      <c r="SJG165" s="364"/>
      <c r="SJH165" s="365"/>
      <c r="SJI165" s="354"/>
      <c r="SJJ165" s="465"/>
      <c r="SJK165" s="565"/>
      <c r="SJL165" s="572"/>
      <c r="SJM165" s="572"/>
      <c r="SJN165" s="566"/>
      <c r="SJO165" s="587"/>
      <c r="SJP165" s="587"/>
      <c r="SJQ165" s="587"/>
      <c r="SJR165" s="587"/>
      <c r="SJS165" s="588"/>
      <c r="SJT165" s="589"/>
      <c r="SJU165" s="588"/>
      <c r="SJV165" s="589"/>
      <c r="SJW165" s="588"/>
      <c r="SJX165" s="589"/>
      <c r="SJY165" s="588"/>
      <c r="SJZ165" s="589"/>
      <c r="SKA165" s="588"/>
      <c r="SKB165" s="589"/>
      <c r="SKC165" s="429"/>
      <c r="SKD165" s="364"/>
      <c r="SKE165" s="365"/>
      <c r="SKF165" s="354"/>
      <c r="SKG165" s="465"/>
      <c r="SKH165" s="565"/>
      <c r="SKI165" s="572"/>
      <c r="SKJ165" s="572"/>
      <c r="SKK165" s="566"/>
      <c r="SKL165" s="587"/>
      <c r="SKM165" s="587"/>
      <c r="SKN165" s="587"/>
      <c r="SKO165" s="587"/>
      <c r="SKP165" s="588"/>
      <c r="SKQ165" s="589"/>
      <c r="SKR165" s="588"/>
      <c r="SKS165" s="589"/>
      <c r="SKT165" s="588"/>
      <c r="SKU165" s="589"/>
      <c r="SKV165" s="588"/>
      <c r="SKW165" s="589"/>
      <c r="SKX165" s="588"/>
      <c r="SKY165" s="589"/>
      <c r="SKZ165" s="429"/>
      <c r="SLA165" s="364"/>
      <c r="SLB165" s="365"/>
      <c r="SLC165" s="354"/>
      <c r="SLD165" s="465"/>
      <c r="SLE165" s="565"/>
      <c r="SLF165" s="572"/>
      <c r="SLG165" s="572"/>
      <c r="SLH165" s="566"/>
      <c r="SLI165" s="587"/>
      <c r="SLJ165" s="587"/>
      <c r="SLK165" s="587"/>
      <c r="SLL165" s="587"/>
      <c r="SLM165" s="588"/>
      <c r="SLN165" s="589"/>
      <c r="SLO165" s="588"/>
      <c r="SLP165" s="589"/>
      <c r="SLQ165" s="588"/>
      <c r="SLR165" s="589"/>
      <c r="SLS165" s="588"/>
      <c r="SLT165" s="589"/>
      <c r="SLU165" s="588"/>
      <c r="SLV165" s="589"/>
      <c r="SLW165" s="429"/>
      <c r="SLX165" s="364"/>
      <c r="SLY165" s="365"/>
      <c r="SLZ165" s="354"/>
      <c r="SMA165" s="465"/>
      <c r="SMB165" s="565"/>
      <c r="SMC165" s="572"/>
      <c r="SMD165" s="572"/>
      <c r="SME165" s="566"/>
      <c r="SMF165" s="587"/>
      <c r="SMG165" s="587"/>
      <c r="SMH165" s="587"/>
      <c r="SMI165" s="587"/>
      <c r="SMJ165" s="588"/>
      <c r="SMK165" s="589"/>
      <c r="SML165" s="588"/>
      <c r="SMM165" s="589"/>
      <c r="SMN165" s="588"/>
      <c r="SMO165" s="589"/>
      <c r="SMP165" s="588"/>
      <c r="SMQ165" s="589"/>
      <c r="SMR165" s="588"/>
      <c r="SMS165" s="589"/>
      <c r="SMT165" s="429"/>
      <c r="SMU165" s="364"/>
      <c r="SMV165" s="365"/>
      <c r="SMW165" s="354"/>
      <c r="SMX165" s="465"/>
      <c r="SMY165" s="565"/>
      <c r="SMZ165" s="572"/>
      <c r="SNA165" s="572"/>
      <c r="SNB165" s="566"/>
      <c r="SNC165" s="587"/>
      <c r="SND165" s="587"/>
      <c r="SNE165" s="587"/>
      <c r="SNF165" s="587"/>
      <c r="SNG165" s="588"/>
      <c r="SNH165" s="589"/>
      <c r="SNI165" s="588"/>
      <c r="SNJ165" s="589"/>
      <c r="SNK165" s="588"/>
      <c r="SNL165" s="589"/>
      <c r="SNM165" s="588"/>
      <c r="SNN165" s="589"/>
      <c r="SNO165" s="588"/>
      <c r="SNP165" s="589"/>
      <c r="SNQ165" s="429"/>
      <c r="SNR165" s="364"/>
      <c r="SNS165" s="365"/>
      <c r="SNT165" s="354"/>
      <c r="SNU165" s="465"/>
      <c r="SNV165" s="565"/>
      <c r="SNW165" s="572"/>
      <c r="SNX165" s="572"/>
      <c r="SNY165" s="566"/>
      <c r="SNZ165" s="587"/>
      <c r="SOA165" s="587"/>
      <c r="SOB165" s="587"/>
      <c r="SOC165" s="587"/>
      <c r="SOD165" s="588"/>
      <c r="SOE165" s="589"/>
      <c r="SOF165" s="588"/>
      <c r="SOG165" s="589"/>
      <c r="SOH165" s="588"/>
      <c r="SOI165" s="589"/>
      <c r="SOJ165" s="588"/>
      <c r="SOK165" s="589"/>
      <c r="SOL165" s="588"/>
      <c r="SOM165" s="589"/>
      <c r="SON165" s="429"/>
      <c r="SOO165" s="364"/>
      <c r="SOP165" s="365"/>
      <c r="SOQ165" s="354"/>
      <c r="SOR165" s="465"/>
      <c r="SOS165" s="565"/>
      <c r="SOT165" s="572"/>
      <c r="SOU165" s="572"/>
      <c r="SOV165" s="566"/>
      <c r="SOW165" s="587"/>
      <c r="SOX165" s="587"/>
      <c r="SOY165" s="587"/>
      <c r="SOZ165" s="587"/>
      <c r="SPA165" s="588"/>
      <c r="SPB165" s="589"/>
      <c r="SPC165" s="588"/>
      <c r="SPD165" s="589"/>
      <c r="SPE165" s="588"/>
      <c r="SPF165" s="589"/>
      <c r="SPG165" s="588"/>
      <c r="SPH165" s="589"/>
      <c r="SPI165" s="588"/>
      <c r="SPJ165" s="589"/>
      <c r="SPK165" s="429"/>
      <c r="SPL165" s="364"/>
      <c r="SPM165" s="365"/>
      <c r="SPN165" s="354"/>
      <c r="SPO165" s="465"/>
      <c r="SPP165" s="565"/>
      <c r="SPQ165" s="572"/>
      <c r="SPR165" s="572"/>
      <c r="SPS165" s="566"/>
      <c r="SPT165" s="587"/>
      <c r="SPU165" s="587"/>
      <c r="SPV165" s="587"/>
      <c r="SPW165" s="587"/>
      <c r="SPX165" s="588"/>
      <c r="SPY165" s="589"/>
      <c r="SPZ165" s="588"/>
      <c r="SQA165" s="589"/>
      <c r="SQB165" s="588"/>
      <c r="SQC165" s="589"/>
      <c r="SQD165" s="588"/>
      <c r="SQE165" s="589"/>
      <c r="SQF165" s="588"/>
      <c r="SQG165" s="589"/>
      <c r="SQH165" s="429"/>
      <c r="SQI165" s="364"/>
      <c r="SQJ165" s="365"/>
      <c r="SQK165" s="354"/>
      <c r="SQL165" s="465"/>
      <c r="SQM165" s="565"/>
      <c r="SQN165" s="572"/>
      <c r="SQO165" s="572"/>
      <c r="SQP165" s="566"/>
      <c r="SQQ165" s="587"/>
      <c r="SQR165" s="587"/>
      <c r="SQS165" s="587"/>
      <c r="SQT165" s="587"/>
      <c r="SQU165" s="588"/>
      <c r="SQV165" s="589"/>
      <c r="SQW165" s="588"/>
      <c r="SQX165" s="589"/>
      <c r="SQY165" s="588"/>
      <c r="SQZ165" s="589"/>
      <c r="SRA165" s="588"/>
      <c r="SRB165" s="589"/>
      <c r="SRC165" s="588"/>
      <c r="SRD165" s="589"/>
      <c r="SRE165" s="429"/>
      <c r="SRF165" s="364"/>
      <c r="SRG165" s="365"/>
      <c r="SRH165" s="354"/>
      <c r="SRI165" s="465"/>
      <c r="SRJ165" s="565"/>
      <c r="SRK165" s="572"/>
      <c r="SRL165" s="572"/>
      <c r="SRM165" s="566"/>
      <c r="SRN165" s="587"/>
      <c r="SRO165" s="587"/>
      <c r="SRP165" s="587"/>
      <c r="SRQ165" s="587"/>
      <c r="SRR165" s="588"/>
      <c r="SRS165" s="589"/>
      <c r="SRT165" s="588"/>
      <c r="SRU165" s="589"/>
      <c r="SRV165" s="588"/>
      <c r="SRW165" s="589"/>
      <c r="SRX165" s="588"/>
      <c r="SRY165" s="589"/>
      <c r="SRZ165" s="588"/>
      <c r="SSA165" s="589"/>
      <c r="SSB165" s="429"/>
      <c r="SSC165" s="364"/>
      <c r="SSD165" s="365"/>
      <c r="SSE165" s="354"/>
      <c r="SSF165" s="465"/>
      <c r="SSG165" s="565"/>
      <c r="SSH165" s="572"/>
      <c r="SSI165" s="572"/>
      <c r="SSJ165" s="566"/>
      <c r="SSK165" s="587"/>
      <c r="SSL165" s="587"/>
      <c r="SSM165" s="587"/>
      <c r="SSN165" s="587"/>
      <c r="SSO165" s="588"/>
      <c r="SSP165" s="589"/>
      <c r="SSQ165" s="588"/>
      <c r="SSR165" s="589"/>
      <c r="SSS165" s="588"/>
      <c r="SST165" s="589"/>
      <c r="SSU165" s="588"/>
      <c r="SSV165" s="589"/>
      <c r="SSW165" s="588"/>
      <c r="SSX165" s="589"/>
      <c r="SSY165" s="429"/>
      <c r="SSZ165" s="364"/>
      <c r="STA165" s="365"/>
      <c r="STB165" s="354"/>
      <c r="STC165" s="465"/>
      <c r="STD165" s="565"/>
      <c r="STE165" s="572"/>
      <c r="STF165" s="572"/>
      <c r="STG165" s="566"/>
      <c r="STH165" s="587"/>
      <c r="STI165" s="587"/>
      <c r="STJ165" s="587"/>
      <c r="STK165" s="587"/>
      <c r="STL165" s="588"/>
      <c r="STM165" s="589"/>
      <c r="STN165" s="588"/>
      <c r="STO165" s="589"/>
      <c r="STP165" s="588"/>
      <c r="STQ165" s="589"/>
      <c r="STR165" s="588"/>
      <c r="STS165" s="589"/>
      <c r="STT165" s="588"/>
      <c r="STU165" s="589"/>
      <c r="STV165" s="429"/>
      <c r="STW165" s="364"/>
      <c r="STX165" s="365"/>
      <c r="STY165" s="354"/>
      <c r="STZ165" s="465"/>
      <c r="SUA165" s="565"/>
      <c r="SUB165" s="572"/>
      <c r="SUC165" s="572"/>
      <c r="SUD165" s="566"/>
      <c r="SUE165" s="587"/>
      <c r="SUF165" s="587"/>
      <c r="SUG165" s="587"/>
      <c r="SUH165" s="587"/>
      <c r="SUI165" s="588"/>
      <c r="SUJ165" s="589"/>
      <c r="SUK165" s="588"/>
      <c r="SUL165" s="589"/>
      <c r="SUM165" s="588"/>
      <c r="SUN165" s="589"/>
      <c r="SUO165" s="588"/>
      <c r="SUP165" s="589"/>
      <c r="SUQ165" s="588"/>
      <c r="SUR165" s="589"/>
      <c r="SUS165" s="429"/>
      <c r="SUT165" s="364"/>
      <c r="SUU165" s="365"/>
      <c r="SUV165" s="354"/>
      <c r="SUW165" s="465"/>
      <c r="SUX165" s="565"/>
      <c r="SUY165" s="572"/>
      <c r="SUZ165" s="572"/>
      <c r="SVA165" s="566"/>
      <c r="SVB165" s="587"/>
      <c r="SVC165" s="587"/>
      <c r="SVD165" s="587"/>
      <c r="SVE165" s="587"/>
      <c r="SVF165" s="588"/>
      <c r="SVG165" s="589"/>
      <c r="SVH165" s="588"/>
      <c r="SVI165" s="589"/>
      <c r="SVJ165" s="588"/>
      <c r="SVK165" s="589"/>
      <c r="SVL165" s="588"/>
      <c r="SVM165" s="589"/>
      <c r="SVN165" s="588"/>
      <c r="SVO165" s="589"/>
      <c r="SVP165" s="429"/>
      <c r="SVQ165" s="364"/>
      <c r="SVR165" s="365"/>
      <c r="SVS165" s="354"/>
      <c r="SVT165" s="465"/>
      <c r="SVU165" s="565"/>
      <c r="SVV165" s="572"/>
      <c r="SVW165" s="572"/>
      <c r="SVX165" s="566"/>
      <c r="SVY165" s="587"/>
      <c r="SVZ165" s="587"/>
      <c r="SWA165" s="587"/>
      <c r="SWB165" s="587"/>
      <c r="SWC165" s="588"/>
      <c r="SWD165" s="589"/>
      <c r="SWE165" s="588"/>
      <c r="SWF165" s="589"/>
      <c r="SWG165" s="588"/>
      <c r="SWH165" s="589"/>
      <c r="SWI165" s="588"/>
      <c r="SWJ165" s="589"/>
      <c r="SWK165" s="588"/>
      <c r="SWL165" s="589"/>
      <c r="SWM165" s="429"/>
      <c r="SWN165" s="364"/>
      <c r="SWO165" s="365"/>
      <c r="SWP165" s="354"/>
      <c r="SWQ165" s="465"/>
      <c r="SWR165" s="565"/>
      <c r="SWS165" s="572"/>
      <c r="SWT165" s="572"/>
      <c r="SWU165" s="566"/>
      <c r="SWV165" s="587"/>
      <c r="SWW165" s="587"/>
      <c r="SWX165" s="587"/>
      <c r="SWY165" s="587"/>
      <c r="SWZ165" s="588"/>
      <c r="SXA165" s="589"/>
      <c r="SXB165" s="588"/>
      <c r="SXC165" s="589"/>
      <c r="SXD165" s="588"/>
      <c r="SXE165" s="589"/>
      <c r="SXF165" s="588"/>
      <c r="SXG165" s="589"/>
      <c r="SXH165" s="588"/>
      <c r="SXI165" s="589"/>
      <c r="SXJ165" s="429"/>
      <c r="SXK165" s="364"/>
      <c r="SXL165" s="365"/>
      <c r="SXM165" s="354"/>
      <c r="SXN165" s="465"/>
      <c r="SXO165" s="565"/>
      <c r="SXP165" s="572"/>
      <c r="SXQ165" s="572"/>
      <c r="SXR165" s="566"/>
      <c r="SXS165" s="587"/>
      <c r="SXT165" s="587"/>
      <c r="SXU165" s="587"/>
      <c r="SXV165" s="587"/>
      <c r="SXW165" s="588"/>
      <c r="SXX165" s="589"/>
      <c r="SXY165" s="588"/>
      <c r="SXZ165" s="589"/>
      <c r="SYA165" s="588"/>
      <c r="SYB165" s="589"/>
      <c r="SYC165" s="588"/>
      <c r="SYD165" s="589"/>
      <c r="SYE165" s="588"/>
      <c r="SYF165" s="589"/>
      <c r="SYG165" s="429"/>
      <c r="SYH165" s="364"/>
      <c r="SYI165" s="365"/>
      <c r="SYJ165" s="354"/>
      <c r="SYK165" s="465"/>
      <c r="SYL165" s="565"/>
      <c r="SYM165" s="572"/>
      <c r="SYN165" s="572"/>
      <c r="SYO165" s="566"/>
      <c r="SYP165" s="587"/>
      <c r="SYQ165" s="587"/>
      <c r="SYR165" s="587"/>
      <c r="SYS165" s="587"/>
      <c r="SYT165" s="588"/>
      <c r="SYU165" s="589"/>
      <c r="SYV165" s="588"/>
      <c r="SYW165" s="589"/>
      <c r="SYX165" s="588"/>
      <c r="SYY165" s="589"/>
      <c r="SYZ165" s="588"/>
      <c r="SZA165" s="589"/>
      <c r="SZB165" s="588"/>
      <c r="SZC165" s="589"/>
      <c r="SZD165" s="429"/>
      <c r="SZE165" s="364"/>
      <c r="SZF165" s="365"/>
      <c r="SZG165" s="354"/>
      <c r="SZH165" s="465"/>
      <c r="SZI165" s="565"/>
      <c r="SZJ165" s="572"/>
      <c r="SZK165" s="572"/>
      <c r="SZL165" s="566"/>
      <c r="SZM165" s="587"/>
      <c r="SZN165" s="587"/>
      <c r="SZO165" s="587"/>
      <c r="SZP165" s="587"/>
      <c r="SZQ165" s="588"/>
      <c r="SZR165" s="589"/>
      <c r="SZS165" s="588"/>
      <c r="SZT165" s="589"/>
      <c r="SZU165" s="588"/>
      <c r="SZV165" s="589"/>
      <c r="SZW165" s="588"/>
      <c r="SZX165" s="589"/>
      <c r="SZY165" s="588"/>
      <c r="SZZ165" s="589"/>
      <c r="TAA165" s="429"/>
      <c r="TAB165" s="364"/>
      <c r="TAC165" s="365"/>
      <c r="TAD165" s="354"/>
      <c r="TAE165" s="465"/>
      <c r="TAF165" s="565"/>
      <c r="TAG165" s="572"/>
      <c r="TAH165" s="572"/>
      <c r="TAI165" s="566"/>
      <c r="TAJ165" s="587"/>
      <c r="TAK165" s="587"/>
      <c r="TAL165" s="587"/>
      <c r="TAM165" s="587"/>
      <c r="TAN165" s="588"/>
      <c r="TAO165" s="589"/>
      <c r="TAP165" s="588"/>
      <c r="TAQ165" s="589"/>
      <c r="TAR165" s="588"/>
      <c r="TAS165" s="589"/>
      <c r="TAT165" s="588"/>
      <c r="TAU165" s="589"/>
      <c r="TAV165" s="588"/>
      <c r="TAW165" s="589"/>
      <c r="TAX165" s="429"/>
      <c r="TAY165" s="364"/>
      <c r="TAZ165" s="365"/>
      <c r="TBA165" s="354"/>
      <c r="TBB165" s="465"/>
      <c r="TBC165" s="565"/>
      <c r="TBD165" s="572"/>
      <c r="TBE165" s="572"/>
      <c r="TBF165" s="566"/>
      <c r="TBG165" s="587"/>
      <c r="TBH165" s="587"/>
      <c r="TBI165" s="587"/>
      <c r="TBJ165" s="587"/>
      <c r="TBK165" s="588"/>
      <c r="TBL165" s="589"/>
      <c r="TBM165" s="588"/>
      <c r="TBN165" s="589"/>
      <c r="TBO165" s="588"/>
      <c r="TBP165" s="589"/>
      <c r="TBQ165" s="588"/>
      <c r="TBR165" s="589"/>
      <c r="TBS165" s="588"/>
      <c r="TBT165" s="589"/>
      <c r="TBU165" s="429"/>
      <c r="TBV165" s="364"/>
      <c r="TBW165" s="365"/>
      <c r="TBX165" s="354"/>
      <c r="TBY165" s="465"/>
      <c r="TBZ165" s="565"/>
      <c r="TCA165" s="572"/>
      <c r="TCB165" s="572"/>
      <c r="TCC165" s="566"/>
      <c r="TCD165" s="587"/>
      <c r="TCE165" s="587"/>
      <c r="TCF165" s="587"/>
      <c r="TCG165" s="587"/>
      <c r="TCH165" s="588"/>
      <c r="TCI165" s="589"/>
      <c r="TCJ165" s="588"/>
      <c r="TCK165" s="589"/>
      <c r="TCL165" s="588"/>
      <c r="TCM165" s="589"/>
      <c r="TCN165" s="588"/>
      <c r="TCO165" s="589"/>
      <c r="TCP165" s="588"/>
      <c r="TCQ165" s="589"/>
      <c r="TCR165" s="429"/>
      <c r="TCS165" s="364"/>
      <c r="TCT165" s="365"/>
      <c r="TCU165" s="354"/>
      <c r="TCV165" s="465"/>
      <c r="TCW165" s="565"/>
      <c r="TCX165" s="572"/>
      <c r="TCY165" s="572"/>
      <c r="TCZ165" s="566"/>
      <c r="TDA165" s="587"/>
      <c r="TDB165" s="587"/>
      <c r="TDC165" s="587"/>
      <c r="TDD165" s="587"/>
      <c r="TDE165" s="588"/>
      <c r="TDF165" s="589"/>
      <c r="TDG165" s="588"/>
      <c r="TDH165" s="589"/>
      <c r="TDI165" s="588"/>
      <c r="TDJ165" s="589"/>
      <c r="TDK165" s="588"/>
      <c r="TDL165" s="589"/>
      <c r="TDM165" s="588"/>
      <c r="TDN165" s="589"/>
      <c r="TDO165" s="429"/>
      <c r="TDP165" s="364"/>
      <c r="TDQ165" s="365"/>
      <c r="TDR165" s="354"/>
      <c r="TDS165" s="465"/>
      <c r="TDT165" s="565"/>
      <c r="TDU165" s="572"/>
      <c r="TDV165" s="572"/>
      <c r="TDW165" s="566"/>
      <c r="TDX165" s="587"/>
      <c r="TDY165" s="587"/>
      <c r="TDZ165" s="587"/>
      <c r="TEA165" s="587"/>
      <c r="TEB165" s="588"/>
      <c r="TEC165" s="589"/>
      <c r="TED165" s="588"/>
      <c r="TEE165" s="589"/>
      <c r="TEF165" s="588"/>
      <c r="TEG165" s="589"/>
      <c r="TEH165" s="588"/>
      <c r="TEI165" s="589"/>
      <c r="TEJ165" s="588"/>
      <c r="TEK165" s="589"/>
      <c r="TEL165" s="429"/>
      <c r="TEM165" s="364"/>
      <c r="TEN165" s="365"/>
      <c r="TEO165" s="354"/>
      <c r="TEP165" s="465"/>
      <c r="TEQ165" s="565"/>
      <c r="TER165" s="572"/>
      <c r="TES165" s="572"/>
      <c r="TET165" s="566"/>
      <c r="TEU165" s="587"/>
      <c r="TEV165" s="587"/>
      <c r="TEW165" s="587"/>
      <c r="TEX165" s="587"/>
      <c r="TEY165" s="588"/>
      <c r="TEZ165" s="589"/>
      <c r="TFA165" s="588"/>
      <c r="TFB165" s="589"/>
      <c r="TFC165" s="588"/>
      <c r="TFD165" s="589"/>
      <c r="TFE165" s="588"/>
      <c r="TFF165" s="589"/>
      <c r="TFG165" s="588"/>
      <c r="TFH165" s="589"/>
      <c r="TFI165" s="429"/>
      <c r="TFJ165" s="364"/>
      <c r="TFK165" s="365"/>
      <c r="TFL165" s="354"/>
      <c r="TFM165" s="465"/>
      <c r="TFN165" s="565"/>
      <c r="TFO165" s="572"/>
      <c r="TFP165" s="572"/>
      <c r="TFQ165" s="566"/>
      <c r="TFR165" s="587"/>
      <c r="TFS165" s="587"/>
      <c r="TFT165" s="587"/>
      <c r="TFU165" s="587"/>
      <c r="TFV165" s="588"/>
      <c r="TFW165" s="589"/>
      <c r="TFX165" s="588"/>
      <c r="TFY165" s="589"/>
      <c r="TFZ165" s="588"/>
      <c r="TGA165" s="589"/>
      <c r="TGB165" s="588"/>
      <c r="TGC165" s="589"/>
      <c r="TGD165" s="588"/>
      <c r="TGE165" s="589"/>
      <c r="TGF165" s="429"/>
      <c r="TGG165" s="364"/>
      <c r="TGH165" s="365"/>
      <c r="TGI165" s="354"/>
      <c r="TGJ165" s="465"/>
      <c r="TGK165" s="565"/>
      <c r="TGL165" s="572"/>
      <c r="TGM165" s="572"/>
      <c r="TGN165" s="566"/>
      <c r="TGO165" s="587"/>
      <c r="TGP165" s="587"/>
      <c r="TGQ165" s="587"/>
      <c r="TGR165" s="587"/>
      <c r="TGS165" s="588"/>
      <c r="TGT165" s="589"/>
      <c r="TGU165" s="588"/>
      <c r="TGV165" s="589"/>
      <c r="TGW165" s="588"/>
      <c r="TGX165" s="589"/>
      <c r="TGY165" s="588"/>
      <c r="TGZ165" s="589"/>
      <c r="THA165" s="588"/>
      <c r="THB165" s="589"/>
      <c r="THC165" s="429"/>
      <c r="THD165" s="364"/>
      <c r="THE165" s="365"/>
      <c r="THF165" s="354"/>
      <c r="THG165" s="465"/>
      <c r="THH165" s="565"/>
      <c r="THI165" s="572"/>
      <c r="THJ165" s="572"/>
      <c r="THK165" s="566"/>
      <c r="THL165" s="587"/>
      <c r="THM165" s="587"/>
      <c r="THN165" s="587"/>
      <c r="THO165" s="587"/>
      <c r="THP165" s="588"/>
      <c r="THQ165" s="589"/>
      <c r="THR165" s="588"/>
      <c r="THS165" s="589"/>
      <c r="THT165" s="588"/>
      <c r="THU165" s="589"/>
      <c r="THV165" s="588"/>
      <c r="THW165" s="589"/>
      <c r="THX165" s="588"/>
      <c r="THY165" s="589"/>
      <c r="THZ165" s="429"/>
      <c r="TIA165" s="364"/>
      <c r="TIB165" s="365"/>
      <c r="TIC165" s="354"/>
      <c r="TID165" s="465"/>
      <c r="TIE165" s="565"/>
      <c r="TIF165" s="572"/>
      <c r="TIG165" s="572"/>
      <c r="TIH165" s="566"/>
      <c r="TII165" s="587"/>
      <c r="TIJ165" s="587"/>
      <c r="TIK165" s="587"/>
      <c r="TIL165" s="587"/>
      <c r="TIM165" s="588"/>
      <c r="TIN165" s="589"/>
      <c r="TIO165" s="588"/>
      <c r="TIP165" s="589"/>
      <c r="TIQ165" s="588"/>
      <c r="TIR165" s="589"/>
      <c r="TIS165" s="588"/>
      <c r="TIT165" s="589"/>
      <c r="TIU165" s="588"/>
      <c r="TIV165" s="589"/>
      <c r="TIW165" s="429"/>
      <c r="TIX165" s="364"/>
      <c r="TIY165" s="365"/>
      <c r="TIZ165" s="354"/>
      <c r="TJA165" s="465"/>
      <c r="TJB165" s="565"/>
      <c r="TJC165" s="572"/>
      <c r="TJD165" s="572"/>
      <c r="TJE165" s="566"/>
      <c r="TJF165" s="587"/>
      <c r="TJG165" s="587"/>
      <c r="TJH165" s="587"/>
      <c r="TJI165" s="587"/>
      <c r="TJJ165" s="588"/>
      <c r="TJK165" s="589"/>
      <c r="TJL165" s="588"/>
      <c r="TJM165" s="589"/>
      <c r="TJN165" s="588"/>
      <c r="TJO165" s="589"/>
      <c r="TJP165" s="588"/>
      <c r="TJQ165" s="589"/>
      <c r="TJR165" s="588"/>
      <c r="TJS165" s="589"/>
      <c r="TJT165" s="429"/>
      <c r="TJU165" s="364"/>
      <c r="TJV165" s="365"/>
      <c r="TJW165" s="354"/>
      <c r="TJX165" s="465"/>
      <c r="TJY165" s="565"/>
      <c r="TJZ165" s="572"/>
      <c r="TKA165" s="572"/>
      <c r="TKB165" s="566"/>
      <c r="TKC165" s="587"/>
      <c r="TKD165" s="587"/>
      <c r="TKE165" s="587"/>
      <c r="TKF165" s="587"/>
      <c r="TKG165" s="588"/>
      <c r="TKH165" s="589"/>
      <c r="TKI165" s="588"/>
      <c r="TKJ165" s="589"/>
      <c r="TKK165" s="588"/>
      <c r="TKL165" s="589"/>
      <c r="TKM165" s="588"/>
      <c r="TKN165" s="589"/>
      <c r="TKO165" s="588"/>
      <c r="TKP165" s="589"/>
      <c r="TKQ165" s="429"/>
      <c r="TKR165" s="364"/>
      <c r="TKS165" s="365"/>
      <c r="TKT165" s="354"/>
      <c r="TKU165" s="465"/>
      <c r="TKV165" s="565"/>
      <c r="TKW165" s="572"/>
      <c r="TKX165" s="572"/>
      <c r="TKY165" s="566"/>
      <c r="TKZ165" s="587"/>
      <c r="TLA165" s="587"/>
      <c r="TLB165" s="587"/>
      <c r="TLC165" s="587"/>
      <c r="TLD165" s="588"/>
      <c r="TLE165" s="589"/>
      <c r="TLF165" s="588"/>
      <c r="TLG165" s="589"/>
      <c r="TLH165" s="588"/>
      <c r="TLI165" s="589"/>
      <c r="TLJ165" s="588"/>
      <c r="TLK165" s="589"/>
      <c r="TLL165" s="588"/>
      <c r="TLM165" s="589"/>
      <c r="TLN165" s="429"/>
      <c r="TLO165" s="364"/>
      <c r="TLP165" s="365"/>
      <c r="TLQ165" s="354"/>
      <c r="TLR165" s="465"/>
      <c r="TLS165" s="565"/>
      <c r="TLT165" s="572"/>
      <c r="TLU165" s="572"/>
      <c r="TLV165" s="566"/>
      <c r="TLW165" s="587"/>
      <c r="TLX165" s="587"/>
      <c r="TLY165" s="587"/>
      <c r="TLZ165" s="587"/>
      <c r="TMA165" s="588"/>
      <c r="TMB165" s="589"/>
      <c r="TMC165" s="588"/>
      <c r="TMD165" s="589"/>
      <c r="TME165" s="588"/>
      <c r="TMF165" s="589"/>
      <c r="TMG165" s="588"/>
      <c r="TMH165" s="589"/>
      <c r="TMI165" s="588"/>
      <c r="TMJ165" s="589"/>
      <c r="TMK165" s="429"/>
      <c r="TML165" s="364"/>
      <c r="TMM165" s="365"/>
      <c r="TMN165" s="354"/>
      <c r="TMO165" s="465"/>
      <c r="TMP165" s="565"/>
      <c r="TMQ165" s="572"/>
      <c r="TMR165" s="572"/>
      <c r="TMS165" s="566"/>
      <c r="TMT165" s="587"/>
      <c r="TMU165" s="587"/>
      <c r="TMV165" s="587"/>
      <c r="TMW165" s="587"/>
      <c r="TMX165" s="588"/>
      <c r="TMY165" s="589"/>
      <c r="TMZ165" s="588"/>
      <c r="TNA165" s="589"/>
      <c r="TNB165" s="588"/>
      <c r="TNC165" s="589"/>
      <c r="TND165" s="588"/>
      <c r="TNE165" s="589"/>
      <c r="TNF165" s="588"/>
      <c r="TNG165" s="589"/>
      <c r="TNH165" s="429"/>
      <c r="TNI165" s="364"/>
      <c r="TNJ165" s="365"/>
      <c r="TNK165" s="354"/>
      <c r="TNL165" s="465"/>
      <c r="TNM165" s="565"/>
      <c r="TNN165" s="572"/>
      <c r="TNO165" s="572"/>
      <c r="TNP165" s="566"/>
      <c r="TNQ165" s="587"/>
      <c r="TNR165" s="587"/>
      <c r="TNS165" s="587"/>
      <c r="TNT165" s="587"/>
      <c r="TNU165" s="588"/>
      <c r="TNV165" s="589"/>
      <c r="TNW165" s="588"/>
      <c r="TNX165" s="589"/>
      <c r="TNY165" s="588"/>
      <c r="TNZ165" s="589"/>
      <c r="TOA165" s="588"/>
      <c r="TOB165" s="589"/>
      <c r="TOC165" s="588"/>
      <c r="TOD165" s="589"/>
      <c r="TOE165" s="429"/>
      <c r="TOF165" s="364"/>
      <c r="TOG165" s="365"/>
      <c r="TOH165" s="354"/>
      <c r="TOI165" s="465"/>
      <c r="TOJ165" s="565"/>
      <c r="TOK165" s="572"/>
      <c r="TOL165" s="572"/>
      <c r="TOM165" s="566"/>
      <c r="TON165" s="587"/>
      <c r="TOO165" s="587"/>
      <c r="TOP165" s="587"/>
      <c r="TOQ165" s="587"/>
      <c r="TOR165" s="588"/>
      <c r="TOS165" s="589"/>
      <c r="TOT165" s="588"/>
      <c r="TOU165" s="589"/>
      <c r="TOV165" s="588"/>
      <c r="TOW165" s="589"/>
      <c r="TOX165" s="588"/>
      <c r="TOY165" s="589"/>
      <c r="TOZ165" s="588"/>
      <c r="TPA165" s="589"/>
      <c r="TPB165" s="429"/>
      <c r="TPC165" s="364"/>
      <c r="TPD165" s="365"/>
      <c r="TPE165" s="354"/>
      <c r="TPF165" s="465"/>
      <c r="TPG165" s="565"/>
      <c r="TPH165" s="572"/>
      <c r="TPI165" s="572"/>
      <c r="TPJ165" s="566"/>
      <c r="TPK165" s="587"/>
      <c r="TPL165" s="587"/>
      <c r="TPM165" s="587"/>
      <c r="TPN165" s="587"/>
      <c r="TPO165" s="588"/>
      <c r="TPP165" s="589"/>
      <c r="TPQ165" s="588"/>
      <c r="TPR165" s="589"/>
      <c r="TPS165" s="588"/>
      <c r="TPT165" s="589"/>
      <c r="TPU165" s="588"/>
      <c r="TPV165" s="589"/>
      <c r="TPW165" s="588"/>
      <c r="TPX165" s="589"/>
      <c r="TPY165" s="429"/>
      <c r="TPZ165" s="364"/>
      <c r="TQA165" s="365"/>
      <c r="TQB165" s="354"/>
      <c r="TQC165" s="465"/>
      <c r="TQD165" s="565"/>
      <c r="TQE165" s="572"/>
      <c r="TQF165" s="572"/>
      <c r="TQG165" s="566"/>
      <c r="TQH165" s="587"/>
      <c r="TQI165" s="587"/>
      <c r="TQJ165" s="587"/>
      <c r="TQK165" s="587"/>
      <c r="TQL165" s="588"/>
      <c r="TQM165" s="589"/>
      <c r="TQN165" s="588"/>
      <c r="TQO165" s="589"/>
      <c r="TQP165" s="588"/>
      <c r="TQQ165" s="589"/>
      <c r="TQR165" s="588"/>
      <c r="TQS165" s="589"/>
      <c r="TQT165" s="588"/>
      <c r="TQU165" s="589"/>
      <c r="TQV165" s="429"/>
      <c r="TQW165" s="364"/>
      <c r="TQX165" s="365"/>
      <c r="TQY165" s="354"/>
      <c r="TQZ165" s="465"/>
      <c r="TRA165" s="565"/>
      <c r="TRB165" s="572"/>
      <c r="TRC165" s="572"/>
      <c r="TRD165" s="566"/>
      <c r="TRE165" s="587"/>
      <c r="TRF165" s="587"/>
      <c r="TRG165" s="587"/>
      <c r="TRH165" s="587"/>
      <c r="TRI165" s="588"/>
      <c r="TRJ165" s="589"/>
      <c r="TRK165" s="588"/>
      <c r="TRL165" s="589"/>
      <c r="TRM165" s="588"/>
      <c r="TRN165" s="589"/>
      <c r="TRO165" s="588"/>
      <c r="TRP165" s="589"/>
      <c r="TRQ165" s="588"/>
      <c r="TRR165" s="589"/>
      <c r="TRS165" s="429"/>
      <c r="TRT165" s="364"/>
      <c r="TRU165" s="365"/>
      <c r="TRV165" s="354"/>
      <c r="TRW165" s="465"/>
      <c r="TRX165" s="565"/>
      <c r="TRY165" s="572"/>
      <c r="TRZ165" s="572"/>
      <c r="TSA165" s="566"/>
      <c r="TSB165" s="587"/>
      <c r="TSC165" s="587"/>
      <c r="TSD165" s="587"/>
      <c r="TSE165" s="587"/>
      <c r="TSF165" s="588"/>
      <c r="TSG165" s="589"/>
      <c r="TSH165" s="588"/>
      <c r="TSI165" s="589"/>
      <c r="TSJ165" s="588"/>
      <c r="TSK165" s="589"/>
      <c r="TSL165" s="588"/>
      <c r="TSM165" s="589"/>
      <c r="TSN165" s="588"/>
      <c r="TSO165" s="589"/>
      <c r="TSP165" s="429"/>
      <c r="TSQ165" s="364"/>
      <c r="TSR165" s="365"/>
      <c r="TSS165" s="354"/>
      <c r="TST165" s="465"/>
      <c r="TSU165" s="565"/>
      <c r="TSV165" s="572"/>
      <c r="TSW165" s="572"/>
      <c r="TSX165" s="566"/>
      <c r="TSY165" s="587"/>
      <c r="TSZ165" s="587"/>
      <c r="TTA165" s="587"/>
      <c r="TTB165" s="587"/>
      <c r="TTC165" s="588"/>
      <c r="TTD165" s="589"/>
      <c r="TTE165" s="588"/>
      <c r="TTF165" s="589"/>
      <c r="TTG165" s="588"/>
      <c r="TTH165" s="589"/>
      <c r="TTI165" s="588"/>
      <c r="TTJ165" s="589"/>
      <c r="TTK165" s="588"/>
      <c r="TTL165" s="589"/>
      <c r="TTM165" s="429"/>
      <c r="TTN165" s="364"/>
      <c r="TTO165" s="365"/>
      <c r="TTP165" s="354"/>
      <c r="TTQ165" s="465"/>
      <c r="TTR165" s="565"/>
      <c r="TTS165" s="572"/>
      <c r="TTT165" s="572"/>
      <c r="TTU165" s="566"/>
      <c r="TTV165" s="587"/>
      <c r="TTW165" s="587"/>
      <c r="TTX165" s="587"/>
      <c r="TTY165" s="587"/>
      <c r="TTZ165" s="588"/>
      <c r="TUA165" s="589"/>
      <c r="TUB165" s="588"/>
      <c r="TUC165" s="589"/>
      <c r="TUD165" s="588"/>
      <c r="TUE165" s="589"/>
      <c r="TUF165" s="588"/>
      <c r="TUG165" s="589"/>
      <c r="TUH165" s="588"/>
      <c r="TUI165" s="589"/>
      <c r="TUJ165" s="429"/>
      <c r="TUK165" s="364"/>
      <c r="TUL165" s="365"/>
      <c r="TUM165" s="354"/>
      <c r="TUN165" s="465"/>
      <c r="TUO165" s="565"/>
      <c r="TUP165" s="572"/>
      <c r="TUQ165" s="572"/>
      <c r="TUR165" s="566"/>
      <c r="TUS165" s="587"/>
      <c r="TUT165" s="587"/>
      <c r="TUU165" s="587"/>
      <c r="TUV165" s="587"/>
      <c r="TUW165" s="588"/>
      <c r="TUX165" s="589"/>
      <c r="TUY165" s="588"/>
      <c r="TUZ165" s="589"/>
      <c r="TVA165" s="588"/>
      <c r="TVB165" s="589"/>
      <c r="TVC165" s="588"/>
      <c r="TVD165" s="589"/>
      <c r="TVE165" s="588"/>
      <c r="TVF165" s="589"/>
      <c r="TVG165" s="429"/>
      <c r="TVH165" s="364"/>
      <c r="TVI165" s="365"/>
      <c r="TVJ165" s="354"/>
      <c r="TVK165" s="465"/>
      <c r="TVL165" s="565"/>
      <c r="TVM165" s="572"/>
      <c r="TVN165" s="572"/>
      <c r="TVO165" s="566"/>
      <c r="TVP165" s="587"/>
      <c r="TVQ165" s="587"/>
      <c r="TVR165" s="587"/>
      <c r="TVS165" s="587"/>
      <c r="TVT165" s="588"/>
      <c r="TVU165" s="589"/>
      <c r="TVV165" s="588"/>
      <c r="TVW165" s="589"/>
      <c r="TVX165" s="588"/>
      <c r="TVY165" s="589"/>
      <c r="TVZ165" s="588"/>
      <c r="TWA165" s="589"/>
      <c r="TWB165" s="588"/>
      <c r="TWC165" s="589"/>
      <c r="TWD165" s="429"/>
      <c r="TWE165" s="364"/>
      <c r="TWF165" s="365"/>
      <c r="TWG165" s="354"/>
      <c r="TWH165" s="465"/>
      <c r="TWI165" s="565"/>
      <c r="TWJ165" s="572"/>
      <c r="TWK165" s="572"/>
      <c r="TWL165" s="566"/>
      <c r="TWM165" s="587"/>
      <c r="TWN165" s="587"/>
      <c r="TWO165" s="587"/>
      <c r="TWP165" s="587"/>
      <c r="TWQ165" s="588"/>
      <c r="TWR165" s="589"/>
      <c r="TWS165" s="588"/>
      <c r="TWT165" s="589"/>
      <c r="TWU165" s="588"/>
      <c r="TWV165" s="589"/>
      <c r="TWW165" s="588"/>
      <c r="TWX165" s="589"/>
      <c r="TWY165" s="588"/>
      <c r="TWZ165" s="589"/>
      <c r="TXA165" s="429"/>
      <c r="TXB165" s="364"/>
      <c r="TXC165" s="365"/>
      <c r="TXD165" s="354"/>
      <c r="TXE165" s="465"/>
      <c r="TXF165" s="565"/>
      <c r="TXG165" s="572"/>
      <c r="TXH165" s="572"/>
      <c r="TXI165" s="566"/>
      <c r="TXJ165" s="587"/>
      <c r="TXK165" s="587"/>
      <c r="TXL165" s="587"/>
      <c r="TXM165" s="587"/>
      <c r="TXN165" s="588"/>
      <c r="TXO165" s="589"/>
      <c r="TXP165" s="588"/>
      <c r="TXQ165" s="589"/>
      <c r="TXR165" s="588"/>
      <c r="TXS165" s="589"/>
      <c r="TXT165" s="588"/>
      <c r="TXU165" s="589"/>
      <c r="TXV165" s="588"/>
      <c r="TXW165" s="589"/>
      <c r="TXX165" s="429"/>
      <c r="TXY165" s="364"/>
      <c r="TXZ165" s="365"/>
      <c r="TYA165" s="354"/>
      <c r="TYB165" s="465"/>
      <c r="TYC165" s="565"/>
      <c r="TYD165" s="572"/>
      <c r="TYE165" s="572"/>
      <c r="TYF165" s="566"/>
      <c r="TYG165" s="587"/>
      <c r="TYH165" s="587"/>
      <c r="TYI165" s="587"/>
      <c r="TYJ165" s="587"/>
      <c r="TYK165" s="588"/>
      <c r="TYL165" s="589"/>
      <c r="TYM165" s="588"/>
      <c r="TYN165" s="589"/>
      <c r="TYO165" s="588"/>
      <c r="TYP165" s="589"/>
      <c r="TYQ165" s="588"/>
      <c r="TYR165" s="589"/>
      <c r="TYS165" s="588"/>
      <c r="TYT165" s="589"/>
      <c r="TYU165" s="429"/>
      <c r="TYV165" s="364"/>
      <c r="TYW165" s="365"/>
      <c r="TYX165" s="354"/>
      <c r="TYY165" s="465"/>
      <c r="TYZ165" s="565"/>
      <c r="TZA165" s="572"/>
      <c r="TZB165" s="572"/>
      <c r="TZC165" s="566"/>
      <c r="TZD165" s="587"/>
      <c r="TZE165" s="587"/>
      <c r="TZF165" s="587"/>
      <c r="TZG165" s="587"/>
      <c r="TZH165" s="588"/>
      <c r="TZI165" s="589"/>
      <c r="TZJ165" s="588"/>
      <c r="TZK165" s="589"/>
      <c r="TZL165" s="588"/>
      <c r="TZM165" s="589"/>
      <c r="TZN165" s="588"/>
      <c r="TZO165" s="589"/>
      <c r="TZP165" s="588"/>
      <c r="TZQ165" s="589"/>
      <c r="TZR165" s="429"/>
      <c r="TZS165" s="364"/>
      <c r="TZT165" s="365"/>
      <c r="TZU165" s="354"/>
      <c r="TZV165" s="465"/>
      <c r="TZW165" s="565"/>
      <c r="TZX165" s="572"/>
      <c r="TZY165" s="572"/>
      <c r="TZZ165" s="566"/>
      <c r="UAA165" s="587"/>
      <c r="UAB165" s="587"/>
      <c r="UAC165" s="587"/>
      <c r="UAD165" s="587"/>
      <c r="UAE165" s="588"/>
      <c r="UAF165" s="589"/>
      <c r="UAG165" s="588"/>
      <c r="UAH165" s="589"/>
      <c r="UAI165" s="588"/>
      <c r="UAJ165" s="589"/>
      <c r="UAK165" s="588"/>
      <c r="UAL165" s="589"/>
      <c r="UAM165" s="588"/>
      <c r="UAN165" s="589"/>
      <c r="UAO165" s="429"/>
      <c r="UAP165" s="364"/>
      <c r="UAQ165" s="365"/>
      <c r="UAR165" s="354"/>
      <c r="UAS165" s="465"/>
      <c r="UAT165" s="565"/>
      <c r="UAU165" s="572"/>
      <c r="UAV165" s="572"/>
      <c r="UAW165" s="566"/>
      <c r="UAX165" s="587"/>
      <c r="UAY165" s="587"/>
      <c r="UAZ165" s="587"/>
      <c r="UBA165" s="587"/>
      <c r="UBB165" s="588"/>
      <c r="UBC165" s="589"/>
      <c r="UBD165" s="588"/>
      <c r="UBE165" s="589"/>
      <c r="UBF165" s="588"/>
      <c r="UBG165" s="589"/>
      <c r="UBH165" s="588"/>
      <c r="UBI165" s="589"/>
      <c r="UBJ165" s="588"/>
      <c r="UBK165" s="589"/>
      <c r="UBL165" s="429"/>
      <c r="UBM165" s="364"/>
      <c r="UBN165" s="365"/>
      <c r="UBO165" s="354"/>
      <c r="UBP165" s="465"/>
      <c r="UBQ165" s="565"/>
      <c r="UBR165" s="572"/>
      <c r="UBS165" s="572"/>
      <c r="UBT165" s="566"/>
      <c r="UBU165" s="587"/>
      <c r="UBV165" s="587"/>
      <c r="UBW165" s="587"/>
      <c r="UBX165" s="587"/>
      <c r="UBY165" s="588"/>
      <c r="UBZ165" s="589"/>
      <c r="UCA165" s="588"/>
      <c r="UCB165" s="589"/>
      <c r="UCC165" s="588"/>
      <c r="UCD165" s="589"/>
      <c r="UCE165" s="588"/>
      <c r="UCF165" s="589"/>
      <c r="UCG165" s="588"/>
      <c r="UCH165" s="589"/>
      <c r="UCI165" s="429"/>
      <c r="UCJ165" s="364"/>
      <c r="UCK165" s="365"/>
      <c r="UCL165" s="354"/>
      <c r="UCM165" s="465"/>
      <c r="UCN165" s="565"/>
      <c r="UCO165" s="572"/>
      <c r="UCP165" s="572"/>
      <c r="UCQ165" s="566"/>
      <c r="UCR165" s="587"/>
      <c r="UCS165" s="587"/>
      <c r="UCT165" s="587"/>
      <c r="UCU165" s="587"/>
      <c r="UCV165" s="588"/>
      <c r="UCW165" s="589"/>
      <c r="UCX165" s="588"/>
      <c r="UCY165" s="589"/>
      <c r="UCZ165" s="588"/>
      <c r="UDA165" s="589"/>
      <c r="UDB165" s="588"/>
      <c r="UDC165" s="589"/>
      <c r="UDD165" s="588"/>
      <c r="UDE165" s="589"/>
      <c r="UDF165" s="429"/>
      <c r="UDG165" s="364"/>
      <c r="UDH165" s="365"/>
      <c r="UDI165" s="354"/>
      <c r="UDJ165" s="465"/>
      <c r="UDK165" s="565"/>
      <c r="UDL165" s="572"/>
      <c r="UDM165" s="572"/>
      <c r="UDN165" s="566"/>
      <c r="UDO165" s="587"/>
      <c r="UDP165" s="587"/>
      <c r="UDQ165" s="587"/>
      <c r="UDR165" s="587"/>
      <c r="UDS165" s="588"/>
      <c r="UDT165" s="589"/>
      <c r="UDU165" s="588"/>
      <c r="UDV165" s="589"/>
      <c r="UDW165" s="588"/>
      <c r="UDX165" s="589"/>
      <c r="UDY165" s="588"/>
      <c r="UDZ165" s="589"/>
      <c r="UEA165" s="588"/>
      <c r="UEB165" s="589"/>
      <c r="UEC165" s="429"/>
      <c r="UED165" s="364"/>
      <c r="UEE165" s="365"/>
      <c r="UEF165" s="354"/>
      <c r="UEG165" s="465"/>
      <c r="UEH165" s="565"/>
      <c r="UEI165" s="572"/>
      <c r="UEJ165" s="572"/>
      <c r="UEK165" s="566"/>
      <c r="UEL165" s="587"/>
      <c r="UEM165" s="587"/>
      <c r="UEN165" s="587"/>
      <c r="UEO165" s="587"/>
      <c r="UEP165" s="588"/>
      <c r="UEQ165" s="589"/>
      <c r="UER165" s="588"/>
      <c r="UES165" s="589"/>
      <c r="UET165" s="588"/>
      <c r="UEU165" s="589"/>
      <c r="UEV165" s="588"/>
      <c r="UEW165" s="589"/>
      <c r="UEX165" s="588"/>
      <c r="UEY165" s="589"/>
      <c r="UEZ165" s="429"/>
      <c r="UFA165" s="364"/>
      <c r="UFB165" s="365"/>
      <c r="UFC165" s="354"/>
      <c r="UFD165" s="465"/>
      <c r="UFE165" s="565"/>
      <c r="UFF165" s="572"/>
      <c r="UFG165" s="572"/>
      <c r="UFH165" s="566"/>
      <c r="UFI165" s="587"/>
      <c r="UFJ165" s="587"/>
      <c r="UFK165" s="587"/>
      <c r="UFL165" s="587"/>
      <c r="UFM165" s="588"/>
      <c r="UFN165" s="589"/>
      <c r="UFO165" s="588"/>
      <c r="UFP165" s="589"/>
      <c r="UFQ165" s="588"/>
      <c r="UFR165" s="589"/>
      <c r="UFS165" s="588"/>
      <c r="UFT165" s="589"/>
      <c r="UFU165" s="588"/>
      <c r="UFV165" s="589"/>
      <c r="UFW165" s="429"/>
      <c r="UFX165" s="364"/>
      <c r="UFY165" s="365"/>
      <c r="UFZ165" s="354"/>
      <c r="UGA165" s="465"/>
      <c r="UGB165" s="565"/>
      <c r="UGC165" s="572"/>
      <c r="UGD165" s="572"/>
      <c r="UGE165" s="566"/>
      <c r="UGF165" s="587"/>
      <c r="UGG165" s="587"/>
      <c r="UGH165" s="587"/>
      <c r="UGI165" s="587"/>
      <c r="UGJ165" s="588"/>
      <c r="UGK165" s="589"/>
      <c r="UGL165" s="588"/>
      <c r="UGM165" s="589"/>
      <c r="UGN165" s="588"/>
      <c r="UGO165" s="589"/>
      <c r="UGP165" s="588"/>
      <c r="UGQ165" s="589"/>
      <c r="UGR165" s="588"/>
      <c r="UGS165" s="589"/>
      <c r="UGT165" s="429"/>
      <c r="UGU165" s="364"/>
      <c r="UGV165" s="365"/>
      <c r="UGW165" s="354"/>
      <c r="UGX165" s="465"/>
      <c r="UGY165" s="565"/>
      <c r="UGZ165" s="572"/>
      <c r="UHA165" s="572"/>
      <c r="UHB165" s="566"/>
      <c r="UHC165" s="587"/>
      <c r="UHD165" s="587"/>
      <c r="UHE165" s="587"/>
      <c r="UHF165" s="587"/>
      <c r="UHG165" s="588"/>
      <c r="UHH165" s="589"/>
      <c r="UHI165" s="588"/>
      <c r="UHJ165" s="589"/>
      <c r="UHK165" s="588"/>
      <c r="UHL165" s="589"/>
      <c r="UHM165" s="588"/>
      <c r="UHN165" s="589"/>
      <c r="UHO165" s="588"/>
      <c r="UHP165" s="589"/>
      <c r="UHQ165" s="429"/>
      <c r="UHR165" s="364"/>
      <c r="UHS165" s="365"/>
      <c r="UHT165" s="354"/>
      <c r="UHU165" s="465"/>
      <c r="UHV165" s="565"/>
      <c r="UHW165" s="572"/>
      <c r="UHX165" s="572"/>
      <c r="UHY165" s="566"/>
      <c r="UHZ165" s="587"/>
      <c r="UIA165" s="587"/>
      <c r="UIB165" s="587"/>
      <c r="UIC165" s="587"/>
      <c r="UID165" s="588"/>
      <c r="UIE165" s="589"/>
      <c r="UIF165" s="588"/>
      <c r="UIG165" s="589"/>
      <c r="UIH165" s="588"/>
      <c r="UII165" s="589"/>
      <c r="UIJ165" s="588"/>
      <c r="UIK165" s="589"/>
      <c r="UIL165" s="588"/>
      <c r="UIM165" s="589"/>
      <c r="UIN165" s="429"/>
      <c r="UIO165" s="364"/>
      <c r="UIP165" s="365"/>
      <c r="UIQ165" s="354"/>
      <c r="UIR165" s="465"/>
      <c r="UIS165" s="565"/>
      <c r="UIT165" s="572"/>
      <c r="UIU165" s="572"/>
      <c r="UIV165" s="566"/>
      <c r="UIW165" s="587"/>
      <c r="UIX165" s="587"/>
      <c r="UIY165" s="587"/>
      <c r="UIZ165" s="587"/>
      <c r="UJA165" s="588"/>
      <c r="UJB165" s="589"/>
      <c r="UJC165" s="588"/>
      <c r="UJD165" s="589"/>
      <c r="UJE165" s="588"/>
      <c r="UJF165" s="589"/>
      <c r="UJG165" s="588"/>
      <c r="UJH165" s="589"/>
      <c r="UJI165" s="588"/>
      <c r="UJJ165" s="589"/>
      <c r="UJK165" s="429"/>
      <c r="UJL165" s="364"/>
      <c r="UJM165" s="365"/>
      <c r="UJN165" s="354"/>
      <c r="UJO165" s="465"/>
      <c r="UJP165" s="565"/>
      <c r="UJQ165" s="572"/>
      <c r="UJR165" s="572"/>
      <c r="UJS165" s="566"/>
      <c r="UJT165" s="587"/>
      <c r="UJU165" s="587"/>
      <c r="UJV165" s="587"/>
      <c r="UJW165" s="587"/>
      <c r="UJX165" s="588"/>
      <c r="UJY165" s="589"/>
      <c r="UJZ165" s="588"/>
      <c r="UKA165" s="589"/>
      <c r="UKB165" s="588"/>
      <c r="UKC165" s="589"/>
      <c r="UKD165" s="588"/>
      <c r="UKE165" s="589"/>
      <c r="UKF165" s="588"/>
      <c r="UKG165" s="589"/>
      <c r="UKH165" s="429"/>
      <c r="UKI165" s="364"/>
      <c r="UKJ165" s="365"/>
      <c r="UKK165" s="354"/>
      <c r="UKL165" s="465"/>
      <c r="UKM165" s="565"/>
      <c r="UKN165" s="572"/>
      <c r="UKO165" s="572"/>
      <c r="UKP165" s="566"/>
      <c r="UKQ165" s="587"/>
      <c r="UKR165" s="587"/>
      <c r="UKS165" s="587"/>
      <c r="UKT165" s="587"/>
      <c r="UKU165" s="588"/>
      <c r="UKV165" s="589"/>
      <c r="UKW165" s="588"/>
      <c r="UKX165" s="589"/>
      <c r="UKY165" s="588"/>
      <c r="UKZ165" s="589"/>
      <c r="ULA165" s="588"/>
      <c r="ULB165" s="589"/>
      <c r="ULC165" s="588"/>
      <c r="ULD165" s="589"/>
      <c r="ULE165" s="429"/>
      <c r="ULF165" s="364"/>
      <c r="ULG165" s="365"/>
      <c r="ULH165" s="354"/>
      <c r="ULI165" s="465"/>
      <c r="ULJ165" s="565"/>
      <c r="ULK165" s="572"/>
      <c r="ULL165" s="572"/>
      <c r="ULM165" s="566"/>
      <c r="ULN165" s="587"/>
      <c r="ULO165" s="587"/>
      <c r="ULP165" s="587"/>
      <c r="ULQ165" s="587"/>
      <c r="ULR165" s="588"/>
      <c r="ULS165" s="589"/>
      <c r="ULT165" s="588"/>
      <c r="ULU165" s="589"/>
      <c r="ULV165" s="588"/>
      <c r="ULW165" s="589"/>
      <c r="ULX165" s="588"/>
      <c r="ULY165" s="589"/>
      <c r="ULZ165" s="588"/>
      <c r="UMA165" s="589"/>
      <c r="UMB165" s="429"/>
      <c r="UMC165" s="364"/>
      <c r="UMD165" s="365"/>
      <c r="UME165" s="354"/>
      <c r="UMF165" s="465"/>
      <c r="UMG165" s="565"/>
      <c r="UMH165" s="572"/>
      <c r="UMI165" s="572"/>
      <c r="UMJ165" s="566"/>
      <c r="UMK165" s="587"/>
      <c r="UML165" s="587"/>
      <c r="UMM165" s="587"/>
      <c r="UMN165" s="587"/>
      <c r="UMO165" s="588"/>
      <c r="UMP165" s="589"/>
      <c r="UMQ165" s="588"/>
      <c r="UMR165" s="589"/>
      <c r="UMS165" s="588"/>
      <c r="UMT165" s="589"/>
      <c r="UMU165" s="588"/>
      <c r="UMV165" s="589"/>
      <c r="UMW165" s="588"/>
      <c r="UMX165" s="589"/>
      <c r="UMY165" s="429"/>
      <c r="UMZ165" s="364"/>
      <c r="UNA165" s="365"/>
      <c r="UNB165" s="354"/>
      <c r="UNC165" s="465"/>
      <c r="UND165" s="565"/>
      <c r="UNE165" s="572"/>
      <c r="UNF165" s="572"/>
      <c r="UNG165" s="566"/>
      <c r="UNH165" s="587"/>
      <c r="UNI165" s="587"/>
      <c r="UNJ165" s="587"/>
      <c r="UNK165" s="587"/>
      <c r="UNL165" s="588"/>
      <c r="UNM165" s="589"/>
      <c r="UNN165" s="588"/>
      <c r="UNO165" s="589"/>
      <c r="UNP165" s="588"/>
      <c r="UNQ165" s="589"/>
      <c r="UNR165" s="588"/>
      <c r="UNS165" s="589"/>
      <c r="UNT165" s="588"/>
      <c r="UNU165" s="589"/>
      <c r="UNV165" s="429"/>
      <c r="UNW165" s="364"/>
      <c r="UNX165" s="365"/>
      <c r="UNY165" s="354"/>
      <c r="UNZ165" s="465"/>
      <c r="UOA165" s="565"/>
      <c r="UOB165" s="572"/>
      <c r="UOC165" s="572"/>
      <c r="UOD165" s="566"/>
      <c r="UOE165" s="587"/>
      <c r="UOF165" s="587"/>
      <c r="UOG165" s="587"/>
      <c r="UOH165" s="587"/>
      <c r="UOI165" s="588"/>
      <c r="UOJ165" s="589"/>
      <c r="UOK165" s="588"/>
      <c r="UOL165" s="589"/>
      <c r="UOM165" s="588"/>
      <c r="UON165" s="589"/>
      <c r="UOO165" s="588"/>
      <c r="UOP165" s="589"/>
      <c r="UOQ165" s="588"/>
      <c r="UOR165" s="589"/>
      <c r="UOS165" s="429"/>
      <c r="UOT165" s="364"/>
      <c r="UOU165" s="365"/>
      <c r="UOV165" s="354"/>
      <c r="UOW165" s="465"/>
      <c r="UOX165" s="565"/>
      <c r="UOY165" s="572"/>
      <c r="UOZ165" s="572"/>
      <c r="UPA165" s="566"/>
      <c r="UPB165" s="587"/>
      <c r="UPC165" s="587"/>
      <c r="UPD165" s="587"/>
      <c r="UPE165" s="587"/>
      <c r="UPF165" s="588"/>
      <c r="UPG165" s="589"/>
      <c r="UPH165" s="588"/>
      <c r="UPI165" s="589"/>
      <c r="UPJ165" s="588"/>
      <c r="UPK165" s="589"/>
      <c r="UPL165" s="588"/>
      <c r="UPM165" s="589"/>
      <c r="UPN165" s="588"/>
      <c r="UPO165" s="589"/>
      <c r="UPP165" s="429"/>
      <c r="UPQ165" s="364"/>
      <c r="UPR165" s="365"/>
      <c r="UPS165" s="354"/>
      <c r="UPT165" s="465"/>
      <c r="UPU165" s="565"/>
      <c r="UPV165" s="572"/>
      <c r="UPW165" s="572"/>
      <c r="UPX165" s="566"/>
      <c r="UPY165" s="587"/>
      <c r="UPZ165" s="587"/>
      <c r="UQA165" s="587"/>
      <c r="UQB165" s="587"/>
      <c r="UQC165" s="588"/>
      <c r="UQD165" s="589"/>
      <c r="UQE165" s="588"/>
      <c r="UQF165" s="589"/>
      <c r="UQG165" s="588"/>
      <c r="UQH165" s="589"/>
      <c r="UQI165" s="588"/>
      <c r="UQJ165" s="589"/>
      <c r="UQK165" s="588"/>
      <c r="UQL165" s="589"/>
      <c r="UQM165" s="429"/>
      <c r="UQN165" s="364"/>
      <c r="UQO165" s="365"/>
      <c r="UQP165" s="354"/>
      <c r="UQQ165" s="465"/>
      <c r="UQR165" s="565"/>
      <c r="UQS165" s="572"/>
      <c r="UQT165" s="572"/>
      <c r="UQU165" s="566"/>
      <c r="UQV165" s="587"/>
      <c r="UQW165" s="587"/>
      <c r="UQX165" s="587"/>
      <c r="UQY165" s="587"/>
      <c r="UQZ165" s="588"/>
      <c r="URA165" s="589"/>
      <c r="URB165" s="588"/>
      <c r="URC165" s="589"/>
      <c r="URD165" s="588"/>
      <c r="URE165" s="589"/>
      <c r="URF165" s="588"/>
      <c r="URG165" s="589"/>
      <c r="URH165" s="588"/>
      <c r="URI165" s="589"/>
      <c r="URJ165" s="429"/>
      <c r="URK165" s="364"/>
      <c r="URL165" s="365"/>
      <c r="URM165" s="354"/>
      <c r="URN165" s="465"/>
      <c r="URO165" s="565"/>
      <c r="URP165" s="572"/>
      <c r="URQ165" s="572"/>
      <c r="URR165" s="566"/>
      <c r="URS165" s="587"/>
      <c r="URT165" s="587"/>
      <c r="URU165" s="587"/>
      <c r="URV165" s="587"/>
      <c r="URW165" s="588"/>
      <c r="URX165" s="589"/>
      <c r="URY165" s="588"/>
      <c r="URZ165" s="589"/>
      <c r="USA165" s="588"/>
      <c r="USB165" s="589"/>
      <c r="USC165" s="588"/>
      <c r="USD165" s="589"/>
      <c r="USE165" s="588"/>
      <c r="USF165" s="589"/>
      <c r="USG165" s="429"/>
      <c r="USH165" s="364"/>
      <c r="USI165" s="365"/>
      <c r="USJ165" s="354"/>
      <c r="USK165" s="465"/>
      <c r="USL165" s="565"/>
      <c r="USM165" s="572"/>
      <c r="USN165" s="572"/>
      <c r="USO165" s="566"/>
      <c r="USP165" s="587"/>
      <c r="USQ165" s="587"/>
      <c r="USR165" s="587"/>
      <c r="USS165" s="587"/>
      <c r="UST165" s="588"/>
      <c r="USU165" s="589"/>
      <c r="USV165" s="588"/>
      <c r="USW165" s="589"/>
      <c r="USX165" s="588"/>
      <c r="USY165" s="589"/>
      <c r="USZ165" s="588"/>
      <c r="UTA165" s="589"/>
      <c r="UTB165" s="588"/>
      <c r="UTC165" s="589"/>
      <c r="UTD165" s="429"/>
      <c r="UTE165" s="364"/>
      <c r="UTF165" s="365"/>
      <c r="UTG165" s="354"/>
      <c r="UTH165" s="465"/>
      <c r="UTI165" s="565"/>
      <c r="UTJ165" s="572"/>
      <c r="UTK165" s="572"/>
      <c r="UTL165" s="566"/>
      <c r="UTM165" s="587"/>
      <c r="UTN165" s="587"/>
      <c r="UTO165" s="587"/>
      <c r="UTP165" s="587"/>
      <c r="UTQ165" s="588"/>
      <c r="UTR165" s="589"/>
      <c r="UTS165" s="588"/>
      <c r="UTT165" s="589"/>
      <c r="UTU165" s="588"/>
      <c r="UTV165" s="589"/>
      <c r="UTW165" s="588"/>
      <c r="UTX165" s="589"/>
      <c r="UTY165" s="588"/>
      <c r="UTZ165" s="589"/>
      <c r="UUA165" s="429"/>
      <c r="UUB165" s="364"/>
      <c r="UUC165" s="365"/>
      <c r="UUD165" s="354"/>
      <c r="UUE165" s="465"/>
      <c r="UUF165" s="565"/>
      <c r="UUG165" s="572"/>
      <c r="UUH165" s="572"/>
      <c r="UUI165" s="566"/>
      <c r="UUJ165" s="587"/>
      <c r="UUK165" s="587"/>
      <c r="UUL165" s="587"/>
      <c r="UUM165" s="587"/>
      <c r="UUN165" s="588"/>
      <c r="UUO165" s="589"/>
      <c r="UUP165" s="588"/>
      <c r="UUQ165" s="589"/>
      <c r="UUR165" s="588"/>
      <c r="UUS165" s="589"/>
      <c r="UUT165" s="588"/>
      <c r="UUU165" s="589"/>
      <c r="UUV165" s="588"/>
      <c r="UUW165" s="589"/>
      <c r="UUX165" s="429"/>
      <c r="UUY165" s="364"/>
      <c r="UUZ165" s="365"/>
      <c r="UVA165" s="354"/>
      <c r="UVB165" s="465"/>
      <c r="UVC165" s="565"/>
      <c r="UVD165" s="572"/>
      <c r="UVE165" s="572"/>
      <c r="UVF165" s="566"/>
      <c r="UVG165" s="587"/>
      <c r="UVH165" s="587"/>
      <c r="UVI165" s="587"/>
      <c r="UVJ165" s="587"/>
      <c r="UVK165" s="588"/>
      <c r="UVL165" s="589"/>
      <c r="UVM165" s="588"/>
      <c r="UVN165" s="589"/>
      <c r="UVO165" s="588"/>
      <c r="UVP165" s="589"/>
      <c r="UVQ165" s="588"/>
      <c r="UVR165" s="589"/>
      <c r="UVS165" s="588"/>
      <c r="UVT165" s="589"/>
      <c r="UVU165" s="429"/>
      <c r="UVV165" s="364"/>
      <c r="UVW165" s="365"/>
      <c r="UVX165" s="354"/>
      <c r="UVY165" s="465"/>
      <c r="UVZ165" s="565"/>
      <c r="UWA165" s="572"/>
      <c r="UWB165" s="572"/>
      <c r="UWC165" s="566"/>
      <c r="UWD165" s="587"/>
      <c r="UWE165" s="587"/>
      <c r="UWF165" s="587"/>
      <c r="UWG165" s="587"/>
      <c r="UWH165" s="588"/>
      <c r="UWI165" s="589"/>
      <c r="UWJ165" s="588"/>
      <c r="UWK165" s="589"/>
      <c r="UWL165" s="588"/>
      <c r="UWM165" s="589"/>
      <c r="UWN165" s="588"/>
      <c r="UWO165" s="589"/>
      <c r="UWP165" s="588"/>
      <c r="UWQ165" s="589"/>
      <c r="UWR165" s="429"/>
      <c r="UWS165" s="364"/>
      <c r="UWT165" s="365"/>
      <c r="UWU165" s="354"/>
      <c r="UWV165" s="465"/>
      <c r="UWW165" s="565"/>
      <c r="UWX165" s="572"/>
      <c r="UWY165" s="572"/>
      <c r="UWZ165" s="566"/>
      <c r="UXA165" s="587"/>
      <c r="UXB165" s="587"/>
      <c r="UXC165" s="587"/>
      <c r="UXD165" s="587"/>
      <c r="UXE165" s="588"/>
      <c r="UXF165" s="589"/>
      <c r="UXG165" s="588"/>
      <c r="UXH165" s="589"/>
      <c r="UXI165" s="588"/>
      <c r="UXJ165" s="589"/>
      <c r="UXK165" s="588"/>
      <c r="UXL165" s="589"/>
      <c r="UXM165" s="588"/>
      <c r="UXN165" s="589"/>
      <c r="UXO165" s="429"/>
      <c r="UXP165" s="364"/>
      <c r="UXQ165" s="365"/>
      <c r="UXR165" s="354"/>
      <c r="UXS165" s="465"/>
      <c r="UXT165" s="565"/>
      <c r="UXU165" s="572"/>
      <c r="UXV165" s="572"/>
      <c r="UXW165" s="566"/>
      <c r="UXX165" s="587"/>
      <c r="UXY165" s="587"/>
      <c r="UXZ165" s="587"/>
      <c r="UYA165" s="587"/>
      <c r="UYB165" s="588"/>
      <c r="UYC165" s="589"/>
      <c r="UYD165" s="588"/>
      <c r="UYE165" s="589"/>
      <c r="UYF165" s="588"/>
      <c r="UYG165" s="589"/>
      <c r="UYH165" s="588"/>
      <c r="UYI165" s="589"/>
      <c r="UYJ165" s="588"/>
      <c r="UYK165" s="589"/>
      <c r="UYL165" s="429"/>
      <c r="UYM165" s="364"/>
      <c r="UYN165" s="365"/>
      <c r="UYO165" s="354"/>
      <c r="UYP165" s="465"/>
      <c r="UYQ165" s="565"/>
      <c r="UYR165" s="572"/>
      <c r="UYS165" s="572"/>
      <c r="UYT165" s="566"/>
      <c r="UYU165" s="587"/>
      <c r="UYV165" s="587"/>
      <c r="UYW165" s="587"/>
      <c r="UYX165" s="587"/>
      <c r="UYY165" s="588"/>
      <c r="UYZ165" s="589"/>
      <c r="UZA165" s="588"/>
      <c r="UZB165" s="589"/>
      <c r="UZC165" s="588"/>
      <c r="UZD165" s="589"/>
      <c r="UZE165" s="588"/>
      <c r="UZF165" s="589"/>
      <c r="UZG165" s="588"/>
      <c r="UZH165" s="589"/>
      <c r="UZI165" s="429"/>
      <c r="UZJ165" s="364"/>
      <c r="UZK165" s="365"/>
      <c r="UZL165" s="354"/>
      <c r="UZM165" s="465"/>
      <c r="UZN165" s="565"/>
      <c r="UZO165" s="572"/>
      <c r="UZP165" s="572"/>
      <c r="UZQ165" s="566"/>
      <c r="UZR165" s="587"/>
      <c r="UZS165" s="587"/>
      <c r="UZT165" s="587"/>
      <c r="UZU165" s="587"/>
      <c r="UZV165" s="588"/>
      <c r="UZW165" s="589"/>
      <c r="UZX165" s="588"/>
      <c r="UZY165" s="589"/>
      <c r="UZZ165" s="588"/>
      <c r="VAA165" s="589"/>
      <c r="VAB165" s="588"/>
      <c r="VAC165" s="589"/>
      <c r="VAD165" s="588"/>
      <c r="VAE165" s="589"/>
      <c r="VAF165" s="429"/>
      <c r="VAG165" s="364"/>
      <c r="VAH165" s="365"/>
      <c r="VAI165" s="354"/>
      <c r="VAJ165" s="465"/>
      <c r="VAK165" s="565"/>
      <c r="VAL165" s="572"/>
      <c r="VAM165" s="572"/>
      <c r="VAN165" s="566"/>
      <c r="VAO165" s="587"/>
      <c r="VAP165" s="587"/>
      <c r="VAQ165" s="587"/>
      <c r="VAR165" s="587"/>
      <c r="VAS165" s="588"/>
      <c r="VAT165" s="589"/>
      <c r="VAU165" s="588"/>
      <c r="VAV165" s="589"/>
      <c r="VAW165" s="588"/>
      <c r="VAX165" s="589"/>
      <c r="VAY165" s="588"/>
      <c r="VAZ165" s="589"/>
      <c r="VBA165" s="588"/>
      <c r="VBB165" s="589"/>
      <c r="VBC165" s="429"/>
      <c r="VBD165" s="364"/>
      <c r="VBE165" s="365"/>
      <c r="VBF165" s="354"/>
      <c r="VBG165" s="465"/>
      <c r="VBH165" s="565"/>
      <c r="VBI165" s="572"/>
      <c r="VBJ165" s="572"/>
      <c r="VBK165" s="566"/>
      <c r="VBL165" s="587"/>
      <c r="VBM165" s="587"/>
      <c r="VBN165" s="587"/>
      <c r="VBO165" s="587"/>
      <c r="VBP165" s="588"/>
      <c r="VBQ165" s="589"/>
      <c r="VBR165" s="588"/>
      <c r="VBS165" s="589"/>
      <c r="VBT165" s="588"/>
      <c r="VBU165" s="589"/>
      <c r="VBV165" s="588"/>
      <c r="VBW165" s="589"/>
      <c r="VBX165" s="588"/>
      <c r="VBY165" s="589"/>
      <c r="VBZ165" s="429"/>
      <c r="VCA165" s="364"/>
      <c r="VCB165" s="365"/>
      <c r="VCC165" s="354"/>
      <c r="VCD165" s="465"/>
      <c r="VCE165" s="565"/>
      <c r="VCF165" s="572"/>
      <c r="VCG165" s="572"/>
      <c r="VCH165" s="566"/>
      <c r="VCI165" s="587"/>
      <c r="VCJ165" s="587"/>
      <c r="VCK165" s="587"/>
      <c r="VCL165" s="587"/>
      <c r="VCM165" s="588"/>
      <c r="VCN165" s="589"/>
      <c r="VCO165" s="588"/>
      <c r="VCP165" s="589"/>
      <c r="VCQ165" s="588"/>
      <c r="VCR165" s="589"/>
      <c r="VCS165" s="588"/>
      <c r="VCT165" s="589"/>
      <c r="VCU165" s="588"/>
      <c r="VCV165" s="589"/>
      <c r="VCW165" s="429"/>
      <c r="VCX165" s="364"/>
      <c r="VCY165" s="365"/>
      <c r="VCZ165" s="354"/>
      <c r="VDA165" s="465"/>
      <c r="VDB165" s="565"/>
      <c r="VDC165" s="572"/>
      <c r="VDD165" s="572"/>
      <c r="VDE165" s="566"/>
      <c r="VDF165" s="587"/>
      <c r="VDG165" s="587"/>
      <c r="VDH165" s="587"/>
      <c r="VDI165" s="587"/>
      <c r="VDJ165" s="588"/>
      <c r="VDK165" s="589"/>
      <c r="VDL165" s="588"/>
      <c r="VDM165" s="589"/>
      <c r="VDN165" s="588"/>
      <c r="VDO165" s="589"/>
      <c r="VDP165" s="588"/>
      <c r="VDQ165" s="589"/>
      <c r="VDR165" s="588"/>
      <c r="VDS165" s="589"/>
      <c r="VDT165" s="429"/>
      <c r="VDU165" s="364"/>
      <c r="VDV165" s="365"/>
      <c r="VDW165" s="354"/>
      <c r="VDX165" s="465"/>
      <c r="VDY165" s="565"/>
      <c r="VDZ165" s="572"/>
      <c r="VEA165" s="572"/>
      <c r="VEB165" s="566"/>
      <c r="VEC165" s="587"/>
      <c r="VED165" s="587"/>
      <c r="VEE165" s="587"/>
      <c r="VEF165" s="587"/>
      <c r="VEG165" s="588"/>
      <c r="VEH165" s="589"/>
      <c r="VEI165" s="588"/>
      <c r="VEJ165" s="589"/>
      <c r="VEK165" s="588"/>
      <c r="VEL165" s="589"/>
      <c r="VEM165" s="588"/>
      <c r="VEN165" s="589"/>
      <c r="VEO165" s="588"/>
      <c r="VEP165" s="589"/>
      <c r="VEQ165" s="429"/>
      <c r="VER165" s="364"/>
      <c r="VES165" s="365"/>
      <c r="VET165" s="354"/>
      <c r="VEU165" s="465"/>
      <c r="VEV165" s="565"/>
      <c r="VEW165" s="572"/>
      <c r="VEX165" s="572"/>
      <c r="VEY165" s="566"/>
      <c r="VEZ165" s="587"/>
      <c r="VFA165" s="587"/>
      <c r="VFB165" s="587"/>
      <c r="VFC165" s="587"/>
      <c r="VFD165" s="588"/>
      <c r="VFE165" s="589"/>
      <c r="VFF165" s="588"/>
      <c r="VFG165" s="589"/>
      <c r="VFH165" s="588"/>
      <c r="VFI165" s="589"/>
      <c r="VFJ165" s="588"/>
      <c r="VFK165" s="589"/>
      <c r="VFL165" s="588"/>
      <c r="VFM165" s="589"/>
      <c r="VFN165" s="429"/>
      <c r="VFO165" s="364"/>
      <c r="VFP165" s="365"/>
      <c r="VFQ165" s="354"/>
      <c r="VFR165" s="465"/>
      <c r="VFS165" s="565"/>
      <c r="VFT165" s="572"/>
      <c r="VFU165" s="572"/>
      <c r="VFV165" s="566"/>
      <c r="VFW165" s="587"/>
      <c r="VFX165" s="587"/>
      <c r="VFY165" s="587"/>
      <c r="VFZ165" s="587"/>
      <c r="VGA165" s="588"/>
      <c r="VGB165" s="589"/>
      <c r="VGC165" s="588"/>
      <c r="VGD165" s="589"/>
      <c r="VGE165" s="588"/>
      <c r="VGF165" s="589"/>
      <c r="VGG165" s="588"/>
      <c r="VGH165" s="589"/>
      <c r="VGI165" s="588"/>
      <c r="VGJ165" s="589"/>
      <c r="VGK165" s="429"/>
      <c r="VGL165" s="364"/>
      <c r="VGM165" s="365"/>
      <c r="VGN165" s="354"/>
      <c r="VGO165" s="465"/>
      <c r="VGP165" s="565"/>
      <c r="VGQ165" s="572"/>
      <c r="VGR165" s="572"/>
      <c r="VGS165" s="566"/>
      <c r="VGT165" s="587"/>
      <c r="VGU165" s="587"/>
      <c r="VGV165" s="587"/>
      <c r="VGW165" s="587"/>
      <c r="VGX165" s="588"/>
      <c r="VGY165" s="589"/>
      <c r="VGZ165" s="588"/>
      <c r="VHA165" s="589"/>
      <c r="VHB165" s="588"/>
      <c r="VHC165" s="589"/>
      <c r="VHD165" s="588"/>
      <c r="VHE165" s="589"/>
      <c r="VHF165" s="588"/>
      <c r="VHG165" s="589"/>
      <c r="VHH165" s="429"/>
      <c r="VHI165" s="364"/>
      <c r="VHJ165" s="365"/>
      <c r="VHK165" s="354"/>
      <c r="VHL165" s="465"/>
      <c r="VHM165" s="565"/>
      <c r="VHN165" s="572"/>
      <c r="VHO165" s="572"/>
      <c r="VHP165" s="566"/>
      <c r="VHQ165" s="587"/>
      <c r="VHR165" s="587"/>
      <c r="VHS165" s="587"/>
      <c r="VHT165" s="587"/>
      <c r="VHU165" s="588"/>
      <c r="VHV165" s="589"/>
      <c r="VHW165" s="588"/>
      <c r="VHX165" s="589"/>
      <c r="VHY165" s="588"/>
      <c r="VHZ165" s="589"/>
      <c r="VIA165" s="588"/>
      <c r="VIB165" s="589"/>
      <c r="VIC165" s="588"/>
      <c r="VID165" s="589"/>
      <c r="VIE165" s="429"/>
      <c r="VIF165" s="364"/>
      <c r="VIG165" s="365"/>
      <c r="VIH165" s="354"/>
      <c r="VII165" s="465"/>
      <c r="VIJ165" s="565"/>
      <c r="VIK165" s="572"/>
      <c r="VIL165" s="572"/>
      <c r="VIM165" s="566"/>
      <c r="VIN165" s="587"/>
      <c r="VIO165" s="587"/>
      <c r="VIP165" s="587"/>
      <c r="VIQ165" s="587"/>
      <c r="VIR165" s="588"/>
      <c r="VIS165" s="589"/>
      <c r="VIT165" s="588"/>
      <c r="VIU165" s="589"/>
      <c r="VIV165" s="588"/>
      <c r="VIW165" s="589"/>
      <c r="VIX165" s="588"/>
      <c r="VIY165" s="589"/>
      <c r="VIZ165" s="588"/>
      <c r="VJA165" s="589"/>
      <c r="VJB165" s="429"/>
      <c r="VJC165" s="364"/>
      <c r="VJD165" s="365"/>
      <c r="VJE165" s="354"/>
      <c r="VJF165" s="465"/>
      <c r="VJG165" s="565"/>
      <c r="VJH165" s="572"/>
      <c r="VJI165" s="572"/>
      <c r="VJJ165" s="566"/>
      <c r="VJK165" s="587"/>
      <c r="VJL165" s="587"/>
      <c r="VJM165" s="587"/>
      <c r="VJN165" s="587"/>
      <c r="VJO165" s="588"/>
      <c r="VJP165" s="589"/>
      <c r="VJQ165" s="588"/>
      <c r="VJR165" s="589"/>
      <c r="VJS165" s="588"/>
      <c r="VJT165" s="589"/>
      <c r="VJU165" s="588"/>
      <c r="VJV165" s="589"/>
      <c r="VJW165" s="588"/>
      <c r="VJX165" s="589"/>
      <c r="VJY165" s="429"/>
      <c r="VJZ165" s="364"/>
      <c r="VKA165" s="365"/>
      <c r="VKB165" s="354"/>
      <c r="VKC165" s="465"/>
      <c r="VKD165" s="565"/>
      <c r="VKE165" s="572"/>
      <c r="VKF165" s="572"/>
      <c r="VKG165" s="566"/>
      <c r="VKH165" s="587"/>
      <c r="VKI165" s="587"/>
      <c r="VKJ165" s="587"/>
      <c r="VKK165" s="587"/>
      <c r="VKL165" s="588"/>
      <c r="VKM165" s="589"/>
      <c r="VKN165" s="588"/>
      <c r="VKO165" s="589"/>
      <c r="VKP165" s="588"/>
      <c r="VKQ165" s="589"/>
      <c r="VKR165" s="588"/>
      <c r="VKS165" s="589"/>
      <c r="VKT165" s="588"/>
      <c r="VKU165" s="589"/>
      <c r="VKV165" s="429"/>
      <c r="VKW165" s="364"/>
      <c r="VKX165" s="365"/>
      <c r="VKY165" s="354"/>
      <c r="VKZ165" s="465"/>
      <c r="VLA165" s="565"/>
      <c r="VLB165" s="572"/>
      <c r="VLC165" s="572"/>
      <c r="VLD165" s="566"/>
      <c r="VLE165" s="587"/>
      <c r="VLF165" s="587"/>
      <c r="VLG165" s="587"/>
      <c r="VLH165" s="587"/>
      <c r="VLI165" s="588"/>
      <c r="VLJ165" s="589"/>
      <c r="VLK165" s="588"/>
      <c r="VLL165" s="589"/>
      <c r="VLM165" s="588"/>
      <c r="VLN165" s="589"/>
      <c r="VLO165" s="588"/>
      <c r="VLP165" s="589"/>
      <c r="VLQ165" s="588"/>
      <c r="VLR165" s="589"/>
      <c r="VLS165" s="429"/>
      <c r="VLT165" s="364"/>
      <c r="VLU165" s="365"/>
      <c r="VLV165" s="354"/>
      <c r="VLW165" s="465"/>
      <c r="VLX165" s="565"/>
      <c r="VLY165" s="572"/>
      <c r="VLZ165" s="572"/>
      <c r="VMA165" s="566"/>
      <c r="VMB165" s="587"/>
      <c r="VMC165" s="587"/>
      <c r="VMD165" s="587"/>
      <c r="VME165" s="587"/>
      <c r="VMF165" s="588"/>
      <c r="VMG165" s="589"/>
      <c r="VMH165" s="588"/>
      <c r="VMI165" s="589"/>
      <c r="VMJ165" s="588"/>
      <c r="VMK165" s="589"/>
      <c r="VML165" s="588"/>
      <c r="VMM165" s="589"/>
      <c r="VMN165" s="588"/>
      <c r="VMO165" s="589"/>
      <c r="VMP165" s="429"/>
      <c r="VMQ165" s="364"/>
      <c r="VMR165" s="365"/>
      <c r="VMS165" s="354"/>
      <c r="VMT165" s="465"/>
      <c r="VMU165" s="565"/>
      <c r="VMV165" s="572"/>
      <c r="VMW165" s="572"/>
      <c r="VMX165" s="566"/>
      <c r="VMY165" s="587"/>
      <c r="VMZ165" s="587"/>
      <c r="VNA165" s="587"/>
      <c r="VNB165" s="587"/>
      <c r="VNC165" s="588"/>
      <c r="VND165" s="589"/>
      <c r="VNE165" s="588"/>
      <c r="VNF165" s="589"/>
      <c r="VNG165" s="588"/>
      <c r="VNH165" s="589"/>
      <c r="VNI165" s="588"/>
      <c r="VNJ165" s="589"/>
      <c r="VNK165" s="588"/>
      <c r="VNL165" s="589"/>
      <c r="VNM165" s="429"/>
      <c r="VNN165" s="364"/>
      <c r="VNO165" s="365"/>
      <c r="VNP165" s="354"/>
      <c r="VNQ165" s="465"/>
      <c r="VNR165" s="565"/>
      <c r="VNS165" s="572"/>
      <c r="VNT165" s="572"/>
      <c r="VNU165" s="566"/>
      <c r="VNV165" s="587"/>
      <c r="VNW165" s="587"/>
      <c r="VNX165" s="587"/>
      <c r="VNY165" s="587"/>
      <c r="VNZ165" s="588"/>
      <c r="VOA165" s="589"/>
      <c r="VOB165" s="588"/>
      <c r="VOC165" s="589"/>
      <c r="VOD165" s="588"/>
      <c r="VOE165" s="589"/>
      <c r="VOF165" s="588"/>
      <c r="VOG165" s="589"/>
      <c r="VOH165" s="588"/>
      <c r="VOI165" s="589"/>
      <c r="VOJ165" s="429"/>
      <c r="VOK165" s="364"/>
      <c r="VOL165" s="365"/>
      <c r="VOM165" s="354"/>
      <c r="VON165" s="465"/>
      <c r="VOO165" s="565"/>
      <c r="VOP165" s="572"/>
      <c r="VOQ165" s="572"/>
      <c r="VOR165" s="566"/>
      <c r="VOS165" s="587"/>
      <c r="VOT165" s="587"/>
      <c r="VOU165" s="587"/>
      <c r="VOV165" s="587"/>
      <c r="VOW165" s="588"/>
      <c r="VOX165" s="589"/>
      <c r="VOY165" s="588"/>
      <c r="VOZ165" s="589"/>
      <c r="VPA165" s="588"/>
      <c r="VPB165" s="589"/>
      <c r="VPC165" s="588"/>
      <c r="VPD165" s="589"/>
      <c r="VPE165" s="588"/>
      <c r="VPF165" s="589"/>
      <c r="VPG165" s="429"/>
      <c r="VPH165" s="364"/>
      <c r="VPI165" s="365"/>
      <c r="VPJ165" s="354"/>
      <c r="VPK165" s="465"/>
      <c r="VPL165" s="565"/>
      <c r="VPM165" s="572"/>
      <c r="VPN165" s="572"/>
      <c r="VPO165" s="566"/>
      <c r="VPP165" s="587"/>
      <c r="VPQ165" s="587"/>
      <c r="VPR165" s="587"/>
      <c r="VPS165" s="587"/>
      <c r="VPT165" s="588"/>
      <c r="VPU165" s="589"/>
      <c r="VPV165" s="588"/>
      <c r="VPW165" s="589"/>
      <c r="VPX165" s="588"/>
      <c r="VPY165" s="589"/>
      <c r="VPZ165" s="588"/>
      <c r="VQA165" s="589"/>
      <c r="VQB165" s="588"/>
      <c r="VQC165" s="589"/>
      <c r="VQD165" s="429"/>
      <c r="VQE165" s="364"/>
      <c r="VQF165" s="365"/>
      <c r="VQG165" s="354"/>
      <c r="VQH165" s="465"/>
      <c r="VQI165" s="565"/>
      <c r="VQJ165" s="572"/>
      <c r="VQK165" s="572"/>
      <c r="VQL165" s="566"/>
      <c r="VQM165" s="587"/>
      <c r="VQN165" s="587"/>
      <c r="VQO165" s="587"/>
      <c r="VQP165" s="587"/>
      <c r="VQQ165" s="588"/>
      <c r="VQR165" s="589"/>
      <c r="VQS165" s="588"/>
      <c r="VQT165" s="589"/>
      <c r="VQU165" s="588"/>
      <c r="VQV165" s="589"/>
      <c r="VQW165" s="588"/>
      <c r="VQX165" s="589"/>
      <c r="VQY165" s="588"/>
      <c r="VQZ165" s="589"/>
      <c r="VRA165" s="429"/>
      <c r="VRB165" s="364"/>
      <c r="VRC165" s="365"/>
      <c r="VRD165" s="354"/>
      <c r="VRE165" s="465"/>
      <c r="VRF165" s="565"/>
      <c r="VRG165" s="572"/>
      <c r="VRH165" s="572"/>
      <c r="VRI165" s="566"/>
      <c r="VRJ165" s="587"/>
      <c r="VRK165" s="587"/>
      <c r="VRL165" s="587"/>
      <c r="VRM165" s="587"/>
      <c r="VRN165" s="588"/>
      <c r="VRO165" s="589"/>
      <c r="VRP165" s="588"/>
      <c r="VRQ165" s="589"/>
      <c r="VRR165" s="588"/>
      <c r="VRS165" s="589"/>
      <c r="VRT165" s="588"/>
      <c r="VRU165" s="589"/>
      <c r="VRV165" s="588"/>
      <c r="VRW165" s="589"/>
      <c r="VRX165" s="429"/>
      <c r="VRY165" s="364"/>
      <c r="VRZ165" s="365"/>
      <c r="VSA165" s="354"/>
      <c r="VSB165" s="465"/>
      <c r="VSC165" s="565"/>
      <c r="VSD165" s="572"/>
      <c r="VSE165" s="572"/>
      <c r="VSF165" s="566"/>
      <c r="VSG165" s="587"/>
      <c r="VSH165" s="587"/>
      <c r="VSI165" s="587"/>
      <c r="VSJ165" s="587"/>
      <c r="VSK165" s="588"/>
      <c r="VSL165" s="589"/>
      <c r="VSM165" s="588"/>
      <c r="VSN165" s="589"/>
      <c r="VSO165" s="588"/>
      <c r="VSP165" s="589"/>
      <c r="VSQ165" s="588"/>
      <c r="VSR165" s="589"/>
      <c r="VSS165" s="588"/>
      <c r="VST165" s="589"/>
      <c r="VSU165" s="429"/>
      <c r="VSV165" s="364"/>
      <c r="VSW165" s="365"/>
      <c r="VSX165" s="354"/>
      <c r="VSY165" s="465"/>
      <c r="VSZ165" s="565"/>
      <c r="VTA165" s="572"/>
      <c r="VTB165" s="572"/>
      <c r="VTC165" s="566"/>
      <c r="VTD165" s="587"/>
      <c r="VTE165" s="587"/>
      <c r="VTF165" s="587"/>
      <c r="VTG165" s="587"/>
      <c r="VTH165" s="588"/>
      <c r="VTI165" s="589"/>
      <c r="VTJ165" s="588"/>
      <c r="VTK165" s="589"/>
      <c r="VTL165" s="588"/>
      <c r="VTM165" s="589"/>
      <c r="VTN165" s="588"/>
      <c r="VTO165" s="589"/>
      <c r="VTP165" s="588"/>
      <c r="VTQ165" s="589"/>
      <c r="VTR165" s="429"/>
      <c r="VTS165" s="364"/>
      <c r="VTT165" s="365"/>
      <c r="VTU165" s="354"/>
      <c r="VTV165" s="465"/>
      <c r="VTW165" s="565"/>
      <c r="VTX165" s="572"/>
      <c r="VTY165" s="572"/>
      <c r="VTZ165" s="566"/>
      <c r="VUA165" s="587"/>
      <c r="VUB165" s="587"/>
      <c r="VUC165" s="587"/>
      <c r="VUD165" s="587"/>
      <c r="VUE165" s="588"/>
      <c r="VUF165" s="589"/>
      <c r="VUG165" s="588"/>
      <c r="VUH165" s="589"/>
      <c r="VUI165" s="588"/>
      <c r="VUJ165" s="589"/>
      <c r="VUK165" s="588"/>
      <c r="VUL165" s="589"/>
      <c r="VUM165" s="588"/>
      <c r="VUN165" s="589"/>
      <c r="VUO165" s="429"/>
      <c r="VUP165" s="364"/>
      <c r="VUQ165" s="365"/>
      <c r="VUR165" s="354"/>
      <c r="VUS165" s="465"/>
      <c r="VUT165" s="565"/>
      <c r="VUU165" s="572"/>
      <c r="VUV165" s="572"/>
      <c r="VUW165" s="566"/>
      <c r="VUX165" s="587"/>
      <c r="VUY165" s="587"/>
      <c r="VUZ165" s="587"/>
      <c r="VVA165" s="587"/>
      <c r="VVB165" s="588"/>
      <c r="VVC165" s="589"/>
      <c r="VVD165" s="588"/>
      <c r="VVE165" s="589"/>
      <c r="VVF165" s="588"/>
      <c r="VVG165" s="589"/>
      <c r="VVH165" s="588"/>
      <c r="VVI165" s="589"/>
      <c r="VVJ165" s="588"/>
      <c r="VVK165" s="589"/>
      <c r="VVL165" s="429"/>
      <c r="VVM165" s="364"/>
      <c r="VVN165" s="365"/>
      <c r="VVO165" s="354"/>
      <c r="VVP165" s="465"/>
      <c r="VVQ165" s="565"/>
      <c r="VVR165" s="572"/>
      <c r="VVS165" s="572"/>
      <c r="VVT165" s="566"/>
      <c r="VVU165" s="587"/>
      <c r="VVV165" s="587"/>
      <c r="VVW165" s="587"/>
      <c r="VVX165" s="587"/>
      <c r="VVY165" s="588"/>
      <c r="VVZ165" s="589"/>
      <c r="VWA165" s="588"/>
      <c r="VWB165" s="589"/>
      <c r="VWC165" s="588"/>
      <c r="VWD165" s="589"/>
      <c r="VWE165" s="588"/>
      <c r="VWF165" s="589"/>
      <c r="VWG165" s="588"/>
      <c r="VWH165" s="589"/>
      <c r="VWI165" s="429"/>
      <c r="VWJ165" s="364"/>
      <c r="VWK165" s="365"/>
      <c r="VWL165" s="354"/>
      <c r="VWM165" s="465"/>
      <c r="VWN165" s="565"/>
      <c r="VWO165" s="572"/>
      <c r="VWP165" s="572"/>
      <c r="VWQ165" s="566"/>
      <c r="VWR165" s="587"/>
      <c r="VWS165" s="587"/>
      <c r="VWT165" s="587"/>
      <c r="VWU165" s="587"/>
      <c r="VWV165" s="588"/>
      <c r="VWW165" s="589"/>
      <c r="VWX165" s="588"/>
      <c r="VWY165" s="589"/>
      <c r="VWZ165" s="588"/>
      <c r="VXA165" s="589"/>
      <c r="VXB165" s="588"/>
      <c r="VXC165" s="589"/>
      <c r="VXD165" s="588"/>
      <c r="VXE165" s="589"/>
      <c r="VXF165" s="429"/>
      <c r="VXG165" s="364"/>
      <c r="VXH165" s="365"/>
      <c r="VXI165" s="354"/>
      <c r="VXJ165" s="465"/>
      <c r="VXK165" s="565"/>
      <c r="VXL165" s="572"/>
      <c r="VXM165" s="572"/>
      <c r="VXN165" s="566"/>
      <c r="VXO165" s="587"/>
      <c r="VXP165" s="587"/>
      <c r="VXQ165" s="587"/>
      <c r="VXR165" s="587"/>
      <c r="VXS165" s="588"/>
      <c r="VXT165" s="589"/>
      <c r="VXU165" s="588"/>
      <c r="VXV165" s="589"/>
      <c r="VXW165" s="588"/>
      <c r="VXX165" s="589"/>
      <c r="VXY165" s="588"/>
      <c r="VXZ165" s="589"/>
      <c r="VYA165" s="588"/>
      <c r="VYB165" s="589"/>
      <c r="VYC165" s="429"/>
      <c r="VYD165" s="364"/>
      <c r="VYE165" s="365"/>
      <c r="VYF165" s="354"/>
      <c r="VYG165" s="465"/>
      <c r="VYH165" s="565"/>
      <c r="VYI165" s="572"/>
      <c r="VYJ165" s="572"/>
      <c r="VYK165" s="566"/>
      <c r="VYL165" s="587"/>
      <c r="VYM165" s="587"/>
      <c r="VYN165" s="587"/>
      <c r="VYO165" s="587"/>
      <c r="VYP165" s="588"/>
      <c r="VYQ165" s="589"/>
      <c r="VYR165" s="588"/>
      <c r="VYS165" s="589"/>
      <c r="VYT165" s="588"/>
      <c r="VYU165" s="589"/>
      <c r="VYV165" s="588"/>
      <c r="VYW165" s="589"/>
      <c r="VYX165" s="588"/>
      <c r="VYY165" s="589"/>
      <c r="VYZ165" s="429"/>
      <c r="VZA165" s="364"/>
      <c r="VZB165" s="365"/>
      <c r="VZC165" s="354"/>
      <c r="VZD165" s="465"/>
      <c r="VZE165" s="565"/>
      <c r="VZF165" s="572"/>
      <c r="VZG165" s="572"/>
      <c r="VZH165" s="566"/>
      <c r="VZI165" s="587"/>
      <c r="VZJ165" s="587"/>
      <c r="VZK165" s="587"/>
      <c r="VZL165" s="587"/>
      <c r="VZM165" s="588"/>
      <c r="VZN165" s="589"/>
      <c r="VZO165" s="588"/>
      <c r="VZP165" s="589"/>
      <c r="VZQ165" s="588"/>
      <c r="VZR165" s="589"/>
      <c r="VZS165" s="588"/>
      <c r="VZT165" s="589"/>
      <c r="VZU165" s="588"/>
      <c r="VZV165" s="589"/>
      <c r="VZW165" s="429"/>
      <c r="VZX165" s="364"/>
      <c r="VZY165" s="365"/>
      <c r="VZZ165" s="354"/>
      <c r="WAA165" s="465"/>
      <c r="WAB165" s="565"/>
      <c r="WAC165" s="572"/>
      <c r="WAD165" s="572"/>
      <c r="WAE165" s="566"/>
      <c r="WAF165" s="587"/>
      <c r="WAG165" s="587"/>
      <c r="WAH165" s="587"/>
      <c r="WAI165" s="587"/>
      <c r="WAJ165" s="588"/>
      <c r="WAK165" s="589"/>
      <c r="WAL165" s="588"/>
      <c r="WAM165" s="589"/>
      <c r="WAN165" s="588"/>
      <c r="WAO165" s="589"/>
      <c r="WAP165" s="588"/>
      <c r="WAQ165" s="589"/>
      <c r="WAR165" s="588"/>
      <c r="WAS165" s="589"/>
      <c r="WAT165" s="429"/>
      <c r="WAU165" s="364"/>
      <c r="WAV165" s="365"/>
      <c r="WAW165" s="354"/>
      <c r="WAX165" s="465"/>
      <c r="WAY165" s="565"/>
      <c r="WAZ165" s="572"/>
      <c r="WBA165" s="572"/>
      <c r="WBB165" s="566"/>
      <c r="WBC165" s="587"/>
      <c r="WBD165" s="587"/>
      <c r="WBE165" s="587"/>
      <c r="WBF165" s="587"/>
      <c r="WBG165" s="588"/>
      <c r="WBH165" s="589"/>
      <c r="WBI165" s="588"/>
      <c r="WBJ165" s="589"/>
      <c r="WBK165" s="588"/>
      <c r="WBL165" s="589"/>
      <c r="WBM165" s="588"/>
      <c r="WBN165" s="589"/>
      <c r="WBO165" s="588"/>
      <c r="WBP165" s="589"/>
      <c r="WBQ165" s="429"/>
      <c r="WBR165" s="364"/>
      <c r="WBS165" s="365"/>
      <c r="WBT165" s="354"/>
      <c r="WBU165" s="465"/>
      <c r="WBV165" s="565"/>
      <c r="WBW165" s="572"/>
      <c r="WBX165" s="572"/>
      <c r="WBY165" s="566"/>
      <c r="WBZ165" s="587"/>
      <c r="WCA165" s="587"/>
      <c r="WCB165" s="587"/>
      <c r="WCC165" s="587"/>
      <c r="WCD165" s="588"/>
      <c r="WCE165" s="589"/>
      <c r="WCF165" s="588"/>
      <c r="WCG165" s="589"/>
      <c r="WCH165" s="588"/>
      <c r="WCI165" s="589"/>
      <c r="WCJ165" s="588"/>
      <c r="WCK165" s="589"/>
      <c r="WCL165" s="588"/>
      <c r="WCM165" s="589"/>
      <c r="WCN165" s="429"/>
      <c r="WCO165" s="364"/>
      <c r="WCP165" s="365"/>
      <c r="WCQ165" s="354"/>
      <c r="WCR165" s="465"/>
      <c r="WCS165" s="565"/>
      <c r="WCT165" s="572"/>
      <c r="WCU165" s="572"/>
      <c r="WCV165" s="566"/>
      <c r="WCW165" s="587"/>
      <c r="WCX165" s="587"/>
      <c r="WCY165" s="587"/>
      <c r="WCZ165" s="587"/>
      <c r="WDA165" s="588"/>
      <c r="WDB165" s="589"/>
      <c r="WDC165" s="588"/>
      <c r="WDD165" s="589"/>
      <c r="WDE165" s="588"/>
      <c r="WDF165" s="589"/>
      <c r="WDG165" s="588"/>
      <c r="WDH165" s="589"/>
      <c r="WDI165" s="588"/>
      <c r="WDJ165" s="589"/>
      <c r="WDK165" s="429"/>
      <c r="WDL165" s="364"/>
      <c r="WDM165" s="365"/>
      <c r="WDN165" s="354"/>
      <c r="WDO165" s="465"/>
      <c r="WDP165" s="565"/>
      <c r="WDQ165" s="572"/>
      <c r="WDR165" s="572"/>
      <c r="WDS165" s="566"/>
      <c r="WDT165" s="587"/>
      <c r="WDU165" s="587"/>
      <c r="WDV165" s="587"/>
      <c r="WDW165" s="587"/>
      <c r="WDX165" s="588"/>
      <c r="WDY165" s="589"/>
      <c r="WDZ165" s="588"/>
      <c r="WEA165" s="589"/>
      <c r="WEB165" s="588"/>
      <c r="WEC165" s="589"/>
      <c r="WED165" s="588"/>
      <c r="WEE165" s="589"/>
      <c r="WEF165" s="588"/>
      <c r="WEG165" s="589"/>
      <c r="WEH165" s="429"/>
      <c r="WEI165" s="364"/>
      <c r="WEJ165" s="365"/>
      <c r="WEK165" s="354"/>
      <c r="WEL165" s="465"/>
      <c r="WEM165" s="565"/>
      <c r="WEN165" s="572"/>
      <c r="WEO165" s="572"/>
      <c r="WEP165" s="566"/>
      <c r="WEQ165" s="587"/>
      <c r="WER165" s="587"/>
      <c r="WES165" s="587"/>
      <c r="WET165" s="587"/>
      <c r="WEU165" s="588"/>
      <c r="WEV165" s="589"/>
      <c r="WEW165" s="588"/>
      <c r="WEX165" s="589"/>
      <c r="WEY165" s="588"/>
      <c r="WEZ165" s="589"/>
      <c r="WFA165" s="588"/>
      <c r="WFB165" s="589"/>
      <c r="WFC165" s="588"/>
      <c r="WFD165" s="589"/>
      <c r="WFE165" s="429"/>
      <c r="WFF165" s="364"/>
      <c r="WFG165" s="365"/>
      <c r="WFH165" s="354"/>
      <c r="WFI165" s="465"/>
      <c r="WFJ165" s="565"/>
      <c r="WFK165" s="572"/>
      <c r="WFL165" s="572"/>
      <c r="WFM165" s="566"/>
      <c r="WFN165" s="587"/>
      <c r="WFO165" s="587"/>
      <c r="WFP165" s="587"/>
      <c r="WFQ165" s="587"/>
      <c r="WFR165" s="588"/>
      <c r="WFS165" s="589"/>
      <c r="WFT165" s="588"/>
      <c r="WFU165" s="589"/>
      <c r="WFV165" s="588"/>
      <c r="WFW165" s="589"/>
      <c r="WFX165" s="588"/>
      <c r="WFY165" s="589"/>
      <c r="WFZ165" s="588"/>
      <c r="WGA165" s="589"/>
      <c r="WGB165" s="429"/>
      <c r="WGC165" s="364"/>
      <c r="WGD165" s="365"/>
      <c r="WGE165" s="354"/>
      <c r="WGF165" s="465"/>
      <c r="WGG165" s="565"/>
      <c r="WGH165" s="572"/>
      <c r="WGI165" s="572"/>
      <c r="WGJ165" s="566"/>
      <c r="WGK165" s="587"/>
      <c r="WGL165" s="587"/>
      <c r="WGM165" s="587"/>
      <c r="WGN165" s="587"/>
      <c r="WGO165" s="588"/>
      <c r="WGP165" s="589"/>
      <c r="WGQ165" s="588"/>
      <c r="WGR165" s="589"/>
      <c r="WGS165" s="588"/>
      <c r="WGT165" s="589"/>
      <c r="WGU165" s="588"/>
      <c r="WGV165" s="589"/>
      <c r="WGW165" s="588"/>
      <c r="WGX165" s="589"/>
      <c r="WGY165" s="429"/>
      <c r="WGZ165" s="364"/>
      <c r="WHA165" s="365"/>
      <c r="WHB165" s="354"/>
      <c r="WHC165" s="465"/>
      <c r="WHD165" s="565"/>
      <c r="WHE165" s="572"/>
      <c r="WHF165" s="572"/>
      <c r="WHG165" s="566"/>
      <c r="WHH165" s="587"/>
      <c r="WHI165" s="587"/>
      <c r="WHJ165" s="587"/>
      <c r="WHK165" s="587"/>
      <c r="WHL165" s="588"/>
      <c r="WHM165" s="589"/>
      <c r="WHN165" s="588"/>
      <c r="WHO165" s="589"/>
      <c r="WHP165" s="588"/>
      <c r="WHQ165" s="589"/>
      <c r="WHR165" s="588"/>
      <c r="WHS165" s="589"/>
      <c r="WHT165" s="588"/>
      <c r="WHU165" s="589"/>
      <c r="WHV165" s="429"/>
      <c r="WHW165" s="364"/>
      <c r="WHX165" s="365"/>
      <c r="WHY165" s="354"/>
      <c r="WHZ165" s="465"/>
      <c r="WIA165" s="565"/>
      <c r="WIB165" s="572"/>
      <c r="WIC165" s="572"/>
      <c r="WID165" s="566"/>
      <c r="WIE165" s="587"/>
      <c r="WIF165" s="587"/>
      <c r="WIG165" s="587"/>
      <c r="WIH165" s="587"/>
      <c r="WII165" s="588"/>
      <c r="WIJ165" s="589"/>
      <c r="WIK165" s="588"/>
      <c r="WIL165" s="589"/>
      <c r="WIM165" s="588"/>
      <c r="WIN165" s="589"/>
      <c r="WIO165" s="588"/>
      <c r="WIP165" s="589"/>
      <c r="WIQ165" s="588"/>
      <c r="WIR165" s="589"/>
      <c r="WIS165" s="429"/>
      <c r="WIT165" s="364"/>
      <c r="WIU165" s="365"/>
      <c r="WIV165" s="354"/>
      <c r="WIW165" s="465"/>
      <c r="WIX165" s="565"/>
      <c r="WIY165" s="572"/>
      <c r="WIZ165" s="572"/>
      <c r="WJA165" s="566"/>
      <c r="WJB165" s="587"/>
      <c r="WJC165" s="587"/>
      <c r="WJD165" s="587"/>
      <c r="WJE165" s="587"/>
      <c r="WJF165" s="588"/>
      <c r="WJG165" s="589"/>
      <c r="WJH165" s="588"/>
      <c r="WJI165" s="589"/>
      <c r="WJJ165" s="588"/>
      <c r="WJK165" s="589"/>
      <c r="WJL165" s="588"/>
      <c r="WJM165" s="589"/>
      <c r="WJN165" s="588"/>
      <c r="WJO165" s="589"/>
      <c r="WJP165" s="429"/>
      <c r="WJQ165" s="364"/>
      <c r="WJR165" s="365"/>
      <c r="WJS165" s="354"/>
      <c r="WJT165" s="465"/>
      <c r="WJU165" s="565"/>
      <c r="WJV165" s="572"/>
      <c r="WJW165" s="572"/>
      <c r="WJX165" s="566"/>
      <c r="WJY165" s="587"/>
      <c r="WJZ165" s="587"/>
      <c r="WKA165" s="587"/>
      <c r="WKB165" s="587"/>
      <c r="WKC165" s="588"/>
      <c r="WKD165" s="589"/>
      <c r="WKE165" s="588"/>
      <c r="WKF165" s="589"/>
      <c r="WKG165" s="588"/>
      <c r="WKH165" s="589"/>
      <c r="WKI165" s="588"/>
      <c r="WKJ165" s="589"/>
      <c r="WKK165" s="588"/>
      <c r="WKL165" s="589"/>
      <c r="WKM165" s="429"/>
      <c r="WKN165" s="364"/>
      <c r="WKO165" s="365"/>
      <c r="WKP165" s="354"/>
      <c r="WKQ165" s="465"/>
      <c r="WKR165" s="565"/>
      <c r="WKS165" s="572"/>
      <c r="WKT165" s="572"/>
      <c r="WKU165" s="566"/>
      <c r="WKV165" s="587"/>
      <c r="WKW165" s="587"/>
      <c r="WKX165" s="587"/>
      <c r="WKY165" s="587"/>
      <c r="WKZ165" s="588"/>
      <c r="WLA165" s="589"/>
      <c r="WLB165" s="588"/>
      <c r="WLC165" s="589"/>
      <c r="WLD165" s="588"/>
      <c r="WLE165" s="589"/>
      <c r="WLF165" s="588"/>
      <c r="WLG165" s="589"/>
      <c r="WLH165" s="588"/>
      <c r="WLI165" s="589"/>
      <c r="WLJ165" s="429"/>
      <c r="WLK165" s="364"/>
      <c r="WLL165" s="365"/>
      <c r="WLM165" s="354"/>
      <c r="WLN165" s="465"/>
      <c r="WLO165" s="565"/>
      <c r="WLP165" s="572"/>
      <c r="WLQ165" s="572"/>
      <c r="WLR165" s="566"/>
      <c r="WLS165" s="587"/>
      <c r="WLT165" s="587"/>
      <c r="WLU165" s="587"/>
      <c r="WLV165" s="587"/>
      <c r="WLW165" s="588"/>
      <c r="WLX165" s="589"/>
      <c r="WLY165" s="588"/>
      <c r="WLZ165" s="589"/>
      <c r="WMA165" s="588"/>
      <c r="WMB165" s="589"/>
      <c r="WMC165" s="588"/>
      <c r="WMD165" s="589"/>
      <c r="WME165" s="588"/>
      <c r="WMF165" s="589"/>
      <c r="WMG165" s="429"/>
      <c r="WMH165" s="364"/>
      <c r="WMI165" s="365"/>
      <c r="WMJ165" s="354"/>
      <c r="WMK165" s="465"/>
      <c r="WML165" s="565"/>
      <c r="WMM165" s="572"/>
      <c r="WMN165" s="572"/>
      <c r="WMO165" s="566"/>
      <c r="WMP165" s="587"/>
      <c r="WMQ165" s="587"/>
      <c r="WMR165" s="587"/>
      <c r="WMS165" s="587"/>
      <c r="WMT165" s="588"/>
      <c r="WMU165" s="589"/>
      <c r="WMV165" s="588"/>
      <c r="WMW165" s="589"/>
      <c r="WMX165" s="588"/>
      <c r="WMY165" s="589"/>
      <c r="WMZ165" s="588"/>
      <c r="WNA165" s="589"/>
      <c r="WNB165" s="588"/>
      <c r="WNC165" s="589"/>
      <c r="WND165" s="429"/>
      <c r="WNE165" s="364"/>
      <c r="WNF165" s="365"/>
      <c r="WNG165" s="354"/>
      <c r="WNH165" s="465"/>
      <c r="WNI165" s="565"/>
      <c r="WNJ165" s="572"/>
      <c r="WNK165" s="572"/>
      <c r="WNL165" s="566"/>
      <c r="WNM165" s="587"/>
      <c r="WNN165" s="587"/>
      <c r="WNO165" s="587"/>
      <c r="WNP165" s="587"/>
      <c r="WNQ165" s="588"/>
      <c r="WNR165" s="589"/>
      <c r="WNS165" s="588"/>
      <c r="WNT165" s="589"/>
      <c r="WNU165" s="588"/>
      <c r="WNV165" s="589"/>
      <c r="WNW165" s="588"/>
      <c r="WNX165" s="589"/>
      <c r="WNY165" s="588"/>
      <c r="WNZ165" s="589"/>
      <c r="WOA165" s="429"/>
      <c r="WOB165" s="364"/>
      <c r="WOC165" s="365"/>
      <c r="WOD165" s="354"/>
      <c r="WOE165" s="465"/>
      <c r="WOF165" s="565"/>
      <c r="WOG165" s="572"/>
      <c r="WOH165" s="572"/>
      <c r="WOI165" s="566"/>
      <c r="WOJ165" s="587"/>
      <c r="WOK165" s="587"/>
      <c r="WOL165" s="587"/>
      <c r="WOM165" s="587"/>
      <c r="WON165" s="588"/>
      <c r="WOO165" s="589"/>
      <c r="WOP165" s="588"/>
      <c r="WOQ165" s="589"/>
      <c r="WOR165" s="588"/>
      <c r="WOS165" s="589"/>
      <c r="WOT165" s="588"/>
      <c r="WOU165" s="589"/>
      <c r="WOV165" s="588"/>
      <c r="WOW165" s="589"/>
      <c r="WOX165" s="429"/>
      <c r="WOY165" s="364"/>
      <c r="WOZ165" s="365"/>
      <c r="WPA165" s="354"/>
      <c r="WPB165" s="465"/>
      <c r="WPC165" s="565"/>
      <c r="WPD165" s="572"/>
      <c r="WPE165" s="572"/>
      <c r="WPF165" s="566"/>
      <c r="WPG165" s="587"/>
      <c r="WPH165" s="587"/>
      <c r="WPI165" s="587"/>
      <c r="WPJ165" s="587"/>
      <c r="WPK165" s="588"/>
      <c r="WPL165" s="589"/>
      <c r="WPM165" s="588"/>
      <c r="WPN165" s="589"/>
      <c r="WPO165" s="588"/>
      <c r="WPP165" s="589"/>
      <c r="WPQ165" s="588"/>
      <c r="WPR165" s="589"/>
      <c r="WPS165" s="588"/>
      <c r="WPT165" s="589"/>
      <c r="WPU165" s="429"/>
      <c r="WPV165" s="364"/>
      <c r="WPW165" s="365"/>
      <c r="WPX165" s="354"/>
      <c r="WPY165" s="465"/>
      <c r="WPZ165" s="565"/>
      <c r="WQA165" s="572"/>
      <c r="WQB165" s="572"/>
      <c r="WQC165" s="566"/>
      <c r="WQD165" s="587"/>
      <c r="WQE165" s="587"/>
      <c r="WQF165" s="587"/>
      <c r="WQG165" s="587"/>
      <c r="WQH165" s="588"/>
      <c r="WQI165" s="589"/>
      <c r="WQJ165" s="588"/>
      <c r="WQK165" s="589"/>
      <c r="WQL165" s="588"/>
      <c r="WQM165" s="589"/>
      <c r="WQN165" s="588"/>
      <c r="WQO165" s="589"/>
      <c r="WQP165" s="588"/>
      <c r="WQQ165" s="589"/>
      <c r="WQR165" s="429"/>
      <c r="WQS165" s="364"/>
      <c r="WQT165" s="365"/>
      <c r="WQU165" s="354"/>
      <c r="WQV165" s="465"/>
      <c r="WQW165" s="565"/>
      <c r="WQX165" s="572"/>
      <c r="WQY165" s="572"/>
      <c r="WQZ165" s="566"/>
      <c r="WRA165" s="587"/>
      <c r="WRB165" s="587"/>
      <c r="WRC165" s="587"/>
      <c r="WRD165" s="587"/>
      <c r="WRE165" s="588"/>
      <c r="WRF165" s="589"/>
      <c r="WRG165" s="588"/>
      <c r="WRH165" s="589"/>
      <c r="WRI165" s="588"/>
      <c r="WRJ165" s="589"/>
      <c r="WRK165" s="588"/>
      <c r="WRL165" s="589"/>
      <c r="WRM165" s="588"/>
      <c r="WRN165" s="589"/>
      <c r="WRO165" s="429"/>
      <c r="WRP165" s="364"/>
      <c r="WRQ165" s="365"/>
      <c r="WRR165" s="354"/>
      <c r="WRS165" s="465"/>
      <c r="WRT165" s="565"/>
      <c r="WRU165" s="572"/>
      <c r="WRV165" s="572"/>
      <c r="WRW165" s="566"/>
      <c r="WRX165" s="587"/>
      <c r="WRY165" s="587"/>
      <c r="WRZ165" s="587"/>
      <c r="WSA165" s="587"/>
      <c r="WSB165" s="588"/>
      <c r="WSC165" s="589"/>
      <c r="WSD165" s="588"/>
      <c r="WSE165" s="589"/>
      <c r="WSF165" s="588"/>
      <c r="WSG165" s="589"/>
      <c r="WSH165" s="588"/>
      <c r="WSI165" s="589"/>
      <c r="WSJ165" s="588"/>
      <c r="WSK165" s="589"/>
      <c r="WSL165" s="429"/>
      <c r="WSM165" s="364"/>
      <c r="WSN165" s="365"/>
      <c r="WSO165" s="354"/>
      <c r="WSP165" s="465"/>
      <c r="WSQ165" s="565"/>
      <c r="WSR165" s="572"/>
      <c r="WSS165" s="572"/>
      <c r="WST165" s="566"/>
      <c r="WSU165" s="587"/>
      <c r="WSV165" s="587"/>
      <c r="WSW165" s="587"/>
      <c r="WSX165" s="587"/>
      <c r="WSY165" s="588"/>
      <c r="WSZ165" s="589"/>
      <c r="WTA165" s="588"/>
      <c r="WTB165" s="589"/>
      <c r="WTC165" s="588"/>
      <c r="WTD165" s="589"/>
      <c r="WTE165" s="588"/>
      <c r="WTF165" s="589"/>
      <c r="WTG165" s="588"/>
      <c r="WTH165" s="589"/>
      <c r="WTI165" s="429"/>
      <c r="WTJ165" s="364"/>
      <c r="WTK165" s="365"/>
      <c r="WTL165" s="354"/>
      <c r="WTM165" s="465"/>
      <c r="WTN165" s="565"/>
      <c r="WTO165" s="572"/>
      <c r="WTP165" s="572"/>
      <c r="WTQ165" s="566"/>
      <c r="WTR165" s="587"/>
      <c r="WTS165" s="587"/>
      <c r="WTT165" s="587"/>
      <c r="WTU165" s="587"/>
      <c r="WTV165" s="588"/>
      <c r="WTW165" s="589"/>
      <c r="WTX165" s="588"/>
      <c r="WTY165" s="589"/>
      <c r="WTZ165" s="588"/>
      <c r="WUA165" s="589"/>
      <c r="WUB165" s="588"/>
      <c r="WUC165" s="589"/>
      <c r="WUD165" s="588"/>
      <c r="WUE165" s="589"/>
      <c r="WUF165" s="429"/>
      <c r="WUG165" s="364"/>
      <c r="WUH165" s="365"/>
      <c r="WUI165" s="354"/>
      <c r="WUJ165" s="465"/>
      <c r="WUK165" s="565"/>
      <c r="WUL165" s="572"/>
      <c r="WUM165" s="572"/>
      <c r="WUN165" s="566"/>
      <c r="WUO165" s="587"/>
      <c r="WUP165" s="587"/>
      <c r="WUQ165" s="587"/>
      <c r="WUR165" s="587"/>
      <c r="WUS165" s="588"/>
      <c r="WUT165" s="589"/>
      <c r="WUU165" s="588"/>
      <c r="WUV165" s="589"/>
      <c r="WUW165" s="588"/>
      <c r="WUX165" s="589"/>
      <c r="WUY165" s="588"/>
      <c r="WUZ165" s="589"/>
      <c r="WVA165" s="588"/>
      <c r="WVB165" s="589"/>
      <c r="WVC165" s="429"/>
      <c r="WVD165" s="364"/>
      <c r="WVE165" s="365"/>
      <c r="WVF165" s="354"/>
      <c r="WVG165" s="465"/>
      <c r="WVH165" s="565"/>
      <c r="WVI165" s="572"/>
      <c r="WVJ165" s="572"/>
      <c r="WVK165" s="566"/>
      <c r="WVL165" s="587"/>
      <c r="WVM165" s="587"/>
      <c r="WVN165" s="587"/>
      <c r="WVO165" s="587"/>
      <c r="WVP165" s="588"/>
      <c r="WVQ165" s="589"/>
      <c r="WVR165" s="588"/>
      <c r="WVS165" s="589"/>
      <c r="WVT165" s="588"/>
      <c r="WVU165" s="589"/>
      <c r="WVV165" s="588"/>
      <c r="WVW165" s="589"/>
      <c r="WVX165" s="588"/>
      <c r="WVY165" s="589"/>
      <c r="WVZ165" s="429"/>
      <c r="WWA165" s="364"/>
      <c r="WWB165" s="365"/>
      <c r="WWC165" s="354"/>
      <c r="WWD165" s="465"/>
      <c r="WWE165" s="565"/>
      <c r="WWF165" s="572"/>
      <c r="WWG165" s="572"/>
      <c r="WWH165" s="566"/>
      <c r="WWI165" s="587"/>
      <c r="WWJ165" s="587"/>
      <c r="WWK165" s="587"/>
      <c r="WWL165" s="587"/>
      <c r="WWM165" s="588"/>
      <c r="WWN165" s="589"/>
      <c r="WWO165" s="588"/>
      <c r="WWP165" s="589"/>
      <c r="WWQ165" s="588"/>
      <c r="WWR165" s="589"/>
      <c r="WWS165" s="588"/>
      <c r="WWT165" s="589"/>
      <c r="WWU165" s="588"/>
      <c r="WWV165" s="589"/>
      <c r="WWW165" s="429"/>
      <c r="WWX165" s="364"/>
      <c r="WWY165" s="365"/>
      <c r="WWZ165" s="354"/>
      <c r="WXA165" s="465"/>
      <c r="WXB165" s="565"/>
      <c r="WXC165" s="572"/>
      <c r="WXD165" s="572"/>
      <c r="WXE165" s="566"/>
      <c r="WXF165" s="587"/>
      <c r="WXG165" s="587"/>
      <c r="WXH165" s="587"/>
      <c r="WXI165" s="587"/>
      <c r="WXJ165" s="588"/>
      <c r="WXK165" s="589"/>
      <c r="WXL165" s="588"/>
      <c r="WXM165" s="589"/>
      <c r="WXN165" s="588"/>
      <c r="WXO165" s="589"/>
      <c r="WXP165" s="588"/>
      <c r="WXQ165" s="589"/>
      <c r="WXR165" s="588"/>
      <c r="WXS165" s="589"/>
      <c r="WXT165" s="429"/>
      <c r="WXU165" s="364"/>
      <c r="WXV165" s="365"/>
      <c r="WXW165" s="354"/>
      <c r="WXX165" s="465"/>
      <c r="WXY165" s="565"/>
      <c r="WXZ165" s="572"/>
      <c r="WYA165" s="572"/>
      <c r="WYB165" s="566"/>
      <c r="WYC165" s="587"/>
      <c r="WYD165" s="587"/>
      <c r="WYE165" s="587"/>
      <c r="WYF165" s="587"/>
      <c r="WYG165" s="588"/>
      <c r="WYH165" s="589"/>
      <c r="WYI165" s="588"/>
      <c r="WYJ165" s="589"/>
      <c r="WYK165" s="588"/>
      <c r="WYL165" s="589"/>
      <c r="WYM165" s="588"/>
      <c r="WYN165" s="589"/>
      <c r="WYO165" s="588"/>
      <c r="WYP165" s="589"/>
      <c r="WYQ165" s="429"/>
      <c r="WYR165" s="364"/>
      <c r="WYS165" s="365"/>
      <c r="WYT165" s="354"/>
      <c r="WYU165" s="465"/>
      <c r="WYV165" s="565"/>
      <c r="WYW165" s="572"/>
      <c r="WYX165" s="572"/>
      <c r="WYY165" s="566"/>
      <c r="WYZ165" s="587"/>
      <c r="WZA165" s="587"/>
      <c r="WZB165" s="587"/>
      <c r="WZC165" s="587"/>
      <c r="WZD165" s="588"/>
      <c r="WZE165" s="589"/>
      <c r="WZF165" s="588"/>
      <c r="WZG165" s="589"/>
      <c r="WZH165" s="588"/>
      <c r="WZI165" s="589"/>
      <c r="WZJ165" s="588"/>
      <c r="WZK165" s="589"/>
      <c r="WZL165" s="588"/>
      <c r="WZM165" s="589"/>
      <c r="WZN165" s="429"/>
      <c r="WZO165" s="364"/>
      <c r="WZP165" s="365"/>
      <c r="WZQ165" s="354"/>
      <c r="WZR165" s="465"/>
      <c r="WZS165" s="565"/>
      <c r="WZT165" s="572"/>
      <c r="WZU165" s="572"/>
      <c r="WZV165" s="566"/>
      <c r="WZW165" s="587"/>
      <c r="WZX165" s="587"/>
      <c r="WZY165" s="587"/>
      <c r="WZZ165" s="587"/>
      <c r="XAA165" s="588"/>
      <c r="XAB165" s="589"/>
      <c r="XAC165" s="588"/>
      <c r="XAD165" s="589"/>
      <c r="XAE165" s="588"/>
      <c r="XAF165" s="589"/>
      <c r="XAG165" s="588"/>
      <c r="XAH165" s="589"/>
      <c r="XAI165" s="588"/>
      <c r="XAJ165" s="589"/>
      <c r="XAK165" s="429"/>
      <c r="XAL165" s="364"/>
      <c r="XAM165" s="365"/>
      <c r="XAN165" s="354"/>
      <c r="XAO165" s="465"/>
      <c r="XAP165" s="565"/>
    </row>
    <row r="166" spans="1:16266" s="367" customFormat="1" ht="16.5" customHeight="1" x14ac:dyDescent="0.3">
      <c r="A166" s="354" t="str">
        <f>VLOOKUP(C166,'[15]Prix accès'!A:C,3,FALSE)</f>
        <v>Vague 2</v>
      </c>
      <c r="B166" s="415" t="s">
        <v>2745</v>
      </c>
      <c r="C166" s="538" t="s">
        <v>2003</v>
      </c>
      <c r="D166" s="539">
        <v>1628</v>
      </c>
      <c r="E166" s="540">
        <v>239</v>
      </c>
      <c r="F166" s="540">
        <v>16</v>
      </c>
      <c r="G166" s="540">
        <v>108</v>
      </c>
      <c r="H166" s="541">
        <v>66</v>
      </c>
      <c r="I166" s="830">
        <v>1883.0564263010347</v>
      </c>
      <c r="J166" s="831">
        <f>108</f>
        <v>108</v>
      </c>
      <c r="K166" s="831">
        <v>65.615106286748087</v>
      </c>
      <c r="L166" s="831">
        <v>1883.0564263010347</v>
      </c>
      <c r="M166" s="831">
        <f>108</f>
        <v>108</v>
      </c>
      <c r="N166" s="831">
        <v>65.615106286748087</v>
      </c>
      <c r="O166" s="831">
        <v>1883.0564263010347</v>
      </c>
      <c r="P166" s="831">
        <f>108</f>
        <v>108</v>
      </c>
      <c r="Q166" s="831">
        <v>65.615106286748087</v>
      </c>
      <c r="R166" s="831">
        <v>1883.0564263010347</v>
      </c>
      <c r="S166" s="831">
        <f>108</f>
        <v>108</v>
      </c>
      <c r="T166" s="831">
        <v>65.615106286748087</v>
      </c>
      <c r="U166" s="831">
        <v>1883.0564263010347</v>
      </c>
      <c r="V166" s="831">
        <f>108</f>
        <v>108</v>
      </c>
      <c r="W166" s="831">
        <v>65.615106286748087</v>
      </c>
      <c r="X166" s="831">
        <v>1883.0564263010347</v>
      </c>
      <c r="Y166" s="831">
        <f>108</f>
        <v>108</v>
      </c>
      <c r="Z166" s="831">
        <v>65.615106286748087</v>
      </c>
      <c r="AA166" s="831">
        <v>1883.0564263010347</v>
      </c>
      <c r="AB166" s="831">
        <f>108</f>
        <v>108</v>
      </c>
      <c r="AC166" s="831">
        <v>65.615106286748087</v>
      </c>
      <c r="AD166" s="831">
        <v>1883.0564263010347</v>
      </c>
      <c r="AE166" s="831">
        <f>108</f>
        <v>108</v>
      </c>
      <c r="AF166" s="831">
        <v>65.615106286748087</v>
      </c>
      <c r="AG166" s="831">
        <v>1883.0564263010347</v>
      </c>
      <c r="AH166" s="831">
        <f>108</f>
        <v>108</v>
      </c>
      <c r="AI166" s="831">
        <v>65.615106286748087</v>
      </c>
      <c r="AJ166" s="831">
        <v>1883.0564263010347</v>
      </c>
      <c r="AK166" s="831">
        <f>108</f>
        <v>108</v>
      </c>
      <c r="AL166" s="831">
        <v>65.615106286748087</v>
      </c>
      <c r="AM166" s="831">
        <v>1883.0564263010347</v>
      </c>
      <c r="AN166" s="831">
        <f>108</f>
        <v>108</v>
      </c>
      <c r="AO166" s="831">
        <v>65.615106286748087</v>
      </c>
      <c r="AP166" s="831">
        <v>1883.0564263010347</v>
      </c>
      <c r="AQ166" s="831">
        <f>108</f>
        <v>108</v>
      </c>
      <c r="AR166" s="831">
        <v>65.615106286748087</v>
      </c>
      <c r="AS166" s="831">
        <v>1883.0564263010347</v>
      </c>
      <c r="AT166" s="831">
        <f>108</f>
        <v>108</v>
      </c>
      <c r="AU166" s="831">
        <v>65.615106286748087</v>
      </c>
      <c r="AV166" s="831">
        <v>1883.0564263010347</v>
      </c>
      <c r="AW166" s="831">
        <f>108</f>
        <v>108</v>
      </c>
      <c r="AX166" s="831">
        <v>65.615106286748087</v>
      </c>
      <c r="AY166" s="831">
        <v>1883.0564263010347</v>
      </c>
      <c r="AZ166" s="831">
        <f>108</f>
        <v>108</v>
      </c>
      <c r="BA166" s="369">
        <v>65.615106286748087</v>
      </c>
      <c r="BB166" s="385">
        <v>1883.0564263010347</v>
      </c>
      <c r="BC166" s="385">
        <f>108</f>
        <v>108</v>
      </c>
      <c r="BD166" s="369">
        <v>65.615106286748087</v>
      </c>
      <c r="BE166" s="385">
        <v>1883.0564263010347</v>
      </c>
      <c r="BF166" s="385">
        <f>108</f>
        <v>108</v>
      </c>
      <c r="BG166" s="369">
        <v>65.615106286748087</v>
      </c>
      <c r="BH166" s="385">
        <v>1883.0564263010347</v>
      </c>
      <c r="BI166" s="385">
        <f>108</f>
        <v>108</v>
      </c>
      <c r="BJ166" s="369">
        <v>65.615106286748087</v>
      </c>
      <c r="BK166" s="385">
        <v>1883.0564263010347</v>
      </c>
      <c r="BL166" s="385">
        <f>108</f>
        <v>108</v>
      </c>
      <c r="BM166" s="369">
        <v>65.615106286748087</v>
      </c>
      <c r="BN166" s="385">
        <v>1883.0564263010347</v>
      </c>
      <c r="BO166" s="385">
        <f>108</f>
        <v>108</v>
      </c>
      <c r="BP166" s="369">
        <v>65.615106286748087</v>
      </c>
      <c r="BQ166" s="385">
        <v>1883.0564263010347</v>
      </c>
      <c r="BR166" s="385">
        <f>108</f>
        <v>108</v>
      </c>
      <c r="BS166" s="369">
        <v>65.615106286748087</v>
      </c>
      <c r="BT166" s="385">
        <v>1883.0564263010347</v>
      </c>
      <c r="BU166" s="385">
        <f>108</f>
        <v>108</v>
      </c>
      <c r="BV166" s="369">
        <v>65.615106286748087</v>
      </c>
      <c r="BW166" s="385">
        <v>1883.0564263010347</v>
      </c>
      <c r="BX166" s="385">
        <f>108</f>
        <v>108</v>
      </c>
      <c r="BY166" s="369">
        <v>65.615106286748087</v>
      </c>
      <c r="BZ166" s="385">
        <v>1883.0564263010347</v>
      </c>
      <c r="CA166" s="385">
        <f>108</f>
        <v>108</v>
      </c>
      <c r="CB166" s="369">
        <v>65.615106286748087</v>
      </c>
      <c r="CC166" s="385">
        <v>1883.0564263010347</v>
      </c>
      <c r="CD166" s="385">
        <f>108</f>
        <v>108</v>
      </c>
      <c r="CE166" s="369">
        <v>65.615106286748087</v>
      </c>
      <c r="CF166" s="385">
        <v>1883.0564263010347</v>
      </c>
      <c r="CG166" s="385">
        <f>108</f>
        <v>108</v>
      </c>
      <c r="CH166" s="369">
        <v>65.615106286748087</v>
      </c>
      <c r="CI166" s="385">
        <v>1883.0564263010347</v>
      </c>
      <c r="CJ166" s="385">
        <f>108</f>
        <v>108</v>
      </c>
      <c r="CK166" s="369">
        <v>65.615106286748087</v>
      </c>
      <c r="CL166" s="385">
        <v>1883.0564263010347</v>
      </c>
      <c r="CM166" s="385">
        <f>108</f>
        <v>108</v>
      </c>
      <c r="CN166" s="369">
        <v>65.615106286748087</v>
      </c>
      <c r="CO166" s="385">
        <v>1883.0564263010347</v>
      </c>
      <c r="CP166" s="385">
        <f>108</f>
        <v>108</v>
      </c>
      <c r="CQ166" s="369">
        <v>65.615106286748087</v>
      </c>
      <c r="CR166" s="385">
        <v>1883.0564263010347</v>
      </c>
      <c r="CS166" s="385">
        <f>108</f>
        <v>108</v>
      </c>
      <c r="CT166" s="369">
        <v>65.615106286748087</v>
      </c>
      <c r="CU166" s="385">
        <v>1883.0564263010347</v>
      </c>
      <c r="CV166" s="385">
        <f>108</f>
        <v>108</v>
      </c>
      <c r="CW166" s="369">
        <v>65.615106286748087</v>
      </c>
      <c r="CX166" s="385">
        <v>1883.0564263010347</v>
      </c>
      <c r="CY166" s="385">
        <f>108</f>
        <v>108</v>
      </c>
      <c r="CZ166" s="369">
        <v>65.615106286748087</v>
      </c>
      <c r="DA166" s="385">
        <v>1883.0564263010347</v>
      </c>
      <c r="DB166" s="385">
        <f>108</f>
        <v>108</v>
      </c>
      <c r="DC166" s="369">
        <v>65.615106286748087</v>
      </c>
      <c r="DD166" s="385">
        <v>1883.0564263010347</v>
      </c>
      <c r="DE166" s="385">
        <f>108</f>
        <v>108</v>
      </c>
      <c r="DF166" s="369">
        <v>65.615106286748087</v>
      </c>
      <c r="DG166" s="385">
        <v>1883.0564263010347</v>
      </c>
      <c r="DH166" s="385">
        <f>108</f>
        <v>108</v>
      </c>
      <c r="DI166" s="369">
        <v>65.615106286748087</v>
      </c>
      <c r="DJ166" s="385">
        <v>1883.0564263010347</v>
      </c>
      <c r="DK166" s="385">
        <f>108</f>
        <v>108</v>
      </c>
      <c r="DL166" s="369">
        <v>65.615106286748087</v>
      </c>
      <c r="DM166" s="385">
        <v>1883.0564263010347</v>
      </c>
      <c r="DN166" s="385">
        <f>108</f>
        <v>108</v>
      </c>
      <c r="DO166" s="369">
        <v>65.615106286748087</v>
      </c>
      <c r="DP166" s="385">
        <v>1883.0564263010347</v>
      </c>
      <c r="DQ166" s="385">
        <f>108</f>
        <v>108</v>
      </c>
      <c r="DR166" s="369">
        <v>65.615106286748087</v>
      </c>
      <c r="DS166" s="385">
        <v>1883.0564263010347</v>
      </c>
      <c r="DT166" s="385">
        <f>108</f>
        <v>108</v>
      </c>
      <c r="DU166" s="369">
        <v>65.615106286748087</v>
      </c>
      <c r="DV166" s="385">
        <v>1883.0564263010347</v>
      </c>
      <c r="DW166" s="385">
        <f>108</f>
        <v>108</v>
      </c>
      <c r="DX166" s="369">
        <v>65.615106286748087</v>
      </c>
      <c r="DY166" s="385">
        <v>1883.0564263010347</v>
      </c>
      <c r="DZ166" s="385">
        <f>108</f>
        <v>108</v>
      </c>
      <c r="EA166" s="369">
        <v>65.615106286748087</v>
      </c>
      <c r="EB166" s="385">
        <v>1883.0564263010347</v>
      </c>
      <c r="EC166" s="385">
        <f>108</f>
        <v>108</v>
      </c>
      <c r="ED166" s="369">
        <v>65.615106286748087</v>
      </c>
      <c r="EE166" s="385">
        <v>1883.0564263010347</v>
      </c>
      <c r="EF166" s="385">
        <f>108</f>
        <v>108</v>
      </c>
      <c r="EG166" s="369">
        <v>65.615106286748087</v>
      </c>
      <c r="EH166" s="385">
        <v>1883.0564263010347</v>
      </c>
      <c r="EI166" s="385">
        <f>108</f>
        <v>108</v>
      </c>
      <c r="EJ166" s="369">
        <v>65.615106286748087</v>
      </c>
      <c r="EK166" s="385">
        <v>1883.0564263010347</v>
      </c>
      <c r="EL166" s="385">
        <f>108</f>
        <v>108</v>
      </c>
      <c r="EM166" s="369">
        <v>65.615106286748087</v>
      </c>
      <c r="EN166" s="385">
        <v>1883.0564263010347</v>
      </c>
      <c r="EO166" s="385">
        <f>108</f>
        <v>108</v>
      </c>
      <c r="EP166" s="369">
        <v>65.615106286748087</v>
      </c>
      <c r="EQ166" s="385">
        <v>1883.0564263010347</v>
      </c>
      <c r="ER166" s="385">
        <f>108</f>
        <v>108</v>
      </c>
      <c r="ES166" s="369">
        <v>65.615106286748087</v>
      </c>
      <c r="ET166" s="385">
        <v>1883.0564263010347</v>
      </c>
      <c r="EU166" s="385">
        <f>108</f>
        <v>108</v>
      </c>
      <c r="EV166" s="369">
        <v>65.615106286748087</v>
      </c>
      <c r="EW166" s="385">
        <v>1883.0564263010347</v>
      </c>
      <c r="EX166" s="385">
        <f>108</f>
        <v>108</v>
      </c>
      <c r="EY166" s="369">
        <v>65.615106286748087</v>
      </c>
      <c r="EZ166" s="385">
        <v>1883.0564263010347</v>
      </c>
      <c r="FA166" s="385">
        <f>108</f>
        <v>108</v>
      </c>
      <c r="FB166" s="369">
        <v>65.615106286748087</v>
      </c>
      <c r="FC166" s="385">
        <v>1883.0564263010347</v>
      </c>
      <c r="FD166" s="385">
        <f>108</f>
        <v>108</v>
      </c>
      <c r="FE166" s="369">
        <v>65.615106286748087</v>
      </c>
      <c r="FF166" s="385">
        <v>1883.0564263010347</v>
      </c>
      <c r="FG166" s="385">
        <f>108</f>
        <v>108</v>
      </c>
      <c r="FH166" s="369">
        <v>65.615106286748087</v>
      </c>
      <c r="FI166" s="385">
        <v>1883.0564263010347</v>
      </c>
      <c r="FJ166" s="385">
        <f>108</f>
        <v>108</v>
      </c>
      <c r="FK166" s="369">
        <v>65.615106286748087</v>
      </c>
      <c r="FL166" s="385">
        <v>1883.0564263010347</v>
      </c>
      <c r="FM166" s="385">
        <f>108</f>
        <v>108</v>
      </c>
      <c r="FN166" s="369">
        <v>65.615106286748087</v>
      </c>
      <c r="FO166" s="385">
        <v>1883.0564263010347</v>
      </c>
      <c r="FP166" s="385">
        <f>108</f>
        <v>108</v>
      </c>
      <c r="FQ166" s="369">
        <v>65.615106286748087</v>
      </c>
      <c r="FR166" s="385">
        <v>1883.0564263010347</v>
      </c>
      <c r="FS166" s="385">
        <f>108</f>
        <v>108</v>
      </c>
      <c r="FT166" s="369">
        <v>65.615106286748087</v>
      </c>
      <c r="FU166" s="385">
        <v>1883.0564263010347</v>
      </c>
      <c r="FV166" s="385">
        <f>108</f>
        <v>108</v>
      </c>
      <c r="FW166" s="369">
        <v>65.615106286748087</v>
      </c>
      <c r="FX166" s="385">
        <v>1883.0564263010347</v>
      </c>
      <c r="FY166" s="385">
        <f>108</f>
        <v>108</v>
      </c>
      <c r="FZ166" s="369">
        <v>65.615106286748087</v>
      </c>
      <c r="GA166" s="385">
        <v>1883.0564263010347</v>
      </c>
      <c r="GB166" s="385">
        <f>108</f>
        <v>108</v>
      </c>
      <c r="GC166" s="369">
        <v>65.615106286748087</v>
      </c>
      <c r="GD166" s="385">
        <v>1883.0564263010347</v>
      </c>
      <c r="GE166" s="385">
        <f>108</f>
        <v>108</v>
      </c>
      <c r="GF166" s="369">
        <v>65.615106286748087</v>
      </c>
      <c r="GG166" s="385">
        <v>1883.0564263010347</v>
      </c>
      <c r="GH166" s="385">
        <f>108</f>
        <v>108</v>
      </c>
      <c r="GI166" s="369">
        <v>65.615106286748087</v>
      </c>
      <c r="GJ166" s="385">
        <v>1883.0564263010347</v>
      </c>
      <c r="GK166" s="385">
        <f>108</f>
        <v>108</v>
      </c>
      <c r="GL166" s="369">
        <v>65.615106286748087</v>
      </c>
      <c r="GM166" s="385">
        <v>1883.0564263010347</v>
      </c>
      <c r="GN166" s="385">
        <f>108</f>
        <v>108</v>
      </c>
      <c r="GO166" s="369">
        <v>65.615106286748087</v>
      </c>
      <c r="GP166" s="385">
        <v>1883.0564263010347</v>
      </c>
      <c r="GQ166" s="385">
        <f>108</f>
        <v>108</v>
      </c>
      <c r="GR166" s="369">
        <v>65.615106286748087</v>
      </c>
      <c r="GS166" s="385">
        <v>1883.0564263010347</v>
      </c>
      <c r="GT166" s="385">
        <f>108</f>
        <v>108</v>
      </c>
      <c r="GU166" s="369">
        <v>65.615106286748087</v>
      </c>
      <c r="GV166" s="385">
        <v>1883.0564263010347</v>
      </c>
      <c r="GW166" s="385">
        <f>108</f>
        <v>108</v>
      </c>
      <c r="GX166" s="369">
        <v>65.615106286748087</v>
      </c>
      <c r="GY166" s="385">
        <v>1883.0564263010347</v>
      </c>
      <c r="GZ166" s="385">
        <f>108</f>
        <v>108</v>
      </c>
      <c r="HA166" s="369">
        <v>65.615106286748087</v>
      </c>
      <c r="HB166" s="385">
        <v>1883.0564263010347</v>
      </c>
      <c r="HC166" s="385">
        <f>108</f>
        <v>108</v>
      </c>
      <c r="HD166" s="369">
        <v>65.615106286748087</v>
      </c>
      <c r="HE166" s="387">
        <v>1883.0564263010347</v>
      </c>
      <c r="HF166" s="386">
        <f>108*6</f>
        <v>648</v>
      </c>
      <c r="HG166" s="369">
        <v>65.615106286748087</v>
      </c>
      <c r="HH166" s="387">
        <v>1883.0564263010347</v>
      </c>
      <c r="HI166" s="369">
        <v>65.615106286748087</v>
      </c>
      <c r="HJ166" s="387">
        <v>1883.0564263010347</v>
      </c>
      <c r="HK166" s="369">
        <v>65.615106286748087</v>
      </c>
      <c r="HL166" s="387">
        <v>1883.0564263010347</v>
      </c>
      <c r="HM166" s="369">
        <v>65.615106286748087</v>
      </c>
      <c r="HN166" s="387">
        <v>1883.0564263010347</v>
      </c>
      <c r="HO166" s="369">
        <v>65.615106286748087</v>
      </c>
      <c r="HP166" s="387">
        <v>1883.0564263010347</v>
      </c>
      <c r="HQ166" s="369">
        <v>65.615106286748087</v>
      </c>
      <c r="HR166" s="387">
        <v>1883.0564263010347</v>
      </c>
      <c r="HS166" s="369">
        <v>65.615106286748087</v>
      </c>
      <c r="HT166" s="387">
        <v>1883.0564263010347</v>
      </c>
      <c r="HU166" s="369">
        <v>65.615106286748087</v>
      </c>
      <c r="HV166" s="388">
        <v>1883.0564263010347</v>
      </c>
      <c r="HW166" s="570">
        <v>66</v>
      </c>
      <c r="HX166" s="564">
        <v>1883.0564263010347</v>
      </c>
      <c r="HY166" s="570">
        <v>66</v>
      </c>
      <c r="HZ166" s="565">
        <v>3612</v>
      </c>
      <c r="IA166" s="571">
        <v>126.59</v>
      </c>
      <c r="IB166" s="572"/>
      <c r="IC166" s="566"/>
      <c r="ID166" s="567"/>
      <c r="IE166" s="567"/>
      <c r="IF166" s="567"/>
      <c r="IG166" s="567"/>
      <c r="IH166" s="568"/>
      <c r="II166" s="569"/>
      <c r="IJ166" s="568"/>
      <c r="IK166" s="569"/>
      <c r="IL166" s="568"/>
      <c r="IM166" s="569"/>
      <c r="IN166" s="568"/>
      <c r="IO166" s="569"/>
      <c r="IP166" s="568"/>
      <c r="IQ166" s="569"/>
      <c r="IR166" s="429" t="s">
        <v>3034</v>
      </c>
      <c r="IS166" s="364" t="s">
        <v>77</v>
      </c>
      <c r="IT166" s="574">
        <v>43650</v>
      </c>
      <c r="IU166" s="393">
        <v>43678</v>
      </c>
      <c r="IV166" s="575"/>
      <c r="IW166" s="372">
        <f t="shared" si="22"/>
        <v>28</v>
      </c>
      <c r="IX166" s="373">
        <f t="shared" si="23"/>
        <v>118.42622950819673</v>
      </c>
      <c r="IY166" s="531">
        <f t="shared" si="20"/>
        <v>3315.9344262295085</v>
      </c>
      <c r="IZ166" s="531"/>
      <c r="JA166" s="531"/>
      <c r="JB166" s="576"/>
      <c r="JC166" s="576"/>
      <c r="JD166" s="576"/>
      <c r="JE166" s="576"/>
      <c r="JF166" s="577"/>
      <c r="JG166" s="578"/>
      <c r="JH166" s="577"/>
      <c r="JI166" s="578"/>
      <c r="JJ166" s="577"/>
      <c r="JK166" s="578"/>
      <c r="JL166" s="577"/>
      <c r="JM166" s="578"/>
      <c r="JN166" s="577"/>
      <c r="JO166" s="578"/>
      <c r="JP166" s="579"/>
      <c r="JQ166" s="580"/>
      <c r="JR166" s="581"/>
      <c r="JS166" s="582"/>
      <c r="JT166" s="575"/>
      <c r="JU166" s="583"/>
      <c r="JV166" s="584"/>
      <c r="JW166" s="584"/>
      <c r="JX166" s="585"/>
      <c r="JY166" s="576"/>
      <c r="JZ166" s="576"/>
      <c r="KA166" s="576"/>
      <c r="KB166" s="576"/>
      <c r="KC166" s="577"/>
      <c r="KD166" s="578"/>
      <c r="KE166" s="577"/>
      <c r="KF166" s="578"/>
      <c r="KG166" s="577"/>
      <c r="KH166" s="578"/>
      <c r="KI166" s="577"/>
      <c r="KJ166" s="578"/>
      <c r="KK166" s="577"/>
      <c r="KL166" s="578"/>
      <c r="KM166" s="579"/>
      <c r="KN166" s="580"/>
      <c r="KO166" s="581"/>
      <c r="KP166" s="582"/>
      <c r="KQ166" s="575"/>
      <c r="KR166" s="583"/>
      <c r="KS166" s="584"/>
      <c r="KT166" s="584"/>
      <c r="KU166" s="585"/>
      <c r="KV166" s="576"/>
      <c r="KW166" s="576"/>
      <c r="KX166" s="576"/>
      <c r="KY166" s="576"/>
      <c r="KZ166" s="577"/>
      <c r="LA166" s="578"/>
      <c r="LB166" s="577"/>
      <c r="LC166" s="578"/>
      <c r="LD166" s="577"/>
      <c r="LE166" s="578"/>
      <c r="LF166" s="577"/>
      <c r="LG166" s="578"/>
      <c r="LH166" s="577"/>
      <c r="LI166" s="578"/>
      <c r="LJ166" s="579"/>
      <c r="LK166" s="580"/>
      <c r="LL166" s="586"/>
      <c r="LM166" s="354"/>
      <c r="LN166" s="465"/>
      <c r="LO166" s="565"/>
      <c r="LP166" s="572"/>
      <c r="LQ166" s="572"/>
      <c r="LR166" s="566"/>
      <c r="LS166" s="587"/>
      <c r="LT166" s="587"/>
      <c r="LU166" s="587"/>
      <c r="LV166" s="587"/>
      <c r="LW166" s="588"/>
      <c r="LX166" s="589"/>
      <c r="LY166" s="588"/>
      <c r="LZ166" s="589"/>
      <c r="MA166" s="588"/>
      <c r="MB166" s="589"/>
      <c r="MC166" s="588"/>
      <c r="MD166" s="589"/>
      <c r="ME166" s="588"/>
      <c r="MF166" s="589"/>
      <c r="MG166" s="429"/>
      <c r="MH166" s="364"/>
      <c r="MI166" s="365"/>
      <c r="MJ166" s="354"/>
      <c r="MK166" s="465"/>
      <c r="ML166" s="565"/>
      <c r="MM166" s="572"/>
      <c r="MN166" s="572"/>
      <c r="MO166" s="566"/>
      <c r="MP166" s="587"/>
      <c r="MQ166" s="587"/>
      <c r="MR166" s="587"/>
      <c r="MS166" s="587"/>
      <c r="MT166" s="588"/>
      <c r="MU166" s="589"/>
      <c r="MV166" s="588"/>
      <c r="MW166" s="589"/>
      <c r="MX166" s="588"/>
      <c r="MY166" s="589"/>
      <c r="MZ166" s="588"/>
      <c r="NA166" s="589"/>
      <c r="NB166" s="588"/>
      <c r="NC166" s="589"/>
      <c r="ND166" s="429"/>
      <c r="NE166" s="364"/>
      <c r="NF166" s="365"/>
      <c r="NG166" s="354"/>
      <c r="NH166" s="465"/>
      <c r="NI166" s="565"/>
      <c r="NJ166" s="572"/>
      <c r="NK166" s="572"/>
      <c r="NL166" s="566"/>
      <c r="NM166" s="587"/>
      <c r="NN166" s="587"/>
      <c r="NO166" s="587"/>
      <c r="NP166" s="587"/>
      <c r="NQ166" s="588"/>
      <c r="NR166" s="589"/>
      <c r="NS166" s="588"/>
      <c r="NT166" s="589"/>
      <c r="NU166" s="588"/>
      <c r="NV166" s="589"/>
      <c r="NW166" s="588"/>
      <c r="NX166" s="589"/>
      <c r="NY166" s="588"/>
      <c r="NZ166" s="589"/>
      <c r="OA166" s="429"/>
      <c r="OB166" s="364"/>
      <c r="OC166" s="365"/>
      <c r="OD166" s="354"/>
      <c r="OE166" s="465"/>
      <c r="OF166" s="565"/>
      <c r="OG166" s="572"/>
      <c r="OH166" s="572"/>
      <c r="OI166" s="566"/>
      <c r="OJ166" s="587"/>
      <c r="OK166" s="587"/>
      <c r="OL166" s="587"/>
      <c r="OM166" s="587"/>
      <c r="ON166" s="588"/>
      <c r="OO166" s="589"/>
      <c r="OP166" s="588"/>
      <c r="OQ166" s="589"/>
      <c r="OR166" s="588"/>
      <c r="OS166" s="589"/>
      <c r="OT166" s="588"/>
      <c r="OU166" s="589"/>
      <c r="OV166" s="588"/>
      <c r="OW166" s="589"/>
      <c r="OX166" s="429"/>
      <c r="OY166" s="364"/>
      <c r="OZ166" s="365"/>
      <c r="PA166" s="354"/>
      <c r="PB166" s="465"/>
      <c r="PC166" s="565"/>
      <c r="PD166" s="572"/>
      <c r="PE166" s="572"/>
      <c r="PF166" s="566"/>
      <c r="PG166" s="587"/>
      <c r="PH166" s="587"/>
      <c r="PI166" s="587"/>
      <c r="PJ166" s="587"/>
      <c r="PK166" s="588"/>
      <c r="PL166" s="589"/>
      <c r="PM166" s="588"/>
      <c r="PN166" s="589"/>
      <c r="PO166" s="588"/>
      <c r="PP166" s="589"/>
      <c r="PQ166" s="588"/>
      <c r="PR166" s="589"/>
      <c r="PS166" s="588"/>
      <c r="PT166" s="589"/>
      <c r="PU166" s="429"/>
      <c r="PV166" s="364"/>
      <c r="PW166" s="365"/>
      <c r="PX166" s="354"/>
      <c r="PY166" s="465"/>
      <c r="PZ166" s="565"/>
      <c r="QA166" s="572"/>
      <c r="QB166" s="572"/>
      <c r="QC166" s="566"/>
      <c r="QD166" s="587"/>
      <c r="QE166" s="587"/>
      <c r="QF166" s="587"/>
      <c r="QG166" s="587"/>
      <c r="QH166" s="588"/>
      <c r="QI166" s="589"/>
      <c r="QJ166" s="588"/>
      <c r="QK166" s="589"/>
      <c r="QL166" s="588"/>
      <c r="QM166" s="589"/>
      <c r="QN166" s="588"/>
      <c r="QO166" s="589"/>
      <c r="QP166" s="588"/>
      <c r="QQ166" s="589"/>
      <c r="QR166" s="429"/>
      <c r="QS166" s="364"/>
      <c r="QT166" s="365"/>
      <c r="QU166" s="354"/>
      <c r="QV166" s="465"/>
      <c r="QW166" s="565"/>
      <c r="QX166" s="572"/>
      <c r="QY166" s="572"/>
      <c r="QZ166" s="566"/>
      <c r="RA166" s="587"/>
      <c r="RB166" s="587"/>
      <c r="RC166" s="587"/>
      <c r="RD166" s="587"/>
      <c r="RE166" s="588"/>
      <c r="RF166" s="589"/>
      <c r="RG166" s="588"/>
      <c r="RH166" s="589"/>
      <c r="RI166" s="588"/>
      <c r="RJ166" s="589"/>
      <c r="RK166" s="588"/>
      <c r="RL166" s="589"/>
      <c r="RM166" s="588"/>
      <c r="RN166" s="589"/>
      <c r="RO166" s="429"/>
      <c r="RP166" s="364"/>
      <c r="RQ166" s="365"/>
      <c r="RR166" s="354"/>
      <c r="RS166" s="465"/>
      <c r="RT166" s="565"/>
      <c r="RU166" s="572"/>
      <c r="RV166" s="572"/>
      <c r="RW166" s="566"/>
      <c r="RX166" s="587"/>
      <c r="RY166" s="587"/>
      <c r="RZ166" s="587"/>
      <c r="SA166" s="587"/>
      <c r="SB166" s="588"/>
      <c r="SC166" s="589"/>
      <c r="SD166" s="588"/>
      <c r="SE166" s="589"/>
      <c r="SF166" s="588"/>
      <c r="SG166" s="589"/>
      <c r="SH166" s="588"/>
      <c r="SI166" s="589"/>
      <c r="SJ166" s="588"/>
      <c r="SK166" s="589"/>
      <c r="SL166" s="429"/>
      <c r="SM166" s="364"/>
      <c r="SN166" s="365"/>
      <c r="SO166" s="354"/>
      <c r="SP166" s="465"/>
      <c r="SQ166" s="565"/>
      <c r="SR166" s="572"/>
      <c r="SS166" s="572"/>
      <c r="ST166" s="566"/>
      <c r="SU166" s="587"/>
      <c r="SV166" s="587"/>
      <c r="SW166" s="587"/>
      <c r="SX166" s="587"/>
      <c r="SY166" s="588"/>
      <c r="SZ166" s="589"/>
      <c r="TA166" s="588"/>
      <c r="TB166" s="589"/>
      <c r="TC166" s="588"/>
      <c r="TD166" s="589"/>
      <c r="TE166" s="588"/>
      <c r="TF166" s="589"/>
      <c r="TG166" s="588"/>
      <c r="TH166" s="589"/>
      <c r="TI166" s="429"/>
      <c r="TJ166" s="364"/>
      <c r="TK166" s="365"/>
      <c r="TL166" s="354"/>
      <c r="TM166" s="465"/>
      <c r="TN166" s="565"/>
      <c r="TO166" s="572"/>
      <c r="TP166" s="572"/>
      <c r="TQ166" s="566"/>
      <c r="TR166" s="587"/>
      <c r="TS166" s="587"/>
      <c r="TT166" s="587"/>
      <c r="TU166" s="587"/>
      <c r="TV166" s="588"/>
      <c r="TW166" s="589"/>
      <c r="TX166" s="588"/>
      <c r="TY166" s="589"/>
      <c r="TZ166" s="588"/>
      <c r="UA166" s="589"/>
      <c r="UB166" s="588"/>
      <c r="UC166" s="589"/>
      <c r="UD166" s="588"/>
      <c r="UE166" s="589"/>
      <c r="UF166" s="429"/>
      <c r="UG166" s="364"/>
      <c r="UH166" s="365"/>
      <c r="UI166" s="354"/>
      <c r="UJ166" s="465"/>
      <c r="UK166" s="565"/>
      <c r="UL166" s="572"/>
      <c r="UM166" s="572"/>
      <c r="UN166" s="566"/>
      <c r="UO166" s="587"/>
      <c r="UP166" s="587"/>
      <c r="UQ166" s="587"/>
      <c r="UR166" s="587"/>
      <c r="US166" s="588"/>
      <c r="UT166" s="589"/>
      <c r="UU166" s="588"/>
      <c r="UV166" s="589"/>
      <c r="UW166" s="588"/>
      <c r="UX166" s="589"/>
      <c r="UY166" s="588"/>
      <c r="UZ166" s="589"/>
      <c r="VA166" s="588"/>
      <c r="VB166" s="589"/>
      <c r="VC166" s="429"/>
      <c r="VD166" s="364"/>
      <c r="VE166" s="365"/>
      <c r="VF166" s="354"/>
      <c r="VG166" s="465"/>
      <c r="VH166" s="565"/>
      <c r="VI166" s="572"/>
      <c r="VJ166" s="572"/>
      <c r="VK166" s="566"/>
      <c r="VL166" s="587"/>
      <c r="VM166" s="587"/>
      <c r="VN166" s="587"/>
      <c r="VO166" s="587"/>
      <c r="VP166" s="588"/>
      <c r="VQ166" s="589"/>
      <c r="VR166" s="588"/>
      <c r="VS166" s="589"/>
      <c r="VT166" s="588"/>
      <c r="VU166" s="589"/>
      <c r="VV166" s="588"/>
      <c r="VW166" s="589"/>
      <c r="VX166" s="588"/>
      <c r="VY166" s="589"/>
      <c r="VZ166" s="429"/>
      <c r="WA166" s="364"/>
      <c r="WB166" s="365"/>
      <c r="WC166" s="354"/>
      <c r="WD166" s="465"/>
      <c r="WE166" s="565"/>
      <c r="WF166" s="572"/>
      <c r="WG166" s="572"/>
      <c r="WH166" s="566"/>
      <c r="WI166" s="587"/>
      <c r="WJ166" s="587"/>
      <c r="WK166" s="587"/>
      <c r="WL166" s="587"/>
      <c r="WM166" s="588"/>
      <c r="WN166" s="589"/>
      <c r="WO166" s="588"/>
      <c r="WP166" s="589"/>
      <c r="WQ166" s="588"/>
      <c r="WR166" s="589"/>
      <c r="WS166" s="588"/>
      <c r="WT166" s="589"/>
      <c r="WU166" s="588"/>
      <c r="WV166" s="589"/>
      <c r="WW166" s="429"/>
      <c r="WX166" s="364"/>
      <c r="WY166" s="365"/>
      <c r="WZ166" s="354"/>
      <c r="XA166" s="465"/>
      <c r="XB166" s="565"/>
      <c r="XC166" s="572"/>
      <c r="XD166" s="572"/>
      <c r="XE166" s="566"/>
      <c r="XF166" s="587"/>
      <c r="XG166" s="587"/>
      <c r="XH166" s="587"/>
      <c r="XI166" s="587"/>
      <c r="XJ166" s="588"/>
      <c r="XK166" s="589"/>
      <c r="XL166" s="588"/>
      <c r="XM166" s="589"/>
      <c r="XN166" s="588"/>
      <c r="XO166" s="589"/>
      <c r="XP166" s="588"/>
      <c r="XQ166" s="589"/>
      <c r="XR166" s="588"/>
      <c r="XS166" s="589"/>
      <c r="XT166" s="429"/>
      <c r="XU166" s="364"/>
      <c r="XV166" s="365"/>
      <c r="XW166" s="354"/>
      <c r="XX166" s="465"/>
      <c r="XY166" s="565"/>
      <c r="XZ166" s="572"/>
      <c r="YA166" s="572"/>
      <c r="YB166" s="566"/>
      <c r="YC166" s="587"/>
      <c r="YD166" s="587"/>
      <c r="YE166" s="587"/>
      <c r="YF166" s="587"/>
      <c r="YG166" s="588"/>
      <c r="YH166" s="589"/>
      <c r="YI166" s="588"/>
      <c r="YJ166" s="589"/>
      <c r="YK166" s="588"/>
      <c r="YL166" s="589"/>
      <c r="YM166" s="588"/>
      <c r="YN166" s="589"/>
      <c r="YO166" s="588"/>
      <c r="YP166" s="589"/>
      <c r="YQ166" s="429"/>
      <c r="YR166" s="364"/>
      <c r="YS166" s="365"/>
      <c r="YT166" s="354"/>
      <c r="YU166" s="465"/>
      <c r="YV166" s="565"/>
      <c r="YW166" s="572"/>
      <c r="YX166" s="572"/>
      <c r="YY166" s="566"/>
      <c r="YZ166" s="587"/>
      <c r="ZA166" s="587"/>
      <c r="ZB166" s="587"/>
      <c r="ZC166" s="587"/>
      <c r="ZD166" s="588"/>
      <c r="ZE166" s="589"/>
      <c r="ZF166" s="588"/>
      <c r="ZG166" s="589"/>
      <c r="ZH166" s="588"/>
      <c r="ZI166" s="589"/>
      <c r="ZJ166" s="588"/>
      <c r="ZK166" s="589"/>
      <c r="ZL166" s="588"/>
      <c r="ZM166" s="589"/>
      <c r="ZN166" s="429"/>
      <c r="ZO166" s="364"/>
      <c r="ZP166" s="365"/>
      <c r="ZQ166" s="354"/>
      <c r="ZR166" s="465"/>
      <c r="ZS166" s="565"/>
      <c r="ZT166" s="572"/>
      <c r="ZU166" s="572"/>
      <c r="ZV166" s="566"/>
      <c r="ZW166" s="587"/>
      <c r="ZX166" s="587"/>
      <c r="ZY166" s="587"/>
      <c r="ZZ166" s="587"/>
      <c r="AAA166" s="588"/>
      <c r="AAB166" s="589"/>
      <c r="AAC166" s="588"/>
      <c r="AAD166" s="589"/>
      <c r="AAE166" s="588"/>
      <c r="AAF166" s="589"/>
      <c r="AAG166" s="588"/>
      <c r="AAH166" s="589"/>
      <c r="AAI166" s="588"/>
      <c r="AAJ166" s="589"/>
      <c r="AAK166" s="429"/>
      <c r="AAL166" s="364"/>
      <c r="AAM166" s="365"/>
      <c r="AAN166" s="354"/>
      <c r="AAO166" s="465"/>
      <c r="AAP166" s="565"/>
      <c r="AAQ166" s="572"/>
      <c r="AAR166" s="572"/>
      <c r="AAS166" s="566"/>
      <c r="AAT166" s="587"/>
      <c r="AAU166" s="587"/>
      <c r="AAV166" s="587"/>
      <c r="AAW166" s="587"/>
      <c r="AAX166" s="588"/>
      <c r="AAY166" s="589"/>
      <c r="AAZ166" s="588"/>
      <c r="ABA166" s="589"/>
      <c r="ABB166" s="588"/>
      <c r="ABC166" s="589"/>
      <c r="ABD166" s="588"/>
      <c r="ABE166" s="589"/>
      <c r="ABF166" s="588"/>
      <c r="ABG166" s="589"/>
      <c r="ABH166" s="429"/>
      <c r="ABI166" s="364"/>
      <c r="ABJ166" s="365"/>
      <c r="ABK166" s="354"/>
      <c r="ABL166" s="465"/>
      <c r="ABM166" s="565"/>
      <c r="ABN166" s="572"/>
      <c r="ABO166" s="572"/>
      <c r="ABP166" s="566"/>
      <c r="ABQ166" s="587"/>
      <c r="ABR166" s="587"/>
      <c r="ABS166" s="587"/>
      <c r="ABT166" s="587"/>
      <c r="ABU166" s="588"/>
      <c r="ABV166" s="589"/>
      <c r="ABW166" s="588"/>
      <c r="ABX166" s="589"/>
      <c r="ABY166" s="588"/>
      <c r="ABZ166" s="589"/>
      <c r="ACA166" s="588"/>
      <c r="ACB166" s="589"/>
      <c r="ACC166" s="588"/>
      <c r="ACD166" s="589"/>
      <c r="ACE166" s="429"/>
      <c r="ACF166" s="364"/>
      <c r="ACG166" s="365"/>
      <c r="ACH166" s="354"/>
      <c r="ACI166" s="465"/>
      <c r="ACJ166" s="565"/>
      <c r="ACK166" s="572"/>
      <c r="ACL166" s="572"/>
      <c r="ACM166" s="566"/>
      <c r="ACN166" s="587"/>
      <c r="ACO166" s="587"/>
      <c r="ACP166" s="587"/>
      <c r="ACQ166" s="587"/>
      <c r="ACR166" s="588"/>
      <c r="ACS166" s="589"/>
      <c r="ACT166" s="588"/>
      <c r="ACU166" s="589"/>
      <c r="ACV166" s="588"/>
      <c r="ACW166" s="589"/>
      <c r="ACX166" s="588"/>
      <c r="ACY166" s="589"/>
      <c r="ACZ166" s="588"/>
      <c r="ADA166" s="589"/>
      <c r="ADB166" s="429"/>
      <c r="ADC166" s="364"/>
      <c r="ADD166" s="365"/>
      <c r="ADE166" s="354"/>
      <c r="ADF166" s="465"/>
      <c r="ADG166" s="565"/>
      <c r="ADH166" s="572"/>
      <c r="ADI166" s="572"/>
      <c r="ADJ166" s="566"/>
      <c r="ADK166" s="587"/>
      <c r="ADL166" s="587"/>
      <c r="ADM166" s="587"/>
      <c r="ADN166" s="587"/>
      <c r="ADO166" s="588"/>
      <c r="ADP166" s="589"/>
      <c r="ADQ166" s="588"/>
      <c r="ADR166" s="589"/>
      <c r="ADS166" s="588"/>
      <c r="ADT166" s="589"/>
      <c r="ADU166" s="588"/>
      <c r="ADV166" s="589"/>
      <c r="ADW166" s="588"/>
      <c r="ADX166" s="589"/>
      <c r="ADY166" s="429"/>
      <c r="ADZ166" s="364"/>
      <c r="AEA166" s="365"/>
      <c r="AEB166" s="354"/>
      <c r="AEC166" s="465"/>
      <c r="AED166" s="565"/>
      <c r="AEE166" s="572"/>
      <c r="AEF166" s="572"/>
      <c r="AEG166" s="566"/>
      <c r="AEH166" s="587"/>
      <c r="AEI166" s="587"/>
      <c r="AEJ166" s="587"/>
      <c r="AEK166" s="587"/>
      <c r="AEL166" s="588"/>
      <c r="AEM166" s="589"/>
      <c r="AEN166" s="588"/>
      <c r="AEO166" s="589"/>
      <c r="AEP166" s="588"/>
      <c r="AEQ166" s="589"/>
      <c r="AER166" s="588"/>
      <c r="AES166" s="589"/>
      <c r="AET166" s="588"/>
      <c r="AEU166" s="589"/>
      <c r="AEV166" s="429"/>
      <c r="AEW166" s="364"/>
      <c r="AEX166" s="365"/>
      <c r="AEY166" s="354"/>
      <c r="AEZ166" s="465"/>
      <c r="AFA166" s="565"/>
      <c r="AFB166" s="572"/>
      <c r="AFC166" s="572"/>
      <c r="AFD166" s="566"/>
      <c r="AFE166" s="587"/>
      <c r="AFF166" s="587"/>
      <c r="AFG166" s="587"/>
      <c r="AFH166" s="587"/>
      <c r="AFI166" s="588"/>
      <c r="AFJ166" s="589"/>
      <c r="AFK166" s="588"/>
      <c r="AFL166" s="589"/>
      <c r="AFM166" s="588"/>
      <c r="AFN166" s="589"/>
      <c r="AFO166" s="588"/>
      <c r="AFP166" s="589"/>
      <c r="AFQ166" s="588"/>
      <c r="AFR166" s="589"/>
      <c r="AFS166" s="429"/>
      <c r="AFT166" s="364"/>
      <c r="AFU166" s="365"/>
      <c r="AFV166" s="354"/>
      <c r="AFW166" s="465"/>
      <c r="AFX166" s="565"/>
      <c r="AFY166" s="572"/>
      <c r="AFZ166" s="572"/>
      <c r="AGA166" s="566"/>
      <c r="AGB166" s="587"/>
      <c r="AGC166" s="587"/>
      <c r="AGD166" s="587"/>
      <c r="AGE166" s="587"/>
      <c r="AGF166" s="588"/>
      <c r="AGG166" s="589"/>
      <c r="AGH166" s="588"/>
      <c r="AGI166" s="589"/>
      <c r="AGJ166" s="588"/>
      <c r="AGK166" s="589"/>
      <c r="AGL166" s="588"/>
      <c r="AGM166" s="589"/>
      <c r="AGN166" s="588"/>
      <c r="AGO166" s="589"/>
      <c r="AGP166" s="429"/>
      <c r="AGQ166" s="364"/>
      <c r="AGR166" s="365"/>
      <c r="AGS166" s="354"/>
      <c r="AGT166" s="465"/>
      <c r="AGU166" s="565"/>
      <c r="AGV166" s="572"/>
      <c r="AGW166" s="572"/>
      <c r="AGX166" s="566"/>
      <c r="AGY166" s="587"/>
      <c r="AGZ166" s="587"/>
      <c r="AHA166" s="587"/>
      <c r="AHB166" s="587"/>
      <c r="AHC166" s="588"/>
      <c r="AHD166" s="589"/>
      <c r="AHE166" s="588"/>
      <c r="AHF166" s="589"/>
      <c r="AHG166" s="588"/>
      <c r="AHH166" s="589"/>
      <c r="AHI166" s="588"/>
      <c r="AHJ166" s="589"/>
      <c r="AHK166" s="588"/>
      <c r="AHL166" s="589"/>
      <c r="AHM166" s="429"/>
      <c r="AHN166" s="364"/>
      <c r="AHO166" s="365"/>
      <c r="AHP166" s="354"/>
      <c r="AHQ166" s="465"/>
      <c r="AHR166" s="565"/>
      <c r="AHS166" s="572"/>
      <c r="AHT166" s="572"/>
      <c r="AHU166" s="566"/>
      <c r="AHV166" s="587"/>
      <c r="AHW166" s="587"/>
      <c r="AHX166" s="587"/>
      <c r="AHY166" s="587"/>
      <c r="AHZ166" s="588"/>
      <c r="AIA166" s="589"/>
      <c r="AIB166" s="588"/>
      <c r="AIC166" s="589"/>
      <c r="AID166" s="588"/>
      <c r="AIE166" s="589"/>
      <c r="AIF166" s="588"/>
      <c r="AIG166" s="589"/>
      <c r="AIH166" s="588"/>
      <c r="AII166" s="589"/>
      <c r="AIJ166" s="429"/>
      <c r="AIK166" s="364"/>
      <c r="AIL166" s="365"/>
      <c r="AIM166" s="354"/>
      <c r="AIN166" s="465"/>
      <c r="AIO166" s="565"/>
      <c r="AIP166" s="572"/>
      <c r="AIQ166" s="572"/>
      <c r="AIR166" s="566"/>
      <c r="AIS166" s="587"/>
      <c r="AIT166" s="587"/>
      <c r="AIU166" s="587"/>
      <c r="AIV166" s="587"/>
      <c r="AIW166" s="588"/>
      <c r="AIX166" s="589"/>
      <c r="AIY166" s="588"/>
      <c r="AIZ166" s="589"/>
      <c r="AJA166" s="588"/>
      <c r="AJB166" s="589"/>
      <c r="AJC166" s="588"/>
      <c r="AJD166" s="589"/>
      <c r="AJE166" s="588"/>
      <c r="AJF166" s="589"/>
      <c r="AJG166" s="429"/>
      <c r="AJH166" s="364"/>
      <c r="AJI166" s="365"/>
      <c r="AJJ166" s="354"/>
      <c r="AJK166" s="465"/>
      <c r="AJL166" s="565"/>
      <c r="AJM166" s="572"/>
      <c r="AJN166" s="572"/>
      <c r="AJO166" s="566"/>
      <c r="AJP166" s="587"/>
      <c r="AJQ166" s="587"/>
      <c r="AJR166" s="587"/>
      <c r="AJS166" s="587"/>
      <c r="AJT166" s="588"/>
      <c r="AJU166" s="589"/>
      <c r="AJV166" s="588"/>
      <c r="AJW166" s="589"/>
      <c r="AJX166" s="588"/>
      <c r="AJY166" s="589"/>
      <c r="AJZ166" s="588"/>
      <c r="AKA166" s="589"/>
      <c r="AKB166" s="588"/>
      <c r="AKC166" s="589"/>
      <c r="AKD166" s="429"/>
      <c r="AKE166" s="364"/>
      <c r="AKF166" s="365"/>
      <c r="AKG166" s="354"/>
      <c r="AKH166" s="465"/>
      <c r="AKI166" s="565"/>
      <c r="AKJ166" s="572"/>
      <c r="AKK166" s="572"/>
      <c r="AKL166" s="566"/>
      <c r="AKM166" s="587"/>
      <c r="AKN166" s="587"/>
      <c r="AKO166" s="587"/>
      <c r="AKP166" s="587"/>
      <c r="AKQ166" s="588"/>
      <c r="AKR166" s="589"/>
      <c r="AKS166" s="588"/>
      <c r="AKT166" s="589"/>
      <c r="AKU166" s="588"/>
      <c r="AKV166" s="589"/>
      <c r="AKW166" s="588"/>
      <c r="AKX166" s="589"/>
      <c r="AKY166" s="588"/>
      <c r="AKZ166" s="589"/>
      <c r="ALA166" s="429"/>
      <c r="ALB166" s="364"/>
      <c r="ALC166" s="365"/>
      <c r="ALD166" s="354"/>
      <c r="ALE166" s="465"/>
      <c r="ALF166" s="565"/>
      <c r="ALG166" s="572"/>
      <c r="ALH166" s="572"/>
      <c r="ALI166" s="566"/>
      <c r="ALJ166" s="587"/>
      <c r="ALK166" s="587"/>
      <c r="ALL166" s="587"/>
      <c r="ALM166" s="587"/>
      <c r="ALN166" s="588"/>
      <c r="ALO166" s="589"/>
      <c r="ALP166" s="588"/>
      <c r="ALQ166" s="589"/>
      <c r="ALR166" s="588"/>
      <c r="ALS166" s="589"/>
      <c r="ALT166" s="588"/>
      <c r="ALU166" s="589"/>
      <c r="ALV166" s="588"/>
      <c r="ALW166" s="589"/>
      <c r="ALX166" s="429"/>
      <c r="ALY166" s="364"/>
      <c r="ALZ166" s="365"/>
      <c r="AMA166" s="354"/>
      <c r="AMB166" s="465"/>
      <c r="AMC166" s="565"/>
      <c r="AMD166" s="572"/>
      <c r="AME166" s="572"/>
      <c r="AMF166" s="566"/>
      <c r="AMG166" s="587"/>
      <c r="AMH166" s="587"/>
      <c r="AMI166" s="587"/>
      <c r="AMJ166" s="587"/>
      <c r="AMK166" s="588"/>
      <c r="AML166" s="589"/>
      <c r="AMM166" s="588"/>
      <c r="AMN166" s="589"/>
      <c r="AMO166" s="588"/>
      <c r="AMP166" s="589"/>
      <c r="AMQ166" s="588"/>
      <c r="AMR166" s="589"/>
      <c r="AMS166" s="588"/>
      <c r="AMT166" s="589"/>
      <c r="AMU166" s="429"/>
      <c r="AMV166" s="364"/>
      <c r="AMW166" s="365"/>
      <c r="AMX166" s="354"/>
      <c r="AMY166" s="465"/>
      <c r="AMZ166" s="565"/>
      <c r="ANA166" s="572"/>
      <c r="ANB166" s="572"/>
      <c r="ANC166" s="566"/>
      <c r="AND166" s="587"/>
      <c r="ANE166" s="587"/>
      <c r="ANF166" s="587"/>
      <c r="ANG166" s="587"/>
      <c r="ANH166" s="588"/>
      <c r="ANI166" s="589"/>
      <c r="ANJ166" s="588"/>
      <c r="ANK166" s="589"/>
      <c r="ANL166" s="588"/>
      <c r="ANM166" s="589"/>
      <c r="ANN166" s="588"/>
      <c r="ANO166" s="589"/>
      <c r="ANP166" s="588"/>
      <c r="ANQ166" s="589"/>
      <c r="ANR166" s="429"/>
      <c r="ANS166" s="364"/>
      <c r="ANT166" s="365"/>
      <c r="ANU166" s="354"/>
      <c r="ANV166" s="465"/>
      <c r="ANW166" s="565"/>
      <c r="ANX166" s="572"/>
      <c r="ANY166" s="572"/>
      <c r="ANZ166" s="566"/>
      <c r="AOA166" s="587"/>
      <c r="AOB166" s="587"/>
      <c r="AOC166" s="587"/>
      <c r="AOD166" s="587"/>
      <c r="AOE166" s="588"/>
      <c r="AOF166" s="589"/>
      <c r="AOG166" s="588"/>
      <c r="AOH166" s="589"/>
      <c r="AOI166" s="588"/>
      <c r="AOJ166" s="589"/>
      <c r="AOK166" s="588"/>
      <c r="AOL166" s="589"/>
      <c r="AOM166" s="588"/>
      <c r="AON166" s="589"/>
      <c r="AOO166" s="429"/>
      <c r="AOP166" s="364"/>
      <c r="AOQ166" s="365"/>
      <c r="AOR166" s="354"/>
      <c r="AOS166" s="465"/>
      <c r="AOT166" s="565"/>
      <c r="AOU166" s="572"/>
      <c r="AOV166" s="572"/>
      <c r="AOW166" s="566"/>
      <c r="AOX166" s="587"/>
      <c r="AOY166" s="587"/>
      <c r="AOZ166" s="587"/>
      <c r="APA166" s="587"/>
      <c r="APB166" s="588"/>
      <c r="APC166" s="589"/>
      <c r="APD166" s="588"/>
      <c r="APE166" s="589"/>
      <c r="APF166" s="588"/>
      <c r="APG166" s="589"/>
      <c r="APH166" s="588"/>
      <c r="API166" s="589"/>
      <c r="APJ166" s="588"/>
      <c r="APK166" s="589"/>
      <c r="APL166" s="429"/>
      <c r="APM166" s="364"/>
      <c r="APN166" s="365"/>
      <c r="APO166" s="354"/>
      <c r="APP166" s="465"/>
      <c r="APQ166" s="565"/>
      <c r="APR166" s="572"/>
      <c r="APS166" s="572"/>
      <c r="APT166" s="566"/>
      <c r="APU166" s="587"/>
      <c r="APV166" s="587"/>
      <c r="APW166" s="587"/>
      <c r="APX166" s="587"/>
      <c r="APY166" s="588"/>
      <c r="APZ166" s="589"/>
      <c r="AQA166" s="588"/>
      <c r="AQB166" s="589"/>
      <c r="AQC166" s="588"/>
      <c r="AQD166" s="589"/>
      <c r="AQE166" s="588"/>
      <c r="AQF166" s="589"/>
      <c r="AQG166" s="588"/>
      <c r="AQH166" s="589"/>
      <c r="AQI166" s="429"/>
      <c r="AQJ166" s="364"/>
      <c r="AQK166" s="365"/>
      <c r="AQL166" s="354"/>
      <c r="AQM166" s="465"/>
      <c r="AQN166" s="565"/>
      <c r="AQO166" s="572"/>
      <c r="AQP166" s="572"/>
      <c r="AQQ166" s="566"/>
      <c r="AQR166" s="587"/>
      <c r="AQS166" s="587"/>
      <c r="AQT166" s="587"/>
      <c r="AQU166" s="587"/>
      <c r="AQV166" s="588"/>
      <c r="AQW166" s="589"/>
      <c r="AQX166" s="588"/>
      <c r="AQY166" s="589"/>
      <c r="AQZ166" s="588"/>
      <c r="ARA166" s="589"/>
      <c r="ARB166" s="588"/>
      <c r="ARC166" s="589"/>
      <c r="ARD166" s="588"/>
      <c r="ARE166" s="589"/>
      <c r="ARF166" s="429"/>
      <c r="ARG166" s="364"/>
      <c r="ARH166" s="365"/>
      <c r="ARI166" s="354"/>
      <c r="ARJ166" s="465"/>
      <c r="ARK166" s="565"/>
      <c r="ARL166" s="572"/>
      <c r="ARM166" s="572"/>
      <c r="ARN166" s="566"/>
      <c r="ARO166" s="587"/>
      <c r="ARP166" s="587"/>
      <c r="ARQ166" s="587"/>
      <c r="ARR166" s="587"/>
      <c r="ARS166" s="588"/>
      <c r="ART166" s="589"/>
      <c r="ARU166" s="588"/>
      <c r="ARV166" s="589"/>
      <c r="ARW166" s="588"/>
      <c r="ARX166" s="589"/>
      <c r="ARY166" s="588"/>
      <c r="ARZ166" s="589"/>
      <c r="ASA166" s="588"/>
      <c r="ASB166" s="589"/>
      <c r="ASC166" s="429"/>
      <c r="ASD166" s="364"/>
      <c r="ASE166" s="365"/>
      <c r="ASF166" s="354"/>
      <c r="ASG166" s="465"/>
      <c r="ASH166" s="565"/>
      <c r="ASI166" s="572"/>
      <c r="ASJ166" s="572"/>
      <c r="ASK166" s="566"/>
      <c r="ASL166" s="587"/>
      <c r="ASM166" s="587"/>
      <c r="ASN166" s="587"/>
      <c r="ASO166" s="587"/>
      <c r="ASP166" s="588"/>
      <c r="ASQ166" s="589"/>
      <c r="ASR166" s="588"/>
      <c r="ASS166" s="589"/>
      <c r="AST166" s="588"/>
      <c r="ASU166" s="589"/>
      <c r="ASV166" s="588"/>
      <c r="ASW166" s="589"/>
      <c r="ASX166" s="588"/>
      <c r="ASY166" s="589"/>
      <c r="ASZ166" s="429"/>
      <c r="ATA166" s="364"/>
      <c r="ATB166" s="365"/>
      <c r="ATC166" s="354"/>
      <c r="ATD166" s="465"/>
      <c r="ATE166" s="565"/>
      <c r="ATF166" s="572"/>
      <c r="ATG166" s="572"/>
      <c r="ATH166" s="566"/>
      <c r="ATI166" s="587"/>
      <c r="ATJ166" s="587"/>
      <c r="ATK166" s="587"/>
      <c r="ATL166" s="587"/>
      <c r="ATM166" s="588"/>
      <c r="ATN166" s="589"/>
      <c r="ATO166" s="588"/>
      <c r="ATP166" s="589"/>
      <c r="ATQ166" s="588"/>
      <c r="ATR166" s="589"/>
      <c r="ATS166" s="588"/>
      <c r="ATT166" s="589"/>
      <c r="ATU166" s="588"/>
      <c r="ATV166" s="589"/>
      <c r="ATW166" s="429"/>
      <c r="ATX166" s="364"/>
      <c r="ATY166" s="365"/>
      <c r="ATZ166" s="354"/>
      <c r="AUA166" s="465"/>
      <c r="AUB166" s="565"/>
      <c r="AUC166" s="572"/>
      <c r="AUD166" s="572"/>
      <c r="AUE166" s="566"/>
      <c r="AUF166" s="587"/>
      <c r="AUG166" s="587"/>
      <c r="AUH166" s="587"/>
      <c r="AUI166" s="587"/>
      <c r="AUJ166" s="588"/>
      <c r="AUK166" s="589"/>
      <c r="AUL166" s="588"/>
      <c r="AUM166" s="589"/>
      <c r="AUN166" s="588"/>
      <c r="AUO166" s="589"/>
      <c r="AUP166" s="588"/>
      <c r="AUQ166" s="589"/>
      <c r="AUR166" s="588"/>
      <c r="AUS166" s="589"/>
      <c r="AUT166" s="429"/>
      <c r="AUU166" s="364"/>
      <c r="AUV166" s="365"/>
      <c r="AUW166" s="354"/>
      <c r="AUX166" s="465"/>
      <c r="AUY166" s="565"/>
      <c r="AUZ166" s="572"/>
      <c r="AVA166" s="572"/>
      <c r="AVB166" s="566"/>
      <c r="AVC166" s="587"/>
      <c r="AVD166" s="587"/>
      <c r="AVE166" s="587"/>
      <c r="AVF166" s="587"/>
      <c r="AVG166" s="588"/>
      <c r="AVH166" s="589"/>
      <c r="AVI166" s="588"/>
      <c r="AVJ166" s="589"/>
      <c r="AVK166" s="588"/>
      <c r="AVL166" s="589"/>
      <c r="AVM166" s="588"/>
      <c r="AVN166" s="589"/>
      <c r="AVO166" s="588"/>
      <c r="AVP166" s="589"/>
      <c r="AVQ166" s="429"/>
      <c r="AVR166" s="364"/>
      <c r="AVS166" s="365"/>
      <c r="AVT166" s="354"/>
      <c r="AVU166" s="465"/>
      <c r="AVV166" s="565"/>
      <c r="AVW166" s="572"/>
      <c r="AVX166" s="572"/>
      <c r="AVY166" s="566"/>
      <c r="AVZ166" s="587"/>
      <c r="AWA166" s="587"/>
      <c r="AWB166" s="587"/>
      <c r="AWC166" s="587"/>
      <c r="AWD166" s="588"/>
      <c r="AWE166" s="589"/>
      <c r="AWF166" s="588"/>
      <c r="AWG166" s="589"/>
      <c r="AWH166" s="588"/>
      <c r="AWI166" s="589"/>
      <c r="AWJ166" s="588"/>
      <c r="AWK166" s="589"/>
      <c r="AWL166" s="588"/>
      <c r="AWM166" s="589"/>
      <c r="AWN166" s="429"/>
      <c r="AWO166" s="364"/>
      <c r="AWP166" s="365"/>
      <c r="AWQ166" s="354"/>
      <c r="AWR166" s="465"/>
      <c r="AWS166" s="565"/>
      <c r="AWT166" s="572"/>
      <c r="AWU166" s="572"/>
      <c r="AWV166" s="566"/>
      <c r="AWW166" s="587"/>
      <c r="AWX166" s="587"/>
      <c r="AWY166" s="587"/>
      <c r="AWZ166" s="587"/>
      <c r="AXA166" s="588"/>
      <c r="AXB166" s="589"/>
      <c r="AXC166" s="588"/>
      <c r="AXD166" s="589"/>
      <c r="AXE166" s="588"/>
      <c r="AXF166" s="589"/>
      <c r="AXG166" s="588"/>
      <c r="AXH166" s="589"/>
      <c r="AXI166" s="588"/>
      <c r="AXJ166" s="589"/>
      <c r="AXK166" s="429"/>
      <c r="AXL166" s="364"/>
      <c r="AXM166" s="365"/>
      <c r="AXN166" s="354"/>
      <c r="AXO166" s="465"/>
      <c r="AXP166" s="565"/>
      <c r="AXQ166" s="572"/>
      <c r="AXR166" s="572"/>
      <c r="AXS166" s="566"/>
      <c r="AXT166" s="587"/>
      <c r="AXU166" s="587"/>
      <c r="AXV166" s="587"/>
      <c r="AXW166" s="587"/>
      <c r="AXX166" s="588"/>
      <c r="AXY166" s="589"/>
      <c r="AXZ166" s="588"/>
      <c r="AYA166" s="589"/>
      <c r="AYB166" s="588"/>
      <c r="AYC166" s="589"/>
      <c r="AYD166" s="588"/>
      <c r="AYE166" s="589"/>
      <c r="AYF166" s="588"/>
      <c r="AYG166" s="589"/>
      <c r="AYH166" s="429"/>
      <c r="AYI166" s="364"/>
      <c r="AYJ166" s="365"/>
      <c r="AYK166" s="354"/>
      <c r="AYL166" s="465"/>
      <c r="AYM166" s="565"/>
      <c r="AYN166" s="572"/>
      <c r="AYO166" s="572"/>
      <c r="AYP166" s="566"/>
      <c r="AYQ166" s="587"/>
      <c r="AYR166" s="587"/>
      <c r="AYS166" s="587"/>
      <c r="AYT166" s="587"/>
      <c r="AYU166" s="588"/>
      <c r="AYV166" s="589"/>
      <c r="AYW166" s="588"/>
      <c r="AYX166" s="589"/>
      <c r="AYY166" s="588"/>
      <c r="AYZ166" s="589"/>
      <c r="AZA166" s="588"/>
      <c r="AZB166" s="589"/>
      <c r="AZC166" s="588"/>
      <c r="AZD166" s="589"/>
      <c r="AZE166" s="429"/>
      <c r="AZF166" s="364"/>
      <c r="AZG166" s="365"/>
      <c r="AZH166" s="354"/>
      <c r="AZI166" s="465"/>
      <c r="AZJ166" s="565"/>
      <c r="AZK166" s="572"/>
      <c r="AZL166" s="572"/>
      <c r="AZM166" s="566"/>
      <c r="AZN166" s="587"/>
      <c r="AZO166" s="587"/>
      <c r="AZP166" s="587"/>
      <c r="AZQ166" s="587"/>
      <c r="AZR166" s="588"/>
      <c r="AZS166" s="589"/>
      <c r="AZT166" s="588"/>
      <c r="AZU166" s="589"/>
      <c r="AZV166" s="588"/>
      <c r="AZW166" s="589"/>
      <c r="AZX166" s="588"/>
      <c r="AZY166" s="589"/>
      <c r="AZZ166" s="588"/>
      <c r="BAA166" s="589"/>
      <c r="BAB166" s="429"/>
      <c r="BAC166" s="364"/>
      <c r="BAD166" s="365"/>
      <c r="BAE166" s="354"/>
      <c r="BAF166" s="465"/>
      <c r="BAG166" s="565"/>
      <c r="BAH166" s="572"/>
      <c r="BAI166" s="572"/>
      <c r="BAJ166" s="566"/>
      <c r="BAK166" s="587"/>
      <c r="BAL166" s="587"/>
      <c r="BAM166" s="587"/>
      <c r="BAN166" s="587"/>
      <c r="BAO166" s="588"/>
      <c r="BAP166" s="589"/>
      <c r="BAQ166" s="588"/>
      <c r="BAR166" s="589"/>
      <c r="BAS166" s="588"/>
      <c r="BAT166" s="589"/>
      <c r="BAU166" s="588"/>
      <c r="BAV166" s="589"/>
      <c r="BAW166" s="588"/>
      <c r="BAX166" s="589"/>
      <c r="BAY166" s="429"/>
      <c r="BAZ166" s="364"/>
      <c r="BBA166" s="365"/>
      <c r="BBB166" s="354"/>
      <c r="BBC166" s="465"/>
      <c r="BBD166" s="565"/>
      <c r="BBE166" s="572"/>
      <c r="BBF166" s="572"/>
      <c r="BBG166" s="566"/>
      <c r="BBH166" s="587"/>
      <c r="BBI166" s="587"/>
      <c r="BBJ166" s="587"/>
      <c r="BBK166" s="587"/>
      <c r="BBL166" s="588"/>
      <c r="BBM166" s="589"/>
      <c r="BBN166" s="588"/>
      <c r="BBO166" s="589"/>
      <c r="BBP166" s="588"/>
      <c r="BBQ166" s="589"/>
      <c r="BBR166" s="588"/>
      <c r="BBS166" s="589"/>
      <c r="BBT166" s="588"/>
      <c r="BBU166" s="589"/>
      <c r="BBV166" s="429"/>
      <c r="BBW166" s="364"/>
      <c r="BBX166" s="365"/>
      <c r="BBY166" s="354"/>
      <c r="BBZ166" s="465"/>
      <c r="BCA166" s="565"/>
      <c r="BCB166" s="572"/>
      <c r="BCC166" s="572"/>
      <c r="BCD166" s="566"/>
      <c r="BCE166" s="587"/>
      <c r="BCF166" s="587"/>
      <c r="BCG166" s="587"/>
      <c r="BCH166" s="587"/>
      <c r="BCI166" s="588"/>
      <c r="BCJ166" s="589"/>
      <c r="BCK166" s="588"/>
      <c r="BCL166" s="589"/>
      <c r="BCM166" s="588"/>
      <c r="BCN166" s="589"/>
      <c r="BCO166" s="588"/>
      <c r="BCP166" s="589"/>
      <c r="BCQ166" s="588"/>
      <c r="BCR166" s="589"/>
      <c r="BCS166" s="429"/>
      <c r="BCT166" s="364"/>
      <c r="BCU166" s="365"/>
      <c r="BCV166" s="354"/>
      <c r="BCW166" s="465"/>
      <c r="BCX166" s="565"/>
      <c r="BCY166" s="572"/>
      <c r="BCZ166" s="572"/>
      <c r="BDA166" s="566"/>
      <c r="BDB166" s="587"/>
      <c r="BDC166" s="587"/>
      <c r="BDD166" s="587"/>
      <c r="BDE166" s="587"/>
      <c r="BDF166" s="588"/>
      <c r="BDG166" s="589"/>
      <c r="BDH166" s="588"/>
      <c r="BDI166" s="589"/>
      <c r="BDJ166" s="588"/>
      <c r="BDK166" s="589"/>
      <c r="BDL166" s="588"/>
      <c r="BDM166" s="589"/>
      <c r="BDN166" s="588"/>
      <c r="BDO166" s="589"/>
      <c r="BDP166" s="429"/>
      <c r="BDQ166" s="364"/>
      <c r="BDR166" s="365"/>
      <c r="BDS166" s="354"/>
      <c r="BDT166" s="465"/>
      <c r="BDU166" s="565"/>
      <c r="BDV166" s="572"/>
      <c r="BDW166" s="572"/>
      <c r="BDX166" s="566"/>
      <c r="BDY166" s="587"/>
      <c r="BDZ166" s="587"/>
      <c r="BEA166" s="587"/>
      <c r="BEB166" s="587"/>
      <c r="BEC166" s="588"/>
      <c r="BED166" s="589"/>
      <c r="BEE166" s="588"/>
      <c r="BEF166" s="589"/>
      <c r="BEG166" s="588"/>
      <c r="BEH166" s="589"/>
      <c r="BEI166" s="588"/>
      <c r="BEJ166" s="589"/>
      <c r="BEK166" s="588"/>
      <c r="BEL166" s="589"/>
      <c r="BEM166" s="429"/>
      <c r="BEN166" s="364"/>
      <c r="BEO166" s="365"/>
      <c r="BEP166" s="354"/>
      <c r="BEQ166" s="465"/>
      <c r="BER166" s="565"/>
      <c r="BES166" s="572"/>
      <c r="BET166" s="572"/>
      <c r="BEU166" s="566"/>
      <c r="BEV166" s="587"/>
      <c r="BEW166" s="587"/>
      <c r="BEX166" s="587"/>
      <c r="BEY166" s="587"/>
      <c r="BEZ166" s="588"/>
      <c r="BFA166" s="589"/>
      <c r="BFB166" s="588"/>
      <c r="BFC166" s="589"/>
      <c r="BFD166" s="588"/>
      <c r="BFE166" s="589"/>
      <c r="BFF166" s="588"/>
      <c r="BFG166" s="589"/>
      <c r="BFH166" s="588"/>
      <c r="BFI166" s="589"/>
      <c r="BFJ166" s="429"/>
      <c r="BFK166" s="364"/>
      <c r="BFL166" s="365"/>
      <c r="BFM166" s="354"/>
      <c r="BFN166" s="465"/>
      <c r="BFO166" s="565"/>
      <c r="BFP166" s="572"/>
      <c r="BFQ166" s="572"/>
      <c r="BFR166" s="566"/>
      <c r="BFS166" s="587"/>
      <c r="BFT166" s="587"/>
      <c r="BFU166" s="587"/>
      <c r="BFV166" s="587"/>
      <c r="BFW166" s="588"/>
      <c r="BFX166" s="589"/>
      <c r="BFY166" s="588"/>
      <c r="BFZ166" s="589"/>
      <c r="BGA166" s="588"/>
      <c r="BGB166" s="589"/>
      <c r="BGC166" s="588"/>
      <c r="BGD166" s="589"/>
      <c r="BGE166" s="588"/>
      <c r="BGF166" s="589"/>
      <c r="BGG166" s="429"/>
      <c r="BGH166" s="364"/>
      <c r="BGI166" s="365"/>
      <c r="BGJ166" s="354"/>
      <c r="BGK166" s="465"/>
      <c r="BGL166" s="565"/>
      <c r="BGM166" s="572"/>
      <c r="BGN166" s="572"/>
      <c r="BGO166" s="566"/>
      <c r="BGP166" s="587"/>
      <c r="BGQ166" s="587"/>
      <c r="BGR166" s="587"/>
      <c r="BGS166" s="587"/>
      <c r="BGT166" s="588"/>
      <c r="BGU166" s="589"/>
      <c r="BGV166" s="588"/>
      <c r="BGW166" s="589"/>
      <c r="BGX166" s="588"/>
      <c r="BGY166" s="589"/>
      <c r="BGZ166" s="588"/>
      <c r="BHA166" s="589"/>
      <c r="BHB166" s="588"/>
      <c r="BHC166" s="589"/>
      <c r="BHD166" s="429"/>
      <c r="BHE166" s="364"/>
      <c r="BHF166" s="365"/>
      <c r="BHG166" s="354"/>
      <c r="BHH166" s="465"/>
      <c r="BHI166" s="565"/>
      <c r="BHJ166" s="572"/>
      <c r="BHK166" s="572"/>
      <c r="BHL166" s="566"/>
      <c r="BHM166" s="587"/>
      <c r="BHN166" s="587"/>
      <c r="BHO166" s="587"/>
      <c r="BHP166" s="587"/>
      <c r="BHQ166" s="588"/>
      <c r="BHR166" s="589"/>
      <c r="BHS166" s="588"/>
      <c r="BHT166" s="589"/>
      <c r="BHU166" s="588"/>
      <c r="BHV166" s="589"/>
      <c r="BHW166" s="588"/>
      <c r="BHX166" s="589"/>
      <c r="BHY166" s="588"/>
      <c r="BHZ166" s="589"/>
      <c r="BIA166" s="429"/>
      <c r="BIB166" s="364"/>
      <c r="BIC166" s="365"/>
      <c r="BID166" s="354"/>
      <c r="BIE166" s="465"/>
      <c r="BIF166" s="565"/>
      <c r="BIG166" s="572"/>
      <c r="BIH166" s="572"/>
      <c r="BII166" s="566"/>
      <c r="BIJ166" s="587"/>
      <c r="BIK166" s="587"/>
      <c r="BIL166" s="587"/>
      <c r="BIM166" s="587"/>
      <c r="BIN166" s="588"/>
      <c r="BIO166" s="589"/>
      <c r="BIP166" s="588"/>
      <c r="BIQ166" s="589"/>
      <c r="BIR166" s="588"/>
      <c r="BIS166" s="589"/>
      <c r="BIT166" s="588"/>
      <c r="BIU166" s="589"/>
      <c r="BIV166" s="588"/>
      <c r="BIW166" s="589"/>
      <c r="BIX166" s="429"/>
      <c r="BIY166" s="364"/>
      <c r="BIZ166" s="365"/>
      <c r="BJA166" s="354"/>
      <c r="BJB166" s="465"/>
      <c r="BJC166" s="565"/>
      <c r="BJD166" s="572"/>
      <c r="BJE166" s="572"/>
      <c r="BJF166" s="566"/>
      <c r="BJG166" s="587"/>
      <c r="BJH166" s="587"/>
      <c r="BJI166" s="587"/>
      <c r="BJJ166" s="587"/>
      <c r="BJK166" s="588"/>
      <c r="BJL166" s="589"/>
      <c r="BJM166" s="588"/>
      <c r="BJN166" s="589"/>
      <c r="BJO166" s="588"/>
      <c r="BJP166" s="589"/>
      <c r="BJQ166" s="588"/>
      <c r="BJR166" s="589"/>
      <c r="BJS166" s="588"/>
      <c r="BJT166" s="589"/>
      <c r="BJU166" s="429"/>
      <c r="BJV166" s="364"/>
      <c r="BJW166" s="365"/>
      <c r="BJX166" s="354"/>
      <c r="BJY166" s="465"/>
      <c r="BJZ166" s="565"/>
      <c r="BKA166" s="572"/>
      <c r="BKB166" s="572"/>
      <c r="BKC166" s="566"/>
      <c r="BKD166" s="587"/>
      <c r="BKE166" s="587"/>
      <c r="BKF166" s="587"/>
      <c r="BKG166" s="587"/>
      <c r="BKH166" s="588"/>
      <c r="BKI166" s="589"/>
      <c r="BKJ166" s="588"/>
      <c r="BKK166" s="589"/>
      <c r="BKL166" s="588"/>
      <c r="BKM166" s="589"/>
      <c r="BKN166" s="588"/>
      <c r="BKO166" s="589"/>
      <c r="BKP166" s="588"/>
      <c r="BKQ166" s="589"/>
      <c r="BKR166" s="429"/>
      <c r="BKS166" s="364"/>
      <c r="BKT166" s="365"/>
      <c r="BKU166" s="354"/>
      <c r="BKV166" s="465"/>
      <c r="BKW166" s="565"/>
      <c r="BKX166" s="572"/>
      <c r="BKY166" s="572"/>
      <c r="BKZ166" s="566"/>
      <c r="BLA166" s="587"/>
      <c r="BLB166" s="587"/>
      <c r="BLC166" s="587"/>
      <c r="BLD166" s="587"/>
      <c r="BLE166" s="588"/>
      <c r="BLF166" s="589"/>
      <c r="BLG166" s="588"/>
      <c r="BLH166" s="589"/>
      <c r="BLI166" s="588"/>
      <c r="BLJ166" s="589"/>
      <c r="BLK166" s="588"/>
      <c r="BLL166" s="589"/>
      <c r="BLM166" s="588"/>
      <c r="BLN166" s="589"/>
      <c r="BLO166" s="429"/>
      <c r="BLP166" s="364"/>
      <c r="BLQ166" s="365"/>
      <c r="BLR166" s="354"/>
      <c r="BLS166" s="465"/>
      <c r="BLT166" s="565"/>
      <c r="BLU166" s="572"/>
      <c r="BLV166" s="572"/>
      <c r="BLW166" s="566"/>
      <c r="BLX166" s="587"/>
      <c r="BLY166" s="587"/>
      <c r="BLZ166" s="587"/>
      <c r="BMA166" s="587"/>
      <c r="BMB166" s="588"/>
      <c r="BMC166" s="589"/>
      <c r="BMD166" s="588"/>
      <c r="BME166" s="589"/>
      <c r="BMF166" s="588"/>
      <c r="BMG166" s="589"/>
      <c r="BMH166" s="588"/>
      <c r="BMI166" s="589"/>
      <c r="BMJ166" s="588"/>
      <c r="BMK166" s="589"/>
      <c r="BML166" s="429"/>
      <c r="BMM166" s="364"/>
      <c r="BMN166" s="365"/>
      <c r="BMO166" s="354"/>
      <c r="BMP166" s="465"/>
      <c r="BMQ166" s="565"/>
      <c r="BMR166" s="572"/>
      <c r="BMS166" s="572"/>
      <c r="BMT166" s="566"/>
      <c r="BMU166" s="587"/>
      <c r="BMV166" s="587"/>
      <c r="BMW166" s="587"/>
      <c r="BMX166" s="587"/>
      <c r="BMY166" s="588"/>
      <c r="BMZ166" s="589"/>
      <c r="BNA166" s="588"/>
      <c r="BNB166" s="589"/>
      <c r="BNC166" s="588"/>
      <c r="BND166" s="589"/>
      <c r="BNE166" s="588"/>
      <c r="BNF166" s="589"/>
      <c r="BNG166" s="588"/>
      <c r="BNH166" s="589"/>
      <c r="BNI166" s="429"/>
      <c r="BNJ166" s="364"/>
      <c r="BNK166" s="365"/>
      <c r="BNL166" s="354"/>
      <c r="BNM166" s="465"/>
      <c r="BNN166" s="565"/>
      <c r="BNO166" s="572"/>
      <c r="BNP166" s="572"/>
      <c r="BNQ166" s="566"/>
      <c r="BNR166" s="587"/>
      <c r="BNS166" s="587"/>
      <c r="BNT166" s="587"/>
      <c r="BNU166" s="587"/>
      <c r="BNV166" s="588"/>
      <c r="BNW166" s="589"/>
      <c r="BNX166" s="588"/>
      <c r="BNY166" s="589"/>
      <c r="BNZ166" s="588"/>
      <c r="BOA166" s="589"/>
      <c r="BOB166" s="588"/>
      <c r="BOC166" s="589"/>
      <c r="BOD166" s="588"/>
      <c r="BOE166" s="589"/>
      <c r="BOF166" s="429"/>
      <c r="BOG166" s="364"/>
      <c r="BOH166" s="365"/>
      <c r="BOI166" s="354"/>
      <c r="BOJ166" s="465"/>
      <c r="BOK166" s="565"/>
      <c r="BOL166" s="572"/>
      <c r="BOM166" s="572"/>
      <c r="BON166" s="566"/>
      <c r="BOO166" s="587"/>
      <c r="BOP166" s="587"/>
      <c r="BOQ166" s="587"/>
      <c r="BOR166" s="587"/>
      <c r="BOS166" s="588"/>
      <c r="BOT166" s="589"/>
      <c r="BOU166" s="588"/>
      <c r="BOV166" s="589"/>
      <c r="BOW166" s="588"/>
      <c r="BOX166" s="589"/>
      <c r="BOY166" s="588"/>
      <c r="BOZ166" s="589"/>
      <c r="BPA166" s="588"/>
      <c r="BPB166" s="589"/>
      <c r="BPC166" s="429"/>
      <c r="BPD166" s="364"/>
      <c r="BPE166" s="365"/>
      <c r="BPF166" s="354"/>
      <c r="BPG166" s="465"/>
      <c r="BPH166" s="565"/>
      <c r="BPI166" s="572"/>
      <c r="BPJ166" s="572"/>
      <c r="BPK166" s="566"/>
      <c r="BPL166" s="587"/>
      <c r="BPM166" s="587"/>
      <c r="BPN166" s="587"/>
      <c r="BPO166" s="587"/>
      <c r="BPP166" s="588"/>
      <c r="BPQ166" s="589"/>
      <c r="BPR166" s="588"/>
      <c r="BPS166" s="589"/>
      <c r="BPT166" s="588"/>
      <c r="BPU166" s="589"/>
      <c r="BPV166" s="588"/>
      <c r="BPW166" s="589"/>
      <c r="BPX166" s="588"/>
      <c r="BPY166" s="589"/>
      <c r="BPZ166" s="429"/>
      <c r="BQA166" s="364"/>
      <c r="BQB166" s="365"/>
      <c r="BQC166" s="354"/>
      <c r="BQD166" s="465"/>
      <c r="BQE166" s="565"/>
      <c r="BQF166" s="572"/>
      <c r="BQG166" s="572"/>
      <c r="BQH166" s="566"/>
      <c r="BQI166" s="587"/>
      <c r="BQJ166" s="587"/>
      <c r="BQK166" s="587"/>
      <c r="BQL166" s="587"/>
      <c r="BQM166" s="588"/>
      <c r="BQN166" s="589"/>
      <c r="BQO166" s="588"/>
      <c r="BQP166" s="589"/>
      <c r="BQQ166" s="588"/>
      <c r="BQR166" s="589"/>
      <c r="BQS166" s="588"/>
      <c r="BQT166" s="589"/>
      <c r="BQU166" s="588"/>
      <c r="BQV166" s="589"/>
      <c r="BQW166" s="429"/>
      <c r="BQX166" s="364"/>
      <c r="BQY166" s="365"/>
      <c r="BQZ166" s="354"/>
      <c r="BRA166" s="465"/>
      <c r="BRB166" s="565"/>
      <c r="BRC166" s="572"/>
      <c r="BRD166" s="572"/>
      <c r="BRE166" s="566"/>
      <c r="BRF166" s="587"/>
      <c r="BRG166" s="587"/>
      <c r="BRH166" s="587"/>
      <c r="BRI166" s="587"/>
      <c r="BRJ166" s="588"/>
      <c r="BRK166" s="589"/>
      <c r="BRL166" s="588"/>
      <c r="BRM166" s="589"/>
      <c r="BRN166" s="588"/>
      <c r="BRO166" s="589"/>
      <c r="BRP166" s="588"/>
      <c r="BRQ166" s="589"/>
      <c r="BRR166" s="588"/>
      <c r="BRS166" s="589"/>
      <c r="BRT166" s="429"/>
      <c r="BRU166" s="364"/>
      <c r="BRV166" s="365"/>
      <c r="BRW166" s="354"/>
      <c r="BRX166" s="465"/>
      <c r="BRY166" s="565"/>
      <c r="BRZ166" s="572"/>
      <c r="BSA166" s="572"/>
      <c r="BSB166" s="566"/>
      <c r="BSC166" s="587"/>
      <c r="BSD166" s="587"/>
      <c r="BSE166" s="587"/>
      <c r="BSF166" s="587"/>
      <c r="BSG166" s="588"/>
      <c r="BSH166" s="589"/>
      <c r="BSI166" s="588"/>
      <c r="BSJ166" s="589"/>
      <c r="BSK166" s="588"/>
      <c r="BSL166" s="589"/>
      <c r="BSM166" s="588"/>
      <c r="BSN166" s="589"/>
      <c r="BSO166" s="588"/>
      <c r="BSP166" s="589"/>
      <c r="BSQ166" s="429"/>
      <c r="BSR166" s="364"/>
      <c r="BSS166" s="365"/>
      <c r="BST166" s="354"/>
      <c r="BSU166" s="465"/>
      <c r="BSV166" s="565"/>
      <c r="BSW166" s="572"/>
      <c r="BSX166" s="572"/>
      <c r="BSY166" s="566"/>
      <c r="BSZ166" s="587"/>
      <c r="BTA166" s="587"/>
      <c r="BTB166" s="587"/>
      <c r="BTC166" s="587"/>
      <c r="BTD166" s="588"/>
      <c r="BTE166" s="589"/>
      <c r="BTF166" s="588"/>
      <c r="BTG166" s="589"/>
      <c r="BTH166" s="588"/>
      <c r="BTI166" s="589"/>
      <c r="BTJ166" s="588"/>
      <c r="BTK166" s="589"/>
      <c r="BTL166" s="588"/>
      <c r="BTM166" s="589"/>
      <c r="BTN166" s="429"/>
      <c r="BTO166" s="364"/>
      <c r="BTP166" s="365"/>
      <c r="BTQ166" s="354"/>
      <c r="BTR166" s="465"/>
      <c r="BTS166" s="565"/>
      <c r="BTT166" s="572"/>
      <c r="BTU166" s="572"/>
      <c r="BTV166" s="566"/>
      <c r="BTW166" s="587"/>
      <c r="BTX166" s="587"/>
      <c r="BTY166" s="587"/>
      <c r="BTZ166" s="587"/>
      <c r="BUA166" s="588"/>
      <c r="BUB166" s="589"/>
      <c r="BUC166" s="588"/>
      <c r="BUD166" s="589"/>
      <c r="BUE166" s="588"/>
      <c r="BUF166" s="589"/>
      <c r="BUG166" s="588"/>
      <c r="BUH166" s="589"/>
      <c r="BUI166" s="588"/>
      <c r="BUJ166" s="589"/>
      <c r="BUK166" s="429"/>
      <c r="BUL166" s="364"/>
      <c r="BUM166" s="365"/>
      <c r="BUN166" s="354"/>
      <c r="BUO166" s="465"/>
      <c r="BUP166" s="565"/>
      <c r="BUQ166" s="572"/>
      <c r="BUR166" s="572"/>
      <c r="BUS166" s="566"/>
      <c r="BUT166" s="587"/>
      <c r="BUU166" s="587"/>
      <c r="BUV166" s="587"/>
      <c r="BUW166" s="587"/>
      <c r="BUX166" s="588"/>
      <c r="BUY166" s="589"/>
      <c r="BUZ166" s="588"/>
      <c r="BVA166" s="589"/>
      <c r="BVB166" s="588"/>
      <c r="BVC166" s="589"/>
      <c r="BVD166" s="588"/>
      <c r="BVE166" s="589"/>
      <c r="BVF166" s="588"/>
      <c r="BVG166" s="589"/>
      <c r="BVH166" s="429"/>
      <c r="BVI166" s="364"/>
      <c r="BVJ166" s="365"/>
      <c r="BVK166" s="354"/>
      <c r="BVL166" s="465"/>
      <c r="BVM166" s="565"/>
      <c r="BVN166" s="572"/>
      <c r="BVO166" s="572"/>
      <c r="BVP166" s="566"/>
      <c r="BVQ166" s="587"/>
      <c r="BVR166" s="587"/>
      <c r="BVS166" s="587"/>
      <c r="BVT166" s="587"/>
      <c r="BVU166" s="588"/>
      <c r="BVV166" s="589"/>
      <c r="BVW166" s="588"/>
      <c r="BVX166" s="589"/>
      <c r="BVY166" s="588"/>
      <c r="BVZ166" s="589"/>
      <c r="BWA166" s="588"/>
      <c r="BWB166" s="589"/>
      <c r="BWC166" s="588"/>
      <c r="BWD166" s="589"/>
      <c r="BWE166" s="429"/>
      <c r="BWF166" s="364"/>
      <c r="BWG166" s="365"/>
      <c r="BWH166" s="354"/>
      <c r="BWI166" s="465"/>
      <c r="BWJ166" s="565"/>
      <c r="BWK166" s="572"/>
      <c r="BWL166" s="572"/>
      <c r="BWM166" s="566"/>
      <c r="BWN166" s="587"/>
      <c r="BWO166" s="587"/>
      <c r="BWP166" s="587"/>
      <c r="BWQ166" s="587"/>
      <c r="BWR166" s="588"/>
      <c r="BWS166" s="589"/>
      <c r="BWT166" s="588"/>
      <c r="BWU166" s="589"/>
      <c r="BWV166" s="588"/>
      <c r="BWW166" s="589"/>
      <c r="BWX166" s="588"/>
      <c r="BWY166" s="589"/>
      <c r="BWZ166" s="588"/>
      <c r="BXA166" s="589"/>
      <c r="BXB166" s="429"/>
      <c r="BXC166" s="364"/>
      <c r="BXD166" s="365"/>
      <c r="BXE166" s="354"/>
      <c r="BXF166" s="465"/>
      <c r="BXG166" s="565"/>
      <c r="BXH166" s="572"/>
      <c r="BXI166" s="572"/>
      <c r="BXJ166" s="566"/>
      <c r="BXK166" s="587"/>
      <c r="BXL166" s="587"/>
      <c r="BXM166" s="587"/>
      <c r="BXN166" s="587"/>
      <c r="BXO166" s="588"/>
      <c r="BXP166" s="589"/>
      <c r="BXQ166" s="588"/>
      <c r="BXR166" s="589"/>
      <c r="BXS166" s="588"/>
      <c r="BXT166" s="589"/>
      <c r="BXU166" s="588"/>
      <c r="BXV166" s="589"/>
      <c r="BXW166" s="588"/>
      <c r="BXX166" s="589"/>
      <c r="BXY166" s="429"/>
      <c r="BXZ166" s="364"/>
      <c r="BYA166" s="365"/>
      <c r="BYB166" s="354"/>
      <c r="BYC166" s="465"/>
      <c r="BYD166" s="565"/>
      <c r="BYE166" s="572"/>
      <c r="BYF166" s="572"/>
      <c r="BYG166" s="566"/>
      <c r="BYH166" s="587"/>
      <c r="BYI166" s="587"/>
      <c r="BYJ166" s="587"/>
      <c r="BYK166" s="587"/>
      <c r="BYL166" s="588"/>
      <c r="BYM166" s="589"/>
      <c r="BYN166" s="588"/>
      <c r="BYO166" s="589"/>
      <c r="BYP166" s="588"/>
      <c r="BYQ166" s="589"/>
      <c r="BYR166" s="588"/>
      <c r="BYS166" s="589"/>
      <c r="BYT166" s="588"/>
      <c r="BYU166" s="589"/>
      <c r="BYV166" s="429"/>
      <c r="BYW166" s="364"/>
      <c r="BYX166" s="365"/>
      <c r="BYY166" s="354"/>
      <c r="BYZ166" s="465"/>
      <c r="BZA166" s="565"/>
      <c r="BZB166" s="572"/>
      <c r="BZC166" s="572"/>
      <c r="BZD166" s="566"/>
      <c r="BZE166" s="587"/>
      <c r="BZF166" s="587"/>
      <c r="BZG166" s="587"/>
      <c r="BZH166" s="587"/>
      <c r="BZI166" s="588"/>
      <c r="BZJ166" s="589"/>
      <c r="BZK166" s="588"/>
      <c r="BZL166" s="589"/>
      <c r="BZM166" s="588"/>
      <c r="BZN166" s="589"/>
      <c r="BZO166" s="588"/>
      <c r="BZP166" s="589"/>
      <c r="BZQ166" s="588"/>
      <c r="BZR166" s="589"/>
      <c r="BZS166" s="429"/>
      <c r="BZT166" s="364"/>
      <c r="BZU166" s="365"/>
      <c r="BZV166" s="354"/>
      <c r="BZW166" s="465"/>
      <c r="BZX166" s="565"/>
      <c r="BZY166" s="572"/>
      <c r="BZZ166" s="572"/>
      <c r="CAA166" s="566"/>
      <c r="CAB166" s="587"/>
      <c r="CAC166" s="587"/>
      <c r="CAD166" s="587"/>
      <c r="CAE166" s="587"/>
      <c r="CAF166" s="588"/>
      <c r="CAG166" s="589"/>
      <c r="CAH166" s="588"/>
      <c r="CAI166" s="589"/>
      <c r="CAJ166" s="588"/>
      <c r="CAK166" s="589"/>
      <c r="CAL166" s="588"/>
      <c r="CAM166" s="589"/>
      <c r="CAN166" s="588"/>
      <c r="CAO166" s="589"/>
      <c r="CAP166" s="429"/>
      <c r="CAQ166" s="364"/>
      <c r="CAR166" s="365"/>
      <c r="CAS166" s="354"/>
      <c r="CAT166" s="465"/>
      <c r="CAU166" s="565"/>
      <c r="CAV166" s="572"/>
      <c r="CAW166" s="572"/>
      <c r="CAX166" s="566"/>
      <c r="CAY166" s="587"/>
      <c r="CAZ166" s="587"/>
      <c r="CBA166" s="587"/>
      <c r="CBB166" s="587"/>
      <c r="CBC166" s="588"/>
      <c r="CBD166" s="589"/>
      <c r="CBE166" s="588"/>
      <c r="CBF166" s="589"/>
      <c r="CBG166" s="588"/>
      <c r="CBH166" s="589"/>
      <c r="CBI166" s="588"/>
      <c r="CBJ166" s="589"/>
      <c r="CBK166" s="588"/>
      <c r="CBL166" s="589"/>
      <c r="CBM166" s="429"/>
      <c r="CBN166" s="364"/>
      <c r="CBO166" s="365"/>
      <c r="CBP166" s="354"/>
      <c r="CBQ166" s="465"/>
      <c r="CBR166" s="565"/>
      <c r="CBS166" s="572"/>
      <c r="CBT166" s="572"/>
      <c r="CBU166" s="566"/>
      <c r="CBV166" s="587"/>
      <c r="CBW166" s="587"/>
      <c r="CBX166" s="587"/>
      <c r="CBY166" s="587"/>
      <c r="CBZ166" s="588"/>
      <c r="CCA166" s="589"/>
      <c r="CCB166" s="588"/>
      <c r="CCC166" s="589"/>
      <c r="CCD166" s="588"/>
      <c r="CCE166" s="589"/>
      <c r="CCF166" s="588"/>
      <c r="CCG166" s="589"/>
      <c r="CCH166" s="588"/>
      <c r="CCI166" s="589"/>
      <c r="CCJ166" s="429"/>
      <c r="CCK166" s="364"/>
      <c r="CCL166" s="365"/>
      <c r="CCM166" s="354"/>
      <c r="CCN166" s="465"/>
      <c r="CCO166" s="565"/>
      <c r="CCP166" s="572"/>
      <c r="CCQ166" s="572"/>
      <c r="CCR166" s="566"/>
      <c r="CCS166" s="587"/>
      <c r="CCT166" s="587"/>
      <c r="CCU166" s="587"/>
      <c r="CCV166" s="587"/>
      <c r="CCW166" s="588"/>
      <c r="CCX166" s="589"/>
      <c r="CCY166" s="588"/>
      <c r="CCZ166" s="589"/>
      <c r="CDA166" s="588"/>
      <c r="CDB166" s="589"/>
      <c r="CDC166" s="588"/>
      <c r="CDD166" s="589"/>
      <c r="CDE166" s="588"/>
      <c r="CDF166" s="589"/>
      <c r="CDG166" s="429"/>
      <c r="CDH166" s="364"/>
      <c r="CDI166" s="365"/>
      <c r="CDJ166" s="354"/>
      <c r="CDK166" s="465"/>
      <c r="CDL166" s="565"/>
      <c r="CDM166" s="572"/>
      <c r="CDN166" s="572"/>
      <c r="CDO166" s="566"/>
      <c r="CDP166" s="587"/>
      <c r="CDQ166" s="587"/>
      <c r="CDR166" s="587"/>
      <c r="CDS166" s="587"/>
      <c r="CDT166" s="588"/>
      <c r="CDU166" s="589"/>
      <c r="CDV166" s="588"/>
      <c r="CDW166" s="589"/>
      <c r="CDX166" s="588"/>
      <c r="CDY166" s="589"/>
      <c r="CDZ166" s="588"/>
      <c r="CEA166" s="589"/>
      <c r="CEB166" s="588"/>
      <c r="CEC166" s="589"/>
      <c r="CED166" s="429"/>
      <c r="CEE166" s="364"/>
      <c r="CEF166" s="365"/>
      <c r="CEG166" s="354"/>
      <c r="CEH166" s="465"/>
      <c r="CEI166" s="565"/>
      <c r="CEJ166" s="572"/>
      <c r="CEK166" s="572"/>
      <c r="CEL166" s="566"/>
      <c r="CEM166" s="587"/>
      <c r="CEN166" s="587"/>
      <c r="CEO166" s="587"/>
      <c r="CEP166" s="587"/>
      <c r="CEQ166" s="588"/>
      <c r="CER166" s="589"/>
      <c r="CES166" s="588"/>
      <c r="CET166" s="589"/>
      <c r="CEU166" s="588"/>
      <c r="CEV166" s="589"/>
      <c r="CEW166" s="588"/>
      <c r="CEX166" s="589"/>
      <c r="CEY166" s="588"/>
      <c r="CEZ166" s="589"/>
      <c r="CFA166" s="429"/>
      <c r="CFB166" s="364"/>
      <c r="CFC166" s="365"/>
      <c r="CFD166" s="354"/>
      <c r="CFE166" s="465"/>
      <c r="CFF166" s="565"/>
      <c r="CFG166" s="572"/>
      <c r="CFH166" s="572"/>
      <c r="CFI166" s="566"/>
      <c r="CFJ166" s="587"/>
      <c r="CFK166" s="587"/>
      <c r="CFL166" s="587"/>
      <c r="CFM166" s="587"/>
      <c r="CFN166" s="588"/>
      <c r="CFO166" s="589"/>
      <c r="CFP166" s="588"/>
      <c r="CFQ166" s="589"/>
      <c r="CFR166" s="588"/>
      <c r="CFS166" s="589"/>
      <c r="CFT166" s="588"/>
      <c r="CFU166" s="589"/>
      <c r="CFV166" s="588"/>
      <c r="CFW166" s="589"/>
      <c r="CFX166" s="429"/>
      <c r="CFY166" s="364"/>
      <c r="CFZ166" s="365"/>
      <c r="CGA166" s="354"/>
      <c r="CGB166" s="465"/>
      <c r="CGC166" s="565"/>
      <c r="CGD166" s="572"/>
      <c r="CGE166" s="572"/>
      <c r="CGF166" s="566"/>
      <c r="CGG166" s="587"/>
      <c r="CGH166" s="587"/>
      <c r="CGI166" s="587"/>
      <c r="CGJ166" s="587"/>
      <c r="CGK166" s="588"/>
      <c r="CGL166" s="589"/>
      <c r="CGM166" s="588"/>
      <c r="CGN166" s="589"/>
      <c r="CGO166" s="588"/>
      <c r="CGP166" s="589"/>
      <c r="CGQ166" s="588"/>
      <c r="CGR166" s="589"/>
      <c r="CGS166" s="588"/>
      <c r="CGT166" s="589"/>
      <c r="CGU166" s="429"/>
      <c r="CGV166" s="364"/>
      <c r="CGW166" s="365"/>
      <c r="CGX166" s="354"/>
      <c r="CGY166" s="465"/>
      <c r="CGZ166" s="565"/>
      <c r="CHA166" s="572"/>
      <c r="CHB166" s="572"/>
      <c r="CHC166" s="566"/>
      <c r="CHD166" s="587"/>
      <c r="CHE166" s="587"/>
      <c r="CHF166" s="587"/>
      <c r="CHG166" s="587"/>
      <c r="CHH166" s="588"/>
      <c r="CHI166" s="589"/>
      <c r="CHJ166" s="588"/>
      <c r="CHK166" s="589"/>
      <c r="CHL166" s="588"/>
      <c r="CHM166" s="589"/>
      <c r="CHN166" s="588"/>
      <c r="CHO166" s="589"/>
      <c r="CHP166" s="588"/>
      <c r="CHQ166" s="589"/>
      <c r="CHR166" s="429"/>
      <c r="CHS166" s="364"/>
      <c r="CHT166" s="365"/>
      <c r="CHU166" s="354"/>
      <c r="CHV166" s="465"/>
      <c r="CHW166" s="565"/>
      <c r="CHX166" s="572"/>
      <c r="CHY166" s="572"/>
      <c r="CHZ166" s="566"/>
      <c r="CIA166" s="587"/>
      <c r="CIB166" s="587"/>
      <c r="CIC166" s="587"/>
      <c r="CID166" s="587"/>
      <c r="CIE166" s="588"/>
      <c r="CIF166" s="589"/>
      <c r="CIG166" s="588"/>
      <c r="CIH166" s="589"/>
      <c r="CII166" s="588"/>
      <c r="CIJ166" s="589"/>
      <c r="CIK166" s="588"/>
      <c r="CIL166" s="589"/>
      <c r="CIM166" s="588"/>
      <c r="CIN166" s="589"/>
      <c r="CIO166" s="429"/>
      <c r="CIP166" s="364"/>
      <c r="CIQ166" s="365"/>
      <c r="CIR166" s="354"/>
      <c r="CIS166" s="465"/>
      <c r="CIT166" s="565"/>
      <c r="CIU166" s="572"/>
      <c r="CIV166" s="572"/>
      <c r="CIW166" s="566"/>
      <c r="CIX166" s="587"/>
      <c r="CIY166" s="587"/>
      <c r="CIZ166" s="587"/>
      <c r="CJA166" s="587"/>
      <c r="CJB166" s="588"/>
      <c r="CJC166" s="589"/>
      <c r="CJD166" s="588"/>
      <c r="CJE166" s="589"/>
      <c r="CJF166" s="588"/>
      <c r="CJG166" s="589"/>
      <c r="CJH166" s="588"/>
      <c r="CJI166" s="589"/>
      <c r="CJJ166" s="588"/>
      <c r="CJK166" s="589"/>
      <c r="CJL166" s="429"/>
      <c r="CJM166" s="364"/>
      <c r="CJN166" s="365"/>
      <c r="CJO166" s="354"/>
      <c r="CJP166" s="465"/>
      <c r="CJQ166" s="565"/>
      <c r="CJR166" s="572"/>
      <c r="CJS166" s="572"/>
      <c r="CJT166" s="566"/>
      <c r="CJU166" s="587"/>
      <c r="CJV166" s="587"/>
      <c r="CJW166" s="587"/>
      <c r="CJX166" s="587"/>
      <c r="CJY166" s="588"/>
      <c r="CJZ166" s="589"/>
      <c r="CKA166" s="588"/>
      <c r="CKB166" s="589"/>
      <c r="CKC166" s="588"/>
      <c r="CKD166" s="589"/>
      <c r="CKE166" s="588"/>
      <c r="CKF166" s="589"/>
      <c r="CKG166" s="588"/>
      <c r="CKH166" s="589"/>
      <c r="CKI166" s="429"/>
      <c r="CKJ166" s="364"/>
      <c r="CKK166" s="365"/>
      <c r="CKL166" s="354"/>
      <c r="CKM166" s="465"/>
      <c r="CKN166" s="565"/>
      <c r="CKO166" s="572"/>
      <c r="CKP166" s="572"/>
      <c r="CKQ166" s="566"/>
      <c r="CKR166" s="587"/>
      <c r="CKS166" s="587"/>
      <c r="CKT166" s="587"/>
      <c r="CKU166" s="587"/>
      <c r="CKV166" s="588"/>
      <c r="CKW166" s="589"/>
      <c r="CKX166" s="588"/>
      <c r="CKY166" s="589"/>
      <c r="CKZ166" s="588"/>
      <c r="CLA166" s="589"/>
      <c r="CLB166" s="588"/>
      <c r="CLC166" s="589"/>
      <c r="CLD166" s="588"/>
      <c r="CLE166" s="589"/>
      <c r="CLF166" s="429"/>
      <c r="CLG166" s="364"/>
      <c r="CLH166" s="365"/>
      <c r="CLI166" s="354"/>
      <c r="CLJ166" s="465"/>
      <c r="CLK166" s="565"/>
      <c r="CLL166" s="572"/>
      <c r="CLM166" s="572"/>
      <c r="CLN166" s="566"/>
      <c r="CLO166" s="587"/>
      <c r="CLP166" s="587"/>
      <c r="CLQ166" s="587"/>
      <c r="CLR166" s="587"/>
      <c r="CLS166" s="588"/>
      <c r="CLT166" s="589"/>
      <c r="CLU166" s="588"/>
      <c r="CLV166" s="589"/>
      <c r="CLW166" s="588"/>
      <c r="CLX166" s="589"/>
      <c r="CLY166" s="588"/>
      <c r="CLZ166" s="589"/>
      <c r="CMA166" s="588"/>
      <c r="CMB166" s="589"/>
      <c r="CMC166" s="429"/>
      <c r="CMD166" s="364"/>
      <c r="CME166" s="365"/>
      <c r="CMF166" s="354"/>
      <c r="CMG166" s="465"/>
      <c r="CMH166" s="565"/>
      <c r="CMI166" s="572"/>
      <c r="CMJ166" s="572"/>
      <c r="CMK166" s="566"/>
      <c r="CML166" s="587"/>
      <c r="CMM166" s="587"/>
      <c r="CMN166" s="587"/>
      <c r="CMO166" s="587"/>
      <c r="CMP166" s="588"/>
      <c r="CMQ166" s="589"/>
      <c r="CMR166" s="588"/>
      <c r="CMS166" s="589"/>
      <c r="CMT166" s="588"/>
      <c r="CMU166" s="589"/>
      <c r="CMV166" s="588"/>
      <c r="CMW166" s="589"/>
      <c r="CMX166" s="588"/>
      <c r="CMY166" s="589"/>
      <c r="CMZ166" s="429"/>
      <c r="CNA166" s="364"/>
      <c r="CNB166" s="365"/>
      <c r="CNC166" s="354"/>
      <c r="CND166" s="465"/>
      <c r="CNE166" s="565"/>
      <c r="CNF166" s="572"/>
      <c r="CNG166" s="572"/>
      <c r="CNH166" s="566"/>
      <c r="CNI166" s="587"/>
      <c r="CNJ166" s="587"/>
      <c r="CNK166" s="587"/>
      <c r="CNL166" s="587"/>
      <c r="CNM166" s="588"/>
      <c r="CNN166" s="589"/>
      <c r="CNO166" s="588"/>
      <c r="CNP166" s="589"/>
      <c r="CNQ166" s="588"/>
      <c r="CNR166" s="589"/>
      <c r="CNS166" s="588"/>
      <c r="CNT166" s="589"/>
      <c r="CNU166" s="588"/>
      <c r="CNV166" s="589"/>
      <c r="CNW166" s="429"/>
      <c r="CNX166" s="364"/>
      <c r="CNY166" s="365"/>
      <c r="CNZ166" s="354"/>
      <c r="COA166" s="465"/>
      <c r="COB166" s="565"/>
      <c r="COC166" s="572"/>
      <c r="COD166" s="572"/>
      <c r="COE166" s="566"/>
      <c r="COF166" s="587"/>
      <c r="COG166" s="587"/>
      <c r="COH166" s="587"/>
      <c r="COI166" s="587"/>
      <c r="COJ166" s="588"/>
      <c r="COK166" s="589"/>
      <c r="COL166" s="588"/>
      <c r="COM166" s="589"/>
      <c r="CON166" s="588"/>
      <c r="COO166" s="589"/>
      <c r="COP166" s="588"/>
      <c r="COQ166" s="589"/>
      <c r="COR166" s="588"/>
      <c r="COS166" s="589"/>
      <c r="COT166" s="429"/>
      <c r="COU166" s="364"/>
      <c r="COV166" s="365"/>
      <c r="COW166" s="354"/>
      <c r="COX166" s="465"/>
      <c r="COY166" s="565"/>
      <c r="COZ166" s="572"/>
      <c r="CPA166" s="572"/>
      <c r="CPB166" s="566"/>
      <c r="CPC166" s="587"/>
      <c r="CPD166" s="587"/>
      <c r="CPE166" s="587"/>
      <c r="CPF166" s="587"/>
      <c r="CPG166" s="588"/>
      <c r="CPH166" s="589"/>
      <c r="CPI166" s="588"/>
      <c r="CPJ166" s="589"/>
      <c r="CPK166" s="588"/>
      <c r="CPL166" s="589"/>
      <c r="CPM166" s="588"/>
      <c r="CPN166" s="589"/>
      <c r="CPO166" s="588"/>
      <c r="CPP166" s="589"/>
      <c r="CPQ166" s="429"/>
      <c r="CPR166" s="364"/>
      <c r="CPS166" s="365"/>
      <c r="CPT166" s="354"/>
      <c r="CPU166" s="465"/>
      <c r="CPV166" s="565"/>
      <c r="CPW166" s="572"/>
      <c r="CPX166" s="572"/>
      <c r="CPY166" s="566"/>
      <c r="CPZ166" s="587"/>
      <c r="CQA166" s="587"/>
      <c r="CQB166" s="587"/>
      <c r="CQC166" s="587"/>
      <c r="CQD166" s="588"/>
      <c r="CQE166" s="589"/>
      <c r="CQF166" s="588"/>
      <c r="CQG166" s="589"/>
      <c r="CQH166" s="588"/>
      <c r="CQI166" s="589"/>
      <c r="CQJ166" s="588"/>
      <c r="CQK166" s="589"/>
      <c r="CQL166" s="588"/>
      <c r="CQM166" s="589"/>
      <c r="CQN166" s="429"/>
      <c r="CQO166" s="364"/>
      <c r="CQP166" s="365"/>
      <c r="CQQ166" s="354"/>
      <c r="CQR166" s="465"/>
      <c r="CQS166" s="565"/>
      <c r="CQT166" s="572"/>
      <c r="CQU166" s="572"/>
      <c r="CQV166" s="566"/>
      <c r="CQW166" s="587"/>
      <c r="CQX166" s="587"/>
      <c r="CQY166" s="587"/>
      <c r="CQZ166" s="587"/>
      <c r="CRA166" s="588"/>
      <c r="CRB166" s="589"/>
      <c r="CRC166" s="588"/>
      <c r="CRD166" s="589"/>
      <c r="CRE166" s="588"/>
      <c r="CRF166" s="589"/>
      <c r="CRG166" s="588"/>
      <c r="CRH166" s="589"/>
      <c r="CRI166" s="588"/>
      <c r="CRJ166" s="589"/>
      <c r="CRK166" s="429"/>
      <c r="CRL166" s="364"/>
      <c r="CRM166" s="365"/>
      <c r="CRN166" s="354"/>
      <c r="CRO166" s="465"/>
      <c r="CRP166" s="565"/>
      <c r="CRQ166" s="572"/>
      <c r="CRR166" s="572"/>
      <c r="CRS166" s="566"/>
      <c r="CRT166" s="587"/>
      <c r="CRU166" s="587"/>
      <c r="CRV166" s="587"/>
      <c r="CRW166" s="587"/>
      <c r="CRX166" s="588"/>
      <c r="CRY166" s="589"/>
      <c r="CRZ166" s="588"/>
      <c r="CSA166" s="589"/>
      <c r="CSB166" s="588"/>
      <c r="CSC166" s="589"/>
      <c r="CSD166" s="588"/>
      <c r="CSE166" s="589"/>
      <c r="CSF166" s="588"/>
      <c r="CSG166" s="589"/>
      <c r="CSH166" s="429"/>
      <c r="CSI166" s="364"/>
      <c r="CSJ166" s="365"/>
      <c r="CSK166" s="354"/>
      <c r="CSL166" s="465"/>
      <c r="CSM166" s="565"/>
      <c r="CSN166" s="572"/>
      <c r="CSO166" s="572"/>
      <c r="CSP166" s="566"/>
      <c r="CSQ166" s="587"/>
      <c r="CSR166" s="587"/>
      <c r="CSS166" s="587"/>
      <c r="CST166" s="587"/>
      <c r="CSU166" s="588"/>
      <c r="CSV166" s="589"/>
      <c r="CSW166" s="588"/>
      <c r="CSX166" s="589"/>
      <c r="CSY166" s="588"/>
      <c r="CSZ166" s="589"/>
      <c r="CTA166" s="588"/>
      <c r="CTB166" s="589"/>
      <c r="CTC166" s="588"/>
      <c r="CTD166" s="589"/>
      <c r="CTE166" s="429"/>
      <c r="CTF166" s="364"/>
      <c r="CTG166" s="365"/>
      <c r="CTH166" s="354"/>
      <c r="CTI166" s="465"/>
      <c r="CTJ166" s="565"/>
      <c r="CTK166" s="572"/>
      <c r="CTL166" s="572"/>
      <c r="CTM166" s="566"/>
      <c r="CTN166" s="587"/>
      <c r="CTO166" s="587"/>
      <c r="CTP166" s="587"/>
      <c r="CTQ166" s="587"/>
      <c r="CTR166" s="588"/>
      <c r="CTS166" s="589"/>
      <c r="CTT166" s="588"/>
      <c r="CTU166" s="589"/>
      <c r="CTV166" s="588"/>
      <c r="CTW166" s="589"/>
      <c r="CTX166" s="588"/>
      <c r="CTY166" s="589"/>
      <c r="CTZ166" s="588"/>
      <c r="CUA166" s="589"/>
      <c r="CUB166" s="429"/>
      <c r="CUC166" s="364"/>
      <c r="CUD166" s="365"/>
      <c r="CUE166" s="354"/>
      <c r="CUF166" s="465"/>
      <c r="CUG166" s="565"/>
      <c r="CUH166" s="572"/>
      <c r="CUI166" s="572"/>
      <c r="CUJ166" s="566"/>
      <c r="CUK166" s="587"/>
      <c r="CUL166" s="587"/>
      <c r="CUM166" s="587"/>
      <c r="CUN166" s="587"/>
      <c r="CUO166" s="588"/>
      <c r="CUP166" s="589"/>
      <c r="CUQ166" s="588"/>
      <c r="CUR166" s="589"/>
      <c r="CUS166" s="588"/>
      <c r="CUT166" s="589"/>
      <c r="CUU166" s="588"/>
      <c r="CUV166" s="589"/>
      <c r="CUW166" s="588"/>
      <c r="CUX166" s="589"/>
      <c r="CUY166" s="429"/>
      <c r="CUZ166" s="364"/>
      <c r="CVA166" s="365"/>
      <c r="CVB166" s="354"/>
      <c r="CVC166" s="465"/>
      <c r="CVD166" s="565"/>
      <c r="CVE166" s="572"/>
      <c r="CVF166" s="572"/>
      <c r="CVG166" s="566"/>
      <c r="CVH166" s="587"/>
      <c r="CVI166" s="587"/>
      <c r="CVJ166" s="587"/>
      <c r="CVK166" s="587"/>
      <c r="CVL166" s="588"/>
      <c r="CVM166" s="589"/>
      <c r="CVN166" s="588"/>
      <c r="CVO166" s="589"/>
      <c r="CVP166" s="588"/>
      <c r="CVQ166" s="589"/>
      <c r="CVR166" s="588"/>
      <c r="CVS166" s="589"/>
      <c r="CVT166" s="588"/>
      <c r="CVU166" s="589"/>
      <c r="CVV166" s="429"/>
      <c r="CVW166" s="364"/>
      <c r="CVX166" s="365"/>
      <c r="CVY166" s="354"/>
      <c r="CVZ166" s="465"/>
      <c r="CWA166" s="565"/>
      <c r="CWB166" s="572"/>
      <c r="CWC166" s="572"/>
      <c r="CWD166" s="566"/>
      <c r="CWE166" s="587"/>
      <c r="CWF166" s="587"/>
      <c r="CWG166" s="587"/>
      <c r="CWH166" s="587"/>
      <c r="CWI166" s="588"/>
      <c r="CWJ166" s="589"/>
      <c r="CWK166" s="588"/>
      <c r="CWL166" s="589"/>
      <c r="CWM166" s="588"/>
      <c r="CWN166" s="589"/>
      <c r="CWO166" s="588"/>
      <c r="CWP166" s="589"/>
      <c r="CWQ166" s="588"/>
      <c r="CWR166" s="589"/>
      <c r="CWS166" s="429"/>
      <c r="CWT166" s="364"/>
      <c r="CWU166" s="365"/>
      <c r="CWV166" s="354"/>
      <c r="CWW166" s="465"/>
      <c r="CWX166" s="565"/>
      <c r="CWY166" s="572"/>
      <c r="CWZ166" s="572"/>
      <c r="CXA166" s="566"/>
      <c r="CXB166" s="587"/>
      <c r="CXC166" s="587"/>
      <c r="CXD166" s="587"/>
      <c r="CXE166" s="587"/>
      <c r="CXF166" s="588"/>
      <c r="CXG166" s="589"/>
      <c r="CXH166" s="588"/>
      <c r="CXI166" s="589"/>
      <c r="CXJ166" s="588"/>
      <c r="CXK166" s="589"/>
      <c r="CXL166" s="588"/>
      <c r="CXM166" s="589"/>
      <c r="CXN166" s="588"/>
      <c r="CXO166" s="589"/>
      <c r="CXP166" s="429"/>
      <c r="CXQ166" s="364"/>
      <c r="CXR166" s="365"/>
      <c r="CXS166" s="354"/>
      <c r="CXT166" s="465"/>
      <c r="CXU166" s="565"/>
      <c r="CXV166" s="572"/>
      <c r="CXW166" s="572"/>
      <c r="CXX166" s="566"/>
      <c r="CXY166" s="587"/>
      <c r="CXZ166" s="587"/>
      <c r="CYA166" s="587"/>
      <c r="CYB166" s="587"/>
      <c r="CYC166" s="588"/>
      <c r="CYD166" s="589"/>
      <c r="CYE166" s="588"/>
      <c r="CYF166" s="589"/>
      <c r="CYG166" s="588"/>
      <c r="CYH166" s="589"/>
      <c r="CYI166" s="588"/>
      <c r="CYJ166" s="589"/>
      <c r="CYK166" s="588"/>
      <c r="CYL166" s="589"/>
      <c r="CYM166" s="429"/>
      <c r="CYN166" s="364"/>
      <c r="CYO166" s="365"/>
      <c r="CYP166" s="354"/>
      <c r="CYQ166" s="465"/>
      <c r="CYR166" s="565"/>
      <c r="CYS166" s="572"/>
      <c r="CYT166" s="572"/>
      <c r="CYU166" s="566"/>
      <c r="CYV166" s="587"/>
      <c r="CYW166" s="587"/>
      <c r="CYX166" s="587"/>
      <c r="CYY166" s="587"/>
      <c r="CYZ166" s="588"/>
      <c r="CZA166" s="589"/>
      <c r="CZB166" s="588"/>
      <c r="CZC166" s="589"/>
      <c r="CZD166" s="588"/>
      <c r="CZE166" s="589"/>
      <c r="CZF166" s="588"/>
      <c r="CZG166" s="589"/>
      <c r="CZH166" s="588"/>
      <c r="CZI166" s="589"/>
      <c r="CZJ166" s="429"/>
      <c r="CZK166" s="364"/>
      <c r="CZL166" s="365"/>
      <c r="CZM166" s="354"/>
      <c r="CZN166" s="465"/>
      <c r="CZO166" s="565"/>
      <c r="CZP166" s="572"/>
      <c r="CZQ166" s="572"/>
      <c r="CZR166" s="566"/>
      <c r="CZS166" s="587"/>
      <c r="CZT166" s="587"/>
      <c r="CZU166" s="587"/>
      <c r="CZV166" s="587"/>
      <c r="CZW166" s="588"/>
      <c r="CZX166" s="589"/>
      <c r="CZY166" s="588"/>
      <c r="CZZ166" s="589"/>
      <c r="DAA166" s="588"/>
      <c r="DAB166" s="589"/>
      <c r="DAC166" s="588"/>
      <c r="DAD166" s="589"/>
      <c r="DAE166" s="588"/>
      <c r="DAF166" s="589"/>
      <c r="DAG166" s="429"/>
      <c r="DAH166" s="364"/>
      <c r="DAI166" s="365"/>
      <c r="DAJ166" s="354"/>
      <c r="DAK166" s="465"/>
      <c r="DAL166" s="565"/>
      <c r="DAM166" s="572"/>
      <c r="DAN166" s="572"/>
      <c r="DAO166" s="566"/>
      <c r="DAP166" s="587"/>
      <c r="DAQ166" s="587"/>
      <c r="DAR166" s="587"/>
      <c r="DAS166" s="587"/>
      <c r="DAT166" s="588"/>
      <c r="DAU166" s="589"/>
      <c r="DAV166" s="588"/>
      <c r="DAW166" s="589"/>
      <c r="DAX166" s="588"/>
      <c r="DAY166" s="589"/>
      <c r="DAZ166" s="588"/>
      <c r="DBA166" s="589"/>
      <c r="DBB166" s="588"/>
      <c r="DBC166" s="589"/>
      <c r="DBD166" s="429"/>
      <c r="DBE166" s="364"/>
      <c r="DBF166" s="365"/>
      <c r="DBG166" s="354"/>
      <c r="DBH166" s="465"/>
      <c r="DBI166" s="565"/>
      <c r="DBJ166" s="572"/>
      <c r="DBK166" s="572"/>
      <c r="DBL166" s="566"/>
      <c r="DBM166" s="587"/>
      <c r="DBN166" s="587"/>
      <c r="DBO166" s="587"/>
      <c r="DBP166" s="587"/>
      <c r="DBQ166" s="588"/>
      <c r="DBR166" s="589"/>
      <c r="DBS166" s="588"/>
      <c r="DBT166" s="589"/>
      <c r="DBU166" s="588"/>
      <c r="DBV166" s="589"/>
      <c r="DBW166" s="588"/>
      <c r="DBX166" s="589"/>
      <c r="DBY166" s="588"/>
      <c r="DBZ166" s="589"/>
      <c r="DCA166" s="429"/>
      <c r="DCB166" s="364"/>
      <c r="DCC166" s="365"/>
      <c r="DCD166" s="354"/>
      <c r="DCE166" s="465"/>
      <c r="DCF166" s="565"/>
      <c r="DCG166" s="572"/>
      <c r="DCH166" s="572"/>
      <c r="DCI166" s="566"/>
      <c r="DCJ166" s="587"/>
      <c r="DCK166" s="587"/>
      <c r="DCL166" s="587"/>
      <c r="DCM166" s="587"/>
      <c r="DCN166" s="588"/>
      <c r="DCO166" s="589"/>
      <c r="DCP166" s="588"/>
      <c r="DCQ166" s="589"/>
      <c r="DCR166" s="588"/>
      <c r="DCS166" s="589"/>
      <c r="DCT166" s="588"/>
      <c r="DCU166" s="589"/>
      <c r="DCV166" s="588"/>
      <c r="DCW166" s="589"/>
      <c r="DCX166" s="429"/>
      <c r="DCY166" s="364"/>
      <c r="DCZ166" s="365"/>
      <c r="DDA166" s="354"/>
      <c r="DDB166" s="465"/>
      <c r="DDC166" s="565"/>
      <c r="DDD166" s="572"/>
      <c r="DDE166" s="572"/>
      <c r="DDF166" s="566"/>
      <c r="DDG166" s="587"/>
      <c r="DDH166" s="587"/>
      <c r="DDI166" s="587"/>
      <c r="DDJ166" s="587"/>
      <c r="DDK166" s="588"/>
      <c r="DDL166" s="589"/>
      <c r="DDM166" s="588"/>
      <c r="DDN166" s="589"/>
      <c r="DDO166" s="588"/>
      <c r="DDP166" s="589"/>
      <c r="DDQ166" s="588"/>
      <c r="DDR166" s="589"/>
      <c r="DDS166" s="588"/>
      <c r="DDT166" s="589"/>
      <c r="DDU166" s="429"/>
      <c r="DDV166" s="364"/>
      <c r="DDW166" s="365"/>
      <c r="DDX166" s="354"/>
      <c r="DDY166" s="465"/>
      <c r="DDZ166" s="565"/>
      <c r="DEA166" s="572"/>
      <c r="DEB166" s="572"/>
      <c r="DEC166" s="566"/>
      <c r="DED166" s="587"/>
      <c r="DEE166" s="587"/>
      <c r="DEF166" s="587"/>
      <c r="DEG166" s="587"/>
      <c r="DEH166" s="588"/>
      <c r="DEI166" s="589"/>
      <c r="DEJ166" s="588"/>
      <c r="DEK166" s="589"/>
      <c r="DEL166" s="588"/>
      <c r="DEM166" s="589"/>
      <c r="DEN166" s="588"/>
      <c r="DEO166" s="589"/>
      <c r="DEP166" s="588"/>
      <c r="DEQ166" s="589"/>
      <c r="DER166" s="429"/>
      <c r="DES166" s="364"/>
      <c r="DET166" s="365"/>
      <c r="DEU166" s="354"/>
      <c r="DEV166" s="465"/>
      <c r="DEW166" s="565"/>
      <c r="DEX166" s="572"/>
      <c r="DEY166" s="572"/>
      <c r="DEZ166" s="566"/>
      <c r="DFA166" s="587"/>
      <c r="DFB166" s="587"/>
      <c r="DFC166" s="587"/>
      <c r="DFD166" s="587"/>
      <c r="DFE166" s="588"/>
      <c r="DFF166" s="589"/>
      <c r="DFG166" s="588"/>
      <c r="DFH166" s="589"/>
      <c r="DFI166" s="588"/>
      <c r="DFJ166" s="589"/>
      <c r="DFK166" s="588"/>
      <c r="DFL166" s="589"/>
      <c r="DFM166" s="588"/>
      <c r="DFN166" s="589"/>
      <c r="DFO166" s="429"/>
      <c r="DFP166" s="364"/>
      <c r="DFQ166" s="365"/>
      <c r="DFR166" s="354"/>
      <c r="DFS166" s="465"/>
      <c r="DFT166" s="565"/>
      <c r="DFU166" s="572"/>
      <c r="DFV166" s="572"/>
      <c r="DFW166" s="566"/>
      <c r="DFX166" s="587"/>
      <c r="DFY166" s="587"/>
      <c r="DFZ166" s="587"/>
      <c r="DGA166" s="587"/>
      <c r="DGB166" s="588"/>
      <c r="DGC166" s="589"/>
      <c r="DGD166" s="588"/>
      <c r="DGE166" s="589"/>
      <c r="DGF166" s="588"/>
      <c r="DGG166" s="589"/>
      <c r="DGH166" s="588"/>
      <c r="DGI166" s="589"/>
      <c r="DGJ166" s="588"/>
      <c r="DGK166" s="589"/>
      <c r="DGL166" s="429"/>
      <c r="DGM166" s="364"/>
      <c r="DGN166" s="365"/>
      <c r="DGO166" s="354"/>
      <c r="DGP166" s="465"/>
      <c r="DGQ166" s="565"/>
      <c r="DGR166" s="572"/>
      <c r="DGS166" s="572"/>
      <c r="DGT166" s="566"/>
      <c r="DGU166" s="587"/>
      <c r="DGV166" s="587"/>
      <c r="DGW166" s="587"/>
      <c r="DGX166" s="587"/>
      <c r="DGY166" s="588"/>
      <c r="DGZ166" s="589"/>
      <c r="DHA166" s="588"/>
      <c r="DHB166" s="589"/>
      <c r="DHC166" s="588"/>
      <c r="DHD166" s="589"/>
      <c r="DHE166" s="588"/>
      <c r="DHF166" s="589"/>
      <c r="DHG166" s="588"/>
      <c r="DHH166" s="589"/>
      <c r="DHI166" s="429"/>
      <c r="DHJ166" s="364"/>
      <c r="DHK166" s="365"/>
      <c r="DHL166" s="354"/>
      <c r="DHM166" s="465"/>
      <c r="DHN166" s="565"/>
      <c r="DHO166" s="572"/>
      <c r="DHP166" s="572"/>
      <c r="DHQ166" s="566"/>
      <c r="DHR166" s="587"/>
      <c r="DHS166" s="587"/>
      <c r="DHT166" s="587"/>
      <c r="DHU166" s="587"/>
      <c r="DHV166" s="588"/>
      <c r="DHW166" s="589"/>
      <c r="DHX166" s="588"/>
      <c r="DHY166" s="589"/>
      <c r="DHZ166" s="588"/>
      <c r="DIA166" s="589"/>
      <c r="DIB166" s="588"/>
      <c r="DIC166" s="589"/>
      <c r="DID166" s="588"/>
      <c r="DIE166" s="589"/>
      <c r="DIF166" s="429"/>
      <c r="DIG166" s="364"/>
      <c r="DIH166" s="365"/>
      <c r="DII166" s="354"/>
      <c r="DIJ166" s="465"/>
      <c r="DIK166" s="565"/>
      <c r="DIL166" s="572"/>
      <c r="DIM166" s="572"/>
      <c r="DIN166" s="566"/>
      <c r="DIO166" s="587"/>
      <c r="DIP166" s="587"/>
      <c r="DIQ166" s="587"/>
      <c r="DIR166" s="587"/>
      <c r="DIS166" s="588"/>
      <c r="DIT166" s="589"/>
      <c r="DIU166" s="588"/>
      <c r="DIV166" s="589"/>
      <c r="DIW166" s="588"/>
      <c r="DIX166" s="589"/>
      <c r="DIY166" s="588"/>
      <c r="DIZ166" s="589"/>
      <c r="DJA166" s="588"/>
      <c r="DJB166" s="589"/>
      <c r="DJC166" s="429"/>
      <c r="DJD166" s="364"/>
      <c r="DJE166" s="365"/>
      <c r="DJF166" s="354"/>
      <c r="DJG166" s="465"/>
      <c r="DJH166" s="565"/>
      <c r="DJI166" s="572"/>
      <c r="DJJ166" s="572"/>
      <c r="DJK166" s="566"/>
      <c r="DJL166" s="587"/>
      <c r="DJM166" s="587"/>
      <c r="DJN166" s="587"/>
      <c r="DJO166" s="587"/>
      <c r="DJP166" s="588"/>
      <c r="DJQ166" s="589"/>
      <c r="DJR166" s="588"/>
      <c r="DJS166" s="589"/>
      <c r="DJT166" s="588"/>
      <c r="DJU166" s="589"/>
      <c r="DJV166" s="588"/>
      <c r="DJW166" s="589"/>
      <c r="DJX166" s="588"/>
      <c r="DJY166" s="589"/>
      <c r="DJZ166" s="429"/>
      <c r="DKA166" s="364"/>
      <c r="DKB166" s="365"/>
      <c r="DKC166" s="354"/>
      <c r="DKD166" s="465"/>
      <c r="DKE166" s="565"/>
      <c r="DKF166" s="572"/>
      <c r="DKG166" s="572"/>
      <c r="DKH166" s="566"/>
      <c r="DKI166" s="587"/>
      <c r="DKJ166" s="587"/>
      <c r="DKK166" s="587"/>
      <c r="DKL166" s="587"/>
      <c r="DKM166" s="588"/>
      <c r="DKN166" s="589"/>
      <c r="DKO166" s="588"/>
      <c r="DKP166" s="589"/>
      <c r="DKQ166" s="588"/>
      <c r="DKR166" s="589"/>
      <c r="DKS166" s="588"/>
      <c r="DKT166" s="589"/>
      <c r="DKU166" s="588"/>
      <c r="DKV166" s="589"/>
      <c r="DKW166" s="429"/>
      <c r="DKX166" s="364"/>
      <c r="DKY166" s="365"/>
      <c r="DKZ166" s="354"/>
      <c r="DLA166" s="465"/>
      <c r="DLB166" s="565"/>
      <c r="DLC166" s="572"/>
      <c r="DLD166" s="572"/>
      <c r="DLE166" s="566"/>
      <c r="DLF166" s="587"/>
      <c r="DLG166" s="587"/>
      <c r="DLH166" s="587"/>
      <c r="DLI166" s="587"/>
      <c r="DLJ166" s="588"/>
      <c r="DLK166" s="589"/>
      <c r="DLL166" s="588"/>
      <c r="DLM166" s="589"/>
      <c r="DLN166" s="588"/>
      <c r="DLO166" s="589"/>
      <c r="DLP166" s="588"/>
      <c r="DLQ166" s="589"/>
      <c r="DLR166" s="588"/>
      <c r="DLS166" s="589"/>
      <c r="DLT166" s="429"/>
      <c r="DLU166" s="364"/>
      <c r="DLV166" s="365"/>
      <c r="DLW166" s="354"/>
      <c r="DLX166" s="465"/>
      <c r="DLY166" s="565"/>
      <c r="DLZ166" s="572"/>
      <c r="DMA166" s="572"/>
      <c r="DMB166" s="566"/>
      <c r="DMC166" s="587"/>
      <c r="DMD166" s="587"/>
      <c r="DME166" s="587"/>
      <c r="DMF166" s="587"/>
      <c r="DMG166" s="588"/>
      <c r="DMH166" s="589"/>
      <c r="DMI166" s="588"/>
      <c r="DMJ166" s="589"/>
      <c r="DMK166" s="588"/>
      <c r="DML166" s="589"/>
      <c r="DMM166" s="588"/>
      <c r="DMN166" s="589"/>
      <c r="DMO166" s="588"/>
      <c r="DMP166" s="589"/>
      <c r="DMQ166" s="429"/>
      <c r="DMR166" s="364"/>
      <c r="DMS166" s="365"/>
      <c r="DMT166" s="354"/>
      <c r="DMU166" s="465"/>
      <c r="DMV166" s="565"/>
      <c r="DMW166" s="572"/>
      <c r="DMX166" s="572"/>
      <c r="DMY166" s="566"/>
      <c r="DMZ166" s="587"/>
      <c r="DNA166" s="587"/>
      <c r="DNB166" s="587"/>
      <c r="DNC166" s="587"/>
      <c r="DND166" s="588"/>
      <c r="DNE166" s="589"/>
      <c r="DNF166" s="588"/>
      <c r="DNG166" s="589"/>
      <c r="DNH166" s="588"/>
      <c r="DNI166" s="589"/>
      <c r="DNJ166" s="588"/>
      <c r="DNK166" s="589"/>
      <c r="DNL166" s="588"/>
      <c r="DNM166" s="589"/>
      <c r="DNN166" s="429"/>
      <c r="DNO166" s="364"/>
      <c r="DNP166" s="365"/>
      <c r="DNQ166" s="354"/>
      <c r="DNR166" s="465"/>
      <c r="DNS166" s="565"/>
      <c r="DNT166" s="572"/>
      <c r="DNU166" s="572"/>
      <c r="DNV166" s="566"/>
      <c r="DNW166" s="587"/>
      <c r="DNX166" s="587"/>
      <c r="DNY166" s="587"/>
      <c r="DNZ166" s="587"/>
      <c r="DOA166" s="588"/>
      <c r="DOB166" s="589"/>
      <c r="DOC166" s="588"/>
      <c r="DOD166" s="589"/>
      <c r="DOE166" s="588"/>
      <c r="DOF166" s="589"/>
      <c r="DOG166" s="588"/>
      <c r="DOH166" s="589"/>
      <c r="DOI166" s="588"/>
      <c r="DOJ166" s="589"/>
      <c r="DOK166" s="429"/>
      <c r="DOL166" s="364"/>
      <c r="DOM166" s="365"/>
      <c r="DON166" s="354"/>
      <c r="DOO166" s="465"/>
      <c r="DOP166" s="565"/>
      <c r="DOQ166" s="572"/>
      <c r="DOR166" s="572"/>
      <c r="DOS166" s="566"/>
      <c r="DOT166" s="587"/>
      <c r="DOU166" s="587"/>
      <c r="DOV166" s="587"/>
      <c r="DOW166" s="587"/>
      <c r="DOX166" s="588"/>
      <c r="DOY166" s="589"/>
      <c r="DOZ166" s="588"/>
      <c r="DPA166" s="589"/>
      <c r="DPB166" s="588"/>
      <c r="DPC166" s="589"/>
      <c r="DPD166" s="588"/>
      <c r="DPE166" s="589"/>
      <c r="DPF166" s="588"/>
      <c r="DPG166" s="589"/>
      <c r="DPH166" s="429"/>
      <c r="DPI166" s="364"/>
      <c r="DPJ166" s="365"/>
      <c r="DPK166" s="354"/>
      <c r="DPL166" s="465"/>
      <c r="DPM166" s="565"/>
      <c r="DPN166" s="572"/>
      <c r="DPO166" s="572"/>
      <c r="DPP166" s="566"/>
      <c r="DPQ166" s="587"/>
      <c r="DPR166" s="587"/>
      <c r="DPS166" s="587"/>
      <c r="DPT166" s="587"/>
      <c r="DPU166" s="588"/>
      <c r="DPV166" s="589"/>
      <c r="DPW166" s="588"/>
      <c r="DPX166" s="589"/>
      <c r="DPY166" s="588"/>
      <c r="DPZ166" s="589"/>
      <c r="DQA166" s="588"/>
      <c r="DQB166" s="589"/>
      <c r="DQC166" s="588"/>
      <c r="DQD166" s="589"/>
      <c r="DQE166" s="429"/>
      <c r="DQF166" s="364"/>
      <c r="DQG166" s="365"/>
      <c r="DQH166" s="354"/>
      <c r="DQI166" s="465"/>
      <c r="DQJ166" s="565"/>
      <c r="DQK166" s="572"/>
      <c r="DQL166" s="572"/>
      <c r="DQM166" s="566"/>
      <c r="DQN166" s="587"/>
      <c r="DQO166" s="587"/>
      <c r="DQP166" s="587"/>
      <c r="DQQ166" s="587"/>
      <c r="DQR166" s="588"/>
      <c r="DQS166" s="589"/>
      <c r="DQT166" s="588"/>
      <c r="DQU166" s="589"/>
      <c r="DQV166" s="588"/>
      <c r="DQW166" s="589"/>
      <c r="DQX166" s="588"/>
      <c r="DQY166" s="589"/>
      <c r="DQZ166" s="588"/>
      <c r="DRA166" s="589"/>
      <c r="DRB166" s="429"/>
      <c r="DRC166" s="364"/>
      <c r="DRD166" s="365"/>
      <c r="DRE166" s="354"/>
      <c r="DRF166" s="465"/>
      <c r="DRG166" s="565"/>
      <c r="DRH166" s="572"/>
      <c r="DRI166" s="572"/>
      <c r="DRJ166" s="566"/>
      <c r="DRK166" s="587"/>
      <c r="DRL166" s="587"/>
      <c r="DRM166" s="587"/>
      <c r="DRN166" s="587"/>
      <c r="DRO166" s="588"/>
      <c r="DRP166" s="589"/>
      <c r="DRQ166" s="588"/>
      <c r="DRR166" s="589"/>
      <c r="DRS166" s="588"/>
      <c r="DRT166" s="589"/>
      <c r="DRU166" s="588"/>
      <c r="DRV166" s="589"/>
      <c r="DRW166" s="588"/>
      <c r="DRX166" s="589"/>
      <c r="DRY166" s="429"/>
      <c r="DRZ166" s="364"/>
      <c r="DSA166" s="365"/>
      <c r="DSB166" s="354"/>
      <c r="DSC166" s="465"/>
      <c r="DSD166" s="565"/>
      <c r="DSE166" s="572"/>
      <c r="DSF166" s="572"/>
      <c r="DSG166" s="566"/>
      <c r="DSH166" s="587"/>
      <c r="DSI166" s="587"/>
      <c r="DSJ166" s="587"/>
      <c r="DSK166" s="587"/>
      <c r="DSL166" s="588"/>
      <c r="DSM166" s="589"/>
      <c r="DSN166" s="588"/>
      <c r="DSO166" s="589"/>
      <c r="DSP166" s="588"/>
      <c r="DSQ166" s="589"/>
      <c r="DSR166" s="588"/>
      <c r="DSS166" s="589"/>
      <c r="DST166" s="588"/>
      <c r="DSU166" s="589"/>
      <c r="DSV166" s="429"/>
      <c r="DSW166" s="364"/>
      <c r="DSX166" s="365"/>
      <c r="DSY166" s="354"/>
      <c r="DSZ166" s="465"/>
      <c r="DTA166" s="565"/>
      <c r="DTB166" s="572"/>
      <c r="DTC166" s="572"/>
      <c r="DTD166" s="566"/>
      <c r="DTE166" s="587"/>
      <c r="DTF166" s="587"/>
      <c r="DTG166" s="587"/>
      <c r="DTH166" s="587"/>
      <c r="DTI166" s="588"/>
      <c r="DTJ166" s="589"/>
      <c r="DTK166" s="588"/>
      <c r="DTL166" s="589"/>
      <c r="DTM166" s="588"/>
      <c r="DTN166" s="589"/>
      <c r="DTO166" s="588"/>
      <c r="DTP166" s="589"/>
      <c r="DTQ166" s="588"/>
      <c r="DTR166" s="589"/>
      <c r="DTS166" s="429"/>
      <c r="DTT166" s="364"/>
      <c r="DTU166" s="365"/>
      <c r="DTV166" s="354"/>
      <c r="DTW166" s="465"/>
      <c r="DTX166" s="565"/>
      <c r="DTY166" s="572"/>
      <c r="DTZ166" s="572"/>
      <c r="DUA166" s="566"/>
      <c r="DUB166" s="587"/>
      <c r="DUC166" s="587"/>
      <c r="DUD166" s="587"/>
      <c r="DUE166" s="587"/>
      <c r="DUF166" s="588"/>
      <c r="DUG166" s="589"/>
      <c r="DUH166" s="588"/>
      <c r="DUI166" s="589"/>
      <c r="DUJ166" s="588"/>
      <c r="DUK166" s="589"/>
      <c r="DUL166" s="588"/>
      <c r="DUM166" s="589"/>
      <c r="DUN166" s="588"/>
      <c r="DUO166" s="589"/>
      <c r="DUP166" s="429"/>
      <c r="DUQ166" s="364"/>
      <c r="DUR166" s="365"/>
      <c r="DUS166" s="354"/>
      <c r="DUT166" s="465"/>
      <c r="DUU166" s="565"/>
      <c r="DUV166" s="572"/>
      <c r="DUW166" s="572"/>
      <c r="DUX166" s="566"/>
      <c r="DUY166" s="587"/>
      <c r="DUZ166" s="587"/>
      <c r="DVA166" s="587"/>
      <c r="DVB166" s="587"/>
      <c r="DVC166" s="588"/>
      <c r="DVD166" s="589"/>
      <c r="DVE166" s="588"/>
      <c r="DVF166" s="589"/>
      <c r="DVG166" s="588"/>
      <c r="DVH166" s="589"/>
      <c r="DVI166" s="588"/>
      <c r="DVJ166" s="589"/>
      <c r="DVK166" s="588"/>
      <c r="DVL166" s="589"/>
      <c r="DVM166" s="429"/>
      <c r="DVN166" s="364"/>
      <c r="DVO166" s="365"/>
      <c r="DVP166" s="354"/>
      <c r="DVQ166" s="465"/>
      <c r="DVR166" s="565"/>
      <c r="DVS166" s="572"/>
      <c r="DVT166" s="572"/>
      <c r="DVU166" s="566"/>
      <c r="DVV166" s="587"/>
      <c r="DVW166" s="587"/>
      <c r="DVX166" s="587"/>
      <c r="DVY166" s="587"/>
      <c r="DVZ166" s="588"/>
      <c r="DWA166" s="589"/>
      <c r="DWB166" s="588"/>
      <c r="DWC166" s="589"/>
      <c r="DWD166" s="588"/>
      <c r="DWE166" s="589"/>
      <c r="DWF166" s="588"/>
      <c r="DWG166" s="589"/>
      <c r="DWH166" s="588"/>
      <c r="DWI166" s="589"/>
      <c r="DWJ166" s="429"/>
      <c r="DWK166" s="364"/>
      <c r="DWL166" s="365"/>
      <c r="DWM166" s="354"/>
      <c r="DWN166" s="465"/>
      <c r="DWO166" s="565"/>
      <c r="DWP166" s="572"/>
      <c r="DWQ166" s="572"/>
      <c r="DWR166" s="566"/>
      <c r="DWS166" s="587"/>
      <c r="DWT166" s="587"/>
      <c r="DWU166" s="587"/>
      <c r="DWV166" s="587"/>
      <c r="DWW166" s="588"/>
      <c r="DWX166" s="589"/>
      <c r="DWY166" s="588"/>
      <c r="DWZ166" s="589"/>
      <c r="DXA166" s="588"/>
      <c r="DXB166" s="589"/>
      <c r="DXC166" s="588"/>
      <c r="DXD166" s="589"/>
      <c r="DXE166" s="588"/>
      <c r="DXF166" s="589"/>
      <c r="DXG166" s="429"/>
      <c r="DXH166" s="364"/>
      <c r="DXI166" s="365"/>
      <c r="DXJ166" s="354"/>
      <c r="DXK166" s="465"/>
      <c r="DXL166" s="565"/>
      <c r="DXM166" s="572"/>
      <c r="DXN166" s="572"/>
      <c r="DXO166" s="566"/>
      <c r="DXP166" s="587"/>
      <c r="DXQ166" s="587"/>
      <c r="DXR166" s="587"/>
      <c r="DXS166" s="587"/>
      <c r="DXT166" s="588"/>
      <c r="DXU166" s="589"/>
      <c r="DXV166" s="588"/>
      <c r="DXW166" s="589"/>
      <c r="DXX166" s="588"/>
      <c r="DXY166" s="589"/>
      <c r="DXZ166" s="588"/>
      <c r="DYA166" s="589"/>
      <c r="DYB166" s="588"/>
      <c r="DYC166" s="589"/>
      <c r="DYD166" s="429"/>
      <c r="DYE166" s="364"/>
      <c r="DYF166" s="365"/>
      <c r="DYG166" s="354"/>
      <c r="DYH166" s="465"/>
      <c r="DYI166" s="565"/>
      <c r="DYJ166" s="572"/>
      <c r="DYK166" s="572"/>
      <c r="DYL166" s="566"/>
      <c r="DYM166" s="587"/>
      <c r="DYN166" s="587"/>
      <c r="DYO166" s="587"/>
      <c r="DYP166" s="587"/>
      <c r="DYQ166" s="588"/>
      <c r="DYR166" s="589"/>
      <c r="DYS166" s="588"/>
      <c r="DYT166" s="589"/>
      <c r="DYU166" s="588"/>
      <c r="DYV166" s="589"/>
      <c r="DYW166" s="588"/>
      <c r="DYX166" s="589"/>
      <c r="DYY166" s="588"/>
      <c r="DYZ166" s="589"/>
      <c r="DZA166" s="429"/>
      <c r="DZB166" s="364"/>
      <c r="DZC166" s="365"/>
      <c r="DZD166" s="354"/>
      <c r="DZE166" s="465"/>
      <c r="DZF166" s="565"/>
      <c r="DZG166" s="572"/>
      <c r="DZH166" s="572"/>
      <c r="DZI166" s="566"/>
      <c r="DZJ166" s="587"/>
      <c r="DZK166" s="587"/>
      <c r="DZL166" s="587"/>
      <c r="DZM166" s="587"/>
      <c r="DZN166" s="588"/>
      <c r="DZO166" s="589"/>
      <c r="DZP166" s="588"/>
      <c r="DZQ166" s="589"/>
      <c r="DZR166" s="588"/>
      <c r="DZS166" s="589"/>
      <c r="DZT166" s="588"/>
      <c r="DZU166" s="589"/>
      <c r="DZV166" s="588"/>
      <c r="DZW166" s="589"/>
      <c r="DZX166" s="429"/>
      <c r="DZY166" s="364"/>
      <c r="DZZ166" s="365"/>
      <c r="EAA166" s="354"/>
      <c r="EAB166" s="465"/>
      <c r="EAC166" s="565"/>
      <c r="EAD166" s="572"/>
      <c r="EAE166" s="572"/>
      <c r="EAF166" s="566"/>
      <c r="EAG166" s="587"/>
      <c r="EAH166" s="587"/>
      <c r="EAI166" s="587"/>
      <c r="EAJ166" s="587"/>
      <c r="EAK166" s="588"/>
      <c r="EAL166" s="589"/>
      <c r="EAM166" s="588"/>
      <c r="EAN166" s="589"/>
      <c r="EAO166" s="588"/>
      <c r="EAP166" s="589"/>
      <c r="EAQ166" s="588"/>
      <c r="EAR166" s="589"/>
      <c r="EAS166" s="588"/>
      <c r="EAT166" s="589"/>
      <c r="EAU166" s="429"/>
      <c r="EAV166" s="364"/>
      <c r="EAW166" s="365"/>
      <c r="EAX166" s="354"/>
      <c r="EAY166" s="465"/>
      <c r="EAZ166" s="565"/>
      <c r="EBA166" s="572"/>
      <c r="EBB166" s="572"/>
      <c r="EBC166" s="566"/>
      <c r="EBD166" s="587"/>
      <c r="EBE166" s="587"/>
      <c r="EBF166" s="587"/>
      <c r="EBG166" s="587"/>
      <c r="EBH166" s="588"/>
      <c r="EBI166" s="589"/>
      <c r="EBJ166" s="588"/>
      <c r="EBK166" s="589"/>
      <c r="EBL166" s="588"/>
      <c r="EBM166" s="589"/>
      <c r="EBN166" s="588"/>
      <c r="EBO166" s="589"/>
      <c r="EBP166" s="588"/>
      <c r="EBQ166" s="589"/>
      <c r="EBR166" s="429"/>
      <c r="EBS166" s="364"/>
      <c r="EBT166" s="365"/>
      <c r="EBU166" s="354"/>
      <c r="EBV166" s="465"/>
      <c r="EBW166" s="565"/>
      <c r="EBX166" s="572"/>
      <c r="EBY166" s="572"/>
      <c r="EBZ166" s="566"/>
      <c r="ECA166" s="587"/>
      <c r="ECB166" s="587"/>
      <c r="ECC166" s="587"/>
      <c r="ECD166" s="587"/>
      <c r="ECE166" s="588"/>
      <c r="ECF166" s="589"/>
      <c r="ECG166" s="588"/>
      <c r="ECH166" s="589"/>
      <c r="ECI166" s="588"/>
      <c r="ECJ166" s="589"/>
      <c r="ECK166" s="588"/>
      <c r="ECL166" s="589"/>
      <c r="ECM166" s="588"/>
      <c r="ECN166" s="589"/>
      <c r="ECO166" s="429"/>
      <c r="ECP166" s="364"/>
      <c r="ECQ166" s="365"/>
      <c r="ECR166" s="354"/>
      <c r="ECS166" s="465"/>
      <c r="ECT166" s="565"/>
      <c r="ECU166" s="572"/>
      <c r="ECV166" s="572"/>
      <c r="ECW166" s="566"/>
      <c r="ECX166" s="587"/>
      <c r="ECY166" s="587"/>
      <c r="ECZ166" s="587"/>
      <c r="EDA166" s="587"/>
      <c r="EDB166" s="588"/>
      <c r="EDC166" s="589"/>
      <c r="EDD166" s="588"/>
      <c r="EDE166" s="589"/>
      <c r="EDF166" s="588"/>
      <c r="EDG166" s="589"/>
      <c r="EDH166" s="588"/>
      <c r="EDI166" s="589"/>
      <c r="EDJ166" s="588"/>
      <c r="EDK166" s="589"/>
      <c r="EDL166" s="429"/>
      <c r="EDM166" s="364"/>
      <c r="EDN166" s="365"/>
      <c r="EDO166" s="354"/>
      <c r="EDP166" s="465"/>
      <c r="EDQ166" s="565"/>
      <c r="EDR166" s="572"/>
      <c r="EDS166" s="572"/>
      <c r="EDT166" s="566"/>
      <c r="EDU166" s="587"/>
      <c r="EDV166" s="587"/>
      <c r="EDW166" s="587"/>
      <c r="EDX166" s="587"/>
      <c r="EDY166" s="588"/>
      <c r="EDZ166" s="589"/>
      <c r="EEA166" s="588"/>
      <c r="EEB166" s="589"/>
      <c r="EEC166" s="588"/>
      <c r="EED166" s="589"/>
      <c r="EEE166" s="588"/>
      <c r="EEF166" s="589"/>
      <c r="EEG166" s="588"/>
      <c r="EEH166" s="589"/>
      <c r="EEI166" s="429"/>
      <c r="EEJ166" s="364"/>
      <c r="EEK166" s="365"/>
      <c r="EEL166" s="354"/>
      <c r="EEM166" s="465"/>
      <c r="EEN166" s="565"/>
      <c r="EEO166" s="572"/>
      <c r="EEP166" s="572"/>
      <c r="EEQ166" s="566"/>
      <c r="EER166" s="587"/>
      <c r="EES166" s="587"/>
      <c r="EET166" s="587"/>
      <c r="EEU166" s="587"/>
      <c r="EEV166" s="588"/>
      <c r="EEW166" s="589"/>
      <c r="EEX166" s="588"/>
      <c r="EEY166" s="589"/>
      <c r="EEZ166" s="588"/>
      <c r="EFA166" s="589"/>
      <c r="EFB166" s="588"/>
      <c r="EFC166" s="589"/>
      <c r="EFD166" s="588"/>
      <c r="EFE166" s="589"/>
      <c r="EFF166" s="429"/>
      <c r="EFG166" s="364"/>
      <c r="EFH166" s="365"/>
      <c r="EFI166" s="354"/>
      <c r="EFJ166" s="465"/>
      <c r="EFK166" s="565"/>
      <c r="EFL166" s="572"/>
      <c r="EFM166" s="572"/>
      <c r="EFN166" s="566"/>
      <c r="EFO166" s="587"/>
      <c r="EFP166" s="587"/>
      <c r="EFQ166" s="587"/>
      <c r="EFR166" s="587"/>
      <c r="EFS166" s="588"/>
      <c r="EFT166" s="589"/>
      <c r="EFU166" s="588"/>
      <c r="EFV166" s="589"/>
      <c r="EFW166" s="588"/>
      <c r="EFX166" s="589"/>
      <c r="EFY166" s="588"/>
      <c r="EFZ166" s="589"/>
      <c r="EGA166" s="588"/>
      <c r="EGB166" s="589"/>
      <c r="EGC166" s="429"/>
      <c r="EGD166" s="364"/>
      <c r="EGE166" s="365"/>
      <c r="EGF166" s="354"/>
      <c r="EGG166" s="465"/>
      <c r="EGH166" s="565"/>
      <c r="EGI166" s="572"/>
      <c r="EGJ166" s="572"/>
      <c r="EGK166" s="566"/>
      <c r="EGL166" s="587"/>
      <c r="EGM166" s="587"/>
      <c r="EGN166" s="587"/>
      <c r="EGO166" s="587"/>
      <c r="EGP166" s="588"/>
      <c r="EGQ166" s="589"/>
      <c r="EGR166" s="588"/>
      <c r="EGS166" s="589"/>
      <c r="EGT166" s="588"/>
      <c r="EGU166" s="589"/>
      <c r="EGV166" s="588"/>
      <c r="EGW166" s="589"/>
      <c r="EGX166" s="588"/>
      <c r="EGY166" s="589"/>
      <c r="EGZ166" s="429"/>
      <c r="EHA166" s="364"/>
      <c r="EHB166" s="365"/>
      <c r="EHC166" s="354"/>
      <c r="EHD166" s="465"/>
      <c r="EHE166" s="565"/>
      <c r="EHF166" s="572"/>
      <c r="EHG166" s="572"/>
      <c r="EHH166" s="566"/>
      <c r="EHI166" s="587"/>
      <c r="EHJ166" s="587"/>
      <c r="EHK166" s="587"/>
      <c r="EHL166" s="587"/>
      <c r="EHM166" s="588"/>
      <c r="EHN166" s="589"/>
      <c r="EHO166" s="588"/>
      <c r="EHP166" s="589"/>
      <c r="EHQ166" s="588"/>
      <c r="EHR166" s="589"/>
      <c r="EHS166" s="588"/>
      <c r="EHT166" s="589"/>
      <c r="EHU166" s="588"/>
      <c r="EHV166" s="589"/>
      <c r="EHW166" s="429"/>
      <c r="EHX166" s="364"/>
      <c r="EHY166" s="365"/>
      <c r="EHZ166" s="354"/>
      <c r="EIA166" s="465"/>
      <c r="EIB166" s="565"/>
      <c r="EIC166" s="572"/>
      <c r="EID166" s="572"/>
      <c r="EIE166" s="566"/>
      <c r="EIF166" s="587"/>
      <c r="EIG166" s="587"/>
      <c r="EIH166" s="587"/>
      <c r="EII166" s="587"/>
      <c r="EIJ166" s="588"/>
      <c r="EIK166" s="589"/>
      <c r="EIL166" s="588"/>
      <c r="EIM166" s="589"/>
      <c r="EIN166" s="588"/>
      <c r="EIO166" s="589"/>
      <c r="EIP166" s="588"/>
      <c r="EIQ166" s="589"/>
      <c r="EIR166" s="588"/>
      <c r="EIS166" s="589"/>
      <c r="EIT166" s="429"/>
      <c r="EIU166" s="364"/>
      <c r="EIV166" s="365"/>
      <c r="EIW166" s="354"/>
      <c r="EIX166" s="465"/>
      <c r="EIY166" s="565"/>
      <c r="EIZ166" s="572"/>
      <c r="EJA166" s="572"/>
      <c r="EJB166" s="566"/>
      <c r="EJC166" s="587"/>
      <c r="EJD166" s="587"/>
      <c r="EJE166" s="587"/>
      <c r="EJF166" s="587"/>
      <c r="EJG166" s="588"/>
      <c r="EJH166" s="589"/>
      <c r="EJI166" s="588"/>
      <c r="EJJ166" s="589"/>
      <c r="EJK166" s="588"/>
      <c r="EJL166" s="589"/>
      <c r="EJM166" s="588"/>
      <c r="EJN166" s="589"/>
      <c r="EJO166" s="588"/>
      <c r="EJP166" s="589"/>
      <c r="EJQ166" s="429"/>
      <c r="EJR166" s="364"/>
      <c r="EJS166" s="365"/>
      <c r="EJT166" s="354"/>
      <c r="EJU166" s="465"/>
      <c r="EJV166" s="565"/>
      <c r="EJW166" s="572"/>
      <c r="EJX166" s="572"/>
      <c r="EJY166" s="566"/>
      <c r="EJZ166" s="587"/>
      <c r="EKA166" s="587"/>
      <c r="EKB166" s="587"/>
      <c r="EKC166" s="587"/>
      <c r="EKD166" s="588"/>
      <c r="EKE166" s="589"/>
      <c r="EKF166" s="588"/>
      <c r="EKG166" s="589"/>
      <c r="EKH166" s="588"/>
      <c r="EKI166" s="589"/>
      <c r="EKJ166" s="588"/>
      <c r="EKK166" s="589"/>
      <c r="EKL166" s="588"/>
      <c r="EKM166" s="589"/>
      <c r="EKN166" s="429"/>
      <c r="EKO166" s="364"/>
      <c r="EKP166" s="365"/>
      <c r="EKQ166" s="354"/>
      <c r="EKR166" s="465"/>
      <c r="EKS166" s="565"/>
      <c r="EKT166" s="572"/>
      <c r="EKU166" s="572"/>
      <c r="EKV166" s="566"/>
      <c r="EKW166" s="587"/>
      <c r="EKX166" s="587"/>
      <c r="EKY166" s="587"/>
      <c r="EKZ166" s="587"/>
      <c r="ELA166" s="588"/>
      <c r="ELB166" s="589"/>
      <c r="ELC166" s="588"/>
      <c r="ELD166" s="589"/>
      <c r="ELE166" s="588"/>
      <c r="ELF166" s="589"/>
      <c r="ELG166" s="588"/>
      <c r="ELH166" s="589"/>
      <c r="ELI166" s="588"/>
      <c r="ELJ166" s="589"/>
      <c r="ELK166" s="429"/>
      <c r="ELL166" s="364"/>
      <c r="ELM166" s="365"/>
      <c r="ELN166" s="354"/>
      <c r="ELO166" s="465"/>
      <c r="ELP166" s="565"/>
      <c r="ELQ166" s="572"/>
      <c r="ELR166" s="572"/>
      <c r="ELS166" s="566"/>
      <c r="ELT166" s="587"/>
      <c r="ELU166" s="587"/>
      <c r="ELV166" s="587"/>
      <c r="ELW166" s="587"/>
      <c r="ELX166" s="588"/>
      <c r="ELY166" s="589"/>
      <c r="ELZ166" s="588"/>
      <c r="EMA166" s="589"/>
      <c r="EMB166" s="588"/>
      <c r="EMC166" s="589"/>
      <c r="EMD166" s="588"/>
      <c r="EME166" s="589"/>
      <c r="EMF166" s="588"/>
      <c r="EMG166" s="589"/>
      <c r="EMH166" s="429"/>
      <c r="EMI166" s="364"/>
      <c r="EMJ166" s="365"/>
      <c r="EMK166" s="354"/>
      <c r="EML166" s="465"/>
      <c r="EMM166" s="565"/>
      <c r="EMN166" s="572"/>
      <c r="EMO166" s="572"/>
      <c r="EMP166" s="566"/>
      <c r="EMQ166" s="587"/>
      <c r="EMR166" s="587"/>
      <c r="EMS166" s="587"/>
      <c r="EMT166" s="587"/>
      <c r="EMU166" s="588"/>
      <c r="EMV166" s="589"/>
      <c r="EMW166" s="588"/>
      <c r="EMX166" s="589"/>
      <c r="EMY166" s="588"/>
      <c r="EMZ166" s="589"/>
      <c r="ENA166" s="588"/>
      <c r="ENB166" s="589"/>
      <c r="ENC166" s="588"/>
      <c r="END166" s="589"/>
      <c r="ENE166" s="429"/>
      <c r="ENF166" s="364"/>
      <c r="ENG166" s="365"/>
      <c r="ENH166" s="354"/>
      <c r="ENI166" s="465"/>
      <c r="ENJ166" s="565"/>
      <c r="ENK166" s="572"/>
      <c r="ENL166" s="572"/>
      <c r="ENM166" s="566"/>
      <c r="ENN166" s="587"/>
      <c r="ENO166" s="587"/>
      <c r="ENP166" s="587"/>
      <c r="ENQ166" s="587"/>
      <c r="ENR166" s="588"/>
      <c r="ENS166" s="589"/>
      <c r="ENT166" s="588"/>
      <c r="ENU166" s="589"/>
      <c r="ENV166" s="588"/>
      <c r="ENW166" s="589"/>
      <c r="ENX166" s="588"/>
      <c r="ENY166" s="589"/>
      <c r="ENZ166" s="588"/>
      <c r="EOA166" s="589"/>
      <c r="EOB166" s="429"/>
      <c r="EOC166" s="364"/>
      <c r="EOD166" s="365"/>
      <c r="EOE166" s="354"/>
      <c r="EOF166" s="465"/>
      <c r="EOG166" s="565"/>
      <c r="EOH166" s="572"/>
      <c r="EOI166" s="572"/>
      <c r="EOJ166" s="566"/>
      <c r="EOK166" s="587"/>
      <c r="EOL166" s="587"/>
      <c r="EOM166" s="587"/>
      <c r="EON166" s="587"/>
      <c r="EOO166" s="588"/>
      <c r="EOP166" s="589"/>
      <c r="EOQ166" s="588"/>
      <c r="EOR166" s="589"/>
      <c r="EOS166" s="588"/>
      <c r="EOT166" s="589"/>
      <c r="EOU166" s="588"/>
      <c r="EOV166" s="589"/>
      <c r="EOW166" s="588"/>
      <c r="EOX166" s="589"/>
      <c r="EOY166" s="429"/>
      <c r="EOZ166" s="364"/>
      <c r="EPA166" s="365"/>
      <c r="EPB166" s="354"/>
      <c r="EPC166" s="465"/>
      <c r="EPD166" s="565"/>
      <c r="EPE166" s="572"/>
      <c r="EPF166" s="572"/>
      <c r="EPG166" s="566"/>
      <c r="EPH166" s="587"/>
      <c r="EPI166" s="587"/>
      <c r="EPJ166" s="587"/>
      <c r="EPK166" s="587"/>
      <c r="EPL166" s="588"/>
      <c r="EPM166" s="589"/>
      <c r="EPN166" s="588"/>
      <c r="EPO166" s="589"/>
      <c r="EPP166" s="588"/>
      <c r="EPQ166" s="589"/>
      <c r="EPR166" s="588"/>
      <c r="EPS166" s="589"/>
      <c r="EPT166" s="588"/>
      <c r="EPU166" s="589"/>
      <c r="EPV166" s="429"/>
      <c r="EPW166" s="364"/>
      <c r="EPX166" s="365"/>
      <c r="EPY166" s="354"/>
      <c r="EPZ166" s="465"/>
      <c r="EQA166" s="565"/>
      <c r="EQB166" s="572"/>
      <c r="EQC166" s="572"/>
      <c r="EQD166" s="566"/>
      <c r="EQE166" s="587"/>
      <c r="EQF166" s="587"/>
      <c r="EQG166" s="587"/>
      <c r="EQH166" s="587"/>
      <c r="EQI166" s="588"/>
      <c r="EQJ166" s="589"/>
      <c r="EQK166" s="588"/>
      <c r="EQL166" s="589"/>
      <c r="EQM166" s="588"/>
      <c r="EQN166" s="589"/>
      <c r="EQO166" s="588"/>
      <c r="EQP166" s="589"/>
      <c r="EQQ166" s="588"/>
      <c r="EQR166" s="589"/>
      <c r="EQS166" s="429"/>
      <c r="EQT166" s="364"/>
      <c r="EQU166" s="365"/>
      <c r="EQV166" s="354"/>
      <c r="EQW166" s="465"/>
      <c r="EQX166" s="565"/>
      <c r="EQY166" s="572"/>
      <c r="EQZ166" s="572"/>
      <c r="ERA166" s="566"/>
      <c r="ERB166" s="587"/>
      <c r="ERC166" s="587"/>
      <c r="ERD166" s="587"/>
      <c r="ERE166" s="587"/>
      <c r="ERF166" s="588"/>
      <c r="ERG166" s="589"/>
      <c r="ERH166" s="588"/>
      <c r="ERI166" s="589"/>
      <c r="ERJ166" s="588"/>
      <c r="ERK166" s="589"/>
      <c r="ERL166" s="588"/>
      <c r="ERM166" s="589"/>
      <c r="ERN166" s="588"/>
      <c r="ERO166" s="589"/>
      <c r="ERP166" s="429"/>
      <c r="ERQ166" s="364"/>
      <c r="ERR166" s="365"/>
      <c r="ERS166" s="354"/>
      <c r="ERT166" s="465"/>
      <c r="ERU166" s="565"/>
      <c r="ERV166" s="572"/>
      <c r="ERW166" s="572"/>
      <c r="ERX166" s="566"/>
      <c r="ERY166" s="587"/>
      <c r="ERZ166" s="587"/>
      <c r="ESA166" s="587"/>
      <c r="ESB166" s="587"/>
      <c r="ESC166" s="588"/>
      <c r="ESD166" s="589"/>
      <c r="ESE166" s="588"/>
      <c r="ESF166" s="589"/>
      <c r="ESG166" s="588"/>
      <c r="ESH166" s="589"/>
      <c r="ESI166" s="588"/>
      <c r="ESJ166" s="589"/>
      <c r="ESK166" s="588"/>
      <c r="ESL166" s="589"/>
      <c r="ESM166" s="429"/>
      <c r="ESN166" s="364"/>
      <c r="ESO166" s="365"/>
      <c r="ESP166" s="354"/>
      <c r="ESQ166" s="465"/>
      <c r="ESR166" s="565"/>
      <c r="ESS166" s="572"/>
      <c r="EST166" s="572"/>
      <c r="ESU166" s="566"/>
      <c r="ESV166" s="587"/>
      <c r="ESW166" s="587"/>
      <c r="ESX166" s="587"/>
      <c r="ESY166" s="587"/>
      <c r="ESZ166" s="588"/>
      <c r="ETA166" s="589"/>
      <c r="ETB166" s="588"/>
      <c r="ETC166" s="589"/>
      <c r="ETD166" s="588"/>
      <c r="ETE166" s="589"/>
      <c r="ETF166" s="588"/>
      <c r="ETG166" s="589"/>
      <c r="ETH166" s="588"/>
      <c r="ETI166" s="589"/>
      <c r="ETJ166" s="429"/>
      <c r="ETK166" s="364"/>
      <c r="ETL166" s="365"/>
      <c r="ETM166" s="354"/>
      <c r="ETN166" s="465"/>
      <c r="ETO166" s="565"/>
      <c r="ETP166" s="572"/>
      <c r="ETQ166" s="572"/>
      <c r="ETR166" s="566"/>
      <c r="ETS166" s="587"/>
      <c r="ETT166" s="587"/>
      <c r="ETU166" s="587"/>
      <c r="ETV166" s="587"/>
      <c r="ETW166" s="588"/>
      <c r="ETX166" s="589"/>
      <c r="ETY166" s="588"/>
      <c r="ETZ166" s="589"/>
      <c r="EUA166" s="588"/>
      <c r="EUB166" s="589"/>
      <c r="EUC166" s="588"/>
      <c r="EUD166" s="589"/>
      <c r="EUE166" s="588"/>
      <c r="EUF166" s="589"/>
      <c r="EUG166" s="429"/>
      <c r="EUH166" s="364"/>
      <c r="EUI166" s="365"/>
      <c r="EUJ166" s="354"/>
      <c r="EUK166" s="465"/>
      <c r="EUL166" s="565"/>
      <c r="EUM166" s="572"/>
      <c r="EUN166" s="572"/>
      <c r="EUO166" s="566"/>
      <c r="EUP166" s="587"/>
      <c r="EUQ166" s="587"/>
      <c r="EUR166" s="587"/>
      <c r="EUS166" s="587"/>
      <c r="EUT166" s="588"/>
      <c r="EUU166" s="589"/>
      <c r="EUV166" s="588"/>
      <c r="EUW166" s="589"/>
      <c r="EUX166" s="588"/>
      <c r="EUY166" s="589"/>
      <c r="EUZ166" s="588"/>
      <c r="EVA166" s="589"/>
      <c r="EVB166" s="588"/>
      <c r="EVC166" s="589"/>
      <c r="EVD166" s="429"/>
      <c r="EVE166" s="364"/>
      <c r="EVF166" s="365"/>
      <c r="EVG166" s="354"/>
      <c r="EVH166" s="465"/>
      <c r="EVI166" s="565"/>
      <c r="EVJ166" s="572"/>
      <c r="EVK166" s="572"/>
      <c r="EVL166" s="566"/>
      <c r="EVM166" s="587"/>
      <c r="EVN166" s="587"/>
      <c r="EVO166" s="587"/>
      <c r="EVP166" s="587"/>
      <c r="EVQ166" s="588"/>
      <c r="EVR166" s="589"/>
      <c r="EVS166" s="588"/>
      <c r="EVT166" s="589"/>
      <c r="EVU166" s="588"/>
      <c r="EVV166" s="589"/>
      <c r="EVW166" s="588"/>
      <c r="EVX166" s="589"/>
      <c r="EVY166" s="588"/>
      <c r="EVZ166" s="589"/>
      <c r="EWA166" s="429"/>
      <c r="EWB166" s="364"/>
      <c r="EWC166" s="365"/>
      <c r="EWD166" s="354"/>
      <c r="EWE166" s="465"/>
      <c r="EWF166" s="565"/>
      <c r="EWG166" s="572"/>
      <c r="EWH166" s="572"/>
      <c r="EWI166" s="566"/>
      <c r="EWJ166" s="587"/>
      <c r="EWK166" s="587"/>
      <c r="EWL166" s="587"/>
      <c r="EWM166" s="587"/>
      <c r="EWN166" s="588"/>
      <c r="EWO166" s="589"/>
      <c r="EWP166" s="588"/>
      <c r="EWQ166" s="589"/>
      <c r="EWR166" s="588"/>
      <c r="EWS166" s="589"/>
      <c r="EWT166" s="588"/>
      <c r="EWU166" s="589"/>
      <c r="EWV166" s="588"/>
      <c r="EWW166" s="589"/>
      <c r="EWX166" s="429"/>
      <c r="EWY166" s="364"/>
      <c r="EWZ166" s="365"/>
      <c r="EXA166" s="354"/>
      <c r="EXB166" s="465"/>
      <c r="EXC166" s="565"/>
      <c r="EXD166" s="572"/>
      <c r="EXE166" s="572"/>
      <c r="EXF166" s="566"/>
      <c r="EXG166" s="587"/>
      <c r="EXH166" s="587"/>
      <c r="EXI166" s="587"/>
      <c r="EXJ166" s="587"/>
      <c r="EXK166" s="588"/>
      <c r="EXL166" s="589"/>
      <c r="EXM166" s="588"/>
      <c r="EXN166" s="589"/>
      <c r="EXO166" s="588"/>
      <c r="EXP166" s="589"/>
      <c r="EXQ166" s="588"/>
      <c r="EXR166" s="589"/>
      <c r="EXS166" s="588"/>
      <c r="EXT166" s="589"/>
      <c r="EXU166" s="429"/>
      <c r="EXV166" s="364"/>
      <c r="EXW166" s="365"/>
      <c r="EXX166" s="354"/>
      <c r="EXY166" s="465"/>
      <c r="EXZ166" s="565"/>
      <c r="EYA166" s="572"/>
      <c r="EYB166" s="572"/>
      <c r="EYC166" s="566"/>
      <c r="EYD166" s="587"/>
      <c r="EYE166" s="587"/>
      <c r="EYF166" s="587"/>
      <c r="EYG166" s="587"/>
      <c r="EYH166" s="588"/>
      <c r="EYI166" s="589"/>
      <c r="EYJ166" s="588"/>
      <c r="EYK166" s="589"/>
      <c r="EYL166" s="588"/>
      <c r="EYM166" s="589"/>
      <c r="EYN166" s="588"/>
      <c r="EYO166" s="589"/>
      <c r="EYP166" s="588"/>
      <c r="EYQ166" s="589"/>
      <c r="EYR166" s="429"/>
      <c r="EYS166" s="364"/>
      <c r="EYT166" s="365"/>
      <c r="EYU166" s="354"/>
      <c r="EYV166" s="465"/>
      <c r="EYW166" s="565"/>
      <c r="EYX166" s="572"/>
      <c r="EYY166" s="572"/>
      <c r="EYZ166" s="566"/>
      <c r="EZA166" s="587"/>
      <c r="EZB166" s="587"/>
      <c r="EZC166" s="587"/>
      <c r="EZD166" s="587"/>
      <c r="EZE166" s="588"/>
      <c r="EZF166" s="589"/>
      <c r="EZG166" s="588"/>
      <c r="EZH166" s="589"/>
      <c r="EZI166" s="588"/>
      <c r="EZJ166" s="589"/>
      <c r="EZK166" s="588"/>
      <c r="EZL166" s="589"/>
      <c r="EZM166" s="588"/>
      <c r="EZN166" s="589"/>
      <c r="EZO166" s="429"/>
      <c r="EZP166" s="364"/>
      <c r="EZQ166" s="365"/>
      <c r="EZR166" s="354"/>
      <c r="EZS166" s="465"/>
      <c r="EZT166" s="565"/>
      <c r="EZU166" s="572"/>
      <c r="EZV166" s="572"/>
      <c r="EZW166" s="566"/>
      <c r="EZX166" s="587"/>
      <c r="EZY166" s="587"/>
      <c r="EZZ166" s="587"/>
      <c r="FAA166" s="587"/>
      <c r="FAB166" s="588"/>
      <c r="FAC166" s="589"/>
      <c r="FAD166" s="588"/>
      <c r="FAE166" s="589"/>
      <c r="FAF166" s="588"/>
      <c r="FAG166" s="589"/>
      <c r="FAH166" s="588"/>
      <c r="FAI166" s="589"/>
      <c r="FAJ166" s="588"/>
      <c r="FAK166" s="589"/>
      <c r="FAL166" s="429"/>
      <c r="FAM166" s="364"/>
      <c r="FAN166" s="365"/>
      <c r="FAO166" s="354"/>
      <c r="FAP166" s="465"/>
      <c r="FAQ166" s="565"/>
      <c r="FAR166" s="572"/>
      <c r="FAS166" s="572"/>
      <c r="FAT166" s="566"/>
      <c r="FAU166" s="587"/>
      <c r="FAV166" s="587"/>
      <c r="FAW166" s="587"/>
      <c r="FAX166" s="587"/>
      <c r="FAY166" s="588"/>
      <c r="FAZ166" s="589"/>
      <c r="FBA166" s="588"/>
      <c r="FBB166" s="589"/>
      <c r="FBC166" s="588"/>
      <c r="FBD166" s="589"/>
      <c r="FBE166" s="588"/>
      <c r="FBF166" s="589"/>
      <c r="FBG166" s="588"/>
      <c r="FBH166" s="589"/>
      <c r="FBI166" s="429"/>
      <c r="FBJ166" s="364"/>
      <c r="FBK166" s="365"/>
      <c r="FBL166" s="354"/>
      <c r="FBM166" s="465"/>
      <c r="FBN166" s="565"/>
      <c r="FBO166" s="572"/>
      <c r="FBP166" s="572"/>
      <c r="FBQ166" s="566"/>
      <c r="FBR166" s="587"/>
      <c r="FBS166" s="587"/>
      <c r="FBT166" s="587"/>
      <c r="FBU166" s="587"/>
      <c r="FBV166" s="588"/>
      <c r="FBW166" s="589"/>
      <c r="FBX166" s="588"/>
      <c r="FBY166" s="589"/>
      <c r="FBZ166" s="588"/>
      <c r="FCA166" s="589"/>
      <c r="FCB166" s="588"/>
      <c r="FCC166" s="589"/>
      <c r="FCD166" s="588"/>
      <c r="FCE166" s="589"/>
      <c r="FCF166" s="429"/>
      <c r="FCG166" s="364"/>
      <c r="FCH166" s="365"/>
      <c r="FCI166" s="354"/>
      <c r="FCJ166" s="465"/>
      <c r="FCK166" s="565"/>
      <c r="FCL166" s="572"/>
      <c r="FCM166" s="572"/>
      <c r="FCN166" s="566"/>
      <c r="FCO166" s="587"/>
      <c r="FCP166" s="587"/>
      <c r="FCQ166" s="587"/>
      <c r="FCR166" s="587"/>
      <c r="FCS166" s="588"/>
      <c r="FCT166" s="589"/>
      <c r="FCU166" s="588"/>
      <c r="FCV166" s="589"/>
      <c r="FCW166" s="588"/>
      <c r="FCX166" s="589"/>
      <c r="FCY166" s="588"/>
      <c r="FCZ166" s="589"/>
      <c r="FDA166" s="588"/>
      <c r="FDB166" s="589"/>
      <c r="FDC166" s="429"/>
      <c r="FDD166" s="364"/>
      <c r="FDE166" s="365"/>
      <c r="FDF166" s="354"/>
      <c r="FDG166" s="465"/>
      <c r="FDH166" s="565"/>
      <c r="FDI166" s="572"/>
      <c r="FDJ166" s="572"/>
      <c r="FDK166" s="566"/>
      <c r="FDL166" s="587"/>
      <c r="FDM166" s="587"/>
      <c r="FDN166" s="587"/>
      <c r="FDO166" s="587"/>
      <c r="FDP166" s="588"/>
      <c r="FDQ166" s="589"/>
      <c r="FDR166" s="588"/>
      <c r="FDS166" s="589"/>
      <c r="FDT166" s="588"/>
      <c r="FDU166" s="589"/>
      <c r="FDV166" s="588"/>
      <c r="FDW166" s="589"/>
      <c r="FDX166" s="588"/>
      <c r="FDY166" s="589"/>
      <c r="FDZ166" s="429"/>
      <c r="FEA166" s="364"/>
      <c r="FEB166" s="365"/>
      <c r="FEC166" s="354"/>
      <c r="FED166" s="465"/>
      <c r="FEE166" s="565"/>
      <c r="FEF166" s="572"/>
      <c r="FEG166" s="572"/>
      <c r="FEH166" s="566"/>
      <c r="FEI166" s="587"/>
      <c r="FEJ166" s="587"/>
      <c r="FEK166" s="587"/>
      <c r="FEL166" s="587"/>
      <c r="FEM166" s="588"/>
      <c r="FEN166" s="589"/>
      <c r="FEO166" s="588"/>
      <c r="FEP166" s="589"/>
      <c r="FEQ166" s="588"/>
      <c r="FER166" s="589"/>
      <c r="FES166" s="588"/>
      <c r="FET166" s="589"/>
      <c r="FEU166" s="588"/>
      <c r="FEV166" s="589"/>
      <c r="FEW166" s="429"/>
      <c r="FEX166" s="364"/>
      <c r="FEY166" s="365"/>
      <c r="FEZ166" s="354"/>
      <c r="FFA166" s="465"/>
      <c r="FFB166" s="565"/>
      <c r="FFC166" s="572"/>
      <c r="FFD166" s="572"/>
      <c r="FFE166" s="566"/>
      <c r="FFF166" s="587"/>
      <c r="FFG166" s="587"/>
      <c r="FFH166" s="587"/>
      <c r="FFI166" s="587"/>
      <c r="FFJ166" s="588"/>
      <c r="FFK166" s="589"/>
      <c r="FFL166" s="588"/>
      <c r="FFM166" s="589"/>
      <c r="FFN166" s="588"/>
      <c r="FFO166" s="589"/>
      <c r="FFP166" s="588"/>
      <c r="FFQ166" s="589"/>
      <c r="FFR166" s="588"/>
      <c r="FFS166" s="589"/>
      <c r="FFT166" s="429"/>
      <c r="FFU166" s="364"/>
      <c r="FFV166" s="365"/>
      <c r="FFW166" s="354"/>
      <c r="FFX166" s="465"/>
      <c r="FFY166" s="565"/>
      <c r="FFZ166" s="572"/>
      <c r="FGA166" s="572"/>
      <c r="FGB166" s="566"/>
      <c r="FGC166" s="587"/>
      <c r="FGD166" s="587"/>
      <c r="FGE166" s="587"/>
      <c r="FGF166" s="587"/>
      <c r="FGG166" s="588"/>
      <c r="FGH166" s="589"/>
      <c r="FGI166" s="588"/>
      <c r="FGJ166" s="589"/>
      <c r="FGK166" s="588"/>
      <c r="FGL166" s="589"/>
      <c r="FGM166" s="588"/>
      <c r="FGN166" s="589"/>
      <c r="FGO166" s="588"/>
      <c r="FGP166" s="589"/>
      <c r="FGQ166" s="429"/>
      <c r="FGR166" s="364"/>
      <c r="FGS166" s="365"/>
      <c r="FGT166" s="354"/>
      <c r="FGU166" s="465"/>
      <c r="FGV166" s="565"/>
      <c r="FGW166" s="572"/>
      <c r="FGX166" s="572"/>
      <c r="FGY166" s="566"/>
      <c r="FGZ166" s="587"/>
      <c r="FHA166" s="587"/>
      <c r="FHB166" s="587"/>
      <c r="FHC166" s="587"/>
      <c r="FHD166" s="588"/>
      <c r="FHE166" s="589"/>
      <c r="FHF166" s="588"/>
      <c r="FHG166" s="589"/>
      <c r="FHH166" s="588"/>
      <c r="FHI166" s="589"/>
      <c r="FHJ166" s="588"/>
      <c r="FHK166" s="589"/>
      <c r="FHL166" s="588"/>
      <c r="FHM166" s="589"/>
      <c r="FHN166" s="429"/>
      <c r="FHO166" s="364"/>
      <c r="FHP166" s="365"/>
      <c r="FHQ166" s="354"/>
      <c r="FHR166" s="465"/>
      <c r="FHS166" s="565"/>
      <c r="FHT166" s="572"/>
      <c r="FHU166" s="572"/>
      <c r="FHV166" s="566"/>
      <c r="FHW166" s="587"/>
      <c r="FHX166" s="587"/>
      <c r="FHY166" s="587"/>
      <c r="FHZ166" s="587"/>
      <c r="FIA166" s="588"/>
      <c r="FIB166" s="589"/>
      <c r="FIC166" s="588"/>
      <c r="FID166" s="589"/>
      <c r="FIE166" s="588"/>
      <c r="FIF166" s="589"/>
      <c r="FIG166" s="588"/>
      <c r="FIH166" s="589"/>
      <c r="FII166" s="588"/>
      <c r="FIJ166" s="589"/>
      <c r="FIK166" s="429"/>
      <c r="FIL166" s="364"/>
      <c r="FIM166" s="365"/>
      <c r="FIN166" s="354"/>
      <c r="FIO166" s="465"/>
      <c r="FIP166" s="565"/>
      <c r="FIQ166" s="572"/>
      <c r="FIR166" s="572"/>
      <c r="FIS166" s="566"/>
      <c r="FIT166" s="587"/>
      <c r="FIU166" s="587"/>
      <c r="FIV166" s="587"/>
      <c r="FIW166" s="587"/>
      <c r="FIX166" s="588"/>
      <c r="FIY166" s="589"/>
      <c r="FIZ166" s="588"/>
      <c r="FJA166" s="589"/>
      <c r="FJB166" s="588"/>
      <c r="FJC166" s="589"/>
      <c r="FJD166" s="588"/>
      <c r="FJE166" s="589"/>
      <c r="FJF166" s="588"/>
      <c r="FJG166" s="589"/>
      <c r="FJH166" s="429"/>
      <c r="FJI166" s="364"/>
      <c r="FJJ166" s="365"/>
      <c r="FJK166" s="354"/>
      <c r="FJL166" s="465"/>
      <c r="FJM166" s="565"/>
      <c r="FJN166" s="572"/>
      <c r="FJO166" s="572"/>
      <c r="FJP166" s="566"/>
      <c r="FJQ166" s="587"/>
      <c r="FJR166" s="587"/>
      <c r="FJS166" s="587"/>
      <c r="FJT166" s="587"/>
      <c r="FJU166" s="588"/>
      <c r="FJV166" s="589"/>
      <c r="FJW166" s="588"/>
      <c r="FJX166" s="589"/>
      <c r="FJY166" s="588"/>
      <c r="FJZ166" s="589"/>
      <c r="FKA166" s="588"/>
      <c r="FKB166" s="589"/>
      <c r="FKC166" s="588"/>
      <c r="FKD166" s="589"/>
      <c r="FKE166" s="429"/>
      <c r="FKF166" s="364"/>
      <c r="FKG166" s="365"/>
      <c r="FKH166" s="354"/>
      <c r="FKI166" s="465"/>
      <c r="FKJ166" s="565"/>
      <c r="FKK166" s="572"/>
      <c r="FKL166" s="572"/>
      <c r="FKM166" s="566"/>
      <c r="FKN166" s="587"/>
      <c r="FKO166" s="587"/>
      <c r="FKP166" s="587"/>
      <c r="FKQ166" s="587"/>
      <c r="FKR166" s="588"/>
      <c r="FKS166" s="589"/>
      <c r="FKT166" s="588"/>
      <c r="FKU166" s="589"/>
      <c r="FKV166" s="588"/>
      <c r="FKW166" s="589"/>
      <c r="FKX166" s="588"/>
      <c r="FKY166" s="589"/>
      <c r="FKZ166" s="588"/>
      <c r="FLA166" s="589"/>
      <c r="FLB166" s="429"/>
      <c r="FLC166" s="364"/>
      <c r="FLD166" s="365"/>
      <c r="FLE166" s="354"/>
      <c r="FLF166" s="465"/>
      <c r="FLG166" s="565"/>
      <c r="FLH166" s="572"/>
      <c r="FLI166" s="572"/>
      <c r="FLJ166" s="566"/>
      <c r="FLK166" s="587"/>
      <c r="FLL166" s="587"/>
      <c r="FLM166" s="587"/>
      <c r="FLN166" s="587"/>
      <c r="FLO166" s="588"/>
      <c r="FLP166" s="589"/>
      <c r="FLQ166" s="588"/>
      <c r="FLR166" s="589"/>
      <c r="FLS166" s="588"/>
      <c r="FLT166" s="589"/>
      <c r="FLU166" s="588"/>
      <c r="FLV166" s="589"/>
      <c r="FLW166" s="588"/>
      <c r="FLX166" s="589"/>
      <c r="FLY166" s="429"/>
      <c r="FLZ166" s="364"/>
      <c r="FMA166" s="365"/>
      <c r="FMB166" s="354"/>
      <c r="FMC166" s="465"/>
      <c r="FMD166" s="565"/>
      <c r="FME166" s="572"/>
      <c r="FMF166" s="572"/>
      <c r="FMG166" s="566"/>
      <c r="FMH166" s="587"/>
      <c r="FMI166" s="587"/>
      <c r="FMJ166" s="587"/>
      <c r="FMK166" s="587"/>
      <c r="FML166" s="588"/>
      <c r="FMM166" s="589"/>
      <c r="FMN166" s="588"/>
      <c r="FMO166" s="589"/>
      <c r="FMP166" s="588"/>
      <c r="FMQ166" s="589"/>
      <c r="FMR166" s="588"/>
      <c r="FMS166" s="589"/>
      <c r="FMT166" s="588"/>
      <c r="FMU166" s="589"/>
      <c r="FMV166" s="429"/>
      <c r="FMW166" s="364"/>
      <c r="FMX166" s="365"/>
      <c r="FMY166" s="354"/>
      <c r="FMZ166" s="465"/>
      <c r="FNA166" s="565"/>
      <c r="FNB166" s="572"/>
      <c r="FNC166" s="572"/>
      <c r="FND166" s="566"/>
      <c r="FNE166" s="587"/>
      <c r="FNF166" s="587"/>
      <c r="FNG166" s="587"/>
      <c r="FNH166" s="587"/>
      <c r="FNI166" s="588"/>
      <c r="FNJ166" s="589"/>
      <c r="FNK166" s="588"/>
      <c r="FNL166" s="589"/>
      <c r="FNM166" s="588"/>
      <c r="FNN166" s="589"/>
      <c r="FNO166" s="588"/>
      <c r="FNP166" s="589"/>
      <c r="FNQ166" s="588"/>
      <c r="FNR166" s="589"/>
      <c r="FNS166" s="429"/>
      <c r="FNT166" s="364"/>
      <c r="FNU166" s="365"/>
      <c r="FNV166" s="354"/>
      <c r="FNW166" s="465"/>
      <c r="FNX166" s="565"/>
      <c r="FNY166" s="572"/>
      <c r="FNZ166" s="572"/>
      <c r="FOA166" s="566"/>
      <c r="FOB166" s="587"/>
      <c r="FOC166" s="587"/>
      <c r="FOD166" s="587"/>
      <c r="FOE166" s="587"/>
      <c r="FOF166" s="588"/>
      <c r="FOG166" s="589"/>
      <c r="FOH166" s="588"/>
      <c r="FOI166" s="589"/>
      <c r="FOJ166" s="588"/>
      <c r="FOK166" s="589"/>
      <c r="FOL166" s="588"/>
      <c r="FOM166" s="589"/>
      <c r="FON166" s="588"/>
      <c r="FOO166" s="589"/>
      <c r="FOP166" s="429"/>
      <c r="FOQ166" s="364"/>
      <c r="FOR166" s="365"/>
      <c r="FOS166" s="354"/>
      <c r="FOT166" s="465"/>
      <c r="FOU166" s="565"/>
      <c r="FOV166" s="572"/>
      <c r="FOW166" s="572"/>
      <c r="FOX166" s="566"/>
      <c r="FOY166" s="587"/>
      <c r="FOZ166" s="587"/>
      <c r="FPA166" s="587"/>
      <c r="FPB166" s="587"/>
      <c r="FPC166" s="588"/>
      <c r="FPD166" s="589"/>
      <c r="FPE166" s="588"/>
      <c r="FPF166" s="589"/>
      <c r="FPG166" s="588"/>
      <c r="FPH166" s="589"/>
      <c r="FPI166" s="588"/>
      <c r="FPJ166" s="589"/>
      <c r="FPK166" s="588"/>
      <c r="FPL166" s="589"/>
      <c r="FPM166" s="429"/>
      <c r="FPN166" s="364"/>
      <c r="FPO166" s="365"/>
      <c r="FPP166" s="354"/>
      <c r="FPQ166" s="465"/>
      <c r="FPR166" s="565"/>
      <c r="FPS166" s="572"/>
      <c r="FPT166" s="572"/>
      <c r="FPU166" s="566"/>
      <c r="FPV166" s="587"/>
      <c r="FPW166" s="587"/>
      <c r="FPX166" s="587"/>
      <c r="FPY166" s="587"/>
      <c r="FPZ166" s="588"/>
      <c r="FQA166" s="589"/>
      <c r="FQB166" s="588"/>
      <c r="FQC166" s="589"/>
      <c r="FQD166" s="588"/>
      <c r="FQE166" s="589"/>
      <c r="FQF166" s="588"/>
      <c r="FQG166" s="589"/>
      <c r="FQH166" s="588"/>
      <c r="FQI166" s="589"/>
      <c r="FQJ166" s="429"/>
      <c r="FQK166" s="364"/>
      <c r="FQL166" s="365"/>
      <c r="FQM166" s="354"/>
      <c r="FQN166" s="465"/>
      <c r="FQO166" s="565"/>
      <c r="FQP166" s="572"/>
      <c r="FQQ166" s="572"/>
      <c r="FQR166" s="566"/>
      <c r="FQS166" s="587"/>
      <c r="FQT166" s="587"/>
      <c r="FQU166" s="587"/>
      <c r="FQV166" s="587"/>
      <c r="FQW166" s="588"/>
      <c r="FQX166" s="589"/>
      <c r="FQY166" s="588"/>
      <c r="FQZ166" s="589"/>
      <c r="FRA166" s="588"/>
      <c r="FRB166" s="589"/>
      <c r="FRC166" s="588"/>
      <c r="FRD166" s="589"/>
      <c r="FRE166" s="588"/>
      <c r="FRF166" s="589"/>
      <c r="FRG166" s="429"/>
      <c r="FRH166" s="364"/>
      <c r="FRI166" s="365"/>
      <c r="FRJ166" s="354"/>
      <c r="FRK166" s="465"/>
      <c r="FRL166" s="565"/>
      <c r="FRM166" s="572"/>
      <c r="FRN166" s="572"/>
      <c r="FRO166" s="566"/>
      <c r="FRP166" s="587"/>
      <c r="FRQ166" s="587"/>
      <c r="FRR166" s="587"/>
      <c r="FRS166" s="587"/>
      <c r="FRT166" s="588"/>
      <c r="FRU166" s="589"/>
      <c r="FRV166" s="588"/>
      <c r="FRW166" s="589"/>
      <c r="FRX166" s="588"/>
      <c r="FRY166" s="589"/>
      <c r="FRZ166" s="588"/>
      <c r="FSA166" s="589"/>
      <c r="FSB166" s="588"/>
      <c r="FSC166" s="589"/>
      <c r="FSD166" s="429"/>
      <c r="FSE166" s="364"/>
      <c r="FSF166" s="365"/>
      <c r="FSG166" s="354"/>
      <c r="FSH166" s="465"/>
      <c r="FSI166" s="565"/>
      <c r="FSJ166" s="572"/>
      <c r="FSK166" s="572"/>
      <c r="FSL166" s="566"/>
      <c r="FSM166" s="587"/>
      <c r="FSN166" s="587"/>
      <c r="FSO166" s="587"/>
      <c r="FSP166" s="587"/>
      <c r="FSQ166" s="588"/>
      <c r="FSR166" s="589"/>
      <c r="FSS166" s="588"/>
      <c r="FST166" s="589"/>
      <c r="FSU166" s="588"/>
      <c r="FSV166" s="589"/>
      <c r="FSW166" s="588"/>
      <c r="FSX166" s="589"/>
      <c r="FSY166" s="588"/>
      <c r="FSZ166" s="589"/>
      <c r="FTA166" s="429"/>
      <c r="FTB166" s="364"/>
      <c r="FTC166" s="365"/>
      <c r="FTD166" s="354"/>
      <c r="FTE166" s="465"/>
      <c r="FTF166" s="565"/>
      <c r="FTG166" s="572"/>
      <c r="FTH166" s="572"/>
      <c r="FTI166" s="566"/>
      <c r="FTJ166" s="587"/>
      <c r="FTK166" s="587"/>
      <c r="FTL166" s="587"/>
      <c r="FTM166" s="587"/>
      <c r="FTN166" s="588"/>
      <c r="FTO166" s="589"/>
      <c r="FTP166" s="588"/>
      <c r="FTQ166" s="589"/>
      <c r="FTR166" s="588"/>
      <c r="FTS166" s="589"/>
      <c r="FTT166" s="588"/>
      <c r="FTU166" s="589"/>
      <c r="FTV166" s="588"/>
      <c r="FTW166" s="589"/>
      <c r="FTX166" s="429"/>
      <c r="FTY166" s="364"/>
      <c r="FTZ166" s="365"/>
      <c r="FUA166" s="354"/>
      <c r="FUB166" s="465"/>
      <c r="FUC166" s="565"/>
      <c r="FUD166" s="572"/>
      <c r="FUE166" s="572"/>
      <c r="FUF166" s="566"/>
      <c r="FUG166" s="587"/>
      <c r="FUH166" s="587"/>
      <c r="FUI166" s="587"/>
      <c r="FUJ166" s="587"/>
      <c r="FUK166" s="588"/>
      <c r="FUL166" s="589"/>
      <c r="FUM166" s="588"/>
      <c r="FUN166" s="589"/>
      <c r="FUO166" s="588"/>
      <c r="FUP166" s="589"/>
      <c r="FUQ166" s="588"/>
      <c r="FUR166" s="589"/>
      <c r="FUS166" s="588"/>
      <c r="FUT166" s="589"/>
      <c r="FUU166" s="429"/>
      <c r="FUV166" s="364"/>
      <c r="FUW166" s="365"/>
      <c r="FUX166" s="354"/>
      <c r="FUY166" s="465"/>
      <c r="FUZ166" s="565"/>
      <c r="FVA166" s="572"/>
      <c r="FVB166" s="572"/>
      <c r="FVC166" s="566"/>
      <c r="FVD166" s="587"/>
      <c r="FVE166" s="587"/>
      <c r="FVF166" s="587"/>
      <c r="FVG166" s="587"/>
      <c r="FVH166" s="588"/>
      <c r="FVI166" s="589"/>
      <c r="FVJ166" s="588"/>
      <c r="FVK166" s="589"/>
      <c r="FVL166" s="588"/>
      <c r="FVM166" s="589"/>
      <c r="FVN166" s="588"/>
      <c r="FVO166" s="589"/>
      <c r="FVP166" s="588"/>
      <c r="FVQ166" s="589"/>
      <c r="FVR166" s="429"/>
      <c r="FVS166" s="364"/>
      <c r="FVT166" s="365"/>
      <c r="FVU166" s="354"/>
      <c r="FVV166" s="465"/>
      <c r="FVW166" s="565"/>
      <c r="FVX166" s="572"/>
      <c r="FVY166" s="572"/>
      <c r="FVZ166" s="566"/>
      <c r="FWA166" s="587"/>
      <c r="FWB166" s="587"/>
      <c r="FWC166" s="587"/>
      <c r="FWD166" s="587"/>
      <c r="FWE166" s="588"/>
      <c r="FWF166" s="589"/>
      <c r="FWG166" s="588"/>
      <c r="FWH166" s="589"/>
      <c r="FWI166" s="588"/>
      <c r="FWJ166" s="589"/>
      <c r="FWK166" s="588"/>
      <c r="FWL166" s="589"/>
      <c r="FWM166" s="588"/>
      <c r="FWN166" s="589"/>
      <c r="FWO166" s="429"/>
      <c r="FWP166" s="364"/>
      <c r="FWQ166" s="365"/>
      <c r="FWR166" s="354"/>
      <c r="FWS166" s="465"/>
      <c r="FWT166" s="565"/>
      <c r="FWU166" s="572"/>
      <c r="FWV166" s="572"/>
      <c r="FWW166" s="566"/>
      <c r="FWX166" s="587"/>
      <c r="FWY166" s="587"/>
      <c r="FWZ166" s="587"/>
      <c r="FXA166" s="587"/>
      <c r="FXB166" s="588"/>
      <c r="FXC166" s="589"/>
      <c r="FXD166" s="588"/>
      <c r="FXE166" s="589"/>
      <c r="FXF166" s="588"/>
      <c r="FXG166" s="589"/>
      <c r="FXH166" s="588"/>
      <c r="FXI166" s="589"/>
      <c r="FXJ166" s="588"/>
      <c r="FXK166" s="589"/>
      <c r="FXL166" s="429"/>
      <c r="FXM166" s="364"/>
      <c r="FXN166" s="365"/>
      <c r="FXO166" s="354"/>
      <c r="FXP166" s="465"/>
      <c r="FXQ166" s="565"/>
      <c r="FXR166" s="572"/>
      <c r="FXS166" s="572"/>
      <c r="FXT166" s="566"/>
      <c r="FXU166" s="587"/>
      <c r="FXV166" s="587"/>
      <c r="FXW166" s="587"/>
      <c r="FXX166" s="587"/>
      <c r="FXY166" s="588"/>
      <c r="FXZ166" s="589"/>
      <c r="FYA166" s="588"/>
      <c r="FYB166" s="589"/>
      <c r="FYC166" s="588"/>
      <c r="FYD166" s="589"/>
      <c r="FYE166" s="588"/>
      <c r="FYF166" s="589"/>
      <c r="FYG166" s="588"/>
      <c r="FYH166" s="589"/>
      <c r="FYI166" s="429"/>
      <c r="FYJ166" s="364"/>
      <c r="FYK166" s="365"/>
      <c r="FYL166" s="354"/>
      <c r="FYM166" s="465"/>
      <c r="FYN166" s="565"/>
      <c r="FYO166" s="572"/>
      <c r="FYP166" s="572"/>
      <c r="FYQ166" s="566"/>
      <c r="FYR166" s="587"/>
      <c r="FYS166" s="587"/>
      <c r="FYT166" s="587"/>
      <c r="FYU166" s="587"/>
      <c r="FYV166" s="588"/>
      <c r="FYW166" s="589"/>
      <c r="FYX166" s="588"/>
      <c r="FYY166" s="589"/>
      <c r="FYZ166" s="588"/>
      <c r="FZA166" s="589"/>
      <c r="FZB166" s="588"/>
      <c r="FZC166" s="589"/>
      <c r="FZD166" s="588"/>
      <c r="FZE166" s="589"/>
      <c r="FZF166" s="429"/>
      <c r="FZG166" s="364"/>
      <c r="FZH166" s="365"/>
      <c r="FZI166" s="354"/>
      <c r="FZJ166" s="465"/>
      <c r="FZK166" s="565"/>
      <c r="FZL166" s="572"/>
      <c r="FZM166" s="572"/>
      <c r="FZN166" s="566"/>
      <c r="FZO166" s="587"/>
      <c r="FZP166" s="587"/>
      <c r="FZQ166" s="587"/>
      <c r="FZR166" s="587"/>
      <c r="FZS166" s="588"/>
      <c r="FZT166" s="589"/>
      <c r="FZU166" s="588"/>
      <c r="FZV166" s="589"/>
      <c r="FZW166" s="588"/>
      <c r="FZX166" s="589"/>
      <c r="FZY166" s="588"/>
      <c r="FZZ166" s="589"/>
      <c r="GAA166" s="588"/>
      <c r="GAB166" s="589"/>
      <c r="GAC166" s="429"/>
      <c r="GAD166" s="364"/>
      <c r="GAE166" s="365"/>
      <c r="GAF166" s="354"/>
      <c r="GAG166" s="465"/>
      <c r="GAH166" s="565"/>
      <c r="GAI166" s="572"/>
      <c r="GAJ166" s="572"/>
      <c r="GAK166" s="566"/>
      <c r="GAL166" s="587"/>
      <c r="GAM166" s="587"/>
      <c r="GAN166" s="587"/>
      <c r="GAO166" s="587"/>
      <c r="GAP166" s="588"/>
      <c r="GAQ166" s="589"/>
      <c r="GAR166" s="588"/>
      <c r="GAS166" s="589"/>
      <c r="GAT166" s="588"/>
      <c r="GAU166" s="589"/>
      <c r="GAV166" s="588"/>
      <c r="GAW166" s="589"/>
      <c r="GAX166" s="588"/>
      <c r="GAY166" s="589"/>
      <c r="GAZ166" s="429"/>
      <c r="GBA166" s="364"/>
      <c r="GBB166" s="365"/>
      <c r="GBC166" s="354"/>
      <c r="GBD166" s="465"/>
      <c r="GBE166" s="565"/>
      <c r="GBF166" s="572"/>
      <c r="GBG166" s="572"/>
      <c r="GBH166" s="566"/>
      <c r="GBI166" s="587"/>
      <c r="GBJ166" s="587"/>
      <c r="GBK166" s="587"/>
      <c r="GBL166" s="587"/>
      <c r="GBM166" s="588"/>
      <c r="GBN166" s="589"/>
      <c r="GBO166" s="588"/>
      <c r="GBP166" s="589"/>
      <c r="GBQ166" s="588"/>
      <c r="GBR166" s="589"/>
      <c r="GBS166" s="588"/>
      <c r="GBT166" s="589"/>
      <c r="GBU166" s="588"/>
      <c r="GBV166" s="589"/>
      <c r="GBW166" s="429"/>
      <c r="GBX166" s="364"/>
      <c r="GBY166" s="365"/>
      <c r="GBZ166" s="354"/>
      <c r="GCA166" s="465"/>
      <c r="GCB166" s="565"/>
      <c r="GCC166" s="572"/>
      <c r="GCD166" s="572"/>
      <c r="GCE166" s="566"/>
      <c r="GCF166" s="587"/>
      <c r="GCG166" s="587"/>
      <c r="GCH166" s="587"/>
      <c r="GCI166" s="587"/>
      <c r="GCJ166" s="588"/>
      <c r="GCK166" s="589"/>
      <c r="GCL166" s="588"/>
      <c r="GCM166" s="589"/>
      <c r="GCN166" s="588"/>
      <c r="GCO166" s="589"/>
      <c r="GCP166" s="588"/>
      <c r="GCQ166" s="589"/>
      <c r="GCR166" s="588"/>
      <c r="GCS166" s="589"/>
      <c r="GCT166" s="429"/>
      <c r="GCU166" s="364"/>
      <c r="GCV166" s="365"/>
      <c r="GCW166" s="354"/>
      <c r="GCX166" s="465"/>
      <c r="GCY166" s="565"/>
      <c r="GCZ166" s="572"/>
      <c r="GDA166" s="572"/>
      <c r="GDB166" s="566"/>
      <c r="GDC166" s="587"/>
      <c r="GDD166" s="587"/>
      <c r="GDE166" s="587"/>
      <c r="GDF166" s="587"/>
      <c r="GDG166" s="588"/>
      <c r="GDH166" s="589"/>
      <c r="GDI166" s="588"/>
      <c r="GDJ166" s="589"/>
      <c r="GDK166" s="588"/>
      <c r="GDL166" s="589"/>
      <c r="GDM166" s="588"/>
      <c r="GDN166" s="589"/>
      <c r="GDO166" s="588"/>
      <c r="GDP166" s="589"/>
      <c r="GDQ166" s="429"/>
      <c r="GDR166" s="364"/>
      <c r="GDS166" s="365"/>
      <c r="GDT166" s="354"/>
      <c r="GDU166" s="465"/>
      <c r="GDV166" s="565"/>
      <c r="GDW166" s="572"/>
      <c r="GDX166" s="572"/>
      <c r="GDY166" s="566"/>
      <c r="GDZ166" s="587"/>
      <c r="GEA166" s="587"/>
      <c r="GEB166" s="587"/>
      <c r="GEC166" s="587"/>
      <c r="GED166" s="588"/>
      <c r="GEE166" s="589"/>
      <c r="GEF166" s="588"/>
      <c r="GEG166" s="589"/>
      <c r="GEH166" s="588"/>
      <c r="GEI166" s="589"/>
      <c r="GEJ166" s="588"/>
      <c r="GEK166" s="589"/>
      <c r="GEL166" s="588"/>
      <c r="GEM166" s="589"/>
      <c r="GEN166" s="429"/>
      <c r="GEO166" s="364"/>
      <c r="GEP166" s="365"/>
      <c r="GEQ166" s="354"/>
      <c r="GER166" s="465"/>
      <c r="GES166" s="565"/>
      <c r="GET166" s="572"/>
      <c r="GEU166" s="572"/>
      <c r="GEV166" s="566"/>
      <c r="GEW166" s="587"/>
      <c r="GEX166" s="587"/>
      <c r="GEY166" s="587"/>
      <c r="GEZ166" s="587"/>
      <c r="GFA166" s="588"/>
      <c r="GFB166" s="589"/>
      <c r="GFC166" s="588"/>
      <c r="GFD166" s="589"/>
      <c r="GFE166" s="588"/>
      <c r="GFF166" s="589"/>
      <c r="GFG166" s="588"/>
      <c r="GFH166" s="589"/>
      <c r="GFI166" s="588"/>
      <c r="GFJ166" s="589"/>
      <c r="GFK166" s="429"/>
      <c r="GFL166" s="364"/>
      <c r="GFM166" s="365"/>
      <c r="GFN166" s="354"/>
      <c r="GFO166" s="465"/>
      <c r="GFP166" s="565"/>
      <c r="GFQ166" s="572"/>
      <c r="GFR166" s="572"/>
      <c r="GFS166" s="566"/>
      <c r="GFT166" s="587"/>
      <c r="GFU166" s="587"/>
      <c r="GFV166" s="587"/>
      <c r="GFW166" s="587"/>
      <c r="GFX166" s="588"/>
      <c r="GFY166" s="589"/>
      <c r="GFZ166" s="588"/>
      <c r="GGA166" s="589"/>
      <c r="GGB166" s="588"/>
      <c r="GGC166" s="589"/>
      <c r="GGD166" s="588"/>
      <c r="GGE166" s="589"/>
      <c r="GGF166" s="588"/>
      <c r="GGG166" s="589"/>
      <c r="GGH166" s="429"/>
      <c r="GGI166" s="364"/>
      <c r="GGJ166" s="365"/>
      <c r="GGK166" s="354"/>
      <c r="GGL166" s="465"/>
      <c r="GGM166" s="565"/>
      <c r="GGN166" s="572"/>
      <c r="GGO166" s="572"/>
      <c r="GGP166" s="566"/>
      <c r="GGQ166" s="587"/>
      <c r="GGR166" s="587"/>
      <c r="GGS166" s="587"/>
      <c r="GGT166" s="587"/>
      <c r="GGU166" s="588"/>
      <c r="GGV166" s="589"/>
      <c r="GGW166" s="588"/>
      <c r="GGX166" s="589"/>
      <c r="GGY166" s="588"/>
      <c r="GGZ166" s="589"/>
      <c r="GHA166" s="588"/>
      <c r="GHB166" s="589"/>
      <c r="GHC166" s="588"/>
      <c r="GHD166" s="589"/>
      <c r="GHE166" s="429"/>
      <c r="GHF166" s="364"/>
      <c r="GHG166" s="365"/>
      <c r="GHH166" s="354"/>
      <c r="GHI166" s="465"/>
      <c r="GHJ166" s="565"/>
      <c r="GHK166" s="572"/>
      <c r="GHL166" s="572"/>
      <c r="GHM166" s="566"/>
      <c r="GHN166" s="587"/>
      <c r="GHO166" s="587"/>
      <c r="GHP166" s="587"/>
      <c r="GHQ166" s="587"/>
      <c r="GHR166" s="588"/>
      <c r="GHS166" s="589"/>
      <c r="GHT166" s="588"/>
      <c r="GHU166" s="589"/>
      <c r="GHV166" s="588"/>
      <c r="GHW166" s="589"/>
      <c r="GHX166" s="588"/>
      <c r="GHY166" s="589"/>
      <c r="GHZ166" s="588"/>
      <c r="GIA166" s="589"/>
      <c r="GIB166" s="429"/>
      <c r="GIC166" s="364"/>
      <c r="GID166" s="365"/>
      <c r="GIE166" s="354"/>
      <c r="GIF166" s="465"/>
      <c r="GIG166" s="565"/>
      <c r="GIH166" s="572"/>
      <c r="GII166" s="572"/>
      <c r="GIJ166" s="566"/>
      <c r="GIK166" s="587"/>
      <c r="GIL166" s="587"/>
      <c r="GIM166" s="587"/>
      <c r="GIN166" s="587"/>
      <c r="GIO166" s="588"/>
      <c r="GIP166" s="589"/>
      <c r="GIQ166" s="588"/>
      <c r="GIR166" s="589"/>
      <c r="GIS166" s="588"/>
      <c r="GIT166" s="589"/>
      <c r="GIU166" s="588"/>
      <c r="GIV166" s="589"/>
      <c r="GIW166" s="588"/>
      <c r="GIX166" s="589"/>
      <c r="GIY166" s="429"/>
      <c r="GIZ166" s="364"/>
      <c r="GJA166" s="365"/>
      <c r="GJB166" s="354"/>
      <c r="GJC166" s="465"/>
      <c r="GJD166" s="565"/>
      <c r="GJE166" s="572"/>
      <c r="GJF166" s="572"/>
      <c r="GJG166" s="566"/>
      <c r="GJH166" s="587"/>
      <c r="GJI166" s="587"/>
      <c r="GJJ166" s="587"/>
      <c r="GJK166" s="587"/>
      <c r="GJL166" s="588"/>
      <c r="GJM166" s="589"/>
      <c r="GJN166" s="588"/>
      <c r="GJO166" s="589"/>
      <c r="GJP166" s="588"/>
      <c r="GJQ166" s="589"/>
      <c r="GJR166" s="588"/>
      <c r="GJS166" s="589"/>
      <c r="GJT166" s="588"/>
      <c r="GJU166" s="589"/>
      <c r="GJV166" s="429"/>
      <c r="GJW166" s="364"/>
      <c r="GJX166" s="365"/>
      <c r="GJY166" s="354"/>
      <c r="GJZ166" s="465"/>
      <c r="GKA166" s="565"/>
      <c r="GKB166" s="572"/>
      <c r="GKC166" s="572"/>
      <c r="GKD166" s="566"/>
      <c r="GKE166" s="587"/>
      <c r="GKF166" s="587"/>
      <c r="GKG166" s="587"/>
      <c r="GKH166" s="587"/>
      <c r="GKI166" s="588"/>
      <c r="GKJ166" s="589"/>
      <c r="GKK166" s="588"/>
      <c r="GKL166" s="589"/>
      <c r="GKM166" s="588"/>
      <c r="GKN166" s="589"/>
      <c r="GKO166" s="588"/>
      <c r="GKP166" s="589"/>
      <c r="GKQ166" s="588"/>
      <c r="GKR166" s="589"/>
      <c r="GKS166" s="429"/>
      <c r="GKT166" s="364"/>
      <c r="GKU166" s="365"/>
      <c r="GKV166" s="354"/>
      <c r="GKW166" s="465"/>
      <c r="GKX166" s="565"/>
      <c r="GKY166" s="572"/>
      <c r="GKZ166" s="572"/>
      <c r="GLA166" s="566"/>
      <c r="GLB166" s="587"/>
      <c r="GLC166" s="587"/>
      <c r="GLD166" s="587"/>
      <c r="GLE166" s="587"/>
      <c r="GLF166" s="588"/>
      <c r="GLG166" s="589"/>
      <c r="GLH166" s="588"/>
      <c r="GLI166" s="589"/>
      <c r="GLJ166" s="588"/>
      <c r="GLK166" s="589"/>
      <c r="GLL166" s="588"/>
      <c r="GLM166" s="589"/>
      <c r="GLN166" s="588"/>
      <c r="GLO166" s="589"/>
      <c r="GLP166" s="429"/>
      <c r="GLQ166" s="364"/>
      <c r="GLR166" s="365"/>
      <c r="GLS166" s="354"/>
      <c r="GLT166" s="465"/>
      <c r="GLU166" s="565"/>
      <c r="GLV166" s="572"/>
      <c r="GLW166" s="572"/>
      <c r="GLX166" s="566"/>
      <c r="GLY166" s="587"/>
      <c r="GLZ166" s="587"/>
      <c r="GMA166" s="587"/>
      <c r="GMB166" s="587"/>
      <c r="GMC166" s="588"/>
      <c r="GMD166" s="589"/>
      <c r="GME166" s="588"/>
      <c r="GMF166" s="589"/>
      <c r="GMG166" s="588"/>
      <c r="GMH166" s="589"/>
      <c r="GMI166" s="588"/>
      <c r="GMJ166" s="589"/>
      <c r="GMK166" s="588"/>
      <c r="GML166" s="589"/>
      <c r="GMM166" s="429"/>
      <c r="GMN166" s="364"/>
      <c r="GMO166" s="365"/>
      <c r="GMP166" s="354"/>
      <c r="GMQ166" s="465"/>
      <c r="GMR166" s="565"/>
      <c r="GMS166" s="572"/>
      <c r="GMT166" s="572"/>
      <c r="GMU166" s="566"/>
      <c r="GMV166" s="587"/>
      <c r="GMW166" s="587"/>
      <c r="GMX166" s="587"/>
      <c r="GMY166" s="587"/>
      <c r="GMZ166" s="588"/>
      <c r="GNA166" s="589"/>
      <c r="GNB166" s="588"/>
      <c r="GNC166" s="589"/>
      <c r="GND166" s="588"/>
      <c r="GNE166" s="589"/>
      <c r="GNF166" s="588"/>
      <c r="GNG166" s="589"/>
      <c r="GNH166" s="588"/>
      <c r="GNI166" s="589"/>
      <c r="GNJ166" s="429"/>
      <c r="GNK166" s="364"/>
      <c r="GNL166" s="365"/>
      <c r="GNM166" s="354"/>
      <c r="GNN166" s="465"/>
      <c r="GNO166" s="565"/>
      <c r="GNP166" s="572"/>
      <c r="GNQ166" s="572"/>
      <c r="GNR166" s="566"/>
      <c r="GNS166" s="587"/>
      <c r="GNT166" s="587"/>
      <c r="GNU166" s="587"/>
      <c r="GNV166" s="587"/>
      <c r="GNW166" s="588"/>
      <c r="GNX166" s="589"/>
      <c r="GNY166" s="588"/>
      <c r="GNZ166" s="589"/>
      <c r="GOA166" s="588"/>
      <c r="GOB166" s="589"/>
      <c r="GOC166" s="588"/>
      <c r="GOD166" s="589"/>
      <c r="GOE166" s="588"/>
      <c r="GOF166" s="589"/>
      <c r="GOG166" s="429"/>
      <c r="GOH166" s="364"/>
      <c r="GOI166" s="365"/>
      <c r="GOJ166" s="354"/>
      <c r="GOK166" s="465"/>
      <c r="GOL166" s="565"/>
      <c r="GOM166" s="572"/>
      <c r="GON166" s="572"/>
      <c r="GOO166" s="566"/>
      <c r="GOP166" s="587"/>
      <c r="GOQ166" s="587"/>
      <c r="GOR166" s="587"/>
      <c r="GOS166" s="587"/>
      <c r="GOT166" s="588"/>
      <c r="GOU166" s="589"/>
      <c r="GOV166" s="588"/>
      <c r="GOW166" s="589"/>
      <c r="GOX166" s="588"/>
      <c r="GOY166" s="589"/>
      <c r="GOZ166" s="588"/>
      <c r="GPA166" s="589"/>
      <c r="GPB166" s="588"/>
      <c r="GPC166" s="589"/>
      <c r="GPD166" s="429"/>
      <c r="GPE166" s="364"/>
      <c r="GPF166" s="365"/>
      <c r="GPG166" s="354"/>
      <c r="GPH166" s="465"/>
      <c r="GPI166" s="565"/>
      <c r="GPJ166" s="572"/>
      <c r="GPK166" s="572"/>
      <c r="GPL166" s="566"/>
      <c r="GPM166" s="587"/>
      <c r="GPN166" s="587"/>
      <c r="GPO166" s="587"/>
      <c r="GPP166" s="587"/>
      <c r="GPQ166" s="588"/>
      <c r="GPR166" s="589"/>
      <c r="GPS166" s="588"/>
      <c r="GPT166" s="589"/>
      <c r="GPU166" s="588"/>
      <c r="GPV166" s="589"/>
      <c r="GPW166" s="588"/>
      <c r="GPX166" s="589"/>
      <c r="GPY166" s="588"/>
      <c r="GPZ166" s="589"/>
      <c r="GQA166" s="429"/>
      <c r="GQB166" s="364"/>
      <c r="GQC166" s="365"/>
      <c r="GQD166" s="354"/>
      <c r="GQE166" s="465"/>
      <c r="GQF166" s="565"/>
      <c r="GQG166" s="572"/>
      <c r="GQH166" s="572"/>
      <c r="GQI166" s="566"/>
      <c r="GQJ166" s="587"/>
      <c r="GQK166" s="587"/>
      <c r="GQL166" s="587"/>
      <c r="GQM166" s="587"/>
      <c r="GQN166" s="588"/>
      <c r="GQO166" s="589"/>
      <c r="GQP166" s="588"/>
      <c r="GQQ166" s="589"/>
      <c r="GQR166" s="588"/>
      <c r="GQS166" s="589"/>
      <c r="GQT166" s="588"/>
      <c r="GQU166" s="589"/>
      <c r="GQV166" s="588"/>
      <c r="GQW166" s="589"/>
      <c r="GQX166" s="429"/>
      <c r="GQY166" s="364"/>
      <c r="GQZ166" s="365"/>
      <c r="GRA166" s="354"/>
      <c r="GRB166" s="465"/>
      <c r="GRC166" s="565"/>
      <c r="GRD166" s="572"/>
      <c r="GRE166" s="572"/>
      <c r="GRF166" s="566"/>
      <c r="GRG166" s="587"/>
      <c r="GRH166" s="587"/>
      <c r="GRI166" s="587"/>
      <c r="GRJ166" s="587"/>
      <c r="GRK166" s="588"/>
      <c r="GRL166" s="589"/>
      <c r="GRM166" s="588"/>
      <c r="GRN166" s="589"/>
      <c r="GRO166" s="588"/>
      <c r="GRP166" s="589"/>
      <c r="GRQ166" s="588"/>
      <c r="GRR166" s="589"/>
      <c r="GRS166" s="588"/>
      <c r="GRT166" s="589"/>
      <c r="GRU166" s="429"/>
      <c r="GRV166" s="364"/>
      <c r="GRW166" s="365"/>
      <c r="GRX166" s="354"/>
      <c r="GRY166" s="465"/>
      <c r="GRZ166" s="565"/>
      <c r="GSA166" s="572"/>
      <c r="GSB166" s="572"/>
      <c r="GSC166" s="566"/>
      <c r="GSD166" s="587"/>
      <c r="GSE166" s="587"/>
      <c r="GSF166" s="587"/>
      <c r="GSG166" s="587"/>
      <c r="GSH166" s="588"/>
      <c r="GSI166" s="589"/>
      <c r="GSJ166" s="588"/>
      <c r="GSK166" s="589"/>
      <c r="GSL166" s="588"/>
      <c r="GSM166" s="589"/>
      <c r="GSN166" s="588"/>
      <c r="GSO166" s="589"/>
      <c r="GSP166" s="588"/>
      <c r="GSQ166" s="589"/>
      <c r="GSR166" s="429"/>
      <c r="GSS166" s="364"/>
      <c r="GST166" s="365"/>
      <c r="GSU166" s="354"/>
      <c r="GSV166" s="465"/>
      <c r="GSW166" s="565"/>
      <c r="GSX166" s="572"/>
      <c r="GSY166" s="572"/>
      <c r="GSZ166" s="566"/>
      <c r="GTA166" s="587"/>
      <c r="GTB166" s="587"/>
      <c r="GTC166" s="587"/>
      <c r="GTD166" s="587"/>
      <c r="GTE166" s="588"/>
      <c r="GTF166" s="589"/>
      <c r="GTG166" s="588"/>
      <c r="GTH166" s="589"/>
      <c r="GTI166" s="588"/>
      <c r="GTJ166" s="589"/>
      <c r="GTK166" s="588"/>
      <c r="GTL166" s="589"/>
      <c r="GTM166" s="588"/>
      <c r="GTN166" s="589"/>
      <c r="GTO166" s="429"/>
      <c r="GTP166" s="364"/>
      <c r="GTQ166" s="365"/>
      <c r="GTR166" s="354"/>
      <c r="GTS166" s="465"/>
      <c r="GTT166" s="565"/>
      <c r="GTU166" s="572"/>
      <c r="GTV166" s="572"/>
      <c r="GTW166" s="566"/>
      <c r="GTX166" s="587"/>
      <c r="GTY166" s="587"/>
      <c r="GTZ166" s="587"/>
      <c r="GUA166" s="587"/>
      <c r="GUB166" s="588"/>
      <c r="GUC166" s="589"/>
      <c r="GUD166" s="588"/>
      <c r="GUE166" s="589"/>
      <c r="GUF166" s="588"/>
      <c r="GUG166" s="589"/>
      <c r="GUH166" s="588"/>
      <c r="GUI166" s="589"/>
      <c r="GUJ166" s="588"/>
      <c r="GUK166" s="589"/>
      <c r="GUL166" s="429"/>
      <c r="GUM166" s="364"/>
      <c r="GUN166" s="365"/>
      <c r="GUO166" s="354"/>
      <c r="GUP166" s="465"/>
      <c r="GUQ166" s="565"/>
      <c r="GUR166" s="572"/>
      <c r="GUS166" s="572"/>
      <c r="GUT166" s="566"/>
      <c r="GUU166" s="587"/>
      <c r="GUV166" s="587"/>
      <c r="GUW166" s="587"/>
      <c r="GUX166" s="587"/>
      <c r="GUY166" s="588"/>
      <c r="GUZ166" s="589"/>
      <c r="GVA166" s="588"/>
      <c r="GVB166" s="589"/>
      <c r="GVC166" s="588"/>
      <c r="GVD166" s="589"/>
      <c r="GVE166" s="588"/>
      <c r="GVF166" s="589"/>
      <c r="GVG166" s="588"/>
      <c r="GVH166" s="589"/>
      <c r="GVI166" s="429"/>
      <c r="GVJ166" s="364"/>
      <c r="GVK166" s="365"/>
      <c r="GVL166" s="354"/>
      <c r="GVM166" s="465"/>
      <c r="GVN166" s="565"/>
      <c r="GVO166" s="572"/>
      <c r="GVP166" s="572"/>
      <c r="GVQ166" s="566"/>
      <c r="GVR166" s="587"/>
      <c r="GVS166" s="587"/>
      <c r="GVT166" s="587"/>
      <c r="GVU166" s="587"/>
      <c r="GVV166" s="588"/>
      <c r="GVW166" s="589"/>
      <c r="GVX166" s="588"/>
      <c r="GVY166" s="589"/>
      <c r="GVZ166" s="588"/>
      <c r="GWA166" s="589"/>
      <c r="GWB166" s="588"/>
      <c r="GWC166" s="589"/>
      <c r="GWD166" s="588"/>
      <c r="GWE166" s="589"/>
      <c r="GWF166" s="429"/>
      <c r="GWG166" s="364"/>
      <c r="GWH166" s="365"/>
      <c r="GWI166" s="354"/>
      <c r="GWJ166" s="465"/>
      <c r="GWK166" s="565"/>
      <c r="GWL166" s="572"/>
      <c r="GWM166" s="572"/>
      <c r="GWN166" s="566"/>
      <c r="GWO166" s="587"/>
      <c r="GWP166" s="587"/>
      <c r="GWQ166" s="587"/>
      <c r="GWR166" s="587"/>
      <c r="GWS166" s="588"/>
      <c r="GWT166" s="589"/>
      <c r="GWU166" s="588"/>
      <c r="GWV166" s="589"/>
      <c r="GWW166" s="588"/>
      <c r="GWX166" s="589"/>
      <c r="GWY166" s="588"/>
      <c r="GWZ166" s="589"/>
      <c r="GXA166" s="588"/>
      <c r="GXB166" s="589"/>
      <c r="GXC166" s="429"/>
      <c r="GXD166" s="364"/>
      <c r="GXE166" s="365"/>
      <c r="GXF166" s="354"/>
      <c r="GXG166" s="465"/>
      <c r="GXH166" s="565"/>
      <c r="GXI166" s="572"/>
      <c r="GXJ166" s="572"/>
      <c r="GXK166" s="566"/>
      <c r="GXL166" s="587"/>
      <c r="GXM166" s="587"/>
      <c r="GXN166" s="587"/>
      <c r="GXO166" s="587"/>
      <c r="GXP166" s="588"/>
      <c r="GXQ166" s="589"/>
      <c r="GXR166" s="588"/>
      <c r="GXS166" s="589"/>
      <c r="GXT166" s="588"/>
      <c r="GXU166" s="589"/>
      <c r="GXV166" s="588"/>
      <c r="GXW166" s="589"/>
      <c r="GXX166" s="588"/>
      <c r="GXY166" s="589"/>
      <c r="GXZ166" s="429"/>
      <c r="GYA166" s="364"/>
      <c r="GYB166" s="365"/>
      <c r="GYC166" s="354"/>
      <c r="GYD166" s="465"/>
      <c r="GYE166" s="565"/>
      <c r="GYF166" s="572"/>
      <c r="GYG166" s="572"/>
      <c r="GYH166" s="566"/>
      <c r="GYI166" s="587"/>
      <c r="GYJ166" s="587"/>
      <c r="GYK166" s="587"/>
      <c r="GYL166" s="587"/>
      <c r="GYM166" s="588"/>
      <c r="GYN166" s="589"/>
      <c r="GYO166" s="588"/>
      <c r="GYP166" s="589"/>
      <c r="GYQ166" s="588"/>
      <c r="GYR166" s="589"/>
      <c r="GYS166" s="588"/>
      <c r="GYT166" s="589"/>
      <c r="GYU166" s="588"/>
      <c r="GYV166" s="589"/>
      <c r="GYW166" s="429"/>
      <c r="GYX166" s="364"/>
      <c r="GYY166" s="365"/>
      <c r="GYZ166" s="354"/>
      <c r="GZA166" s="465"/>
      <c r="GZB166" s="565"/>
      <c r="GZC166" s="572"/>
      <c r="GZD166" s="572"/>
      <c r="GZE166" s="566"/>
      <c r="GZF166" s="587"/>
      <c r="GZG166" s="587"/>
      <c r="GZH166" s="587"/>
      <c r="GZI166" s="587"/>
      <c r="GZJ166" s="588"/>
      <c r="GZK166" s="589"/>
      <c r="GZL166" s="588"/>
      <c r="GZM166" s="589"/>
      <c r="GZN166" s="588"/>
      <c r="GZO166" s="589"/>
      <c r="GZP166" s="588"/>
      <c r="GZQ166" s="589"/>
      <c r="GZR166" s="588"/>
      <c r="GZS166" s="589"/>
      <c r="GZT166" s="429"/>
      <c r="GZU166" s="364"/>
      <c r="GZV166" s="365"/>
      <c r="GZW166" s="354"/>
      <c r="GZX166" s="465"/>
      <c r="GZY166" s="565"/>
      <c r="GZZ166" s="572"/>
      <c r="HAA166" s="572"/>
      <c r="HAB166" s="566"/>
      <c r="HAC166" s="587"/>
      <c r="HAD166" s="587"/>
      <c r="HAE166" s="587"/>
      <c r="HAF166" s="587"/>
      <c r="HAG166" s="588"/>
      <c r="HAH166" s="589"/>
      <c r="HAI166" s="588"/>
      <c r="HAJ166" s="589"/>
      <c r="HAK166" s="588"/>
      <c r="HAL166" s="589"/>
      <c r="HAM166" s="588"/>
      <c r="HAN166" s="589"/>
      <c r="HAO166" s="588"/>
      <c r="HAP166" s="589"/>
      <c r="HAQ166" s="429"/>
      <c r="HAR166" s="364"/>
      <c r="HAS166" s="365"/>
      <c r="HAT166" s="354"/>
      <c r="HAU166" s="465"/>
      <c r="HAV166" s="565"/>
      <c r="HAW166" s="572"/>
      <c r="HAX166" s="572"/>
      <c r="HAY166" s="566"/>
      <c r="HAZ166" s="587"/>
      <c r="HBA166" s="587"/>
      <c r="HBB166" s="587"/>
      <c r="HBC166" s="587"/>
      <c r="HBD166" s="588"/>
      <c r="HBE166" s="589"/>
      <c r="HBF166" s="588"/>
      <c r="HBG166" s="589"/>
      <c r="HBH166" s="588"/>
      <c r="HBI166" s="589"/>
      <c r="HBJ166" s="588"/>
      <c r="HBK166" s="589"/>
      <c r="HBL166" s="588"/>
      <c r="HBM166" s="589"/>
      <c r="HBN166" s="429"/>
      <c r="HBO166" s="364"/>
      <c r="HBP166" s="365"/>
      <c r="HBQ166" s="354"/>
      <c r="HBR166" s="465"/>
      <c r="HBS166" s="565"/>
      <c r="HBT166" s="572"/>
      <c r="HBU166" s="572"/>
      <c r="HBV166" s="566"/>
      <c r="HBW166" s="587"/>
      <c r="HBX166" s="587"/>
      <c r="HBY166" s="587"/>
      <c r="HBZ166" s="587"/>
      <c r="HCA166" s="588"/>
      <c r="HCB166" s="589"/>
      <c r="HCC166" s="588"/>
      <c r="HCD166" s="589"/>
      <c r="HCE166" s="588"/>
      <c r="HCF166" s="589"/>
      <c r="HCG166" s="588"/>
      <c r="HCH166" s="589"/>
      <c r="HCI166" s="588"/>
      <c r="HCJ166" s="589"/>
      <c r="HCK166" s="429"/>
      <c r="HCL166" s="364"/>
      <c r="HCM166" s="365"/>
      <c r="HCN166" s="354"/>
      <c r="HCO166" s="465"/>
      <c r="HCP166" s="565"/>
      <c r="HCQ166" s="572"/>
      <c r="HCR166" s="572"/>
      <c r="HCS166" s="566"/>
      <c r="HCT166" s="587"/>
      <c r="HCU166" s="587"/>
      <c r="HCV166" s="587"/>
      <c r="HCW166" s="587"/>
      <c r="HCX166" s="588"/>
      <c r="HCY166" s="589"/>
      <c r="HCZ166" s="588"/>
      <c r="HDA166" s="589"/>
      <c r="HDB166" s="588"/>
      <c r="HDC166" s="589"/>
      <c r="HDD166" s="588"/>
      <c r="HDE166" s="589"/>
      <c r="HDF166" s="588"/>
      <c r="HDG166" s="589"/>
      <c r="HDH166" s="429"/>
      <c r="HDI166" s="364"/>
      <c r="HDJ166" s="365"/>
      <c r="HDK166" s="354"/>
      <c r="HDL166" s="465"/>
      <c r="HDM166" s="565"/>
      <c r="HDN166" s="572"/>
      <c r="HDO166" s="572"/>
      <c r="HDP166" s="566"/>
      <c r="HDQ166" s="587"/>
      <c r="HDR166" s="587"/>
      <c r="HDS166" s="587"/>
      <c r="HDT166" s="587"/>
      <c r="HDU166" s="588"/>
      <c r="HDV166" s="589"/>
      <c r="HDW166" s="588"/>
      <c r="HDX166" s="589"/>
      <c r="HDY166" s="588"/>
      <c r="HDZ166" s="589"/>
      <c r="HEA166" s="588"/>
      <c r="HEB166" s="589"/>
      <c r="HEC166" s="588"/>
      <c r="HED166" s="589"/>
      <c r="HEE166" s="429"/>
      <c r="HEF166" s="364"/>
      <c r="HEG166" s="365"/>
      <c r="HEH166" s="354"/>
      <c r="HEI166" s="465"/>
      <c r="HEJ166" s="565"/>
      <c r="HEK166" s="572"/>
      <c r="HEL166" s="572"/>
      <c r="HEM166" s="566"/>
      <c r="HEN166" s="587"/>
      <c r="HEO166" s="587"/>
      <c r="HEP166" s="587"/>
      <c r="HEQ166" s="587"/>
      <c r="HER166" s="588"/>
      <c r="HES166" s="589"/>
      <c r="HET166" s="588"/>
      <c r="HEU166" s="589"/>
      <c r="HEV166" s="588"/>
      <c r="HEW166" s="589"/>
      <c r="HEX166" s="588"/>
      <c r="HEY166" s="589"/>
      <c r="HEZ166" s="588"/>
      <c r="HFA166" s="589"/>
      <c r="HFB166" s="429"/>
      <c r="HFC166" s="364"/>
      <c r="HFD166" s="365"/>
      <c r="HFE166" s="354"/>
      <c r="HFF166" s="465"/>
      <c r="HFG166" s="565"/>
      <c r="HFH166" s="572"/>
      <c r="HFI166" s="572"/>
      <c r="HFJ166" s="566"/>
      <c r="HFK166" s="587"/>
      <c r="HFL166" s="587"/>
      <c r="HFM166" s="587"/>
      <c r="HFN166" s="587"/>
      <c r="HFO166" s="588"/>
      <c r="HFP166" s="589"/>
      <c r="HFQ166" s="588"/>
      <c r="HFR166" s="589"/>
      <c r="HFS166" s="588"/>
      <c r="HFT166" s="589"/>
      <c r="HFU166" s="588"/>
      <c r="HFV166" s="589"/>
      <c r="HFW166" s="588"/>
      <c r="HFX166" s="589"/>
      <c r="HFY166" s="429"/>
      <c r="HFZ166" s="364"/>
      <c r="HGA166" s="365"/>
      <c r="HGB166" s="354"/>
      <c r="HGC166" s="465"/>
      <c r="HGD166" s="565"/>
      <c r="HGE166" s="572"/>
      <c r="HGF166" s="572"/>
      <c r="HGG166" s="566"/>
      <c r="HGH166" s="587"/>
      <c r="HGI166" s="587"/>
      <c r="HGJ166" s="587"/>
      <c r="HGK166" s="587"/>
      <c r="HGL166" s="588"/>
      <c r="HGM166" s="589"/>
      <c r="HGN166" s="588"/>
      <c r="HGO166" s="589"/>
      <c r="HGP166" s="588"/>
      <c r="HGQ166" s="589"/>
      <c r="HGR166" s="588"/>
      <c r="HGS166" s="589"/>
      <c r="HGT166" s="588"/>
      <c r="HGU166" s="589"/>
      <c r="HGV166" s="429"/>
      <c r="HGW166" s="364"/>
      <c r="HGX166" s="365"/>
      <c r="HGY166" s="354"/>
      <c r="HGZ166" s="465"/>
      <c r="HHA166" s="565"/>
      <c r="HHB166" s="572"/>
      <c r="HHC166" s="572"/>
      <c r="HHD166" s="566"/>
      <c r="HHE166" s="587"/>
      <c r="HHF166" s="587"/>
      <c r="HHG166" s="587"/>
      <c r="HHH166" s="587"/>
      <c r="HHI166" s="588"/>
      <c r="HHJ166" s="589"/>
      <c r="HHK166" s="588"/>
      <c r="HHL166" s="589"/>
      <c r="HHM166" s="588"/>
      <c r="HHN166" s="589"/>
      <c r="HHO166" s="588"/>
      <c r="HHP166" s="589"/>
      <c r="HHQ166" s="588"/>
      <c r="HHR166" s="589"/>
      <c r="HHS166" s="429"/>
      <c r="HHT166" s="364"/>
      <c r="HHU166" s="365"/>
      <c r="HHV166" s="354"/>
      <c r="HHW166" s="465"/>
      <c r="HHX166" s="565"/>
      <c r="HHY166" s="572"/>
      <c r="HHZ166" s="572"/>
      <c r="HIA166" s="566"/>
      <c r="HIB166" s="587"/>
      <c r="HIC166" s="587"/>
      <c r="HID166" s="587"/>
      <c r="HIE166" s="587"/>
      <c r="HIF166" s="588"/>
      <c r="HIG166" s="589"/>
      <c r="HIH166" s="588"/>
      <c r="HII166" s="589"/>
      <c r="HIJ166" s="588"/>
      <c r="HIK166" s="589"/>
      <c r="HIL166" s="588"/>
      <c r="HIM166" s="589"/>
      <c r="HIN166" s="588"/>
      <c r="HIO166" s="589"/>
      <c r="HIP166" s="429"/>
      <c r="HIQ166" s="364"/>
      <c r="HIR166" s="365"/>
      <c r="HIS166" s="354"/>
      <c r="HIT166" s="465"/>
      <c r="HIU166" s="565"/>
      <c r="HIV166" s="572"/>
      <c r="HIW166" s="572"/>
      <c r="HIX166" s="566"/>
      <c r="HIY166" s="587"/>
      <c r="HIZ166" s="587"/>
      <c r="HJA166" s="587"/>
      <c r="HJB166" s="587"/>
      <c r="HJC166" s="588"/>
      <c r="HJD166" s="589"/>
      <c r="HJE166" s="588"/>
      <c r="HJF166" s="589"/>
      <c r="HJG166" s="588"/>
      <c r="HJH166" s="589"/>
      <c r="HJI166" s="588"/>
      <c r="HJJ166" s="589"/>
      <c r="HJK166" s="588"/>
      <c r="HJL166" s="589"/>
      <c r="HJM166" s="429"/>
      <c r="HJN166" s="364"/>
      <c r="HJO166" s="365"/>
      <c r="HJP166" s="354"/>
      <c r="HJQ166" s="465"/>
      <c r="HJR166" s="565"/>
      <c r="HJS166" s="572"/>
      <c r="HJT166" s="572"/>
      <c r="HJU166" s="566"/>
      <c r="HJV166" s="587"/>
      <c r="HJW166" s="587"/>
      <c r="HJX166" s="587"/>
      <c r="HJY166" s="587"/>
      <c r="HJZ166" s="588"/>
      <c r="HKA166" s="589"/>
      <c r="HKB166" s="588"/>
      <c r="HKC166" s="589"/>
      <c r="HKD166" s="588"/>
      <c r="HKE166" s="589"/>
      <c r="HKF166" s="588"/>
      <c r="HKG166" s="589"/>
      <c r="HKH166" s="588"/>
      <c r="HKI166" s="589"/>
      <c r="HKJ166" s="429"/>
      <c r="HKK166" s="364"/>
      <c r="HKL166" s="365"/>
      <c r="HKM166" s="354"/>
      <c r="HKN166" s="465"/>
      <c r="HKO166" s="565"/>
      <c r="HKP166" s="572"/>
      <c r="HKQ166" s="572"/>
      <c r="HKR166" s="566"/>
      <c r="HKS166" s="587"/>
      <c r="HKT166" s="587"/>
      <c r="HKU166" s="587"/>
      <c r="HKV166" s="587"/>
      <c r="HKW166" s="588"/>
      <c r="HKX166" s="589"/>
      <c r="HKY166" s="588"/>
      <c r="HKZ166" s="589"/>
      <c r="HLA166" s="588"/>
      <c r="HLB166" s="589"/>
      <c r="HLC166" s="588"/>
      <c r="HLD166" s="589"/>
      <c r="HLE166" s="588"/>
      <c r="HLF166" s="589"/>
      <c r="HLG166" s="429"/>
      <c r="HLH166" s="364"/>
      <c r="HLI166" s="365"/>
      <c r="HLJ166" s="354"/>
      <c r="HLK166" s="465"/>
      <c r="HLL166" s="565"/>
      <c r="HLM166" s="572"/>
      <c r="HLN166" s="572"/>
      <c r="HLO166" s="566"/>
      <c r="HLP166" s="587"/>
      <c r="HLQ166" s="587"/>
      <c r="HLR166" s="587"/>
      <c r="HLS166" s="587"/>
      <c r="HLT166" s="588"/>
      <c r="HLU166" s="589"/>
      <c r="HLV166" s="588"/>
      <c r="HLW166" s="589"/>
      <c r="HLX166" s="588"/>
      <c r="HLY166" s="589"/>
      <c r="HLZ166" s="588"/>
      <c r="HMA166" s="589"/>
      <c r="HMB166" s="588"/>
      <c r="HMC166" s="589"/>
      <c r="HMD166" s="429"/>
      <c r="HME166" s="364"/>
      <c r="HMF166" s="365"/>
      <c r="HMG166" s="354"/>
      <c r="HMH166" s="465"/>
      <c r="HMI166" s="565"/>
      <c r="HMJ166" s="572"/>
      <c r="HMK166" s="572"/>
      <c r="HML166" s="566"/>
      <c r="HMM166" s="587"/>
      <c r="HMN166" s="587"/>
      <c r="HMO166" s="587"/>
      <c r="HMP166" s="587"/>
      <c r="HMQ166" s="588"/>
      <c r="HMR166" s="589"/>
      <c r="HMS166" s="588"/>
      <c r="HMT166" s="589"/>
      <c r="HMU166" s="588"/>
      <c r="HMV166" s="589"/>
      <c r="HMW166" s="588"/>
      <c r="HMX166" s="589"/>
      <c r="HMY166" s="588"/>
      <c r="HMZ166" s="589"/>
      <c r="HNA166" s="429"/>
      <c r="HNB166" s="364"/>
      <c r="HNC166" s="365"/>
      <c r="HND166" s="354"/>
      <c r="HNE166" s="465"/>
      <c r="HNF166" s="565"/>
      <c r="HNG166" s="572"/>
      <c r="HNH166" s="572"/>
      <c r="HNI166" s="566"/>
      <c r="HNJ166" s="587"/>
      <c r="HNK166" s="587"/>
      <c r="HNL166" s="587"/>
      <c r="HNM166" s="587"/>
      <c r="HNN166" s="588"/>
      <c r="HNO166" s="589"/>
      <c r="HNP166" s="588"/>
      <c r="HNQ166" s="589"/>
      <c r="HNR166" s="588"/>
      <c r="HNS166" s="589"/>
      <c r="HNT166" s="588"/>
      <c r="HNU166" s="589"/>
      <c r="HNV166" s="588"/>
      <c r="HNW166" s="589"/>
      <c r="HNX166" s="429"/>
      <c r="HNY166" s="364"/>
      <c r="HNZ166" s="365"/>
      <c r="HOA166" s="354"/>
      <c r="HOB166" s="465"/>
      <c r="HOC166" s="565"/>
      <c r="HOD166" s="572"/>
      <c r="HOE166" s="572"/>
      <c r="HOF166" s="566"/>
      <c r="HOG166" s="587"/>
      <c r="HOH166" s="587"/>
      <c r="HOI166" s="587"/>
      <c r="HOJ166" s="587"/>
      <c r="HOK166" s="588"/>
      <c r="HOL166" s="589"/>
      <c r="HOM166" s="588"/>
      <c r="HON166" s="589"/>
      <c r="HOO166" s="588"/>
      <c r="HOP166" s="589"/>
      <c r="HOQ166" s="588"/>
      <c r="HOR166" s="589"/>
      <c r="HOS166" s="588"/>
      <c r="HOT166" s="589"/>
      <c r="HOU166" s="429"/>
      <c r="HOV166" s="364"/>
      <c r="HOW166" s="365"/>
      <c r="HOX166" s="354"/>
      <c r="HOY166" s="465"/>
      <c r="HOZ166" s="565"/>
      <c r="HPA166" s="572"/>
      <c r="HPB166" s="572"/>
      <c r="HPC166" s="566"/>
      <c r="HPD166" s="587"/>
      <c r="HPE166" s="587"/>
      <c r="HPF166" s="587"/>
      <c r="HPG166" s="587"/>
      <c r="HPH166" s="588"/>
      <c r="HPI166" s="589"/>
      <c r="HPJ166" s="588"/>
      <c r="HPK166" s="589"/>
      <c r="HPL166" s="588"/>
      <c r="HPM166" s="589"/>
      <c r="HPN166" s="588"/>
      <c r="HPO166" s="589"/>
      <c r="HPP166" s="588"/>
      <c r="HPQ166" s="589"/>
      <c r="HPR166" s="429"/>
      <c r="HPS166" s="364"/>
      <c r="HPT166" s="365"/>
      <c r="HPU166" s="354"/>
      <c r="HPV166" s="465"/>
      <c r="HPW166" s="565"/>
      <c r="HPX166" s="572"/>
      <c r="HPY166" s="572"/>
      <c r="HPZ166" s="566"/>
      <c r="HQA166" s="587"/>
      <c r="HQB166" s="587"/>
      <c r="HQC166" s="587"/>
      <c r="HQD166" s="587"/>
      <c r="HQE166" s="588"/>
      <c r="HQF166" s="589"/>
      <c r="HQG166" s="588"/>
      <c r="HQH166" s="589"/>
      <c r="HQI166" s="588"/>
      <c r="HQJ166" s="589"/>
      <c r="HQK166" s="588"/>
      <c r="HQL166" s="589"/>
      <c r="HQM166" s="588"/>
      <c r="HQN166" s="589"/>
      <c r="HQO166" s="429"/>
      <c r="HQP166" s="364"/>
      <c r="HQQ166" s="365"/>
      <c r="HQR166" s="354"/>
      <c r="HQS166" s="465"/>
      <c r="HQT166" s="565"/>
      <c r="HQU166" s="572"/>
      <c r="HQV166" s="572"/>
      <c r="HQW166" s="566"/>
      <c r="HQX166" s="587"/>
      <c r="HQY166" s="587"/>
      <c r="HQZ166" s="587"/>
      <c r="HRA166" s="587"/>
      <c r="HRB166" s="588"/>
      <c r="HRC166" s="589"/>
      <c r="HRD166" s="588"/>
      <c r="HRE166" s="589"/>
      <c r="HRF166" s="588"/>
      <c r="HRG166" s="589"/>
      <c r="HRH166" s="588"/>
      <c r="HRI166" s="589"/>
      <c r="HRJ166" s="588"/>
      <c r="HRK166" s="589"/>
      <c r="HRL166" s="429"/>
      <c r="HRM166" s="364"/>
      <c r="HRN166" s="365"/>
      <c r="HRO166" s="354"/>
      <c r="HRP166" s="465"/>
      <c r="HRQ166" s="565"/>
      <c r="HRR166" s="572"/>
      <c r="HRS166" s="572"/>
      <c r="HRT166" s="566"/>
      <c r="HRU166" s="587"/>
      <c r="HRV166" s="587"/>
      <c r="HRW166" s="587"/>
      <c r="HRX166" s="587"/>
      <c r="HRY166" s="588"/>
      <c r="HRZ166" s="589"/>
      <c r="HSA166" s="588"/>
      <c r="HSB166" s="589"/>
      <c r="HSC166" s="588"/>
      <c r="HSD166" s="589"/>
      <c r="HSE166" s="588"/>
      <c r="HSF166" s="589"/>
      <c r="HSG166" s="588"/>
      <c r="HSH166" s="589"/>
      <c r="HSI166" s="429"/>
      <c r="HSJ166" s="364"/>
      <c r="HSK166" s="365"/>
      <c r="HSL166" s="354"/>
      <c r="HSM166" s="465"/>
      <c r="HSN166" s="565"/>
      <c r="HSO166" s="572"/>
      <c r="HSP166" s="572"/>
      <c r="HSQ166" s="566"/>
      <c r="HSR166" s="587"/>
      <c r="HSS166" s="587"/>
      <c r="HST166" s="587"/>
      <c r="HSU166" s="587"/>
      <c r="HSV166" s="588"/>
      <c r="HSW166" s="589"/>
      <c r="HSX166" s="588"/>
      <c r="HSY166" s="589"/>
      <c r="HSZ166" s="588"/>
      <c r="HTA166" s="589"/>
      <c r="HTB166" s="588"/>
      <c r="HTC166" s="589"/>
      <c r="HTD166" s="588"/>
      <c r="HTE166" s="589"/>
      <c r="HTF166" s="429"/>
      <c r="HTG166" s="364"/>
      <c r="HTH166" s="365"/>
      <c r="HTI166" s="354"/>
      <c r="HTJ166" s="465"/>
      <c r="HTK166" s="565"/>
      <c r="HTL166" s="572"/>
      <c r="HTM166" s="572"/>
      <c r="HTN166" s="566"/>
      <c r="HTO166" s="587"/>
      <c r="HTP166" s="587"/>
      <c r="HTQ166" s="587"/>
      <c r="HTR166" s="587"/>
      <c r="HTS166" s="588"/>
      <c r="HTT166" s="589"/>
      <c r="HTU166" s="588"/>
      <c r="HTV166" s="589"/>
      <c r="HTW166" s="588"/>
      <c r="HTX166" s="589"/>
      <c r="HTY166" s="588"/>
      <c r="HTZ166" s="589"/>
      <c r="HUA166" s="588"/>
      <c r="HUB166" s="589"/>
      <c r="HUC166" s="429"/>
      <c r="HUD166" s="364"/>
      <c r="HUE166" s="365"/>
      <c r="HUF166" s="354"/>
      <c r="HUG166" s="465"/>
      <c r="HUH166" s="565"/>
      <c r="HUI166" s="572"/>
      <c r="HUJ166" s="572"/>
      <c r="HUK166" s="566"/>
      <c r="HUL166" s="587"/>
      <c r="HUM166" s="587"/>
      <c r="HUN166" s="587"/>
      <c r="HUO166" s="587"/>
      <c r="HUP166" s="588"/>
      <c r="HUQ166" s="589"/>
      <c r="HUR166" s="588"/>
      <c r="HUS166" s="589"/>
      <c r="HUT166" s="588"/>
      <c r="HUU166" s="589"/>
      <c r="HUV166" s="588"/>
      <c r="HUW166" s="589"/>
      <c r="HUX166" s="588"/>
      <c r="HUY166" s="589"/>
      <c r="HUZ166" s="429"/>
      <c r="HVA166" s="364"/>
      <c r="HVB166" s="365"/>
      <c r="HVC166" s="354"/>
      <c r="HVD166" s="465"/>
      <c r="HVE166" s="565"/>
      <c r="HVF166" s="572"/>
      <c r="HVG166" s="572"/>
      <c r="HVH166" s="566"/>
      <c r="HVI166" s="587"/>
      <c r="HVJ166" s="587"/>
      <c r="HVK166" s="587"/>
      <c r="HVL166" s="587"/>
      <c r="HVM166" s="588"/>
      <c r="HVN166" s="589"/>
      <c r="HVO166" s="588"/>
      <c r="HVP166" s="589"/>
      <c r="HVQ166" s="588"/>
      <c r="HVR166" s="589"/>
      <c r="HVS166" s="588"/>
      <c r="HVT166" s="589"/>
      <c r="HVU166" s="588"/>
      <c r="HVV166" s="589"/>
      <c r="HVW166" s="429"/>
      <c r="HVX166" s="364"/>
      <c r="HVY166" s="365"/>
      <c r="HVZ166" s="354"/>
      <c r="HWA166" s="465"/>
      <c r="HWB166" s="565"/>
      <c r="HWC166" s="572"/>
      <c r="HWD166" s="572"/>
      <c r="HWE166" s="566"/>
      <c r="HWF166" s="587"/>
      <c r="HWG166" s="587"/>
      <c r="HWH166" s="587"/>
      <c r="HWI166" s="587"/>
      <c r="HWJ166" s="588"/>
      <c r="HWK166" s="589"/>
      <c r="HWL166" s="588"/>
      <c r="HWM166" s="589"/>
      <c r="HWN166" s="588"/>
      <c r="HWO166" s="589"/>
      <c r="HWP166" s="588"/>
      <c r="HWQ166" s="589"/>
      <c r="HWR166" s="588"/>
      <c r="HWS166" s="589"/>
      <c r="HWT166" s="429"/>
      <c r="HWU166" s="364"/>
      <c r="HWV166" s="365"/>
      <c r="HWW166" s="354"/>
      <c r="HWX166" s="465"/>
      <c r="HWY166" s="565"/>
      <c r="HWZ166" s="572"/>
      <c r="HXA166" s="572"/>
      <c r="HXB166" s="566"/>
      <c r="HXC166" s="587"/>
      <c r="HXD166" s="587"/>
      <c r="HXE166" s="587"/>
      <c r="HXF166" s="587"/>
      <c r="HXG166" s="588"/>
      <c r="HXH166" s="589"/>
      <c r="HXI166" s="588"/>
      <c r="HXJ166" s="589"/>
      <c r="HXK166" s="588"/>
      <c r="HXL166" s="589"/>
      <c r="HXM166" s="588"/>
      <c r="HXN166" s="589"/>
      <c r="HXO166" s="588"/>
      <c r="HXP166" s="589"/>
      <c r="HXQ166" s="429"/>
      <c r="HXR166" s="364"/>
      <c r="HXS166" s="365"/>
      <c r="HXT166" s="354"/>
      <c r="HXU166" s="465"/>
      <c r="HXV166" s="565"/>
      <c r="HXW166" s="572"/>
      <c r="HXX166" s="572"/>
      <c r="HXY166" s="566"/>
      <c r="HXZ166" s="587"/>
      <c r="HYA166" s="587"/>
      <c r="HYB166" s="587"/>
      <c r="HYC166" s="587"/>
      <c r="HYD166" s="588"/>
      <c r="HYE166" s="589"/>
      <c r="HYF166" s="588"/>
      <c r="HYG166" s="589"/>
      <c r="HYH166" s="588"/>
      <c r="HYI166" s="589"/>
      <c r="HYJ166" s="588"/>
      <c r="HYK166" s="589"/>
      <c r="HYL166" s="588"/>
      <c r="HYM166" s="589"/>
      <c r="HYN166" s="429"/>
      <c r="HYO166" s="364"/>
      <c r="HYP166" s="365"/>
      <c r="HYQ166" s="354"/>
      <c r="HYR166" s="465"/>
      <c r="HYS166" s="565"/>
      <c r="HYT166" s="572"/>
      <c r="HYU166" s="572"/>
      <c r="HYV166" s="566"/>
      <c r="HYW166" s="587"/>
      <c r="HYX166" s="587"/>
      <c r="HYY166" s="587"/>
      <c r="HYZ166" s="587"/>
      <c r="HZA166" s="588"/>
      <c r="HZB166" s="589"/>
      <c r="HZC166" s="588"/>
      <c r="HZD166" s="589"/>
      <c r="HZE166" s="588"/>
      <c r="HZF166" s="589"/>
      <c r="HZG166" s="588"/>
      <c r="HZH166" s="589"/>
      <c r="HZI166" s="588"/>
      <c r="HZJ166" s="589"/>
      <c r="HZK166" s="429"/>
      <c r="HZL166" s="364"/>
      <c r="HZM166" s="365"/>
      <c r="HZN166" s="354"/>
      <c r="HZO166" s="465"/>
      <c r="HZP166" s="565"/>
      <c r="HZQ166" s="572"/>
      <c r="HZR166" s="572"/>
      <c r="HZS166" s="566"/>
      <c r="HZT166" s="587"/>
      <c r="HZU166" s="587"/>
      <c r="HZV166" s="587"/>
      <c r="HZW166" s="587"/>
      <c r="HZX166" s="588"/>
      <c r="HZY166" s="589"/>
      <c r="HZZ166" s="588"/>
      <c r="IAA166" s="589"/>
      <c r="IAB166" s="588"/>
      <c r="IAC166" s="589"/>
      <c r="IAD166" s="588"/>
      <c r="IAE166" s="589"/>
      <c r="IAF166" s="588"/>
      <c r="IAG166" s="589"/>
      <c r="IAH166" s="429"/>
      <c r="IAI166" s="364"/>
      <c r="IAJ166" s="365"/>
      <c r="IAK166" s="354"/>
      <c r="IAL166" s="465"/>
      <c r="IAM166" s="565"/>
      <c r="IAN166" s="572"/>
      <c r="IAO166" s="572"/>
      <c r="IAP166" s="566"/>
      <c r="IAQ166" s="587"/>
      <c r="IAR166" s="587"/>
      <c r="IAS166" s="587"/>
      <c r="IAT166" s="587"/>
      <c r="IAU166" s="588"/>
      <c r="IAV166" s="589"/>
      <c r="IAW166" s="588"/>
      <c r="IAX166" s="589"/>
      <c r="IAY166" s="588"/>
      <c r="IAZ166" s="589"/>
      <c r="IBA166" s="588"/>
      <c r="IBB166" s="589"/>
      <c r="IBC166" s="588"/>
      <c r="IBD166" s="589"/>
      <c r="IBE166" s="429"/>
      <c r="IBF166" s="364"/>
      <c r="IBG166" s="365"/>
      <c r="IBH166" s="354"/>
      <c r="IBI166" s="465"/>
      <c r="IBJ166" s="565"/>
      <c r="IBK166" s="572"/>
      <c r="IBL166" s="572"/>
      <c r="IBM166" s="566"/>
      <c r="IBN166" s="587"/>
      <c r="IBO166" s="587"/>
      <c r="IBP166" s="587"/>
      <c r="IBQ166" s="587"/>
      <c r="IBR166" s="588"/>
      <c r="IBS166" s="589"/>
      <c r="IBT166" s="588"/>
      <c r="IBU166" s="589"/>
      <c r="IBV166" s="588"/>
      <c r="IBW166" s="589"/>
      <c r="IBX166" s="588"/>
      <c r="IBY166" s="589"/>
      <c r="IBZ166" s="588"/>
      <c r="ICA166" s="589"/>
      <c r="ICB166" s="429"/>
      <c r="ICC166" s="364"/>
      <c r="ICD166" s="365"/>
      <c r="ICE166" s="354"/>
      <c r="ICF166" s="465"/>
      <c r="ICG166" s="565"/>
      <c r="ICH166" s="572"/>
      <c r="ICI166" s="572"/>
      <c r="ICJ166" s="566"/>
      <c r="ICK166" s="587"/>
      <c r="ICL166" s="587"/>
      <c r="ICM166" s="587"/>
      <c r="ICN166" s="587"/>
      <c r="ICO166" s="588"/>
      <c r="ICP166" s="589"/>
      <c r="ICQ166" s="588"/>
      <c r="ICR166" s="589"/>
      <c r="ICS166" s="588"/>
      <c r="ICT166" s="589"/>
      <c r="ICU166" s="588"/>
      <c r="ICV166" s="589"/>
      <c r="ICW166" s="588"/>
      <c r="ICX166" s="589"/>
      <c r="ICY166" s="429"/>
      <c r="ICZ166" s="364"/>
      <c r="IDA166" s="365"/>
      <c r="IDB166" s="354"/>
      <c r="IDC166" s="465"/>
      <c r="IDD166" s="565"/>
      <c r="IDE166" s="572"/>
      <c r="IDF166" s="572"/>
      <c r="IDG166" s="566"/>
      <c r="IDH166" s="587"/>
      <c r="IDI166" s="587"/>
      <c r="IDJ166" s="587"/>
      <c r="IDK166" s="587"/>
      <c r="IDL166" s="588"/>
      <c r="IDM166" s="589"/>
      <c r="IDN166" s="588"/>
      <c r="IDO166" s="589"/>
      <c r="IDP166" s="588"/>
      <c r="IDQ166" s="589"/>
      <c r="IDR166" s="588"/>
      <c r="IDS166" s="589"/>
      <c r="IDT166" s="588"/>
      <c r="IDU166" s="589"/>
      <c r="IDV166" s="429"/>
      <c r="IDW166" s="364"/>
      <c r="IDX166" s="365"/>
      <c r="IDY166" s="354"/>
      <c r="IDZ166" s="465"/>
      <c r="IEA166" s="565"/>
      <c r="IEB166" s="572"/>
      <c r="IEC166" s="572"/>
      <c r="IED166" s="566"/>
      <c r="IEE166" s="587"/>
      <c r="IEF166" s="587"/>
      <c r="IEG166" s="587"/>
      <c r="IEH166" s="587"/>
      <c r="IEI166" s="588"/>
      <c r="IEJ166" s="589"/>
      <c r="IEK166" s="588"/>
      <c r="IEL166" s="589"/>
      <c r="IEM166" s="588"/>
      <c r="IEN166" s="589"/>
      <c r="IEO166" s="588"/>
      <c r="IEP166" s="589"/>
      <c r="IEQ166" s="588"/>
      <c r="IER166" s="589"/>
      <c r="IES166" s="429"/>
      <c r="IET166" s="364"/>
      <c r="IEU166" s="365"/>
      <c r="IEV166" s="354"/>
      <c r="IEW166" s="465"/>
      <c r="IEX166" s="565"/>
      <c r="IEY166" s="572"/>
      <c r="IEZ166" s="572"/>
      <c r="IFA166" s="566"/>
      <c r="IFB166" s="587"/>
      <c r="IFC166" s="587"/>
      <c r="IFD166" s="587"/>
      <c r="IFE166" s="587"/>
      <c r="IFF166" s="588"/>
      <c r="IFG166" s="589"/>
      <c r="IFH166" s="588"/>
      <c r="IFI166" s="589"/>
      <c r="IFJ166" s="588"/>
      <c r="IFK166" s="589"/>
      <c r="IFL166" s="588"/>
      <c r="IFM166" s="589"/>
      <c r="IFN166" s="588"/>
      <c r="IFO166" s="589"/>
      <c r="IFP166" s="429"/>
      <c r="IFQ166" s="364"/>
      <c r="IFR166" s="365"/>
      <c r="IFS166" s="354"/>
      <c r="IFT166" s="465"/>
      <c r="IFU166" s="565"/>
      <c r="IFV166" s="572"/>
      <c r="IFW166" s="572"/>
      <c r="IFX166" s="566"/>
      <c r="IFY166" s="587"/>
      <c r="IFZ166" s="587"/>
      <c r="IGA166" s="587"/>
      <c r="IGB166" s="587"/>
      <c r="IGC166" s="588"/>
      <c r="IGD166" s="589"/>
      <c r="IGE166" s="588"/>
      <c r="IGF166" s="589"/>
      <c r="IGG166" s="588"/>
      <c r="IGH166" s="589"/>
      <c r="IGI166" s="588"/>
      <c r="IGJ166" s="589"/>
      <c r="IGK166" s="588"/>
      <c r="IGL166" s="589"/>
      <c r="IGM166" s="429"/>
      <c r="IGN166" s="364"/>
      <c r="IGO166" s="365"/>
      <c r="IGP166" s="354"/>
      <c r="IGQ166" s="465"/>
      <c r="IGR166" s="565"/>
      <c r="IGS166" s="572"/>
      <c r="IGT166" s="572"/>
      <c r="IGU166" s="566"/>
      <c r="IGV166" s="587"/>
      <c r="IGW166" s="587"/>
      <c r="IGX166" s="587"/>
      <c r="IGY166" s="587"/>
      <c r="IGZ166" s="588"/>
      <c r="IHA166" s="589"/>
      <c r="IHB166" s="588"/>
      <c r="IHC166" s="589"/>
      <c r="IHD166" s="588"/>
      <c r="IHE166" s="589"/>
      <c r="IHF166" s="588"/>
      <c r="IHG166" s="589"/>
      <c r="IHH166" s="588"/>
      <c r="IHI166" s="589"/>
      <c r="IHJ166" s="429"/>
      <c r="IHK166" s="364"/>
      <c r="IHL166" s="365"/>
      <c r="IHM166" s="354"/>
      <c r="IHN166" s="465"/>
      <c r="IHO166" s="565"/>
      <c r="IHP166" s="572"/>
      <c r="IHQ166" s="572"/>
      <c r="IHR166" s="566"/>
      <c r="IHS166" s="587"/>
      <c r="IHT166" s="587"/>
      <c r="IHU166" s="587"/>
      <c r="IHV166" s="587"/>
      <c r="IHW166" s="588"/>
      <c r="IHX166" s="589"/>
      <c r="IHY166" s="588"/>
      <c r="IHZ166" s="589"/>
      <c r="IIA166" s="588"/>
      <c r="IIB166" s="589"/>
      <c r="IIC166" s="588"/>
      <c r="IID166" s="589"/>
      <c r="IIE166" s="588"/>
      <c r="IIF166" s="589"/>
      <c r="IIG166" s="429"/>
      <c r="IIH166" s="364"/>
      <c r="III166" s="365"/>
      <c r="IIJ166" s="354"/>
      <c r="IIK166" s="465"/>
      <c r="IIL166" s="565"/>
      <c r="IIM166" s="572"/>
      <c r="IIN166" s="572"/>
      <c r="IIO166" s="566"/>
      <c r="IIP166" s="587"/>
      <c r="IIQ166" s="587"/>
      <c r="IIR166" s="587"/>
      <c r="IIS166" s="587"/>
      <c r="IIT166" s="588"/>
      <c r="IIU166" s="589"/>
      <c r="IIV166" s="588"/>
      <c r="IIW166" s="589"/>
      <c r="IIX166" s="588"/>
      <c r="IIY166" s="589"/>
      <c r="IIZ166" s="588"/>
      <c r="IJA166" s="589"/>
      <c r="IJB166" s="588"/>
      <c r="IJC166" s="589"/>
      <c r="IJD166" s="429"/>
      <c r="IJE166" s="364"/>
      <c r="IJF166" s="365"/>
      <c r="IJG166" s="354"/>
      <c r="IJH166" s="465"/>
      <c r="IJI166" s="565"/>
      <c r="IJJ166" s="572"/>
      <c r="IJK166" s="572"/>
      <c r="IJL166" s="566"/>
      <c r="IJM166" s="587"/>
      <c r="IJN166" s="587"/>
      <c r="IJO166" s="587"/>
      <c r="IJP166" s="587"/>
      <c r="IJQ166" s="588"/>
      <c r="IJR166" s="589"/>
      <c r="IJS166" s="588"/>
      <c r="IJT166" s="589"/>
      <c r="IJU166" s="588"/>
      <c r="IJV166" s="589"/>
      <c r="IJW166" s="588"/>
      <c r="IJX166" s="589"/>
      <c r="IJY166" s="588"/>
      <c r="IJZ166" s="589"/>
      <c r="IKA166" s="429"/>
      <c r="IKB166" s="364"/>
      <c r="IKC166" s="365"/>
      <c r="IKD166" s="354"/>
      <c r="IKE166" s="465"/>
      <c r="IKF166" s="565"/>
      <c r="IKG166" s="572"/>
      <c r="IKH166" s="572"/>
      <c r="IKI166" s="566"/>
      <c r="IKJ166" s="587"/>
      <c r="IKK166" s="587"/>
      <c r="IKL166" s="587"/>
      <c r="IKM166" s="587"/>
      <c r="IKN166" s="588"/>
      <c r="IKO166" s="589"/>
      <c r="IKP166" s="588"/>
      <c r="IKQ166" s="589"/>
      <c r="IKR166" s="588"/>
      <c r="IKS166" s="589"/>
      <c r="IKT166" s="588"/>
      <c r="IKU166" s="589"/>
      <c r="IKV166" s="588"/>
      <c r="IKW166" s="589"/>
      <c r="IKX166" s="429"/>
      <c r="IKY166" s="364"/>
      <c r="IKZ166" s="365"/>
      <c r="ILA166" s="354"/>
      <c r="ILB166" s="465"/>
      <c r="ILC166" s="565"/>
      <c r="ILD166" s="572"/>
      <c r="ILE166" s="572"/>
      <c r="ILF166" s="566"/>
      <c r="ILG166" s="587"/>
      <c r="ILH166" s="587"/>
      <c r="ILI166" s="587"/>
      <c r="ILJ166" s="587"/>
      <c r="ILK166" s="588"/>
      <c r="ILL166" s="589"/>
      <c r="ILM166" s="588"/>
      <c r="ILN166" s="589"/>
      <c r="ILO166" s="588"/>
      <c r="ILP166" s="589"/>
      <c r="ILQ166" s="588"/>
      <c r="ILR166" s="589"/>
      <c r="ILS166" s="588"/>
      <c r="ILT166" s="589"/>
      <c r="ILU166" s="429"/>
      <c r="ILV166" s="364"/>
      <c r="ILW166" s="365"/>
      <c r="ILX166" s="354"/>
      <c r="ILY166" s="465"/>
      <c r="ILZ166" s="565"/>
      <c r="IMA166" s="572"/>
      <c r="IMB166" s="572"/>
      <c r="IMC166" s="566"/>
      <c r="IMD166" s="587"/>
      <c r="IME166" s="587"/>
      <c r="IMF166" s="587"/>
      <c r="IMG166" s="587"/>
      <c r="IMH166" s="588"/>
      <c r="IMI166" s="589"/>
      <c r="IMJ166" s="588"/>
      <c r="IMK166" s="589"/>
      <c r="IML166" s="588"/>
      <c r="IMM166" s="589"/>
      <c r="IMN166" s="588"/>
      <c r="IMO166" s="589"/>
      <c r="IMP166" s="588"/>
      <c r="IMQ166" s="589"/>
      <c r="IMR166" s="429"/>
      <c r="IMS166" s="364"/>
      <c r="IMT166" s="365"/>
      <c r="IMU166" s="354"/>
      <c r="IMV166" s="465"/>
      <c r="IMW166" s="565"/>
      <c r="IMX166" s="572"/>
      <c r="IMY166" s="572"/>
      <c r="IMZ166" s="566"/>
      <c r="INA166" s="587"/>
      <c r="INB166" s="587"/>
      <c r="INC166" s="587"/>
      <c r="IND166" s="587"/>
      <c r="INE166" s="588"/>
      <c r="INF166" s="589"/>
      <c r="ING166" s="588"/>
      <c r="INH166" s="589"/>
      <c r="INI166" s="588"/>
      <c r="INJ166" s="589"/>
      <c r="INK166" s="588"/>
      <c r="INL166" s="589"/>
      <c r="INM166" s="588"/>
      <c r="INN166" s="589"/>
      <c r="INO166" s="429"/>
      <c r="INP166" s="364"/>
      <c r="INQ166" s="365"/>
      <c r="INR166" s="354"/>
      <c r="INS166" s="465"/>
      <c r="INT166" s="565"/>
      <c r="INU166" s="572"/>
      <c r="INV166" s="572"/>
      <c r="INW166" s="566"/>
      <c r="INX166" s="587"/>
      <c r="INY166" s="587"/>
      <c r="INZ166" s="587"/>
      <c r="IOA166" s="587"/>
      <c r="IOB166" s="588"/>
      <c r="IOC166" s="589"/>
      <c r="IOD166" s="588"/>
      <c r="IOE166" s="589"/>
      <c r="IOF166" s="588"/>
      <c r="IOG166" s="589"/>
      <c r="IOH166" s="588"/>
      <c r="IOI166" s="589"/>
      <c r="IOJ166" s="588"/>
      <c r="IOK166" s="589"/>
      <c r="IOL166" s="429"/>
      <c r="IOM166" s="364"/>
      <c r="ION166" s="365"/>
      <c r="IOO166" s="354"/>
      <c r="IOP166" s="465"/>
      <c r="IOQ166" s="565"/>
      <c r="IOR166" s="572"/>
      <c r="IOS166" s="572"/>
      <c r="IOT166" s="566"/>
      <c r="IOU166" s="587"/>
      <c r="IOV166" s="587"/>
      <c r="IOW166" s="587"/>
      <c r="IOX166" s="587"/>
      <c r="IOY166" s="588"/>
      <c r="IOZ166" s="589"/>
      <c r="IPA166" s="588"/>
      <c r="IPB166" s="589"/>
      <c r="IPC166" s="588"/>
      <c r="IPD166" s="589"/>
      <c r="IPE166" s="588"/>
      <c r="IPF166" s="589"/>
      <c r="IPG166" s="588"/>
      <c r="IPH166" s="589"/>
      <c r="IPI166" s="429"/>
      <c r="IPJ166" s="364"/>
      <c r="IPK166" s="365"/>
      <c r="IPL166" s="354"/>
      <c r="IPM166" s="465"/>
      <c r="IPN166" s="565"/>
      <c r="IPO166" s="572"/>
      <c r="IPP166" s="572"/>
      <c r="IPQ166" s="566"/>
      <c r="IPR166" s="587"/>
      <c r="IPS166" s="587"/>
      <c r="IPT166" s="587"/>
      <c r="IPU166" s="587"/>
      <c r="IPV166" s="588"/>
      <c r="IPW166" s="589"/>
      <c r="IPX166" s="588"/>
      <c r="IPY166" s="589"/>
      <c r="IPZ166" s="588"/>
      <c r="IQA166" s="589"/>
      <c r="IQB166" s="588"/>
      <c r="IQC166" s="589"/>
      <c r="IQD166" s="588"/>
      <c r="IQE166" s="589"/>
      <c r="IQF166" s="429"/>
      <c r="IQG166" s="364"/>
      <c r="IQH166" s="365"/>
      <c r="IQI166" s="354"/>
      <c r="IQJ166" s="465"/>
      <c r="IQK166" s="565"/>
      <c r="IQL166" s="572"/>
      <c r="IQM166" s="572"/>
      <c r="IQN166" s="566"/>
      <c r="IQO166" s="587"/>
      <c r="IQP166" s="587"/>
      <c r="IQQ166" s="587"/>
      <c r="IQR166" s="587"/>
      <c r="IQS166" s="588"/>
      <c r="IQT166" s="589"/>
      <c r="IQU166" s="588"/>
      <c r="IQV166" s="589"/>
      <c r="IQW166" s="588"/>
      <c r="IQX166" s="589"/>
      <c r="IQY166" s="588"/>
      <c r="IQZ166" s="589"/>
      <c r="IRA166" s="588"/>
      <c r="IRB166" s="589"/>
      <c r="IRC166" s="429"/>
      <c r="IRD166" s="364"/>
      <c r="IRE166" s="365"/>
      <c r="IRF166" s="354"/>
      <c r="IRG166" s="465"/>
      <c r="IRH166" s="565"/>
      <c r="IRI166" s="572"/>
      <c r="IRJ166" s="572"/>
      <c r="IRK166" s="566"/>
      <c r="IRL166" s="587"/>
      <c r="IRM166" s="587"/>
      <c r="IRN166" s="587"/>
      <c r="IRO166" s="587"/>
      <c r="IRP166" s="588"/>
      <c r="IRQ166" s="589"/>
      <c r="IRR166" s="588"/>
      <c r="IRS166" s="589"/>
      <c r="IRT166" s="588"/>
      <c r="IRU166" s="589"/>
      <c r="IRV166" s="588"/>
      <c r="IRW166" s="589"/>
      <c r="IRX166" s="588"/>
      <c r="IRY166" s="589"/>
      <c r="IRZ166" s="429"/>
      <c r="ISA166" s="364"/>
      <c r="ISB166" s="365"/>
      <c r="ISC166" s="354"/>
      <c r="ISD166" s="465"/>
      <c r="ISE166" s="565"/>
      <c r="ISF166" s="572"/>
      <c r="ISG166" s="572"/>
      <c r="ISH166" s="566"/>
      <c r="ISI166" s="587"/>
      <c r="ISJ166" s="587"/>
      <c r="ISK166" s="587"/>
      <c r="ISL166" s="587"/>
      <c r="ISM166" s="588"/>
      <c r="ISN166" s="589"/>
      <c r="ISO166" s="588"/>
      <c r="ISP166" s="589"/>
      <c r="ISQ166" s="588"/>
      <c r="ISR166" s="589"/>
      <c r="ISS166" s="588"/>
      <c r="IST166" s="589"/>
      <c r="ISU166" s="588"/>
      <c r="ISV166" s="589"/>
      <c r="ISW166" s="429"/>
      <c r="ISX166" s="364"/>
      <c r="ISY166" s="365"/>
      <c r="ISZ166" s="354"/>
      <c r="ITA166" s="465"/>
      <c r="ITB166" s="565"/>
      <c r="ITC166" s="572"/>
      <c r="ITD166" s="572"/>
      <c r="ITE166" s="566"/>
      <c r="ITF166" s="587"/>
      <c r="ITG166" s="587"/>
      <c r="ITH166" s="587"/>
      <c r="ITI166" s="587"/>
      <c r="ITJ166" s="588"/>
      <c r="ITK166" s="589"/>
      <c r="ITL166" s="588"/>
      <c r="ITM166" s="589"/>
      <c r="ITN166" s="588"/>
      <c r="ITO166" s="589"/>
      <c r="ITP166" s="588"/>
      <c r="ITQ166" s="589"/>
      <c r="ITR166" s="588"/>
      <c r="ITS166" s="589"/>
      <c r="ITT166" s="429"/>
      <c r="ITU166" s="364"/>
      <c r="ITV166" s="365"/>
      <c r="ITW166" s="354"/>
      <c r="ITX166" s="465"/>
      <c r="ITY166" s="565"/>
      <c r="ITZ166" s="572"/>
      <c r="IUA166" s="572"/>
      <c r="IUB166" s="566"/>
      <c r="IUC166" s="587"/>
      <c r="IUD166" s="587"/>
      <c r="IUE166" s="587"/>
      <c r="IUF166" s="587"/>
      <c r="IUG166" s="588"/>
      <c r="IUH166" s="589"/>
      <c r="IUI166" s="588"/>
      <c r="IUJ166" s="589"/>
      <c r="IUK166" s="588"/>
      <c r="IUL166" s="589"/>
      <c r="IUM166" s="588"/>
      <c r="IUN166" s="589"/>
      <c r="IUO166" s="588"/>
      <c r="IUP166" s="589"/>
      <c r="IUQ166" s="429"/>
      <c r="IUR166" s="364"/>
      <c r="IUS166" s="365"/>
      <c r="IUT166" s="354"/>
      <c r="IUU166" s="465"/>
      <c r="IUV166" s="565"/>
      <c r="IUW166" s="572"/>
      <c r="IUX166" s="572"/>
      <c r="IUY166" s="566"/>
      <c r="IUZ166" s="587"/>
      <c r="IVA166" s="587"/>
      <c r="IVB166" s="587"/>
      <c r="IVC166" s="587"/>
      <c r="IVD166" s="588"/>
      <c r="IVE166" s="589"/>
      <c r="IVF166" s="588"/>
      <c r="IVG166" s="589"/>
      <c r="IVH166" s="588"/>
      <c r="IVI166" s="589"/>
      <c r="IVJ166" s="588"/>
      <c r="IVK166" s="589"/>
      <c r="IVL166" s="588"/>
      <c r="IVM166" s="589"/>
      <c r="IVN166" s="429"/>
      <c r="IVO166" s="364"/>
      <c r="IVP166" s="365"/>
      <c r="IVQ166" s="354"/>
      <c r="IVR166" s="465"/>
      <c r="IVS166" s="565"/>
      <c r="IVT166" s="572"/>
      <c r="IVU166" s="572"/>
      <c r="IVV166" s="566"/>
      <c r="IVW166" s="587"/>
      <c r="IVX166" s="587"/>
      <c r="IVY166" s="587"/>
      <c r="IVZ166" s="587"/>
      <c r="IWA166" s="588"/>
      <c r="IWB166" s="589"/>
      <c r="IWC166" s="588"/>
      <c r="IWD166" s="589"/>
      <c r="IWE166" s="588"/>
      <c r="IWF166" s="589"/>
      <c r="IWG166" s="588"/>
      <c r="IWH166" s="589"/>
      <c r="IWI166" s="588"/>
      <c r="IWJ166" s="589"/>
      <c r="IWK166" s="429"/>
      <c r="IWL166" s="364"/>
      <c r="IWM166" s="365"/>
      <c r="IWN166" s="354"/>
      <c r="IWO166" s="465"/>
      <c r="IWP166" s="565"/>
      <c r="IWQ166" s="572"/>
      <c r="IWR166" s="572"/>
      <c r="IWS166" s="566"/>
      <c r="IWT166" s="587"/>
      <c r="IWU166" s="587"/>
      <c r="IWV166" s="587"/>
      <c r="IWW166" s="587"/>
      <c r="IWX166" s="588"/>
      <c r="IWY166" s="589"/>
      <c r="IWZ166" s="588"/>
      <c r="IXA166" s="589"/>
      <c r="IXB166" s="588"/>
      <c r="IXC166" s="589"/>
      <c r="IXD166" s="588"/>
      <c r="IXE166" s="589"/>
      <c r="IXF166" s="588"/>
      <c r="IXG166" s="589"/>
      <c r="IXH166" s="429"/>
      <c r="IXI166" s="364"/>
      <c r="IXJ166" s="365"/>
      <c r="IXK166" s="354"/>
      <c r="IXL166" s="465"/>
      <c r="IXM166" s="565"/>
      <c r="IXN166" s="572"/>
      <c r="IXO166" s="572"/>
      <c r="IXP166" s="566"/>
      <c r="IXQ166" s="587"/>
      <c r="IXR166" s="587"/>
      <c r="IXS166" s="587"/>
      <c r="IXT166" s="587"/>
      <c r="IXU166" s="588"/>
      <c r="IXV166" s="589"/>
      <c r="IXW166" s="588"/>
      <c r="IXX166" s="589"/>
      <c r="IXY166" s="588"/>
      <c r="IXZ166" s="589"/>
      <c r="IYA166" s="588"/>
      <c r="IYB166" s="589"/>
      <c r="IYC166" s="588"/>
      <c r="IYD166" s="589"/>
      <c r="IYE166" s="429"/>
      <c r="IYF166" s="364"/>
      <c r="IYG166" s="365"/>
      <c r="IYH166" s="354"/>
      <c r="IYI166" s="465"/>
      <c r="IYJ166" s="565"/>
      <c r="IYK166" s="572"/>
      <c r="IYL166" s="572"/>
      <c r="IYM166" s="566"/>
      <c r="IYN166" s="587"/>
      <c r="IYO166" s="587"/>
      <c r="IYP166" s="587"/>
      <c r="IYQ166" s="587"/>
      <c r="IYR166" s="588"/>
      <c r="IYS166" s="589"/>
      <c r="IYT166" s="588"/>
      <c r="IYU166" s="589"/>
      <c r="IYV166" s="588"/>
      <c r="IYW166" s="589"/>
      <c r="IYX166" s="588"/>
      <c r="IYY166" s="589"/>
      <c r="IYZ166" s="588"/>
      <c r="IZA166" s="589"/>
      <c r="IZB166" s="429"/>
      <c r="IZC166" s="364"/>
      <c r="IZD166" s="365"/>
      <c r="IZE166" s="354"/>
      <c r="IZF166" s="465"/>
      <c r="IZG166" s="565"/>
      <c r="IZH166" s="572"/>
      <c r="IZI166" s="572"/>
      <c r="IZJ166" s="566"/>
      <c r="IZK166" s="587"/>
      <c r="IZL166" s="587"/>
      <c r="IZM166" s="587"/>
      <c r="IZN166" s="587"/>
      <c r="IZO166" s="588"/>
      <c r="IZP166" s="589"/>
      <c r="IZQ166" s="588"/>
      <c r="IZR166" s="589"/>
      <c r="IZS166" s="588"/>
      <c r="IZT166" s="589"/>
      <c r="IZU166" s="588"/>
      <c r="IZV166" s="589"/>
      <c r="IZW166" s="588"/>
      <c r="IZX166" s="589"/>
      <c r="IZY166" s="429"/>
      <c r="IZZ166" s="364"/>
      <c r="JAA166" s="365"/>
      <c r="JAB166" s="354"/>
      <c r="JAC166" s="465"/>
      <c r="JAD166" s="565"/>
      <c r="JAE166" s="572"/>
      <c r="JAF166" s="572"/>
      <c r="JAG166" s="566"/>
      <c r="JAH166" s="587"/>
      <c r="JAI166" s="587"/>
      <c r="JAJ166" s="587"/>
      <c r="JAK166" s="587"/>
      <c r="JAL166" s="588"/>
      <c r="JAM166" s="589"/>
      <c r="JAN166" s="588"/>
      <c r="JAO166" s="589"/>
      <c r="JAP166" s="588"/>
      <c r="JAQ166" s="589"/>
      <c r="JAR166" s="588"/>
      <c r="JAS166" s="589"/>
      <c r="JAT166" s="588"/>
      <c r="JAU166" s="589"/>
      <c r="JAV166" s="429"/>
      <c r="JAW166" s="364"/>
      <c r="JAX166" s="365"/>
      <c r="JAY166" s="354"/>
      <c r="JAZ166" s="465"/>
      <c r="JBA166" s="565"/>
      <c r="JBB166" s="572"/>
      <c r="JBC166" s="572"/>
      <c r="JBD166" s="566"/>
      <c r="JBE166" s="587"/>
      <c r="JBF166" s="587"/>
      <c r="JBG166" s="587"/>
      <c r="JBH166" s="587"/>
      <c r="JBI166" s="588"/>
      <c r="JBJ166" s="589"/>
      <c r="JBK166" s="588"/>
      <c r="JBL166" s="589"/>
      <c r="JBM166" s="588"/>
      <c r="JBN166" s="589"/>
      <c r="JBO166" s="588"/>
      <c r="JBP166" s="589"/>
      <c r="JBQ166" s="588"/>
      <c r="JBR166" s="589"/>
      <c r="JBS166" s="429"/>
      <c r="JBT166" s="364"/>
      <c r="JBU166" s="365"/>
      <c r="JBV166" s="354"/>
      <c r="JBW166" s="465"/>
      <c r="JBX166" s="565"/>
      <c r="JBY166" s="572"/>
      <c r="JBZ166" s="572"/>
      <c r="JCA166" s="566"/>
      <c r="JCB166" s="587"/>
      <c r="JCC166" s="587"/>
      <c r="JCD166" s="587"/>
      <c r="JCE166" s="587"/>
      <c r="JCF166" s="588"/>
      <c r="JCG166" s="589"/>
      <c r="JCH166" s="588"/>
      <c r="JCI166" s="589"/>
      <c r="JCJ166" s="588"/>
      <c r="JCK166" s="589"/>
      <c r="JCL166" s="588"/>
      <c r="JCM166" s="589"/>
      <c r="JCN166" s="588"/>
      <c r="JCO166" s="589"/>
      <c r="JCP166" s="429"/>
      <c r="JCQ166" s="364"/>
      <c r="JCR166" s="365"/>
      <c r="JCS166" s="354"/>
      <c r="JCT166" s="465"/>
      <c r="JCU166" s="565"/>
      <c r="JCV166" s="572"/>
      <c r="JCW166" s="572"/>
      <c r="JCX166" s="566"/>
      <c r="JCY166" s="587"/>
      <c r="JCZ166" s="587"/>
      <c r="JDA166" s="587"/>
      <c r="JDB166" s="587"/>
      <c r="JDC166" s="588"/>
      <c r="JDD166" s="589"/>
      <c r="JDE166" s="588"/>
      <c r="JDF166" s="589"/>
      <c r="JDG166" s="588"/>
      <c r="JDH166" s="589"/>
      <c r="JDI166" s="588"/>
      <c r="JDJ166" s="589"/>
      <c r="JDK166" s="588"/>
      <c r="JDL166" s="589"/>
      <c r="JDM166" s="429"/>
      <c r="JDN166" s="364"/>
      <c r="JDO166" s="365"/>
      <c r="JDP166" s="354"/>
      <c r="JDQ166" s="465"/>
      <c r="JDR166" s="565"/>
      <c r="JDS166" s="572"/>
      <c r="JDT166" s="572"/>
      <c r="JDU166" s="566"/>
      <c r="JDV166" s="587"/>
      <c r="JDW166" s="587"/>
      <c r="JDX166" s="587"/>
      <c r="JDY166" s="587"/>
      <c r="JDZ166" s="588"/>
      <c r="JEA166" s="589"/>
      <c r="JEB166" s="588"/>
      <c r="JEC166" s="589"/>
      <c r="JED166" s="588"/>
      <c r="JEE166" s="589"/>
      <c r="JEF166" s="588"/>
      <c r="JEG166" s="589"/>
      <c r="JEH166" s="588"/>
      <c r="JEI166" s="589"/>
      <c r="JEJ166" s="429"/>
      <c r="JEK166" s="364"/>
      <c r="JEL166" s="365"/>
      <c r="JEM166" s="354"/>
      <c r="JEN166" s="465"/>
      <c r="JEO166" s="565"/>
      <c r="JEP166" s="572"/>
      <c r="JEQ166" s="572"/>
      <c r="JER166" s="566"/>
      <c r="JES166" s="587"/>
      <c r="JET166" s="587"/>
      <c r="JEU166" s="587"/>
      <c r="JEV166" s="587"/>
      <c r="JEW166" s="588"/>
      <c r="JEX166" s="589"/>
      <c r="JEY166" s="588"/>
      <c r="JEZ166" s="589"/>
      <c r="JFA166" s="588"/>
      <c r="JFB166" s="589"/>
      <c r="JFC166" s="588"/>
      <c r="JFD166" s="589"/>
      <c r="JFE166" s="588"/>
      <c r="JFF166" s="589"/>
      <c r="JFG166" s="429"/>
      <c r="JFH166" s="364"/>
      <c r="JFI166" s="365"/>
      <c r="JFJ166" s="354"/>
      <c r="JFK166" s="465"/>
      <c r="JFL166" s="565"/>
      <c r="JFM166" s="572"/>
      <c r="JFN166" s="572"/>
      <c r="JFO166" s="566"/>
      <c r="JFP166" s="587"/>
      <c r="JFQ166" s="587"/>
      <c r="JFR166" s="587"/>
      <c r="JFS166" s="587"/>
      <c r="JFT166" s="588"/>
      <c r="JFU166" s="589"/>
      <c r="JFV166" s="588"/>
      <c r="JFW166" s="589"/>
      <c r="JFX166" s="588"/>
      <c r="JFY166" s="589"/>
      <c r="JFZ166" s="588"/>
      <c r="JGA166" s="589"/>
      <c r="JGB166" s="588"/>
      <c r="JGC166" s="589"/>
      <c r="JGD166" s="429"/>
      <c r="JGE166" s="364"/>
      <c r="JGF166" s="365"/>
      <c r="JGG166" s="354"/>
      <c r="JGH166" s="465"/>
      <c r="JGI166" s="565"/>
      <c r="JGJ166" s="572"/>
      <c r="JGK166" s="572"/>
      <c r="JGL166" s="566"/>
      <c r="JGM166" s="587"/>
      <c r="JGN166" s="587"/>
      <c r="JGO166" s="587"/>
      <c r="JGP166" s="587"/>
      <c r="JGQ166" s="588"/>
      <c r="JGR166" s="589"/>
      <c r="JGS166" s="588"/>
      <c r="JGT166" s="589"/>
      <c r="JGU166" s="588"/>
      <c r="JGV166" s="589"/>
      <c r="JGW166" s="588"/>
      <c r="JGX166" s="589"/>
      <c r="JGY166" s="588"/>
      <c r="JGZ166" s="589"/>
      <c r="JHA166" s="429"/>
      <c r="JHB166" s="364"/>
      <c r="JHC166" s="365"/>
      <c r="JHD166" s="354"/>
      <c r="JHE166" s="465"/>
      <c r="JHF166" s="565"/>
      <c r="JHG166" s="572"/>
      <c r="JHH166" s="572"/>
      <c r="JHI166" s="566"/>
      <c r="JHJ166" s="587"/>
      <c r="JHK166" s="587"/>
      <c r="JHL166" s="587"/>
      <c r="JHM166" s="587"/>
      <c r="JHN166" s="588"/>
      <c r="JHO166" s="589"/>
      <c r="JHP166" s="588"/>
      <c r="JHQ166" s="589"/>
      <c r="JHR166" s="588"/>
      <c r="JHS166" s="589"/>
      <c r="JHT166" s="588"/>
      <c r="JHU166" s="589"/>
      <c r="JHV166" s="588"/>
      <c r="JHW166" s="589"/>
      <c r="JHX166" s="429"/>
      <c r="JHY166" s="364"/>
      <c r="JHZ166" s="365"/>
      <c r="JIA166" s="354"/>
      <c r="JIB166" s="465"/>
      <c r="JIC166" s="565"/>
      <c r="JID166" s="572"/>
      <c r="JIE166" s="572"/>
      <c r="JIF166" s="566"/>
      <c r="JIG166" s="587"/>
      <c r="JIH166" s="587"/>
      <c r="JII166" s="587"/>
      <c r="JIJ166" s="587"/>
      <c r="JIK166" s="588"/>
      <c r="JIL166" s="589"/>
      <c r="JIM166" s="588"/>
      <c r="JIN166" s="589"/>
      <c r="JIO166" s="588"/>
      <c r="JIP166" s="589"/>
      <c r="JIQ166" s="588"/>
      <c r="JIR166" s="589"/>
      <c r="JIS166" s="588"/>
      <c r="JIT166" s="589"/>
      <c r="JIU166" s="429"/>
      <c r="JIV166" s="364"/>
      <c r="JIW166" s="365"/>
      <c r="JIX166" s="354"/>
      <c r="JIY166" s="465"/>
      <c r="JIZ166" s="565"/>
      <c r="JJA166" s="572"/>
      <c r="JJB166" s="572"/>
      <c r="JJC166" s="566"/>
      <c r="JJD166" s="587"/>
      <c r="JJE166" s="587"/>
      <c r="JJF166" s="587"/>
      <c r="JJG166" s="587"/>
      <c r="JJH166" s="588"/>
      <c r="JJI166" s="589"/>
      <c r="JJJ166" s="588"/>
      <c r="JJK166" s="589"/>
      <c r="JJL166" s="588"/>
      <c r="JJM166" s="589"/>
      <c r="JJN166" s="588"/>
      <c r="JJO166" s="589"/>
      <c r="JJP166" s="588"/>
      <c r="JJQ166" s="589"/>
      <c r="JJR166" s="429"/>
      <c r="JJS166" s="364"/>
      <c r="JJT166" s="365"/>
      <c r="JJU166" s="354"/>
      <c r="JJV166" s="465"/>
      <c r="JJW166" s="565"/>
      <c r="JJX166" s="572"/>
      <c r="JJY166" s="572"/>
      <c r="JJZ166" s="566"/>
      <c r="JKA166" s="587"/>
      <c r="JKB166" s="587"/>
      <c r="JKC166" s="587"/>
      <c r="JKD166" s="587"/>
      <c r="JKE166" s="588"/>
      <c r="JKF166" s="589"/>
      <c r="JKG166" s="588"/>
      <c r="JKH166" s="589"/>
      <c r="JKI166" s="588"/>
      <c r="JKJ166" s="589"/>
      <c r="JKK166" s="588"/>
      <c r="JKL166" s="589"/>
      <c r="JKM166" s="588"/>
      <c r="JKN166" s="589"/>
      <c r="JKO166" s="429"/>
      <c r="JKP166" s="364"/>
      <c r="JKQ166" s="365"/>
      <c r="JKR166" s="354"/>
      <c r="JKS166" s="465"/>
      <c r="JKT166" s="565"/>
      <c r="JKU166" s="572"/>
      <c r="JKV166" s="572"/>
      <c r="JKW166" s="566"/>
      <c r="JKX166" s="587"/>
      <c r="JKY166" s="587"/>
      <c r="JKZ166" s="587"/>
      <c r="JLA166" s="587"/>
      <c r="JLB166" s="588"/>
      <c r="JLC166" s="589"/>
      <c r="JLD166" s="588"/>
      <c r="JLE166" s="589"/>
      <c r="JLF166" s="588"/>
      <c r="JLG166" s="589"/>
      <c r="JLH166" s="588"/>
      <c r="JLI166" s="589"/>
      <c r="JLJ166" s="588"/>
      <c r="JLK166" s="589"/>
      <c r="JLL166" s="429"/>
      <c r="JLM166" s="364"/>
      <c r="JLN166" s="365"/>
      <c r="JLO166" s="354"/>
      <c r="JLP166" s="465"/>
      <c r="JLQ166" s="565"/>
      <c r="JLR166" s="572"/>
      <c r="JLS166" s="572"/>
      <c r="JLT166" s="566"/>
      <c r="JLU166" s="587"/>
      <c r="JLV166" s="587"/>
      <c r="JLW166" s="587"/>
      <c r="JLX166" s="587"/>
      <c r="JLY166" s="588"/>
      <c r="JLZ166" s="589"/>
      <c r="JMA166" s="588"/>
      <c r="JMB166" s="589"/>
      <c r="JMC166" s="588"/>
      <c r="JMD166" s="589"/>
      <c r="JME166" s="588"/>
      <c r="JMF166" s="589"/>
      <c r="JMG166" s="588"/>
      <c r="JMH166" s="589"/>
      <c r="JMI166" s="429"/>
      <c r="JMJ166" s="364"/>
      <c r="JMK166" s="365"/>
      <c r="JML166" s="354"/>
      <c r="JMM166" s="465"/>
      <c r="JMN166" s="565"/>
      <c r="JMO166" s="572"/>
      <c r="JMP166" s="572"/>
      <c r="JMQ166" s="566"/>
      <c r="JMR166" s="587"/>
      <c r="JMS166" s="587"/>
      <c r="JMT166" s="587"/>
      <c r="JMU166" s="587"/>
      <c r="JMV166" s="588"/>
      <c r="JMW166" s="589"/>
      <c r="JMX166" s="588"/>
      <c r="JMY166" s="589"/>
      <c r="JMZ166" s="588"/>
      <c r="JNA166" s="589"/>
      <c r="JNB166" s="588"/>
      <c r="JNC166" s="589"/>
      <c r="JND166" s="588"/>
      <c r="JNE166" s="589"/>
      <c r="JNF166" s="429"/>
      <c r="JNG166" s="364"/>
      <c r="JNH166" s="365"/>
      <c r="JNI166" s="354"/>
      <c r="JNJ166" s="465"/>
      <c r="JNK166" s="565"/>
      <c r="JNL166" s="572"/>
      <c r="JNM166" s="572"/>
      <c r="JNN166" s="566"/>
      <c r="JNO166" s="587"/>
      <c r="JNP166" s="587"/>
      <c r="JNQ166" s="587"/>
      <c r="JNR166" s="587"/>
      <c r="JNS166" s="588"/>
      <c r="JNT166" s="589"/>
      <c r="JNU166" s="588"/>
      <c r="JNV166" s="589"/>
      <c r="JNW166" s="588"/>
      <c r="JNX166" s="589"/>
      <c r="JNY166" s="588"/>
      <c r="JNZ166" s="589"/>
      <c r="JOA166" s="588"/>
      <c r="JOB166" s="589"/>
      <c r="JOC166" s="429"/>
      <c r="JOD166" s="364"/>
      <c r="JOE166" s="365"/>
      <c r="JOF166" s="354"/>
      <c r="JOG166" s="465"/>
      <c r="JOH166" s="565"/>
      <c r="JOI166" s="572"/>
      <c r="JOJ166" s="572"/>
      <c r="JOK166" s="566"/>
      <c r="JOL166" s="587"/>
      <c r="JOM166" s="587"/>
      <c r="JON166" s="587"/>
      <c r="JOO166" s="587"/>
      <c r="JOP166" s="588"/>
      <c r="JOQ166" s="589"/>
      <c r="JOR166" s="588"/>
      <c r="JOS166" s="589"/>
      <c r="JOT166" s="588"/>
      <c r="JOU166" s="589"/>
      <c r="JOV166" s="588"/>
      <c r="JOW166" s="589"/>
      <c r="JOX166" s="588"/>
      <c r="JOY166" s="589"/>
      <c r="JOZ166" s="429"/>
      <c r="JPA166" s="364"/>
      <c r="JPB166" s="365"/>
      <c r="JPC166" s="354"/>
      <c r="JPD166" s="465"/>
      <c r="JPE166" s="565"/>
      <c r="JPF166" s="572"/>
      <c r="JPG166" s="572"/>
      <c r="JPH166" s="566"/>
      <c r="JPI166" s="587"/>
      <c r="JPJ166" s="587"/>
      <c r="JPK166" s="587"/>
      <c r="JPL166" s="587"/>
      <c r="JPM166" s="588"/>
      <c r="JPN166" s="589"/>
      <c r="JPO166" s="588"/>
      <c r="JPP166" s="589"/>
      <c r="JPQ166" s="588"/>
      <c r="JPR166" s="589"/>
      <c r="JPS166" s="588"/>
      <c r="JPT166" s="589"/>
      <c r="JPU166" s="588"/>
      <c r="JPV166" s="589"/>
      <c r="JPW166" s="429"/>
      <c r="JPX166" s="364"/>
      <c r="JPY166" s="365"/>
      <c r="JPZ166" s="354"/>
      <c r="JQA166" s="465"/>
      <c r="JQB166" s="565"/>
      <c r="JQC166" s="572"/>
      <c r="JQD166" s="572"/>
      <c r="JQE166" s="566"/>
      <c r="JQF166" s="587"/>
      <c r="JQG166" s="587"/>
      <c r="JQH166" s="587"/>
      <c r="JQI166" s="587"/>
      <c r="JQJ166" s="588"/>
      <c r="JQK166" s="589"/>
      <c r="JQL166" s="588"/>
      <c r="JQM166" s="589"/>
      <c r="JQN166" s="588"/>
      <c r="JQO166" s="589"/>
      <c r="JQP166" s="588"/>
      <c r="JQQ166" s="589"/>
      <c r="JQR166" s="588"/>
      <c r="JQS166" s="589"/>
      <c r="JQT166" s="429"/>
      <c r="JQU166" s="364"/>
      <c r="JQV166" s="365"/>
      <c r="JQW166" s="354"/>
      <c r="JQX166" s="465"/>
      <c r="JQY166" s="565"/>
      <c r="JQZ166" s="572"/>
      <c r="JRA166" s="572"/>
      <c r="JRB166" s="566"/>
      <c r="JRC166" s="587"/>
      <c r="JRD166" s="587"/>
      <c r="JRE166" s="587"/>
      <c r="JRF166" s="587"/>
      <c r="JRG166" s="588"/>
      <c r="JRH166" s="589"/>
      <c r="JRI166" s="588"/>
      <c r="JRJ166" s="589"/>
      <c r="JRK166" s="588"/>
      <c r="JRL166" s="589"/>
      <c r="JRM166" s="588"/>
      <c r="JRN166" s="589"/>
      <c r="JRO166" s="588"/>
      <c r="JRP166" s="589"/>
      <c r="JRQ166" s="429"/>
      <c r="JRR166" s="364"/>
      <c r="JRS166" s="365"/>
      <c r="JRT166" s="354"/>
      <c r="JRU166" s="465"/>
      <c r="JRV166" s="565"/>
      <c r="JRW166" s="572"/>
      <c r="JRX166" s="572"/>
      <c r="JRY166" s="566"/>
      <c r="JRZ166" s="587"/>
      <c r="JSA166" s="587"/>
      <c r="JSB166" s="587"/>
      <c r="JSC166" s="587"/>
      <c r="JSD166" s="588"/>
      <c r="JSE166" s="589"/>
      <c r="JSF166" s="588"/>
      <c r="JSG166" s="589"/>
      <c r="JSH166" s="588"/>
      <c r="JSI166" s="589"/>
      <c r="JSJ166" s="588"/>
      <c r="JSK166" s="589"/>
      <c r="JSL166" s="588"/>
      <c r="JSM166" s="589"/>
      <c r="JSN166" s="429"/>
      <c r="JSO166" s="364"/>
      <c r="JSP166" s="365"/>
      <c r="JSQ166" s="354"/>
      <c r="JSR166" s="465"/>
      <c r="JSS166" s="565"/>
      <c r="JST166" s="572"/>
      <c r="JSU166" s="572"/>
      <c r="JSV166" s="566"/>
      <c r="JSW166" s="587"/>
      <c r="JSX166" s="587"/>
      <c r="JSY166" s="587"/>
      <c r="JSZ166" s="587"/>
      <c r="JTA166" s="588"/>
      <c r="JTB166" s="589"/>
      <c r="JTC166" s="588"/>
      <c r="JTD166" s="589"/>
      <c r="JTE166" s="588"/>
      <c r="JTF166" s="589"/>
      <c r="JTG166" s="588"/>
      <c r="JTH166" s="589"/>
      <c r="JTI166" s="588"/>
      <c r="JTJ166" s="589"/>
      <c r="JTK166" s="429"/>
      <c r="JTL166" s="364"/>
      <c r="JTM166" s="365"/>
      <c r="JTN166" s="354"/>
      <c r="JTO166" s="465"/>
      <c r="JTP166" s="565"/>
      <c r="JTQ166" s="572"/>
      <c r="JTR166" s="572"/>
      <c r="JTS166" s="566"/>
      <c r="JTT166" s="587"/>
      <c r="JTU166" s="587"/>
      <c r="JTV166" s="587"/>
      <c r="JTW166" s="587"/>
      <c r="JTX166" s="588"/>
      <c r="JTY166" s="589"/>
      <c r="JTZ166" s="588"/>
      <c r="JUA166" s="589"/>
      <c r="JUB166" s="588"/>
      <c r="JUC166" s="589"/>
      <c r="JUD166" s="588"/>
      <c r="JUE166" s="589"/>
      <c r="JUF166" s="588"/>
      <c r="JUG166" s="589"/>
      <c r="JUH166" s="429"/>
      <c r="JUI166" s="364"/>
      <c r="JUJ166" s="365"/>
      <c r="JUK166" s="354"/>
      <c r="JUL166" s="465"/>
      <c r="JUM166" s="565"/>
      <c r="JUN166" s="572"/>
      <c r="JUO166" s="572"/>
      <c r="JUP166" s="566"/>
      <c r="JUQ166" s="587"/>
      <c r="JUR166" s="587"/>
      <c r="JUS166" s="587"/>
      <c r="JUT166" s="587"/>
      <c r="JUU166" s="588"/>
      <c r="JUV166" s="589"/>
      <c r="JUW166" s="588"/>
      <c r="JUX166" s="589"/>
      <c r="JUY166" s="588"/>
      <c r="JUZ166" s="589"/>
      <c r="JVA166" s="588"/>
      <c r="JVB166" s="589"/>
      <c r="JVC166" s="588"/>
      <c r="JVD166" s="589"/>
      <c r="JVE166" s="429"/>
      <c r="JVF166" s="364"/>
      <c r="JVG166" s="365"/>
      <c r="JVH166" s="354"/>
      <c r="JVI166" s="465"/>
      <c r="JVJ166" s="565"/>
      <c r="JVK166" s="572"/>
      <c r="JVL166" s="572"/>
      <c r="JVM166" s="566"/>
      <c r="JVN166" s="587"/>
      <c r="JVO166" s="587"/>
      <c r="JVP166" s="587"/>
      <c r="JVQ166" s="587"/>
      <c r="JVR166" s="588"/>
      <c r="JVS166" s="589"/>
      <c r="JVT166" s="588"/>
      <c r="JVU166" s="589"/>
      <c r="JVV166" s="588"/>
      <c r="JVW166" s="589"/>
      <c r="JVX166" s="588"/>
      <c r="JVY166" s="589"/>
      <c r="JVZ166" s="588"/>
      <c r="JWA166" s="589"/>
      <c r="JWB166" s="429"/>
      <c r="JWC166" s="364"/>
      <c r="JWD166" s="365"/>
      <c r="JWE166" s="354"/>
      <c r="JWF166" s="465"/>
      <c r="JWG166" s="565"/>
      <c r="JWH166" s="572"/>
      <c r="JWI166" s="572"/>
      <c r="JWJ166" s="566"/>
      <c r="JWK166" s="587"/>
      <c r="JWL166" s="587"/>
      <c r="JWM166" s="587"/>
      <c r="JWN166" s="587"/>
      <c r="JWO166" s="588"/>
      <c r="JWP166" s="589"/>
      <c r="JWQ166" s="588"/>
      <c r="JWR166" s="589"/>
      <c r="JWS166" s="588"/>
      <c r="JWT166" s="589"/>
      <c r="JWU166" s="588"/>
      <c r="JWV166" s="589"/>
      <c r="JWW166" s="588"/>
      <c r="JWX166" s="589"/>
      <c r="JWY166" s="429"/>
      <c r="JWZ166" s="364"/>
      <c r="JXA166" s="365"/>
      <c r="JXB166" s="354"/>
      <c r="JXC166" s="465"/>
      <c r="JXD166" s="565"/>
      <c r="JXE166" s="572"/>
      <c r="JXF166" s="572"/>
      <c r="JXG166" s="566"/>
      <c r="JXH166" s="587"/>
      <c r="JXI166" s="587"/>
      <c r="JXJ166" s="587"/>
      <c r="JXK166" s="587"/>
      <c r="JXL166" s="588"/>
      <c r="JXM166" s="589"/>
      <c r="JXN166" s="588"/>
      <c r="JXO166" s="589"/>
      <c r="JXP166" s="588"/>
      <c r="JXQ166" s="589"/>
      <c r="JXR166" s="588"/>
      <c r="JXS166" s="589"/>
      <c r="JXT166" s="588"/>
      <c r="JXU166" s="589"/>
      <c r="JXV166" s="429"/>
      <c r="JXW166" s="364"/>
      <c r="JXX166" s="365"/>
      <c r="JXY166" s="354"/>
      <c r="JXZ166" s="465"/>
      <c r="JYA166" s="565"/>
      <c r="JYB166" s="572"/>
      <c r="JYC166" s="572"/>
      <c r="JYD166" s="566"/>
      <c r="JYE166" s="587"/>
      <c r="JYF166" s="587"/>
      <c r="JYG166" s="587"/>
      <c r="JYH166" s="587"/>
      <c r="JYI166" s="588"/>
      <c r="JYJ166" s="589"/>
      <c r="JYK166" s="588"/>
      <c r="JYL166" s="589"/>
      <c r="JYM166" s="588"/>
      <c r="JYN166" s="589"/>
      <c r="JYO166" s="588"/>
      <c r="JYP166" s="589"/>
      <c r="JYQ166" s="588"/>
      <c r="JYR166" s="589"/>
      <c r="JYS166" s="429"/>
      <c r="JYT166" s="364"/>
      <c r="JYU166" s="365"/>
      <c r="JYV166" s="354"/>
      <c r="JYW166" s="465"/>
      <c r="JYX166" s="565"/>
      <c r="JYY166" s="572"/>
      <c r="JYZ166" s="572"/>
      <c r="JZA166" s="566"/>
      <c r="JZB166" s="587"/>
      <c r="JZC166" s="587"/>
      <c r="JZD166" s="587"/>
      <c r="JZE166" s="587"/>
      <c r="JZF166" s="588"/>
      <c r="JZG166" s="589"/>
      <c r="JZH166" s="588"/>
      <c r="JZI166" s="589"/>
      <c r="JZJ166" s="588"/>
      <c r="JZK166" s="589"/>
      <c r="JZL166" s="588"/>
      <c r="JZM166" s="589"/>
      <c r="JZN166" s="588"/>
      <c r="JZO166" s="589"/>
      <c r="JZP166" s="429"/>
      <c r="JZQ166" s="364"/>
      <c r="JZR166" s="365"/>
      <c r="JZS166" s="354"/>
      <c r="JZT166" s="465"/>
      <c r="JZU166" s="565"/>
      <c r="JZV166" s="572"/>
      <c r="JZW166" s="572"/>
      <c r="JZX166" s="566"/>
      <c r="JZY166" s="587"/>
      <c r="JZZ166" s="587"/>
      <c r="KAA166" s="587"/>
      <c r="KAB166" s="587"/>
      <c r="KAC166" s="588"/>
      <c r="KAD166" s="589"/>
      <c r="KAE166" s="588"/>
      <c r="KAF166" s="589"/>
      <c r="KAG166" s="588"/>
      <c r="KAH166" s="589"/>
      <c r="KAI166" s="588"/>
      <c r="KAJ166" s="589"/>
      <c r="KAK166" s="588"/>
      <c r="KAL166" s="589"/>
      <c r="KAM166" s="429"/>
      <c r="KAN166" s="364"/>
      <c r="KAO166" s="365"/>
      <c r="KAP166" s="354"/>
      <c r="KAQ166" s="465"/>
      <c r="KAR166" s="565"/>
      <c r="KAS166" s="572"/>
      <c r="KAT166" s="572"/>
      <c r="KAU166" s="566"/>
      <c r="KAV166" s="587"/>
      <c r="KAW166" s="587"/>
      <c r="KAX166" s="587"/>
      <c r="KAY166" s="587"/>
      <c r="KAZ166" s="588"/>
      <c r="KBA166" s="589"/>
      <c r="KBB166" s="588"/>
      <c r="KBC166" s="589"/>
      <c r="KBD166" s="588"/>
      <c r="KBE166" s="589"/>
      <c r="KBF166" s="588"/>
      <c r="KBG166" s="589"/>
      <c r="KBH166" s="588"/>
      <c r="KBI166" s="589"/>
      <c r="KBJ166" s="429"/>
      <c r="KBK166" s="364"/>
      <c r="KBL166" s="365"/>
      <c r="KBM166" s="354"/>
      <c r="KBN166" s="465"/>
      <c r="KBO166" s="565"/>
      <c r="KBP166" s="572"/>
      <c r="KBQ166" s="572"/>
      <c r="KBR166" s="566"/>
      <c r="KBS166" s="587"/>
      <c r="KBT166" s="587"/>
      <c r="KBU166" s="587"/>
      <c r="KBV166" s="587"/>
      <c r="KBW166" s="588"/>
      <c r="KBX166" s="589"/>
      <c r="KBY166" s="588"/>
      <c r="KBZ166" s="589"/>
      <c r="KCA166" s="588"/>
      <c r="KCB166" s="589"/>
      <c r="KCC166" s="588"/>
      <c r="KCD166" s="589"/>
      <c r="KCE166" s="588"/>
      <c r="KCF166" s="589"/>
      <c r="KCG166" s="429"/>
      <c r="KCH166" s="364"/>
      <c r="KCI166" s="365"/>
      <c r="KCJ166" s="354"/>
      <c r="KCK166" s="465"/>
      <c r="KCL166" s="565"/>
      <c r="KCM166" s="572"/>
      <c r="KCN166" s="572"/>
      <c r="KCO166" s="566"/>
      <c r="KCP166" s="587"/>
      <c r="KCQ166" s="587"/>
      <c r="KCR166" s="587"/>
      <c r="KCS166" s="587"/>
      <c r="KCT166" s="588"/>
      <c r="KCU166" s="589"/>
      <c r="KCV166" s="588"/>
      <c r="KCW166" s="589"/>
      <c r="KCX166" s="588"/>
      <c r="KCY166" s="589"/>
      <c r="KCZ166" s="588"/>
      <c r="KDA166" s="589"/>
      <c r="KDB166" s="588"/>
      <c r="KDC166" s="589"/>
      <c r="KDD166" s="429"/>
      <c r="KDE166" s="364"/>
      <c r="KDF166" s="365"/>
      <c r="KDG166" s="354"/>
      <c r="KDH166" s="465"/>
      <c r="KDI166" s="565"/>
      <c r="KDJ166" s="572"/>
      <c r="KDK166" s="572"/>
      <c r="KDL166" s="566"/>
      <c r="KDM166" s="587"/>
      <c r="KDN166" s="587"/>
      <c r="KDO166" s="587"/>
      <c r="KDP166" s="587"/>
      <c r="KDQ166" s="588"/>
      <c r="KDR166" s="589"/>
      <c r="KDS166" s="588"/>
      <c r="KDT166" s="589"/>
      <c r="KDU166" s="588"/>
      <c r="KDV166" s="589"/>
      <c r="KDW166" s="588"/>
      <c r="KDX166" s="589"/>
      <c r="KDY166" s="588"/>
      <c r="KDZ166" s="589"/>
      <c r="KEA166" s="429"/>
      <c r="KEB166" s="364"/>
      <c r="KEC166" s="365"/>
      <c r="KED166" s="354"/>
      <c r="KEE166" s="465"/>
      <c r="KEF166" s="565"/>
      <c r="KEG166" s="572"/>
      <c r="KEH166" s="572"/>
      <c r="KEI166" s="566"/>
      <c r="KEJ166" s="587"/>
      <c r="KEK166" s="587"/>
      <c r="KEL166" s="587"/>
      <c r="KEM166" s="587"/>
      <c r="KEN166" s="588"/>
      <c r="KEO166" s="589"/>
      <c r="KEP166" s="588"/>
      <c r="KEQ166" s="589"/>
      <c r="KER166" s="588"/>
      <c r="KES166" s="589"/>
      <c r="KET166" s="588"/>
      <c r="KEU166" s="589"/>
      <c r="KEV166" s="588"/>
      <c r="KEW166" s="589"/>
      <c r="KEX166" s="429"/>
      <c r="KEY166" s="364"/>
      <c r="KEZ166" s="365"/>
      <c r="KFA166" s="354"/>
      <c r="KFB166" s="465"/>
      <c r="KFC166" s="565"/>
      <c r="KFD166" s="572"/>
      <c r="KFE166" s="572"/>
      <c r="KFF166" s="566"/>
      <c r="KFG166" s="587"/>
      <c r="KFH166" s="587"/>
      <c r="KFI166" s="587"/>
      <c r="KFJ166" s="587"/>
      <c r="KFK166" s="588"/>
      <c r="KFL166" s="589"/>
      <c r="KFM166" s="588"/>
      <c r="KFN166" s="589"/>
      <c r="KFO166" s="588"/>
      <c r="KFP166" s="589"/>
      <c r="KFQ166" s="588"/>
      <c r="KFR166" s="589"/>
      <c r="KFS166" s="588"/>
      <c r="KFT166" s="589"/>
      <c r="KFU166" s="429"/>
      <c r="KFV166" s="364"/>
      <c r="KFW166" s="365"/>
      <c r="KFX166" s="354"/>
      <c r="KFY166" s="465"/>
      <c r="KFZ166" s="565"/>
      <c r="KGA166" s="572"/>
      <c r="KGB166" s="572"/>
      <c r="KGC166" s="566"/>
      <c r="KGD166" s="587"/>
      <c r="KGE166" s="587"/>
      <c r="KGF166" s="587"/>
      <c r="KGG166" s="587"/>
      <c r="KGH166" s="588"/>
      <c r="KGI166" s="589"/>
      <c r="KGJ166" s="588"/>
      <c r="KGK166" s="589"/>
      <c r="KGL166" s="588"/>
      <c r="KGM166" s="589"/>
      <c r="KGN166" s="588"/>
      <c r="KGO166" s="589"/>
      <c r="KGP166" s="588"/>
      <c r="KGQ166" s="589"/>
      <c r="KGR166" s="429"/>
      <c r="KGS166" s="364"/>
      <c r="KGT166" s="365"/>
      <c r="KGU166" s="354"/>
      <c r="KGV166" s="465"/>
      <c r="KGW166" s="565"/>
      <c r="KGX166" s="572"/>
      <c r="KGY166" s="572"/>
      <c r="KGZ166" s="566"/>
      <c r="KHA166" s="587"/>
      <c r="KHB166" s="587"/>
      <c r="KHC166" s="587"/>
      <c r="KHD166" s="587"/>
      <c r="KHE166" s="588"/>
      <c r="KHF166" s="589"/>
      <c r="KHG166" s="588"/>
      <c r="KHH166" s="589"/>
      <c r="KHI166" s="588"/>
      <c r="KHJ166" s="589"/>
      <c r="KHK166" s="588"/>
      <c r="KHL166" s="589"/>
      <c r="KHM166" s="588"/>
      <c r="KHN166" s="589"/>
      <c r="KHO166" s="429"/>
      <c r="KHP166" s="364"/>
      <c r="KHQ166" s="365"/>
      <c r="KHR166" s="354"/>
      <c r="KHS166" s="465"/>
      <c r="KHT166" s="565"/>
      <c r="KHU166" s="572"/>
      <c r="KHV166" s="572"/>
      <c r="KHW166" s="566"/>
      <c r="KHX166" s="587"/>
      <c r="KHY166" s="587"/>
      <c r="KHZ166" s="587"/>
      <c r="KIA166" s="587"/>
      <c r="KIB166" s="588"/>
      <c r="KIC166" s="589"/>
      <c r="KID166" s="588"/>
      <c r="KIE166" s="589"/>
      <c r="KIF166" s="588"/>
      <c r="KIG166" s="589"/>
      <c r="KIH166" s="588"/>
      <c r="KII166" s="589"/>
      <c r="KIJ166" s="588"/>
      <c r="KIK166" s="589"/>
      <c r="KIL166" s="429"/>
      <c r="KIM166" s="364"/>
      <c r="KIN166" s="365"/>
      <c r="KIO166" s="354"/>
      <c r="KIP166" s="465"/>
      <c r="KIQ166" s="565"/>
      <c r="KIR166" s="572"/>
      <c r="KIS166" s="572"/>
      <c r="KIT166" s="566"/>
      <c r="KIU166" s="587"/>
      <c r="KIV166" s="587"/>
      <c r="KIW166" s="587"/>
      <c r="KIX166" s="587"/>
      <c r="KIY166" s="588"/>
      <c r="KIZ166" s="589"/>
      <c r="KJA166" s="588"/>
      <c r="KJB166" s="589"/>
      <c r="KJC166" s="588"/>
      <c r="KJD166" s="589"/>
      <c r="KJE166" s="588"/>
      <c r="KJF166" s="589"/>
      <c r="KJG166" s="588"/>
      <c r="KJH166" s="589"/>
      <c r="KJI166" s="429"/>
      <c r="KJJ166" s="364"/>
      <c r="KJK166" s="365"/>
      <c r="KJL166" s="354"/>
      <c r="KJM166" s="465"/>
      <c r="KJN166" s="565"/>
      <c r="KJO166" s="572"/>
      <c r="KJP166" s="572"/>
      <c r="KJQ166" s="566"/>
      <c r="KJR166" s="587"/>
      <c r="KJS166" s="587"/>
      <c r="KJT166" s="587"/>
      <c r="KJU166" s="587"/>
      <c r="KJV166" s="588"/>
      <c r="KJW166" s="589"/>
      <c r="KJX166" s="588"/>
      <c r="KJY166" s="589"/>
      <c r="KJZ166" s="588"/>
      <c r="KKA166" s="589"/>
      <c r="KKB166" s="588"/>
      <c r="KKC166" s="589"/>
      <c r="KKD166" s="588"/>
      <c r="KKE166" s="589"/>
      <c r="KKF166" s="429"/>
      <c r="KKG166" s="364"/>
      <c r="KKH166" s="365"/>
      <c r="KKI166" s="354"/>
      <c r="KKJ166" s="465"/>
      <c r="KKK166" s="565"/>
      <c r="KKL166" s="572"/>
      <c r="KKM166" s="572"/>
      <c r="KKN166" s="566"/>
      <c r="KKO166" s="587"/>
      <c r="KKP166" s="587"/>
      <c r="KKQ166" s="587"/>
      <c r="KKR166" s="587"/>
      <c r="KKS166" s="588"/>
      <c r="KKT166" s="589"/>
      <c r="KKU166" s="588"/>
      <c r="KKV166" s="589"/>
      <c r="KKW166" s="588"/>
      <c r="KKX166" s="589"/>
      <c r="KKY166" s="588"/>
      <c r="KKZ166" s="589"/>
      <c r="KLA166" s="588"/>
      <c r="KLB166" s="589"/>
      <c r="KLC166" s="429"/>
      <c r="KLD166" s="364"/>
      <c r="KLE166" s="365"/>
      <c r="KLF166" s="354"/>
      <c r="KLG166" s="465"/>
      <c r="KLH166" s="565"/>
      <c r="KLI166" s="572"/>
      <c r="KLJ166" s="572"/>
      <c r="KLK166" s="566"/>
      <c r="KLL166" s="587"/>
      <c r="KLM166" s="587"/>
      <c r="KLN166" s="587"/>
      <c r="KLO166" s="587"/>
      <c r="KLP166" s="588"/>
      <c r="KLQ166" s="589"/>
      <c r="KLR166" s="588"/>
      <c r="KLS166" s="589"/>
      <c r="KLT166" s="588"/>
      <c r="KLU166" s="589"/>
      <c r="KLV166" s="588"/>
      <c r="KLW166" s="589"/>
      <c r="KLX166" s="588"/>
      <c r="KLY166" s="589"/>
      <c r="KLZ166" s="429"/>
      <c r="KMA166" s="364"/>
      <c r="KMB166" s="365"/>
      <c r="KMC166" s="354"/>
      <c r="KMD166" s="465"/>
      <c r="KME166" s="565"/>
      <c r="KMF166" s="572"/>
      <c r="KMG166" s="572"/>
      <c r="KMH166" s="566"/>
      <c r="KMI166" s="587"/>
      <c r="KMJ166" s="587"/>
      <c r="KMK166" s="587"/>
      <c r="KML166" s="587"/>
      <c r="KMM166" s="588"/>
      <c r="KMN166" s="589"/>
      <c r="KMO166" s="588"/>
      <c r="KMP166" s="589"/>
      <c r="KMQ166" s="588"/>
      <c r="KMR166" s="589"/>
      <c r="KMS166" s="588"/>
      <c r="KMT166" s="589"/>
      <c r="KMU166" s="588"/>
      <c r="KMV166" s="589"/>
      <c r="KMW166" s="429"/>
      <c r="KMX166" s="364"/>
      <c r="KMY166" s="365"/>
      <c r="KMZ166" s="354"/>
      <c r="KNA166" s="465"/>
      <c r="KNB166" s="565"/>
      <c r="KNC166" s="572"/>
      <c r="KND166" s="572"/>
      <c r="KNE166" s="566"/>
      <c r="KNF166" s="587"/>
      <c r="KNG166" s="587"/>
      <c r="KNH166" s="587"/>
      <c r="KNI166" s="587"/>
      <c r="KNJ166" s="588"/>
      <c r="KNK166" s="589"/>
      <c r="KNL166" s="588"/>
      <c r="KNM166" s="589"/>
      <c r="KNN166" s="588"/>
      <c r="KNO166" s="589"/>
      <c r="KNP166" s="588"/>
      <c r="KNQ166" s="589"/>
      <c r="KNR166" s="588"/>
      <c r="KNS166" s="589"/>
      <c r="KNT166" s="429"/>
      <c r="KNU166" s="364"/>
      <c r="KNV166" s="365"/>
      <c r="KNW166" s="354"/>
      <c r="KNX166" s="465"/>
      <c r="KNY166" s="565"/>
      <c r="KNZ166" s="572"/>
      <c r="KOA166" s="572"/>
      <c r="KOB166" s="566"/>
      <c r="KOC166" s="587"/>
      <c r="KOD166" s="587"/>
      <c r="KOE166" s="587"/>
      <c r="KOF166" s="587"/>
      <c r="KOG166" s="588"/>
      <c r="KOH166" s="589"/>
      <c r="KOI166" s="588"/>
      <c r="KOJ166" s="589"/>
      <c r="KOK166" s="588"/>
      <c r="KOL166" s="589"/>
      <c r="KOM166" s="588"/>
      <c r="KON166" s="589"/>
      <c r="KOO166" s="588"/>
      <c r="KOP166" s="589"/>
      <c r="KOQ166" s="429"/>
      <c r="KOR166" s="364"/>
      <c r="KOS166" s="365"/>
      <c r="KOT166" s="354"/>
      <c r="KOU166" s="465"/>
      <c r="KOV166" s="565"/>
      <c r="KOW166" s="572"/>
      <c r="KOX166" s="572"/>
      <c r="KOY166" s="566"/>
      <c r="KOZ166" s="587"/>
      <c r="KPA166" s="587"/>
      <c r="KPB166" s="587"/>
      <c r="KPC166" s="587"/>
      <c r="KPD166" s="588"/>
      <c r="KPE166" s="589"/>
      <c r="KPF166" s="588"/>
      <c r="KPG166" s="589"/>
      <c r="KPH166" s="588"/>
      <c r="KPI166" s="589"/>
      <c r="KPJ166" s="588"/>
      <c r="KPK166" s="589"/>
      <c r="KPL166" s="588"/>
      <c r="KPM166" s="589"/>
      <c r="KPN166" s="429"/>
      <c r="KPO166" s="364"/>
      <c r="KPP166" s="365"/>
      <c r="KPQ166" s="354"/>
      <c r="KPR166" s="465"/>
      <c r="KPS166" s="565"/>
      <c r="KPT166" s="572"/>
      <c r="KPU166" s="572"/>
      <c r="KPV166" s="566"/>
      <c r="KPW166" s="587"/>
      <c r="KPX166" s="587"/>
      <c r="KPY166" s="587"/>
      <c r="KPZ166" s="587"/>
      <c r="KQA166" s="588"/>
      <c r="KQB166" s="589"/>
      <c r="KQC166" s="588"/>
      <c r="KQD166" s="589"/>
      <c r="KQE166" s="588"/>
      <c r="KQF166" s="589"/>
      <c r="KQG166" s="588"/>
      <c r="KQH166" s="589"/>
      <c r="KQI166" s="588"/>
      <c r="KQJ166" s="589"/>
      <c r="KQK166" s="429"/>
      <c r="KQL166" s="364"/>
      <c r="KQM166" s="365"/>
      <c r="KQN166" s="354"/>
      <c r="KQO166" s="465"/>
      <c r="KQP166" s="565"/>
      <c r="KQQ166" s="572"/>
      <c r="KQR166" s="572"/>
      <c r="KQS166" s="566"/>
      <c r="KQT166" s="587"/>
      <c r="KQU166" s="587"/>
      <c r="KQV166" s="587"/>
      <c r="KQW166" s="587"/>
      <c r="KQX166" s="588"/>
      <c r="KQY166" s="589"/>
      <c r="KQZ166" s="588"/>
      <c r="KRA166" s="589"/>
      <c r="KRB166" s="588"/>
      <c r="KRC166" s="589"/>
      <c r="KRD166" s="588"/>
      <c r="KRE166" s="589"/>
      <c r="KRF166" s="588"/>
      <c r="KRG166" s="589"/>
      <c r="KRH166" s="429"/>
      <c r="KRI166" s="364"/>
      <c r="KRJ166" s="365"/>
      <c r="KRK166" s="354"/>
      <c r="KRL166" s="465"/>
      <c r="KRM166" s="565"/>
      <c r="KRN166" s="572"/>
      <c r="KRO166" s="572"/>
      <c r="KRP166" s="566"/>
      <c r="KRQ166" s="587"/>
      <c r="KRR166" s="587"/>
      <c r="KRS166" s="587"/>
      <c r="KRT166" s="587"/>
      <c r="KRU166" s="588"/>
      <c r="KRV166" s="589"/>
      <c r="KRW166" s="588"/>
      <c r="KRX166" s="589"/>
      <c r="KRY166" s="588"/>
      <c r="KRZ166" s="589"/>
      <c r="KSA166" s="588"/>
      <c r="KSB166" s="589"/>
      <c r="KSC166" s="588"/>
      <c r="KSD166" s="589"/>
      <c r="KSE166" s="429"/>
      <c r="KSF166" s="364"/>
      <c r="KSG166" s="365"/>
      <c r="KSH166" s="354"/>
      <c r="KSI166" s="465"/>
      <c r="KSJ166" s="565"/>
      <c r="KSK166" s="572"/>
      <c r="KSL166" s="572"/>
      <c r="KSM166" s="566"/>
      <c r="KSN166" s="587"/>
      <c r="KSO166" s="587"/>
      <c r="KSP166" s="587"/>
      <c r="KSQ166" s="587"/>
      <c r="KSR166" s="588"/>
      <c r="KSS166" s="589"/>
      <c r="KST166" s="588"/>
      <c r="KSU166" s="589"/>
      <c r="KSV166" s="588"/>
      <c r="KSW166" s="589"/>
      <c r="KSX166" s="588"/>
      <c r="KSY166" s="589"/>
      <c r="KSZ166" s="588"/>
      <c r="KTA166" s="589"/>
      <c r="KTB166" s="429"/>
      <c r="KTC166" s="364"/>
      <c r="KTD166" s="365"/>
      <c r="KTE166" s="354"/>
      <c r="KTF166" s="465"/>
      <c r="KTG166" s="565"/>
      <c r="KTH166" s="572"/>
      <c r="KTI166" s="572"/>
      <c r="KTJ166" s="566"/>
      <c r="KTK166" s="587"/>
      <c r="KTL166" s="587"/>
      <c r="KTM166" s="587"/>
      <c r="KTN166" s="587"/>
      <c r="KTO166" s="588"/>
      <c r="KTP166" s="589"/>
      <c r="KTQ166" s="588"/>
      <c r="KTR166" s="589"/>
      <c r="KTS166" s="588"/>
      <c r="KTT166" s="589"/>
      <c r="KTU166" s="588"/>
      <c r="KTV166" s="589"/>
      <c r="KTW166" s="588"/>
      <c r="KTX166" s="589"/>
      <c r="KTY166" s="429"/>
      <c r="KTZ166" s="364"/>
      <c r="KUA166" s="365"/>
      <c r="KUB166" s="354"/>
      <c r="KUC166" s="465"/>
      <c r="KUD166" s="565"/>
      <c r="KUE166" s="572"/>
      <c r="KUF166" s="572"/>
      <c r="KUG166" s="566"/>
      <c r="KUH166" s="587"/>
      <c r="KUI166" s="587"/>
      <c r="KUJ166" s="587"/>
      <c r="KUK166" s="587"/>
      <c r="KUL166" s="588"/>
      <c r="KUM166" s="589"/>
      <c r="KUN166" s="588"/>
      <c r="KUO166" s="589"/>
      <c r="KUP166" s="588"/>
      <c r="KUQ166" s="589"/>
      <c r="KUR166" s="588"/>
      <c r="KUS166" s="589"/>
      <c r="KUT166" s="588"/>
      <c r="KUU166" s="589"/>
      <c r="KUV166" s="429"/>
      <c r="KUW166" s="364"/>
      <c r="KUX166" s="365"/>
      <c r="KUY166" s="354"/>
      <c r="KUZ166" s="465"/>
      <c r="KVA166" s="565"/>
      <c r="KVB166" s="572"/>
      <c r="KVC166" s="572"/>
      <c r="KVD166" s="566"/>
      <c r="KVE166" s="587"/>
      <c r="KVF166" s="587"/>
      <c r="KVG166" s="587"/>
      <c r="KVH166" s="587"/>
      <c r="KVI166" s="588"/>
      <c r="KVJ166" s="589"/>
      <c r="KVK166" s="588"/>
      <c r="KVL166" s="589"/>
      <c r="KVM166" s="588"/>
      <c r="KVN166" s="589"/>
      <c r="KVO166" s="588"/>
      <c r="KVP166" s="589"/>
      <c r="KVQ166" s="588"/>
      <c r="KVR166" s="589"/>
      <c r="KVS166" s="429"/>
      <c r="KVT166" s="364"/>
      <c r="KVU166" s="365"/>
      <c r="KVV166" s="354"/>
      <c r="KVW166" s="465"/>
      <c r="KVX166" s="565"/>
      <c r="KVY166" s="572"/>
      <c r="KVZ166" s="572"/>
      <c r="KWA166" s="566"/>
      <c r="KWB166" s="587"/>
      <c r="KWC166" s="587"/>
      <c r="KWD166" s="587"/>
      <c r="KWE166" s="587"/>
      <c r="KWF166" s="588"/>
      <c r="KWG166" s="589"/>
      <c r="KWH166" s="588"/>
      <c r="KWI166" s="589"/>
      <c r="KWJ166" s="588"/>
      <c r="KWK166" s="589"/>
      <c r="KWL166" s="588"/>
      <c r="KWM166" s="589"/>
      <c r="KWN166" s="588"/>
      <c r="KWO166" s="589"/>
      <c r="KWP166" s="429"/>
      <c r="KWQ166" s="364"/>
      <c r="KWR166" s="365"/>
      <c r="KWS166" s="354"/>
      <c r="KWT166" s="465"/>
      <c r="KWU166" s="565"/>
      <c r="KWV166" s="572"/>
      <c r="KWW166" s="572"/>
      <c r="KWX166" s="566"/>
      <c r="KWY166" s="587"/>
      <c r="KWZ166" s="587"/>
      <c r="KXA166" s="587"/>
      <c r="KXB166" s="587"/>
      <c r="KXC166" s="588"/>
      <c r="KXD166" s="589"/>
      <c r="KXE166" s="588"/>
      <c r="KXF166" s="589"/>
      <c r="KXG166" s="588"/>
      <c r="KXH166" s="589"/>
      <c r="KXI166" s="588"/>
      <c r="KXJ166" s="589"/>
      <c r="KXK166" s="588"/>
      <c r="KXL166" s="589"/>
      <c r="KXM166" s="429"/>
      <c r="KXN166" s="364"/>
      <c r="KXO166" s="365"/>
      <c r="KXP166" s="354"/>
      <c r="KXQ166" s="465"/>
      <c r="KXR166" s="565"/>
      <c r="KXS166" s="572"/>
      <c r="KXT166" s="572"/>
      <c r="KXU166" s="566"/>
      <c r="KXV166" s="587"/>
      <c r="KXW166" s="587"/>
      <c r="KXX166" s="587"/>
      <c r="KXY166" s="587"/>
      <c r="KXZ166" s="588"/>
      <c r="KYA166" s="589"/>
      <c r="KYB166" s="588"/>
      <c r="KYC166" s="589"/>
      <c r="KYD166" s="588"/>
      <c r="KYE166" s="589"/>
      <c r="KYF166" s="588"/>
      <c r="KYG166" s="589"/>
      <c r="KYH166" s="588"/>
      <c r="KYI166" s="589"/>
      <c r="KYJ166" s="429"/>
      <c r="KYK166" s="364"/>
      <c r="KYL166" s="365"/>
      <c r="KYM166" s="354"/>
      <c r="KYN166" s="465"/>
      <c r="KYO166" s="565"/>
      <c r="KYP166" s="572"/>
      <c r="KYQ166" s="572"/>
      <c r="KYR166" s="566"/>
      <c r="KYS166" s="587"/>
      <c r="KYT166" s="587"/>
      <c r="KYU166" s="587"/>
      <c r="KYV166" s="587"/>
      <c r="KYW166" s="588"/>
      <c r="KYX166" s="589"/>
      <c r="KYY166" s="588"/>
      <c r="KYZ166" s="589"/>
      <c r="KZA166" s="588"/>
      <c r="KZB166" s="589"/>
      <c r="KZC166" s="588"/>
      <c r="KZD166" s="589"/>
      <c r="KZE166" s="588"/>
      <c r="KZF166" s="589"/>
      <c r="KZG166" s="429"/>
      <c r="KZH166" s="364"/>
      <c r="KZI166" s="365"/>
      <c r="KZJ166" s="354"/>
      <c r="KZK166" s="465"/>
      <c r="KZL166" s="565"/>
      <c r="KZM166" s="572"/>
      <c r="KZN166" s="572"/>
      <c r="KZO166" s="566"/>
      <c r="KZP166" s="587"/>
      <c r="KZQ166" s="587"/>
      <c r="KZR166" s="587"/>
      <c r="KZS166" s="587"/>
      <c r="KZT166" s="588"/>
      <c r="KZU166" s="589"/>
      <c r="KZV166" s="588"/>
      <c r="KZW166" s="589"/>
      <c r="KZX166" s="588"/>
      <c r="KZY166" s="589"/>
      <c r="KZZ166" s="588"/>
      <c r="LAA166" s="589"/>
      <c r="LAB166" s="588"/>
      <c r="LAC166" s="589"/>
      <c r="LAD166" s="429"/>
      <c r="LAE166" s="364"/>
      <c r="LAF166" s="365"/>
      <c r="LAG166" s="354"/>
      <c r="LAH166" s="465"/>
      <c r="LAI166" s="565"/>
      <c r="LAJ166" s="572"/>
      <c r="LAK166" s="572"/>
      <c r="LAL166" s="566"/>
      <c r="LAM166" s="587"/>
      <c r="LAN166" s="587"/>
      <c r="LAO166" s="587"/>
      <c r="LAP166" s="587"/>
      <c r="LAQ166" s="588"/>
      <c r="LAR166" s="589"/>
      <c r="LAS166" s="588"/>
      <c r="LAT166" s="589"/>
      <c r="LAU166" s="588"/>
      <c r="LAV166" s="589"/>
      <c r="LAW166" s="588"/>
      <c r="LAX166" s="589"/>
      <c r="LAY166" s="588"/>
      <c r="LAZ166" s="589"/>
      <c r="LBA166" s="429"/>
      <c r="LBB166" s="364"/>
      <c r="LBC166" s="365"/>
      <c r="LBD166" s="354"/>
      <c r="LBE166" s="465"/>
      <c r="LBF166" s="565"/>
      <c r="LBG166" s="572"/>
      <c r="LBH166" s="572"/>
      <c r="LBI166" s="566"/>
      <c r="LBJ166" s="587"/>
      <c r="LBK166" s="587"/>
      <c r="LBL166" s="587"/>
      <c r="LBM166" s="587"/>
      <c r="LBN166" s="588"/>
      <c r="LBO166" s="589"/>
      <c r="LBP166" s="588"/>
      <c r="LBQ166" s="589"/>
      <c r="LBR166" s="588"/>
      <c r="LBS166" s="589"/>
      <c r="LBT166" s="588"/>
      <c r="LBU166" s="589"/>
      <c r="LBV166" s="588"/>
      <c r="LBW166" s="589"/>
      <c r="LBX166" s="429"/>
      <c r="LBY166" s="364"/>
      <c r="LBZ166" s="365"/>
      <c r="LCA166" s="354"/>
      <c r="LCB166" s="465"/>
      <c r="LCC166" s="565"/>
      <c r="LCD166" s="572"/>
      <c r="LCE166" s="572"/>
      <c r="LCF166" s="566"/>
      <c r="LCG166" s="587"/>
      <c r="LCH166" s="587"/>
      <c r="LCI166" s="587"/>
      <c r="LCJ166" s="587"/>
      <c r="LCK166" s="588"/>
      <c r="LCL166" s="589"/>
      <c r="LCM166" s="588"/>
      <c r="LCN166" s="589"/>
      <c r="LCO166" s="588"/>
      <c r="LCP166" s="589"/>
      <c r="LCQ166" s="588"/>
      <c r="LCR166" s="589"/>
      <c r="LCS166" s="588"/>
      <c r="LCT166" s="589"/>
      <c r="LCU166" s="429"/>
      <c r="LCV166" s="364"/>
      <c r="LCW166" s="365"/>
      <c r="LCX166" s="354"/>
      <c r="LCY166" s="465"/>
      <c r="LCZ166" s="565"/>
      <c r="LDA166" s="572"/>
      <c r="LDB166" s="572"/>
      <c r="LDC166" s="566"/>
      <c r="LDD166" s="587"/>
      <c r="LDE166" s="587"/>
      <c r="LDF166" s="587"/>
      <c r="LDG166" s="587"/>
      <c r="LDH166" s="588"/>
      <c r="LDI166" s="589"/>
      <c r="LDJ166" s="588"/>
      <c r="LDK166" s="589"/>
      <c r="LDL166" s="588"/>
      <c r="LDM166" s="589"/>
      <c r="LDN166" s="588"/>
      <c r="LDO166" s="589"/>
      <c r="LDP166" s="588"/>
      <c r="LDQ166" s="589"/>
      <c r="LDR166" s="429"/>
      <c r="LDS166" s="364"/>
      <c r="LDT166" s="365"/>
      <c r="LDU166" s="354"/>
      <c r="LDV166" s="465"/>
      <c r="LDW166" s="565"/>
      <c r="LDX166" s="572"/>
      <c r="LDY166" s="572"/>
      <c r="LDZ166" s="566"/>
      <c r="LEA166" s="587"/>
      <c r="LEB166" s="587"/>
      <c r="LEC166" s="587"/>
      <c r="LED166" s="587"/>
      <c r="LEE166" s="588"/>
      <c r="LEF166" s="589"/>
      <c r="LEG166" s="588"/>
      <c r="LEH166" s="589"/>
      <c r="LEI166" s="588"/>
      <c r="LEJ166" s="589"/>
      <c r="LEK166" s="588"/>
      <c r="LEL166" s="589"/>
      <c r="LEM166" s="588"/>
      <c r="LEN166" s="589"/>
      <c r="LEO166" s="429"/>
      <c r="LEP166" s="364"/>
      <c r="LEQ166" s="365"/>
      <c r="LER166" s="354"/>
      <c r="LES166" s="465"/>
      <c r="LET166" s="565"/>
      <c r="LEU166" s="572"/>
      <c r="LEV166" s="572"/>
      <c r="LEW166" s="566"/>
      <c r="LEX166" s="587"/>
      <c r="LEY166" s="587"/>
      <c r="LEZ166" s="587"/>
      <c r="LFA166" s="587"/>
      <c r="LFB166" s="588"/>
      <c r="LFC166" s="589"/>
      <c r="LFD166" s="588"/>
      <c r="LFE166" s="589"/>
      <c r="LFF166" s="588"/>
      <c r="LFG166" s="589"/>
      <c r="LFH166" s="588"/>
      <c r="LFI166" s="589"/>
      <c r="LFJ166" s="588"/>
      <c r="LFK166" s="589"/>
      <c r="LFL166" s="429"/>
      <c r="LFM166" s="364"/>
      <c r="LFN166" s="365"/>
      <c r="LFO166" s="354"/>
      <c r="LFP166" s="465"/>
      <c r="LFQ166" s="565"/>
      <c r="LFR166" s="572"/>
      <c r="LFS166" s="572"/>
      <c r="LFT166" s="566"/>
      <c r="LFU166" s="587"/>
      <c r="LFV166" s="587"/>
      <c r="LFW166" s="587"/>
      <c r="LFX166" s="587"/>
      <c r="LFY166" s="588"/>
      <c r="LFZ166" s="589"/>
      <c r="LGA166" s="588"/>
      <c r="LGB166" s="589"/>
      <c r="LGC166" s="588"/>
      <c r="LGD166" s="589"/>
      <c r="LGE166" s="588"/>
      <c r="LGF166" s="589"/>
      <c r="LGG166" s="588"/>
      <c r="LGH166" s="589"/>
      <c r="LGI166" s="429"/>
      <c r="LGJ166" s="364"/>
      <c r="LGK166" s="365"/>
      <c r="LGL166" s="354"/>
      <c r="LGM166" s="465"/>
      <c r="LGN166" s="565"/>
      <c r="LGO166" s="572"/>
      <c r="LGP166" s="572"/>
      <c r="LGQ166" s="566"/>
      <c r="LGR166" s="587"/>
      <c r="LGS166" s="587"/>
      <c r="LGT166" s="587"/>
      <c r="LGU166" s="587"/>
      <c r="LGV166" s="588"/>
      <c r="LGW166" s="589"/>
      <c r="LGX166" s="588"/>
      <c r="LGY166" s="589"/>
      <c r="LGZ166" s="588"/>
      <c r="LHA166" s="589"/>
      <c r="LHB166" s="588"/>
      <c r="LHC166" s="589"/>
      <c r="LHD166" s="588"/>
      <c r="LHE166" s="589"/>
      <c r="LHF166" s="429"/>
      <c r="LHG166" s="364"/>
      <c r="LHH166" s="365"/>
      <c r="LHI166" s="354"/>
      <c r="LHJ166" s="465"/>
      <c r="LHK166" s="565"/>
      <c r="LHL166" s="572"/>
      <c r="LHM166" s="572"/>
      <c r="LHN166" s="566"/>
      <c r="LHO166" s="587"/>
      <c r="LHP166" s="587"/>
      <c r="LHQ166" s="587"/>
      <c r="LHR166" s="587"/>
      <c r="LHS166" s="588"/>
      <c r="LHT166" s="589"/>
      <c r="LHU166" s="588"/>
      <c r="LHV166" s="589"/>
      <c r="LHW166" s="588"/>
      <c r="LHX166" s="589"/>
      <c r="LHY166" s="588"/>
      <c r="LHZ166" s="589"/>
      <c r="LIA166" s="588"/>
      <c r="LIB166" s="589"/>
      <c r="LIC166" s="429"/>
      <c r="LID166" s="364"/>
      <c r="LIE166" s="365"/>
      <c r="LIF166" s="354"/>
      <c r="LIG166" s="465"/>
      <c r="LIH166" s="565"/>
      <c r="LII166" s="572"/>
      <c r="LIJ166" s="572"/>
      <c r="LIK166" s="566"/>
      <c r="LIL166" s="587"/>
      <c r="LIM166" s="587"/>
      <c r="LIN166" s="587"/>
      <c r="LIO166" s="587"/>
      <c r="LIP166" s="588"/>
      <c r="LIQ166" s="589"/>
      <c r="LIR166" s="588"/>
      <c r="LIS166" s="589"/>
      <c r="LIT166" s="588"/>
      <c r="LIU166" s="589"/>
      <c r="LIV166" s="588"/>
      <c r="LIW166" s="589"/>
      <c r="LIX166" s="588"/>
      <c r="LIY166" s="589"/>
      <c r="LIZ166" s="429"/>
      <c r="LJA166" s="364"/>
      <c r="LJB166" s="365"/>
      <c r="LJC166" s="354"/>
      <c r="LJD166" s="465"/>
      <c r="LJE166" s="565"/>
      <c r="LJF166" s="572"/>
      <c r="LJG166" s="572"/>
      <c r="LJH166" s="566"/>
      <c r="LJI166" s="587"/>
      <c r="LJJ166" s="587"/>
      <c r="LJK166" s="587"/>
      <c r="LJL166" s="587"/>
      <c r="LJM166" s="588"/>
      <c r="LJN166" s="589"/>
      <c r="LJO166" s="588"/>
      <c r="LJP166" s="589"/>
      <c r="LJQ166" s="588"/>
      <c r="LJR166" s="589"/>
      <c r="LJS166" s="588"/>
      <c r="LJT166" s="589"/>
      <c r="LJU166" s="588"/>
      <c r="LJV166" s="589"/>
      <c r="LJW166" s="429"/>
      <c r="LJX166" s="364"/>
      <c r="LJY166" s="365"/>
      <c r="LJZ166" s="354"/>
      <c r="LKA166" s="465"/>
      <c r="LKB166" s="565"/>
      <c r="LKC166" s="572"/>
      <c r="LKD166" s="572"/>
      <c r="LKE166" s="566"/>
      <c r="LKF166" s="587"/>
      <c r="LKG166" s="587"/>
      <c r="LKH166" s="587"/>
      <c r="LKI166" s="587"/>
      <c r="LKJ166" s="588"/>
      <c r="LKK166" s="589"/>
      <c r="LKL166" s="588"/>
      <c r="LKM166" s="589"/>
      <c r="LKN166" s="588"/>
      <c r="LKO166" s="589"/>
      <c r="LKP166" s="588"/>
      <c r="LKQ166" s="589"/>
      <c r="LKR166" s="588"/>
      <c r="LKS166" s="589"/>
      <c r="LKT166" s="429"/>
      <c r="LKU166" s="364"/>
      <c r="LKV166" s="365"/>
      <c r="LKW166" s="354"/>
      <c r="LKX166" s="465"/>
      <c r="LKY166" s="565"/>
      <c r="LKZ166" s="572"/>
      <c r="LLA166" s="572"/>
      <c r="LLB166" s="566"/>
      <c r="LLC166" s="587"/>
      <c r="LLD166" s="587"/>
      <c r="LLE166" s="587"/>
      <c r="LLF166" s="587"/>
      <c r="LLG166" s="588"/>
      <c r="LLH166" s="589"/>
      <c r="LLI166" s="588"/>
      <c r="LLJ166" s="589"/>
      <c r="LLK166" s="588"/>
      <c r="LLL166" s="589"/>
      <c r="LLM166" s="588"/>
      <c r="LLN166" s="589"/>
      <c r="LLO166" s="588"/>
      <c r="LLP166" s="589"/>
      <c r="LLQ166" s="429"/>
      <c r="LLR166" s="364"/>
      <c r="LLS166" s="365"/>
      <c r="LLT166" s="354"/>
      <c r="LLU166" s="465"/>
      <c r="LLV166" s="565"/>
      <c r="LLW166" s="572"/>
      <c r="LLX166" s="572"/>
      <c r="LLY166" s="566"/>
      <c r="LLZ166" s="587"/>
      <c r="LMA166" s="587"/>
      <c r="LMB166" s="587"/>
      <c r="LMC166" s="587"/>
      <c r="LMD166" s="588"/>
      <c r="LME166" s="589"/>
      <c r="LMF166" s="588"/>
      <c r="LMG166" s="589"/>
      <c r="LMH166" s="588"/>
      <c r="LMI166" s="589"/>
      <c r="LMJ166" s="588"/>
      <c r="LMK166" s="589"/>
      <c r="LML166" s="588"/>
      <c r="LMM166" s="589"/>
      <c r="LMN166" s="429"/>
      <c r="LMO166" s="364"/>
      <c r="LMP166" s="365"/>
      <c r="LMQ166" s="354"/>
      <c r="LMR166" s="465"/>
      <c r="LMS166" s="565"/>
      <c r="LMT166" s="572"/>
      <c r="LMU166" s="572"/>
      <c r="LMV166" s="566"/>
      <c r="LMW166" s="587"/>
      <c r="LMX166" s="587"/>
      <c r="LMY166" s="587"/>
      <c r="LMZ166" s="587"/>
      <c r="LNA166" s="588"/>
      <c r="LNB166" s="589"/>
      <c r="LNC166" s="588"/>
      <c r="LND166" s="589"/>
      <c r="LNE166" s="588"/>
      <c r="LNF166" s="589"/>
      <c r="LNG166" s="588"/>
      <c r="LNH166" s="589"/>
      <c r="LNI166" s="588"/>
      <c r="LNJ166" s="589"/>
      <c r="LNK166" s="429"/>
      <c r="LNL166" s="364"/>
      <c r="LNM166" s="365"/>
      <c r="LNN166" s="354"/>
      <c r="LNO166" s="465"/>
      <c r="LNP166" s="565"/>
      <c r="LNQ166" s="572"/>
      <c r="LNR166" s="572"/>
      <c r="LNS166" s="566"/>
      <c r="LNT166" s="587"/>
      <c r="LNU166" s="587"/>
      <c r="LNV166" s="587"/>
      <c r="LNW166" s="587"/>
      <c r="LNX166" s="588"/>
      <c r="LNY166" s="589"/>
      <c r="LNZ166" s="588"/>
      <c r="LOA166" s="589"/>
      <c r="LOB166" s="588"/>
      <c r="LOC166" s="589"/>
      <c r="LOD166" s="588"/>
      <c r="LOE166" s="589"/>
      <c r="LOF166" s="588"/>
      <c r="LOG166" s="589"/>
      <c r="LOH166" s="429"/>
      <c r="LOI166" s="364"/>
      <c r="LOJ166" s="365"/>
      <c r="LOK166" s="354"/>
      <c r="LOL166" s="465"/>
      <c r="LOM166" s="565"/>
      <c r="LON166" s="572"/>
      <c r="LOO166" s="572"/>
      <c r="LOP166" s="566"/>
      <c r="LOQ166" s="587"/>
      <c r="LOR166" s="587"/>
      <c r="LOS166" s="587"/>
      <c r="LOT166" s="587"/>
      <c r="LOU166" s="588"/>
      <c r="LOV166" s="589"/>
      <c r="LOW166" s="588"/>
      <c r="LOX166" s="589"/>
      <c r="LOY166" s="588"/>
      <c r="LOZ166" s="589"/>
      <c r="LPA166" s="588"/>
      <c r="LPB166" s="589"/>
      <c r="LPC166" s="588"/>
      <c r="LPD166" s="589"/>
      <c r="LPE166" s="429"/>
      <c r="LPF166" s="364"/>
      <c r="LPG166" s="365"/>
      <c r="LPH166" s="354"/>
      <c r="LPI166" s="465"/>
      <c r="LPJ166" s="565"/>
      <c r="LPK166" s="572"/>
      <c r="LPL166" s="572"/>
      <c r="LPM166" s="566"/>
      <c r="LPN166" s="587"/>
      <c r="LPO166" s="587"/>
      <c r="LPP166" s="587"/>
      <c r="LPQ166" s="587"/>
      <c r="LPR166" s="588"/>
      <c r="LPS166" s="589"/>
      <c r="LPT166" s="588"/>
      <c r="LPU166" s="589"/>
      <c r="LPV166" s="588"/>
      <c r="LPW166" s="589"/>
      <c r="LPX166" s="588"/>
      <c r="LPY166" s="589"/>
      <c r="LPZ166" s="588"/>
      <c r="LQA166" s="589"/>
      <c r="LQB166" s="429"/>
      <c r="LQC166" s="364"/>
      <c r="LQD166" s="365"/>
      <c r="LQE166" s="354"/>
      <c r="LQF166" s="465"/>
      <c r="LQG166" s="565"/>
      <c r="LQH166" s="572"/>
      <c r="LQI166" s="572"/>
      <c r="LQJ166" s="566"/>
      <c r="LQK166" s="587"/>
      <c r="LQL166" s="587"/>
      <c r="LQM166" s="587"/>
      <c r="LQN166" s="587"/>
      <c r="LQO166" s="588"/>
      <c r="LQP166" s="589"/>
      <c r="LQQ166" s="588"/>
      <c r="LQR166" s="589"/>
      <c r="LQS166" s="588"/>
      <c r="LQT166" s="589"/>
      <c r="LQU166" s="588"/>
      <c r="LQV166" s="589"/>
      <c r="LQW166" s="588"/>
      <c r="LQX166" s="589"/>
      <c r="LQY166" s="429"/>
      <c r="LQZ166" s="364"/>
      <c r="LRA166" s="365"/>
      <c r="LRB166" s="354"/>
      <c r="LRC166" s="465"/>
      <c r="LRD166" s="565"/>
      <c r="LRE166" s="572"/>
      <c r="LRF166" s="572"/>
      <c r="LRG166" s="566"/>
      <c r="LRH166" s="587"/>
      <c r="LRI166" s="587"/>
      <c r="LRJ166" s="587"/>
      <c r="LRK166" s="587"/>
      <c r="LRL166" s="588"/>
      <c r="LRM166" s="589"/>
      <c r="LRN166" s="588"/>
      <c r="LRO166" s="589"/>
      <c r="LRP166" s="588"/>
      <c r="LRQ166" s="589"/>
      <c r="LRR166" s="588"/>
      <c r="LRS166" s="589"/>
      <c r="LRT166" s="588"/>
      <c r="LRU166" s="589"/>
      <c r="LRV166" s="429"/>
      <c r="LRW166" s="364"/>
      <c r="LRX166" s="365"/>
      <c r="LRY166" s="354"/>
      <c r="LRZ166" s="465"/>
      <c r="LSA166" s="565"/>
      <c r="LSB166" s="572"/>
      <c r="LSC166" s="572"/>
      <c r="LSD166" s="566"/>
      <c r="LSE166" s="587"/>
      <c r="LSF166" s="587"/>
      <c r="LSG166" s="587"/>
      <c r="LSH166" s="587"/>
      <c r="LSI166" s="588"/>
      <c r="LSJ166" s="589"/>
      <c r="LSK166" s="588"/>
      <c r="LSL166" s="589"/>
      <c r="LSM166" s="588"/>
      <c r="LSN166" s="589"/>
      <c r="LSO166" s="588"/>
      <c r="LSP166" s="589"/>
      <c r="LSQ166" s="588"/>
      <c r="LSR166" s="589"/>
      <c r="LSS166" s="429"/>
      <c r="LST166" s="364"/>
      <c r="LSU166" s="365"/>
      <c r="LSV166" s="354"/>
      <c r="LSW166" s="465"/>
      <c r="LSX166" s="565"/>
      <c r="LSY166" s="572"/>
      <c r="LSZ166" s="572"/>
      <c r="LTA166" s="566"/>
      <c r="LTB166" s="587"/>
      <c r="LTC166" s="587"/>
      <c r="LTD166" s="587"/>
      <c r="LTE166" s="587"/>
      <c r="LTF166" s="588"/>
      <c r="LTG166" s="589"/>
      <c r="LTH166" s="588"/>
      <c r="LTI166" s="589"/>
      <c r="LTJ166" s="588"/>
      <c r="LTK166" s="589"/>
      <c r="LTL166" s="588"/>
      <c r="LTM166" s="589"/>
      <c r="LTN166" s="588"/>
      <c r="LTO166" s="589"/>
      <c r="LTP166" s="429"/>
      <c r="LTQ166" s="364"/>
      <c r="LTR166" s="365"/>
      <c r="LTS166" s="354"/>
      <c r="LTT166" s="465"/>
      <c r="LTU166" s="565"/>
      <c r="LTV166" s="572"/>
      <c r="LTW166" s="572"/>
      <c r="LTX166" s="566"/>
      <c r="LTY166" s="587"/>
      <c r="LTZ166" s="587"/>
      <c r="LUA166" s="587"/>
      <c r="LUB166" s="587"/>
      <c r="LUC166" s="588"/>
      <c r="LUD166" s="589"/>
      <c r="LUE166" s="588"/>
      <c r="LUF166" s="589"/>
      <c r="LUG166" s="588"/>
      <c r="LUH166" s="589"/>
      <c r="LUI166" s="588"/>
      <c r="LUJ166" s="589"/>
      <c r="LUK166" s="588"/>
      <c r="LUL166" s="589"/>
      <c r="LUM166" s="429"/>
      <c r="LUN166" s="364"/>
      <c r="LUO166" s="365"/>
      <c r="LUP166" s="354"/>
      <c r="LUQ166" s="465"/>
      <c r="LUR166" s="565"/>
      <c r="LUS166" s="572"/>
      <c r="LUT166" s="572"/>
      <c r="LUU166" s="566"/>
      <c r="LUV166" s="587"/>
      <c r="LUW166" s="587"/>
      <c r="LUX166" s="587"/>
      <c r="LUY166" s="587"/>
      <c r="LUZ166" s="588"/>
      <c r="LVA166" s="589"/>
      <c r="LVB166" s="588"/>
      <c r="LVC166" s="589"/>
      <c r="LVD166" s="588"/>
      <c r="LVE166" s="589"/>
      <c r="LVF166" s="588"/>
      <c r="LVG166" s="589"/>
      <c r="LVH166" s="588"/>
      <c r="LVI166" s="589"/>
      <c r="LVJ166" s="429"/>
      <c r="LVK166" s="364"/>
      <c r="LVL166" s="365"/>
      <c r="LVM166" s="354"/>
      <c r="LVN166" s="465"/>
      <c r="LVO166" s="565"/>
      <c r="LVP166" s="572"/>
      <c r="LVQ166" s="572"/>
      <c r="LVR166" s="566"/>
      <c r="LVS166" s="587"/>
      <c r="LVT166" s="587"/>
      <c r="LVU166" s="587"/>
      <c r="LVV166" s="587"/>
      <c r="LVW166" s="588"/>
      <c r="LVX166" s="589"/>
      <c r="LVY166" s="588"/>
      <c r="LVZ166" s="589"/>
      <c r="LWA166" s="588"/>
      <c r="LWB166" s="589"/>
      <c r="LWC166" s="588"/>
      <c r="LWD166" s="589"/>
      <c r="LWE166" s="588"/>
      <c r="LWF166" s="589"/>
      <c r="LWG166" s="429"/>
      <c r="LWH166" s="364"/>
      <c r="LWI166" s="365"/>
      <c r="LWJ166" s="354"/>
      <c r="LWK166" s="465"/>
      <c r="LWL166" s="565"/>
      <c r="LWM166" s="572"/>
      <c r="LWN166" s="572"/>
      <c r="LWO166" s="566"/>
      <c r="LWP166" s="587"/>
      <c r="LWQ166" s="587"/>
      <c r="LWR166" s="587"/>
      <c r="LWS166" s="587"/>
      <c r="LWT166" s="588"/>
      <c r="LWU166" s="589"/>
      <c r="LWV166" s="588"/>
      <c r="LWW166" s="589"/>
      <c r="LWX166" s="588"/>
      <c r="LWY166" s="589"/>
      <c r="LWZ166" s="588"/>
      <c r="LXA166" s="589"/>
      <c r="LXB166" s="588"/>
      <c r="LXC166" s="589"/>
      <c r="LXD166" s="429"/>
      <c r="LXE166" s="364"/>
      <c r="LXF166" s="365"/>
      <c r="LXG166" s="354"/>
      <c r="LXH166" s="465"/>
      <c r="LXI166" s="565"/>
      <c r="LXJ166" s="572"/>
      <c r="LXK166" s="572"/>
      <c r="LXL166" s="566"/>
      <c r="LXM166" s="587"/>
      <c r="LXN166" s="587"/>
      <c r="LXO166" s="587"/>
      <c r="LXP166" s="587"/>
      <c r="LXQ166" s="588"/>
      <c r="LXR166" s="589"/>
      <c r="LXS166" s="588"/>
      <c r="LXT166" s="589"/>
      <c r="LXU166" s="588"/>
      <c r="LXV166" s="589"/>
      <c r="LXW166" s="588"/>
      <c r="LXX166" s="589"/>
      <c r="LXY166" s="588"/>
      <c r="LXZ166" s="589"/>
      <c r="LYA166" s="429"/>
      <c r="LYB166" s="364"/>
      <c r="LYC166" s="365"/>
      <c r="LYD166" s="354"/>
      <c r="LYE166" s="465"/>
      <c r="LYF166" s="565"/>
      <c r="LYG166" s="572"/>
      <c r="LYH166" s="572"/>
      <c r="LYI166" s="566"/>
      <c r="LYJ166" s="587"/>
      <c r="LYK166" s="587"/>
      <c r="LYL166" s="587"/>
      <c r="LYM166" s="587"/>
      <c r="LYN166" s="588"/>
      <c r="LYO166" s="589"/>
      <c r="LYP166" s="588"/>
      <c r="LYQ166" s="589"/>
      <c r="LYR166" s="588"/>
      <c r="LYS166" s="589"/>
      <c r="LYT166" s="588"/>
      <c r="LYU166" s="589"/>
      <c r="LYV166" s="588"/>
      <c r="LYW166" s="589"/>
      <c r="LYX166" s="429"/>
      <c r="LYY166" s="364"/>
      <c r="LYZ166" s="365"/>
      <c r="LZA166" s="354"/>
      <c r="LZB166" s="465"/>
      <c r="LZC166" s="565"/>
      <c r="LZD166" s="572"/>
      <c r="LZE166" s="572"/>
      <c r="LZF166" s="566"/>
      <c r="LZG166" s="587"/>
      <c r="LZH166" s="587"/>
      <c r="LZI166" s="587"/>
      <c r="LZJ166" s="587"/>
      <c r="LZK166" s="588"/>
      <c r="LZL166" s="589"/>
      <c r="LZM166" s="588"/>
      <c r="LZN166" s="589"/>
      <c r="LZO166" s="588"/>
      <c r="LZP166" s="589"/>
      <c r="LZQ166" s="588"/>
      <c r="LZR166" s="589"/>
      <c r="LZS166" s="588"/>
      <c r="LZT166" s="589"/>
      <c r="LZU166" s="429"/>
      <c r="LZV166" s="364"/>
      <c r="LZW166" s="365"/>
      <c r="LZX166" s="354"/>
      <c r="LZY166" s="465"/>
      <c r="LZZ166" s="565"/>
      <c r="MAA166" s="572"/>
      <c r="MAB166" s="572"/>
      <c r="MAC166" s="566"/>
      <c r="MAD166" s="587"/>
      <c r="MAE166" s="587"/>
      <c r="MAF166" s="587"/>
      <c r="MAG166" s="587"/>
      <c r="MAH166" s="588"/>
      <c r="MAI166" s="589"/>
      <c r="MAJ166" s="588"/>
      <c r="MAK166" s="589"/>
      <c r="MAL166" s="588"/>
      <c r="MAM166" s="589"/>
      <c r="MAN166" s="588"/>
      <c r="MAO166" s="589"/>
      <c r="MAP166" s="588"/>
      <c r="MAQ166" s="589"/>
      <c r="MAR166" s="429"/>
      <c r="MAS166" s="364"/>
      <c r="MAT166" s="365"/>
      <c r="MAU166" s="354"/>
      <c r="MAV166" s="465"/>
      <c r="MAW166" s="565"/>
      <c r="MAX166" s="572"/>
      <c r="MAY166" s="572"/>
      <c r="MAZ166" s="566"/>
      <c r="MBA166" s="587"/>
      <c r="MBB166" s="587"/>
      <c r="MBC166" s="587"/>
      <c r="MBD166" s="587"/>
      <c r="MBE166" s="588"/>
      <c r="MBF166" s="589"/>
      <c r="MBG166" s="588"/>
      <c r="MBH166" s="589"/>
      <c r="MBI166" s="588"/>
      <c r="MBJ166" s="589"/>
      <c r="MBK166" s="588"/>
      <c r="MBL166" s="589"/>
      <c r="MBM166" s="588"/>
      <c r="MBN166" s="589"/>
      <c r="MBO166" s="429"/>
      <c r="MBP166" s="364"/>
      <c r="MBQ166" s="365"/>
      <c r="MBR166" s="354"/>
      <c r="MBS166" s="465"/>
      <c r="MBT166" s="565"/>
      <c r="MBU166" s="572"/>
      <c r="MBV166" s="572"/>
      <c r="MBW166" s="566"/>
      <c r="MBX166" s="587"/>
      <c r="MBY166" s="587"/>
      <c r="MBZ166" s="587"/>
      <c r="MCA166" s="587"/>
      <c r="MCB166" s="588"/>
      <c r="MCC166" s="589"/>
      <c r="MCD166" s="588"/>
      <c r="MCE166" s="589"/>
      <c r="MCF166" s="588"/>
      <c r="MCG166" s="589"/>
      <c r="MCH166" s="588"/>
      <c r="MCI166" s="589"/>
      <c r="MCJ166" s="588"/>
      <c r="MCK166" s="589"/>
      <c r="MCL166" s="429"/>
      <c r="MCM166" s="364"/>
      <c r="MCN166" s="365"/>
      <c r="MCO166" s="354"/>
      <c r="MCP166" s="465"/>
      <c r="MCQ166" s="565"/>
      <c r="MCR166" s="572"/>
      <c r="MCS166" s="572"/>
      <c r="MCT166" s="566"/>
      <c r="MCU166" s="587"/>
      <c r="MCV166" s="587"/>
      <c r="MCW166" s="587"/>
      <c r="MCX166" s="587"/>
      <c r="MCY166" s="588"/>
      <c r="MCZ166" s="589"/>
      <c r="MDA166" s="588"/>
      <c r="MDB166" s="589"/>
      <c r="MDC166" s="588"/>
      <c r="MDD166" s="589"/>
      <c r="MDE166" s="588"/>
      <c r="MDF166" s="589"/>
      <c r="MDG166" s="588"/>
      <c r="MDH166" s="589"/>
      <c r="MDI166" s="429"/>
      <c r="MDJ166" s="364"/>
      <c r="MDK166" s="365"/>
      <c r="MDL166" s="354"/>
      <c r="MDM166" s="465"/>
      <c r="MDN166" s="565"/>
      <c r="MDO166" s="572"/>
      <c r="MDP166" s="572"/>
      <c r="MDQ166" s="566"/>
      <c r="MDR166" s="587"/>
      <c r="MDS166" s="587"/>
      <c r="MDT166" s="587"/>
      <c r="MDU166" s="587"/>
      <c r="MDV166" s="588"/>
      <c r="MDW166" s="589"/>
      <c r="MDX166" s="588"/>
      <c r="MDY166" s="589"/>
      <c r="MDZ166" s="588"/>
      <c r="MEA166" s="589"/>
      <c r="MEB166" s="588"/>
      <c r="MEC166" s="589"/>
      <c r="MED166" s="588"/>
      <c r="MEE166" s="589"/>
      <c r="MEF166" s="429"/>
      <c r="MEG166" s="364"/>
      <c r="MEH166" s="365"/>
      <c r="MEI166" s="354"/>
      <c r="MEJ166" s="465"/>
      <c r="MEK166" s="565"/>
      <c r="MEL166" s="572"/>
      <c r="MEM166" s="572"/>
      <c r="MEN166" s="566"/>
      <c r="MEO166" s="587"/>
      <c r="MEP166" s="587"/>
      <c r="MEQ166" s="587"/>
      <c r="MER166" s="587"/>
      <c r="MES166" s="588"/>
      <c r="MET166" s="589"/>
      <c r="MEU166" s="588"/>
      <c r="MEV166" s="589"/>
      <c r="MEW166" s="588"/>
      <c r="MEX166" s="589"/>
      <c r="MEY166" s="588"/>
      <c r="MEZ166" s="589"/>
      <c r="MFA166" s="588"/>
      <c r="MFB166" s="589"/>
      <c r="MFC166" s="429"/>
      <c r="MFD166" s="364"/>
      <c r="MFE166" s="365"/>
      <c r="MFF166" s="354"/>
      <c r="MFG166" s="465"/>
      <c r="MFH166" s="565"/>
      <c r="MFI166" s="572"/>
      <c r="MFJ166" s="572"/>
      <c r="MFK166" s="566"/>
      <c r="MFL166" s="587"/>
      <c r="MFM166" s="587"/>
      <c r="MFN166" s="587"/>
      <c r="MFO166" s="587"/>
      <c r="MFP166" s="588"/>
      <c r="MFQ166" s="589"/>
      <c r="MFR166" s="588"/>
      <c r="MFS166" s="589"/>
      <c r="MFT166" s="588"/>
      <c r="MFU166" s="589"/>
      <c r="MFV166" s="588"/>
      <c r="MFW166" s="589"/>
      <c r="MFX166" s="588"/>
      <c r="MFY166" s="589"/>
      <c r="MFZ166" s="429"/>
      <c r="MGA166" s="364"/>
      <c r="MGB166" s="365"/>
      <c r="MGC166" s="354"/>
      <c r="MGD166" s="465"/>
      <c r="MGE166" s="565"/>
      <c r="MGF166" s="572"/>
      <c r="MGG166" s="572"/>
      <c r="MGH166" s="566"/>
      <c r="MGI166" s="587"/>
      <c r="MGJ166" s="587"/>
      <c r="MGK166" s="587"/>
      <c r="MGL166" s="587"/>
      <c r="MGM166" s="588"/>
      <c r="MGN166" s="589"/>
      <c r="MGO166" s="588"/>
      <c r="MGP166" s="589"/>
      <c r="MGQ166" s="588"/>
      <c r="MGR166" s="589"/>
      <c r="MGS166" s="588"/>
      <c r="MGT166" s="589"/>
      <c r="MGU166" s="588"/>
      <c r="MGV166" s="589"/>
      <c r="MGW166" s="429"/>
      <c r="MGX166" s="364"/>
      <c r="MGY166" s="365"/>
      <c r="MGZ166" s="354"/>
      <c r="MHA166" s="465"/>
      <c r="MHB166" s="565"/>
      <c r="MHC166" s="572"/>
      <c r="MHD166" s="572"/>
      <c r="MHE166" s="566"/>
      <c r="MHF166" s="587"/>
      <c r="MHG166" s="587"/>
      <c r="MHH166" s="587"/>
      <c r="MHI166" s="587"/>
      <c r="MHJ166" s="588"/>
      <c r="MHK166" s="589"/>
      <c r="MHL166" s="588"/>
      <c r="MHM166" s="589"/>
      <c r="MHN166" s="588"/>
      <c r="MHO166" s="589"/>
      <c r="MHP166" s="588"/>
      <c r="MHQ166" s="589"/>
      <c r="MHR166" s="588"/>
      <c r="MHS166" s="589"/>
      <c r="MHT166" s="429"/>
      <c r="MHU166" s="364"/>
      <c r="MHV166" s="365"/>
      <c r="MHW166" s="354"/>
      <c r="MHX166" s="465"/>
      <c r="MHY166" s="565"/>
      <c r="MHZ166" s="572"/>
      <c r="MIA166" s="572"/>
      <c r="MIB166" s="566"/>
      <c r="MIC166" s="587"/>
      <c r="MID166" s="587"/>
      <c r="MIE166" s="587"/>
      <c r="MIF166" s="587"/>
      <c r="MIG166" s="588"/>
      <c r="MIH166" s="589"/>
      <c r="MII166" s="588"/>
      <c r="MIJ166" s="589"/>
      <c r="MIK166" s="588"/>
      <c r="MIL166" s="589"/>
      <c r="MIM166" s="588"/>
      <c r="MIN166" s="589"/>
      <c r="MIO166" s="588"/>
      <c r="MIP166" s="589"/>
      <c r="MIQ166" s="429"/>
      <c r="MIR166" s="364"/>
      <c r="MIS166" s="365"/>
      <c r="MIT166" s="354"/>
      <c r="MIU166" s="465"/>
      <c r="MIV166" s="565"/>
      <c r="MIW166" s="572"/>
      <c r="MIX166" s="572"/>
      <c r="MIY166" s="566"/>
      <c r="MIZ166" s="587"/>
      <c r="MJA166" s="587"/>
      <c r="MJB166" s="587"/>
      <c r="MJC166" s="587"/>
      <c r="MJD166" s="588"/>
      <c r="MJE166" s="589"/>
      <c r="MJF166" s="588"/>
      <c r="MJG166" s="589"/>
      <c r="MJH166" s="588"/>
      <c r="MJI166" s="589"/>
      <c r="MJJ166" s="588"/>
      <c r="MJK166" s="589"/>
      <c r="MJL166" s="588"/>
      <c r="MJM166" s="589"/>
      <c r="MJN166" s="429"/>
      <c r="MJO166" s="364"/>
      <c r="MJP166" s="365"/>
      <c r="MJQ166" s="354"/>
      <c r="MJR166" s="465"/>
      <c r="MJS166" s="565"/>
      <c r="MJT166" s="572"/>
      <c r="MJU166" s="572"/>
      <c r="MJV166" s="566"/>
      <c r="MJW166" s="587"/>
      <c r="MJX166" s="587"/>
      <c r="MJY166" s="587"/>
      <c r="MJZ166" s="587"/>
      <c r="MKA166" s="588"/>
      <c r="MKB166" s="589"/>
      <c r="MKC166" s="588"/>
      <c r="MKD166" s="589"/>
      <c r="MKE166" s="588"/>
      <c r="MKF166" s="589"/>
      <c r="MKG166" s="588"/>
      <c r="MKH166" s="589"/>
      <c r="MKI166" s="588"/>
      <c r="MKJ166" s="589"/>
      <c r="MKK166" s="429"/>
      <c r="MKL166" s="364"/>
      <c r="MKM166" s="365"/>
      <c r="MKN166" s="354"/>
      <c r="MKO166" s="465"/>
      <c r="MKP166" s="565"/>
      <c r="MKQ166" s="572"/>
      <c r="MKR166" s="572"/>
      <c r="MKS166" s="566"/>
      <c r="MKT166" s="587"/>
      <c r="MKU166" s="587"/>
      <c r="MKV166" s="587"/>
      <c r="MKW166" s="587"/>
      <c r="MKX166" s="588"/>
      <c r="MKY166" s="589"/>
      <c r="MKZ166" s="588"/>
      <c r="MLA166" s="589"/>
      <c r="MLB166" s="588"/>
      <c r="MLC166" s="589"/>
      <c r="MLD166" s="588"/>
      <c r="MLE166" s="589"/>
      <c r="MLF166" s="588"/>
      <c r="MLG166" s="589"/>
      <c r="MLH166" s="429"/>
      <c r="MLI166" s="364"/>
      <c r="MLJ166" s="365"/>
      <c r="MLK166" s="354"/>
      <c r="MLL166" s="465"/>
      <c r="MLM166" s="565"/>
      <c r="MLN166" s="572"/>
      <c r="MLO166" s="572"/>
      <c r="MLP166" s="566"/>
      <c r="MLQ166" s="587"/>
      <c r="MLR166" s="587"/>
      <c r="MLS166" s="587"/>
      <c r="MLT166" s="587"/>
      <c r="MLU166" s="588"/>
      <c r="MLV166" s="589"/>
      <c r="MLW166" s="588"/>
      <c r="MLX166" s="589"/>
      <c r="MLY166" s="588"/>
      <c r="MLZ166" s="589"/>
      <c r="MMA166" s="588"/>
      <c r="MMB166" s="589"/>
      <c r="MMC166" s="588"/>
      <c r="MMD166" s="589"/>
      <c r="MME166" s="429"/>
      <c r="MMF166" s="364"/>
      <c r="MMG166" s="365"/>
      <c r="MMH166" s="354"/>
      <c r="MMI166" s="465"/>
      <c r="MMJ166" s="565"/>
      <c r="MMK166" s="572"/>
      <c r="MML166" s="572"/>
      <c r="MMM166" s="566"/>
      <c r="MMN166" s="587"/>
      <c r="MMO166" s="587"/>
      <c r="MMP166" s="587"/>
      <c r="MMQ166" s="587"/>
      <c r="MMR166" s="588"/>
      <c r="MMS166" s="589"/>
      <c r="MMT166" s="588"/>
      <c r="MMU166" s="589"/>
      <c r="MMV166" s="588"/>
      <c r="MMW166" s="589"/>
      <c r="MMX166" s="588"/>
      <c r="MMY166" s="589"/>
      <c r="MMZ166" s="588"/>
      <c r="MNA166" s="589"/>
      <c r="MNB166" s="429"/>
      <c r="MNC166" s="364"/>
      <c r="MND166" s="365"/>
      <c r="MNE166" s="354"/>
      <c r="MNF166" s="465"/>
      <c r="MNG166" s="565"/>
      <c r="MNH166" s="572"/>
      <c r="MNI166" s="572"/>
      <c r="MNJ166" s="566"/>
      <c r="MNK166" s="587"/>
      <c r="MNL166" s="587"/>
      <c r="MNM166" s="587"/>
      <c r="MNN166" s="587"/>
      <c r="MNO166" s="588"/>
      <c r="MNP166" s="589"/>
      <c r="MNQ166" s="588"/>
      <c r="MNR166" s="589"/>
      <c r="MNS166" s="588"/>
      <c r="MNT166" s="589"/>
      <c r="MNU166" s="588"/>
      <c r="MNV166" s="589"/>
      <c r="MNW166" s="588"/>
      <c r="MNX166" s="589"/>
      <c r="MNY166" s="429"/>
      <c r="MNZ166" s="364"/>
      <c r="MOA166" s="365"/>
      <c r="MOB166" s="354"/>
      <c r="MOC166" s="465"/>
      <c r="MOD166" s="565"/>
      <c r="MOE166" s="572"/>
      <c r="MOF166" s="572"/>
      <c r="MOG166" s="566"/>
      <c r="MOH166" s="587"/>
      <c r="MOI166" s="587"/>
      <c r="MOJ166" s="587"/>
      <c r="MOK166" s="587"/>
      <c r="MOL166" s="588"/>
      <c r="MOM166" s="589"/>
      <c r="MON166" s="588"/>
      <c r="MOO166" s="589"/>
      <c r="MOP166" s="588"/>
      <c r="MOQ166" s="589"/>
      <c r="MOR166" s="588"/>
      <c r="MOS166" s="589"/>
      <c r="MOT166" s="588"/>
      <c r="MOU166" s="589"/>
      <c r="MOV166" s="429"/>
      <c r="MOW166" s="364"/>
      <c r="MOX166" s="365"/>
      <c r="MOY166" s="354"/>
      <c r="MOZ166" s="465"/>
      <c r="MPA166" s="565"/>
      <c r="MPB166" s="572"/>
      <c r="MPC166" s="572"/>
      <c r="MPD166" s="566"/>
      <c r="MPE166" s="587"/>
      <c r="MPF166" s="587"/>
      <c r="MPG166" s="587"/>
      <c r="MPH166" s="587"/>
      <c r="MPI166" s="588"/>
      <c r="MPJ166" s="589"/>
      <c r="MPK166" s="588"/>
      <c r="MPL166" s="589"/>
      <c r="MPM166" s="588"/>
      <c r="MPN166" s="589"/>
      <c r="MPO166" s="588"/>
      <c r="MPP166" s="589"/>
      <c r="MPQ166" s="588"/>
      <c r="MPR166" s="589"/>
      <c r="MPS166" s="429"/>
      <c r="MPT166" s="364"/>
      <c r="MPU166" s="365"/>
      <c r="MPV166" s="354"/>
      <c r="MPW166" s="465"/>
      <c r="MPX166" s="565"/>
      <c r="MPY166" s="572"/>
      <c r="MPZ166" s="572"/>
      <c r="MQA166" s="566"/>
      <c r="MQB166" s="587"/>
      <c r="MQC166" s="587"/>
      <c r="MQD166" s="587"/>
      <c r="MQE166" s="587"/>
      <c r="MQF166" s="588"/>
      <c r="MQG166" s="589"/>
      <c r="MQH166" s="588"/>
      <c r="MQI166" s="589"/>
      <c r="MQJ166" s="588"/>
      <c r="MQK166" s="589"/>
      <c r="MQL166" s="588"/>
      <c r="MQM166" s="589"/>
      <c r="MQN166" s="588"/>
      <c r="MQO166" s="589"/>
      <c r="MQP166" s="429"/>
      <c r="MQQ166" s="364"/>
      <c r="MQR166" s="365"/>
      <c r="MQS166" s="354"/>
      <c r="MQT166" s="465"/>
      <c r="MQU166" s="565"/>
      <c r="MQV166" s="572"/>
      <c r="MQW166" s="572"/>
      <c r="MQX166" s="566"/>
      <c r="MQY166" s="587"/>
      <c r="MQZ166" s="587"/>
      <c r="MRA166" s="587"/>
      <c r="MRB166" s="587"/>
      <c r="MRC166" s="588"/>
      <c r="MRD166" s="589"/>
      <c r="MRE166" s="588"/>
      <c r="MRF166" s="589"/>
      <c r="MRG166" s="588"/>
      <c r="MRH166" s="589"/>
      <c r="MRI166" s="588"/>
      <c r="MRJ166" s="589"/>
      <c r="MRK166" s="588"/>
      <c r="MRL166" s="589"/>
      <c r="MRM166" s="429"/>
      <c r="MRN166" s="364"/>
      <c r="MRO166" s="365"/>
      <c r="MRP166" s="354"/>
      <c r="MRQ166" s="465"/>
      <c r="MRR166" s="565"/>
      <c r="MRS166" s="572"/>
      <c r="MRT166" s="572"/>
      <c r="MRU166" s="566"/>
      <c r="MRV166" s="587"/>
      <c r="MRW166" s="587"/>
      <c r="MRX166" s="587"/>
      <c r="MRY166" s="587"/>
      <c r="MRZ166" s="588"/>
      <c r="MSA166" s="589"/>
      <c r="MSB166" s="588"/>
      <c r="MSC166" s="589"/>
      <c r="MSD166" s="588"/>
      <c r="MSE166" s="589"/>
      <c r="MSF166" s="588"/>
      <c r="MSG166" s="589"/>
      <c r="MSH166" s="588"/>
      <c r="MSI166" s="589"/>
      <c r="MSJ166" s="429"/>
      <c r="MSK166" s="364"/>
      <c r="MSL166" s="365"/>
      <c r="MSM166" s="354"/>
      <c r="MSN166" s="465"/>
      <c r="MSO166" s="565"/>
      <c r="MSP166" s="572"/>
      <c r="MSQ166" s="572"/>
      <c r="MSR166" s="566"/>
      <c r="MSS166" s="587"/>
      <c r="MST166" s="587"/>
      <c r="MSU166" s="587"/>
      <c r="MSV166" s="587"/>
      <c r="MSW166" s="588"/>
      <c r="MSX166" s="589"/>
      <c r="MSY166" s="588"/>
      <c r="MSZ166" s="589"/>
      <c r="MTA166" s="588"/>
      <c r="MTB166" s="589"/>
      <c r="MTC166" s="588"/>
      <c r="MTD166" s="589"/>
      <c r="MTE166" s="588"/>
      <c r="MTF166" s="589"/>
      <c r="MTG166" s="429"/>
      <c r="MTH166" s="364"/>
      <c r="MTI166" s="365"/>
      <c r="MTJ166" s="354"/>
      <c r="MTK166" s="465"/>
      <c r="MTL166" s="565"/>
      <c r="MTM166" s="572"/>
      <c r="MTN166" s="572"/>
      <c r="MTO166" s="566"/>
      <c r="MTP166" s="587"/>
      <c r="MTQ166" s="587"/>
      <c r="MTR166" s="587"/>
      <c r="MTS166" s="587"/>
      <c r="MTT166" s="588"/>
      <c r="MTU166" s="589"/>
      <c r="MTV166" s="588"/>
      <c r="MTW166" s="589"/>
      <c r="MTX166" s="588"/>
      <c r="MTY166" s="589"/>
      <c r="MTZ166" s="588"/>
      <c r="MUA166" s="589"/>
      <c r="MUB166" s="588"/>
      <c r="MUC166" s="589"/>
      <c r="MUD166" s="429"/>
      <c r="MUE166" s="364"/>
      <c r="MUF166" s="365"/>
      <c r="MUG166" s="354"/>
      <c r="MUH166" s="465"/>
      <c r="MUI166" s="565"/>
      <c r="MUJ166" s="572"/>
      <c r="MUK166" s="572"/>
      <c r="MUL166" s="566"/>
      <c r="MUM166" s="587"/>
      <c r="MUN166" s="587"/>
      <c r="MUO166" s="587"/>
      <c r="MUP166" s="587"/>
      <c r="MUQ166" s="588"/>
      <c r="MUR166" s="589"/>
      <c r="MUS166" s="588"/>
      <c r="MUT166" s="589"/>
      <c r="MUU166" s="588"/>
      <c r="MUV166" s="589"/>
      <c r="MUW166" s="588"/>
      <c r="MUX166" s="589"/>
      <c r="MUY166" s="588"/>
      <c r="MUZ166" s="589"/>
      <c r="MVA166" s="429"/>
      <c r="MVB166" s="364"/>
      <c r="MVC166" s="365"/>
      <c r="MVD166" s="354"/>
      <c r="MVE166" s="465"/>
      <c r="MVF166" s="565"/>
      <c r="MVG166" s="572"/>
      <c r="MVH166" s="572"/>
      <c r="MVI166" s="566"/>
      <c r="MVJ166" s="587"/>
      <c r="MVK166" s="587"/>
      <c r="MVL166" s="587"/>
      <c r="MVM166" s="587"/>
      <c r="MVN166" s="588"/>
      <c r="MVO166" s="589"/>
      <c r="MVP166" s="588"/>
      <c r="MVQ166" s="589"/>
      <c r="MVR166" s="588"/>
      <c r="MVS166" s="589"/>
      <c r="MVT166" s="588"/>
      <c r="MVU166" s="589"/>
      <c r="MVV166" s="588"/>
      <c r="MVW166" s="589"/>
      <c r="MVX166" s="429"/>
      <c r="MVY166" s="364"/>
      <c r="MVZ166" s="365"/>
      <c r="MWA166" s="354"/>
      <c r="MWB166" s="465"/>
      <c r="MWC166" s="565"/>
      <c r="MWD166" s="572"/>
      <c r="MWE166" s="572"/>
      <c r="MWF166" s="566"/>
      <c r="MWG166" s="587"/>
      <c r="MWH166" s="587"/>
      <c r="MWI166" s="587"/>
      <c r="MWJ166" s="587"/>
      <c r="MWK166" s="588"/>
      <c r="MWL166" s="589"/>
      <c r="MWM166" s="588"/>
      <c r="MWN166" s="589"/>
      <c r="MWO166" s="588"/>
      <c r="MWP166" s="589"/>
      <c r="MWQ166" s="588"/>
      <c r="MWR166" s="589"/>
      <c r="MWS166" s="588"/>
      <c r="MWT166" s="589"/>
      <c r="MWU166" s="429"/>
      <c r="MWV166" s="364"/>
      <c r="MWW166" s="365"/>
      <c r="MWX166" s="354"/>
      <c r="MWY166" s="465"/>
      <c r="MWZ166" s="565"/>
      <c r="MXA166" s="572"/>
      <c r="MXB166" s="572"/>
      <c r="MXC166" s="566"/>
      <c r="MXD166" s="587"/>
      <c r="MXE166" s="587"/>
      <c r="MXF166" s="587"/>
      <c r="MXG166" s="587"/>
      <c r="MXH166" s="588"/>
      <c r="MXI166" s="589"/>
      <c r="MXJ166" s="588"/>
      <c r="MXK166" s="589"/>
      <c r="MXL166" s="588"/>
      <c r="MXM166" s="589"/>
      <c r="MXN166" s="588"/>
      <c r="MXO166" s="589"/>
      <c r="MXP166" s="588"/>
      <c r="MXQ166" s="589"/>
      <c r="MXR166" s="429"/>
      <c r="MXS166" s="364"/>
      <c r="MXT166" s="365"/>
      <c r="MXU166" s="354"/>
      <c r="MXV166" s="465"/>
      <c r="MXW166" s="565"/>
      <c r="MXX166" s="572"/>
      <c r="MXY166" s="572"/>
      <c r="MXZ166" s="566"/>
      <c r="MYA166" s="587"/>
      <c r="MYB166" s="587"/>
      <c r="MYC166" s="587"/>
      <c r="MYD166" s="587"/>
      <c r="MYE166" s="588"/>
      <c r="MYF166" s="589"/>
      <c r="MYG166" s="588"/>
      <c r="MYH166" s="589"/>
      <c r="MYI166" s="588"/>
      <c r="MYJ166" s="589"/>
      <c r="MYK166" s="588"/>
      <c r="MYL166" s="589"/>
      <c r="MYM166" s="588"/>
      <c r="MYN166" s="589"/>
      <c r="MYO166" s="429"/>
      <c r="MYP166" s="364"/>
      <c r="MYQ166" s="365"/>
      <c r="MYR166" s="354"/>
      <c r="MYS166" s="465"/>
      <c r="MYT166" s="565"/>
      <c r="MYU166" s="572"/>
      <c r="MYV166" s="572"/>
      <c r="MYW166" s="566"/>
      <c r="MYX166" s="587"/>
      <c r="MYY166" s="587"/>
      <c r="MYZ166" s="587"/>
      <c r="MZA166" s="587"/>
      <c r="MZB166" s="588"/>
      <c r="MZC166" s="589"/>
      <c r="MZD166" s="588"/>
      <c r="MZE166" s="589"/>
      <c r="MZF166" s="588"/>
      <c r="MZG166" s="589"/>
      <c r="MZH166" s="588"/>
      <c r="MZI166" s="589"/>
      <c r="MZJ166" s="588"/>
      <c r="MZK166" s="589"/>
      <c r="MZL166" s="429"/>
      <c r="MZM166" s="364"/>
      <c r="MZN166" s="365"/>
      <c r="MZO166" s="354"/>
      <c r="MZP166" s="465"/>
      <c r="MZQ166" s="565"/>
      <c r="MZR166" s="572"/>
      <c r="MZS166" s="572"/>
      <c r="MZT166" s="566"/>
      <c r="MZU166" s="587"/>
      <c r="MZV166" s="587"/>
      <c r="MZW166" s="587"/>
      <c r="MZX166" s="587"/>
      <c r="MZY166" s="588"/>
      <c r="MZZ166" s="589"/>
      <c r="NAA166" s="588"/>
      <c r="NAB166" s="589"/>
      <c r="NAC166" s="588"/>
      <c r="NAD166" s="589"/>
      <c r="NAE166" s="588"/>
      <c r="NAF166" s="589"/>
      <c r="NAG166" s="588"/>
      <c r="NAH166" s="589"/>
      <c r="NAI166" s="429"/>
      <c r="NAJ166" s="364"/>
      <c r="NAK166" s="365"/>
      <c r="NAL166" s="354"/>
      <c r="NAM166" s="465"/>
      <c r="NAN166" s="565"/>
      <c r="NAO166" s="572"/>
      <c r="NAP166" s="572"/>
      <c r="NAQ166" s="566"/>
      <c r="NAR166" s="587"/>
      <c r="NAS166" s="587"/>
      <c r="NAT166" s="587"/>
      <c r="NAU166" s="587"/>
      <c r="NAV166" s="588"/>
      <c r="NAW166" s="589"/>
      <c r="NAX166" s="588"/>
      <c r="NAY166" s="589"/>
      <c r="NAZ166" s="588"/>
      <c r="NBA166" s="589"/>
      <c r="NBB166" s="588"/>
      <c r="NBC166" s="589"/>
      <c r="NBD166" s="588"/>
      <c r="NBE166" s="589"/>
      <c r="NBF166" s="429"/>
      <c r="NBG166" s="364"/>
      <c r="NBH166" s="365"/>
      <c r="NBI166" s="354"/>
      <c r="NBJ166" s="465"/>
      <c r="NBK166" s="565"/>
      <c r="NBL166" s="572"/>
      <c r="NBM166" s="572"/>
      <c r="NBN166" s="566"/>
      <c r="NBO166" s="587"/>
      <c r="NBP166" s="587"/>
      <c r="NBQ166" s="587"/>
      <c r="NBR166" s="587"/>
      <c r="NBS166" s="588"/>
      <c r="NBT166" s="589"/>
      <c r="NBU166" s="588"/>
      <c r="NBV166" s="589"/>
      <c r="NBW166" s="588"/>
      <c r="NBX166" s="589"/>
      <c r="NBY166" s="588"/>
      <c r="NBZ166" s="589"/>
      <c r="NCA166" s="588"/>
      <c r="NCB166" s="589"/>
      <c r="NCC166" s="429"/>
      <c r="NCD166" s="364"/>
      <c r="NCE166" s="365"/>
      <c r="NCF166" s="354"/>
      <c r="NCG166" s="465"/>
      <c r="NCH166" s="565"/>
      <c r="NCI166" s="572"/>
      <c r="NCJ166" s="572"/>
      <c r="NCK166" s="566"/>
      <c r="NCL166" s="587"/>
      <c r="NCM166" s="587"/>
      <c r="NCN166" s="587"/>
      <c r="NCO166" s="587"/>
      <c r="NCP166" s="588"/>
      <c r="NCQ166" s="589"/>
      <c r="NCR166" s="588"/>
      <c r="NCS166" s="589"/>
      <c r="NCT166" s="588"/>
      <c r="NCU166" s="589"/>
      <c r="NCV166" s="588"/>
      <c r="NCW166" s="589"/>
      <c r="NCX166" s="588"/>
      <c r="NCY166" s="589"/>
      <c r="NCZ166" s="429"/>
      <c r="NDA166" s="364"/>
      <c r="NDB166" s="365"/>
      <c r="NDC166" s="354"/>
      <c r="NDD166" s="465"/>
      <c r="NDE166" s="565"/>
      <c r="NDF166" s="572"/>
      <c r="NDG166" s="572"/>
      <c r="NDH166" s="566"/>
      <c r="NDI166" s="587"/>
      <c r="NDJ166" s="587"/>
      <c r="NDK166" s="587"/>
      <c r="NDL166" s="587"/>
      <c r="NDM166" s="588"/>
      <c r="NDN166" s="589"/>
      <c r="NDO166" s="588"/>
      <c r="NDP166" s="589"/>
      <c r="NDQ166" s="588"/>
      <c r="NDR166" s="589"/>
      <c r="NDS166" s="588"/>
      <c r="NDT166" s="589"/>
      <c r="NDU166" s="588"/>
      <c r="NDV166" s="589"/>
      <c r="NDW166" s="429"/>
      <c r="NDX166" s="364"/>
      <c r="NDY166" s="365"/>
      <c r="NDZ166" s="354"/>
      <c r="NEA166" s="465"/>
      <c r="NEB166" s="565"/>
      <c r="NEC166" s="572"/>
      <c r="NED166" s="572"/>
      <c r="NEE166" s="566"/>
      <c r="NEF166" s="587"/>
      <c r="NEG166" s="587"/>
      <c r="NEH166" s="587"/>
      <c r="NEI166" s="587"/>
      <c r="NEJ166" s="588"/>
      <c r="NEK166" s="589"/>
      <c r="NEL166" s="588"/>
      <c r="NEM166" s="589"/>
      <c r="NEN166" s="588"/>
      <c r="NEO166" s="589"/>
      <c r="NEP166" s="588"/>
      <c r="NEQ166" s="589"/>
      <c r="NER166" s="588"/>
      <c r="NES166" s="589"/>
      <c r="NET166" s="429"/>
      <c r="NEU166" s="364"/>
      <c r="NEV166" s="365"/>
      <c r="NEW166" s="354"/>
      <c r="NEX166" s="465"/>
      <c r="NEY166" s="565"/>
      <c r="NEZ166" s="572"/>
      <c r="NFA166" s="572"/>
      <c r="NFB166" s="566"/>
      <c r="NFC166" s="587"/>
      <c r="NFD166" s="587"/>
      <c r="NFE166" s="587"/>
      <c r="NFF166" s="587"/>
      <c r="NFG166" s="588"/>
      <c r="NFH166" s="589"/>
      <c r="NFI166" s="588"/>
      <c r="NFJ166" s="589"/>
      <c r="NFK166" s="588"/>
      <c r="NFL166" s="589"/>
      <c r="NFM166" s="588"/>
      <c r="NFN166" s="589"/>
      <c r="NFO166" s="588"/>
      <c r="NFP166" s="589"/>
      <c r="NFQ166" s="429"/>
      <c r="NFR166" s="364"/>
      <c r="NFS166" s="365"/>
      <c r="NFT166" s="354"/>
      <c r="NFU166" s="465"/>
      <c r="NFV166" s="565"/>
      <c r="NFW166" s="572"/>
      <c r="NFX166" s="572"/>
      <c r="NFY166" s="566"/>
      <c r="NFZ166" s="587"/>
      <c r="NGA166" s="587"/>
      <c r="NGB166" s="587"/>
      <c r="NGC166" s="587"/>
      <c r="NGD166" s="588"/>
      <c r="NGE166" s="589"/>
      <c r="NGF166" s="588"/>
      <c r="NGG166" s="589"/>
      <c r="NGH166" s="588"/>
      <c r="NGI166" s="589"/>
      <c r="NGJ166" s="588"/>
      <c r="NGK166" s="589"/>
      <c r="NGL166" s="588"/>
      <c r="NGM166" s="589"/>
      <c r="NGN166" s="429"/>
      <c r="NGO166" s="364"/>
      <c r="NGP166" s="365"/>
      <c r="NGQ166" s="354"/>
      <c r="NGR166" s="465"/>
      <c r="NGS166" s="565"/>
      <c r="NGT166" s="572"/>
      <c r="NGU166" s="572"/>
      <c r="NGV166" s="566"/>
      <c r="NGW166" s="587"/>
      <c r="NGX166" s="587"/>
      <c r="NGY166" s="587"/>
      <c r="NGZ166" s="587"/>
      <c r="NHA166" s="588"/>
      <c r="NHB166" s="589"/>
      <c r="NHC166" s="588"/>
      <c r="NHD166" s="589"/>
      <c r="NHE166" s="588"/>
      <c r="NHF166" s="589"/>
      <c r="NHG166" s="588"/>
      <c r="NHH166" s="589"/>
      <c r="NHI166" s="588"/>
      <c r="NHJ166" s="589"/>
      <c r="NHK166" s="429"/>
      <c r="NHL166" s="364"/>
      <c r="NHM166" s="365"/>
      <c r="NHN166" s="354"/>
      <c r="NHO166" s="465"/>
      <c r="NHP166" s="565"/>
      <c r="NHQ166" s="572"/>
      <c r="NHR166" s="572"/>
      <c r="NHS166" s="566"/>
      <c r="NHT166" s="587"/>
      <c r="NHU166" s="587"/>
      <c r="NHV166" s="587"/>
      <c r="NHW166" s="587"/>
      <c r="NHX166" s="588"/>
      <c r="NHY166" s="589"/>
      <c r="NHZ166" s="588"/>
      <c r="NIA166" s="589"/>
      <c r="NIB166" s="588"/>
      <c r="NIC166" s="589"/>
      <c r="NID166" s="588"/>
      <c r="NIE166" s="589"/>
      <c r="NIF166" s="588"/>
      <c r="NIG166" s="589"/>
      <c r="NIH166" s="429"/>
      <c r="NII166" s="364"/>
      <c r="NIJ166" s="365"/>
      <c r="NIK166" s="354"/>
      <c r="NIL166" s="465"/>
      <c r="NIM166" s="565"/>
      <c r="NIN166" s="572"/>
      <c r="NIO166" s="572"/>
      <c r="NIP166" s="566"/>
      <c r="NIQ166" s="587"/>
      <c r="NIR166" s="587"/>
      <c r="NIS166" s="587"/>
      <c r="NIT166" s="587"/>
      <c r="NIU166" s="588"/>
      <c r="NIV166" s="589"/>
      <c r="NIW166" s="588"/>
      <c r="NIX166" s="589"/>
      <c r="NIY166" s="588"/>
      <c r="NIZ166" s="589"/>
      <c r="NJA166" s="588"/>
      <c r="NJB166" s="589"/>
      <c r="NJC166" s="588"/>
      <c r="NJD166" s="589"/>
      <c r="NJE166" s="429"/>
      <c r="NJF166" s="364"/>
      <c r="NJG166" s="365"/>
      <c r="NJH166" s="354"/>
      <c r="NJI166" s="465"/>
      <c r="NJJ166" s="565"/>
      <c r="NJK166" s="572"/>
      <c r="NJL166" s="572"/>
      <c r="NJM166" s="566"/>
      <c r="NJN166" s="587"/>
      <c r="NJO166" s="587"/>
      <c r="NJP166" s="587"/>
      <c r="NJQ166" s="587"/>
      <c r="NJR166" s="588"/>
      <c r="NJS166" s="589"/>
      <c r="NJT166" s="588"/>
      <c r="NJU166" s="589"/>
      <c r="NJV166" s="588"/>
      <c r="NJW166" s="589"/>
      <c r="NJX166" s="588"/>
      <c r="NJY166" s="589"/>
      <c r="NJZ166" s="588"/>
      <c r="NKA166" s="589"/>
      <c r="NKB166" s="429"/>
      <c r="NKC166" s="364"/>
      <c r="NKD166" s="365"/>
      <c r="NKE166" s="354"/>
      <c r="NKF166" s="465"/>
      <c r="NKG166" s="565"/>
      <c r="NKH166" s="572"/>
      <c r="NKI166" s="572"/>
      <c r="NKJ166" s="566"/>
      <c r="NKK166" s="587"/>
      <c r="NKL166" s="587"/>
      <c r="NKM166" s="587"/>
      <c r="NKN166" s="587"/>
      <c r="NKO166" s="588"/>
      <c r="NKP166" s="589"/>
      <c r="NKQ166" s="588"/>
      <c r="NKR166" s="589"/>
      <c r="NKS166" s="588"/>
      <c r="NKT166" s="589"/>
      <c r="NKU166" s="588"/>
      <c r="NKV166" s="589"/>
      <c r="NKW166" s="588"/>
      <c r="NKX166" s="589"/>
      <c r="NKY166" s="429"/>
      <c r="NKZ166" s="364"/>
      <c r="NLA166" s="365"/>
      <c r="NLB166" s="354"/>
      <c r="NLC166" s="465"/>
      <c r="NLD166" s="565"/>
      <c r="NLE166" s="572"/>
      <c r="NLF166" s="572"/>
      <c r="NLG166" s="566"/>
      <c r="NLH166" s="587"/>
      <c r="NLI166" s="587"/>
      <c r="NLJ166" s="587"/>
      <c r="NLK166" s="587"/>
      <c r="NLL166" s="588"/>
      <c r="NLM166" s="589"/>
      <c r="NLN166" s="588"/>
      <c r="NLO166" s="589"/>
      <c r="NLP166" s="588"/>
      <c r="NLQ166" s="589"/>
      <c r="NLR166" s="588"/>
      <c r="NLS166" s="589"/>
      <c r="NLT166" s="588"/>
      <c r="NLU166" s="589"/>
      <c r="NLV166" s="429"/>
      <c r="NLW166" s="364"/>
      <c r="NLX166" s="365"/>
      <c r="NLY166" s="354"/>
      <c r="NLZ166" s="465"/>
      <c r="NMA166" s="565"/>
      <c r="NMB166" s="572"/>
      <c r="NMC166" s="572"/>
      <c r="NMD166" s="566"/>
      <c r="NME166" s="587"/>
      <c r="NMF166" s="587"/>
      <c r="NMG166" s="587"/>
      <c r="NMH166" s="587"/>
      <c r="NMI166" s="588"/>
      <c r="NMJ166" s="589"/>
      <c r="NMK166" s="588"/>
      <c r="NML166" s="589"/>
      <c r="NMM166" s="588"/>
      <c r="NMN166" s="589"/>
      <c r="NMO166" s="588"/>
      <c r="NMP166" s="589"/>
      <c r="NMQ166" s="588"/>
      <c r="NMR166" s="589"/>
      <c r="NMS166" s="429"/>
      <c r="NMT166" s="364"/>
      <c r="NMU166" s="365"/>
      <c r="NMV166" s="354"/>
      <c r="NMW166" s="465"/>
      <c r="NMX166" s="565"/>
      <c r="NMY166" s="572"/>
      <c r="NMZ166" s="572"/>
      <c r="NNA166" s="566"/>
      <c r="NNB166" s="587"/>
      <c r="NNC166" s="587"/>
      <c r="NND166" s="587"/>
      <c r="NNE166" s="587"/>
      <c r="NNF166" s="588"/>
      <c r="NNG166" s="589"/>
      <c r="NNH166" s="588"/>
      <c r="NNI166" s="589"/>
      <c r="NNJ166" s="588"/>
      <c r="NNK166" s="589"/>
      <c r="NNL166" s="588"/>
      <c r="NNM166" s="589"/>
      <c r="NNN166" s="588"/>
      <c r="NNO166" s="589"/>
      <c r="NNP166" s="429"/>
      <c r="NNQ166" s="364"/>
      <c r="NNR166" s="365"/>
      <c r="NNS166" s="354"/>
      <c r="NNT166" s="465"/>
      <c r="NNU166" s="565"/>
      <c r="NNV166" s="572"/>
      <c r="NNW166" s="572"/>
      <c r="NNX166" s="566"/>
      <c r="NNY166" s="587"/>
      <c r="NNZ166" s="587"/>
      <c r="NOA166" s="587"/>
      <c r="NOB166" s="587"/>
      <c r="NOC166" s="588"/>
      <c r="NOD166" s="589"/>
      <c r="NOE166" s="588"/>
      <c r="NOF166" s="589"/>
      <c r="NOG166" s="588"/>
      <c r="NOH166" s="589"/>
      <c r="NOI166" s="588"/>
      <c r="NOJ166" s="589"/>
      <c r="NOK166" s="588"/>
      <c r="NOL166" s="589"/>
      <c r="NOM166" s="429"/>
      <c r="NON166" s="364"/>
      <c r="NOO166" s="365"/>
      <c r="NOP166" s="354"/>
      <c r="NOQ166" s="465"/>
      <c r="NOR166" s="565"/>
      <c r="NOS166" s="572"/>
      <c r="NOT166" s="572"/>
      <c r="NOU166" s="566"/>
      <c r="NOV166" s="587"/>
      <c r="NOW166" s="587"/>
      <c r="NOX166" s="587"/>
      <c r="NOY166" s="587"/>
      <c r="NOZ166" s="588"/>
      <c r="NPA166" s="589"/>
      <c r="NPB166" s="588"/>
      <c r="NPC166" s="589"/>
      <c r="NPD166" s="588"/>
      <c r="NPE166" s="589"/>
      <c r="NPF166" s="588"/>
      <c r="NPG166" s="589"/>
      <c r="NPH166" s="588"/>
      <c r="NPI166" s="589"/>
      <c r="NPJ166" s="429"/>
      <c r="NPK166" s="364"/>
      <c r="NPL166" s="365"/>
      <c r="NPM166" s="354"/>
      <c r="NPN166" s="465"/>
      <c r="NPO166" s="565"/>
      <c r="NPP166" s="572"/>
      <c r="NPQ166" s="572"/>
      <c r="NPR166" s="566"/>
      <c r="NPS166" s="587"/>
      <c r="NPT166" s="587"/>
      <c r="NPU166" s="587"/>
      <c r="NPV166" s="587"/>
      <c r="NPW166" s="588"/>
      <c r="NPX166" s="589"/>
      <c r="NPY166" s="588"/>
      <c r="NPZ166" s="589"/>
      <c r="NQA166" s="588"/>
      <c r="NQB166" s="589"/>
      <c r="NQC166" s="588"/>
      <c r="NQD166" s="589"/>
      <c r="NQE166" s="588"/>
      <c r="NQF166" s="589"/>
      <c r="NQG166" s="429"/>
      <c r="NQH166" s="364"/>
      <c r="NQI166" s="365"/>
      <c r="NQJ166" s="354"/>
      <c r="NQK166" s="465"/>
      <c r="NQL166" s="565"/>
      <c r="NQM166" s="572"/>
      <c r="NQN166" s="572"/>
      <c r="NQO166" s="566"/>
      <c r="NQP166" s="587"/>
      <c r="NQQ166" s="587"/>
      <c r="NQR166" s="587"/>
      <c r="NQS166" s="587"/>
      <c r="NQT166" s="588"/>
      <c r="NQU166" s="589"/>
      <c r="NQV166" s="588"/>
      <c r="NQW166" s="589"/>
      <c r="NQX166" s="588"/>
      <c r="NQY166" s="589"/>
      <c r="NQZ166" s="588"/>
      <c r="NRA166" s="589"/>
      <c r="NRB166" s="588"/>
      <c r="NRC166" s="589"/>
      <c r="NRD166" s="429"/>
      <c r="NRE166" s="364"/>
      <c r="NRF166" s="365"/>
      <c r="NRG166" s="354"/>
      <c r="NRH166" s="465"/>
      <c r="NRI166" s="565"/>
      <c r="NRJ166" s="572"/>
      <c r="NRK166" s="572"/>
      <c r="NRL166" s="566"/>
      <c r="NRM166" s="587"/>
      <c r="NRN166" s="587"/>
      <c r="NRO166" s="587"/>
      <c r="NRP166" s="587"/>
      <c r="NRQ166" s="588"/>
      <c r="NRR166" s="589"/>
      <c r="NRS166" s="588"/>
      <c r="NRT166" s="589"/>
      <c r="NRU166" s="588"/>
      <c r="NRV166" s="589"/>
      <c r="NRW166" s="588"/>
      <c r="NRX166" s="589"/>
      <c r="NRY166" s="588"/>
      <c r="NRZ166" s="589"/>
      <c r="NSA166" s="429"/>
      <c r="NSB166" s="364"/>
      <c r="NSC166" s="365"/>
      <c r="NSD166" s="354"/>
      <c r="NSE166" s="465"/>
      <c r="NSF166" s="565"/>
      <c r="NSG166" s="572"/>
      <c r="NSH166" s="572"/>
      <c r="NSI166" s="566"/>
      <c r="NSJ166" s="587"/>
      <c r="NSK166" s="587"/>
      <c r="NSL166" s="587"/>
      <c r="NSM166" s="587"/>
      <c r="NSN166" s="588"/>
      <c r="NSO166" s="589"/>
      <c r="NSP166" s="588"/>
      <c r="NSQ166" s="589"/>
      <c r="NSR166" s="588"/>
      <c r="NSS166" s="589"/>
      <c r="NST166" s="588"/>
      <c r="NSU166" s="589"/>
      <c r="NSV166" s="588"/>
      <c r="NSW166" s="589"/>
      <c r="NSX166" s="429"/>
      <c r="NSY166" s="364"/>
      <c r="NSZ166" s="365"/>
      <c r="NTA166" s="354"/>
      <c r="NTB166" s="465"/>
      <c r="NTC166" s="565"/>
      <c r="NTD166" s="572"/>
      <c r="NTE166" s="572"/>
      <c r="NTF166" s="566"/>
      <c r="NTG166" s="587"/>
      <c r="NTH166" s="587"/>
      <c r="NTI166" s="587"/>
      <c r="NTJ166" s="587"/>
      <c r="NTK166" s="588"/>
      <c r="NTL166" s="589"/>
      <c r="NTM166" s="588"/>
      <c r="NTN166" s="589"/>
      <c r="NTO166" s="588"/>
      <c r="NTP166" s="589"/>
      <c r="NTQ166" s="588"/>
      <c r="NTR166" s="589"/>
      <c r="NTS166" s="588"/>
      <c r="NTT166" s="589"/>
      <c r="NTU166" s="429"/>
      <c r="NTV166" s="364"/>
      <c r="NTW166" s="365"/>
      <c r="NTX166" s="354"/>
      <c r="NTY166" s="465"/>
      <c r="NTZ166" s="565"/>
      <c r="NUA166" s="572"/>
      <c r="NUB166" s="572"/>
      <c r="NUC166" s="566"/>
      <c r="NUD166" s="587"/>
      <c r="NUE166" s="587"/>
      <c r="NUF166" s="587"/>
      <c r="NUG166" s="587"/>
      <c r="NUH166" s="588"/>
      <c r="NUI166" s="589"/>
      <c r="NUJ166" s="588"/>
      <c r="NUK166" s="589"/>
      <c r="NUL166" s="588"/>
      <c r="NUM166" s="589"/>
      <c r="NUN166" s="588"/>
      <c r="NUO166" s="589"/>
      <c r="NUP166" s="588"/>
      <c r="NUQ166" s="589"/>
      <c r="NUR166" s="429"/>
      <c r="NUS166" s="364"/>
      <c r="NUT166" s="365"/>
      <c r="NUU166" s="354"/>
      <c r="NUV166" s="465"/>
      <c r="NUW166" s="565"/>
      <c r="NUX166" s="572"/>
      <c r="NUY166" s="572"/>
      <c r="NUZ166" s="566"/>
      <c r="NVA166" s="587"/>
      <c r="NVB166" s="587"/>
      <c r="NVC166" s="587"/>
      <c r="NVD166" s="587"/>
      <c r="NVE166" s="588"/>
      <c r="NVF166" s="589"/>
      <c r="NVG166" s="588"/>
      <c r="NVH166" s="589"/>
      <c r="NVI166" s="588"/>
      <c r="NVJ166" s="589"/>
      <c r="NVK166" s="588"/>
      <c r="NVL166" s="589"/>
      <c r="NVM166" s="588"/>
      <c r="NVN166" s="589"/>
      <c r="NVO166" s="429"/>
      <c r="NVP166" s="364"/>
      <c r="NVQ166" s="365"/>
      <c r="NVR166" s="354"/>
      <c r="NVS166" s="465"/>
      <c r="NVT166" s="565"/>
      <c r="NVU166" s="572"/>
      <c r="NVV166" s="572"/>
      <c r="NVW166" s="566"/>
      <c r="NVX166" s="587"/>
      <c r="NVY166" s="587"/>
      <c r="NVZ166" s="587"/>
      <c r="NWA166" s="587"/>
      <c r="NWB166" s="588"/>
      <c r="NWC166" s="589"/>
      <c r="NWD166" s="588"/>
      <c r="NWE166" s="589"/>
      <c r="NWF166" s="588"/>
      <c r="NWG166" s="589"/>
      <c r="NWH166" s="588"/>
      <c r="NWI166" s="589"/>
      <c r="NWJ166" s="588"/>
      <c r="NWK166" s="589"/>
      <c r="NWL166" s="429"/>
      <c r="NWM166" s="364"/>
      <c r="NWN166" s="365"/>
      <c r="NWO166" s="354"/>
      <c r="NWP166" s="465"/>
      <c r="NWQ166" s="565"/>
      <c r="NWR166" s="572"/>
      <c r="NWS166" s="572"/>
      <c r="NWT166" s="566"/>
      <c r="NWU166" s="587"/>
      <c r="NWV166" s="587"/>
      <c r="NWW166" s="587"/>
      <c r="NWX166" s="587"/>
      <c r="NWY166" s="588"/>
      <c r="NWZ166" s="589"/>
      <c r="NXA166" s="588"/>
      <c r="NXB166" s="589"/>
      <c r="NXC166" s="588"/>
      <c r="NXD166" s="589"/>
      <c r="NXE166" s="588"/>
      <c r="NXF166" s="589"/>
      <c r="NXG166" s="588"/>
      <c r="NXH166" s="589"/>
      <c r="NXI166" s="429"/>
      <c r="NXJ166" s="364"/>
      <c r="NXK166" s="365"/>
      <c r="NXL166" s="354"/>
      <c r="NXM166" s="465"/>
      <c r="NXN166" s="565"/>
      <c r="NXO166" s="572"/>
      <c r="NXP166" s="572"/>
      <c r="NXQ166" s="566"/>
      <c r="NXR166" s="587"/>
      <c r="NXS166" s="587"/>
      <c r="NXT166" s="587"/>
      <c r="NXU166" s="587"/>
      <c r="NXV166" s="588"/>
      <c r="NXW166" s="589"/>
      <c r="NXX166" s="588"/>
      <c r="NXY166" s="589"/>
      <c r="NXZ166" s="588"/>
      <c r="NYA166" s="589"/>
      <c r="NYB166" s="588"/>
      <c r="NYC166" s="589"/>
      <c r="NYD166" s="588"/>
      <c r="NYE166" s="589"/>
      <c r="NYF166" s="429"/>
      <c r="NYG166" s="364"/>
      <c r="NYH166" s="365"/>
      <c r="NYI166" s="354"/>
      <c r="NYJ166" s="465"/>
      <c r="NYK166" s="565"/>
      <c r="NYL166" s="572"/>
      <c r="NYM166" s="572"/>
      <c r="NYN166" s="566"/>
      <c r="NYO166" s="587"/>
      <c r="NYP166" s="587"/>
      <c r="NYQ166" s="587"/>
      <c r="NYR166" s="587"/>
      <c r="NYS166" s="588"/>
      <c r="NYT166" s="589"/>
      <c r="NYU166" s="588"/>
      <c r="NYV166" s="589"/>
      <c r="NYW166" s="588"/>
      <c r="NYX166" s="589"/>
      <c r="NYY166" s="588"/>
      <c r="NYZ166" s="589"/>
      <c r="NZA166" s="588"/>
      <c r="NZB166" s="589"/>
      <c r="NZC166" s="429"/>
      <c r="NZD166" s="364"/>
      <c r="NZE166" s="365"/>
      <c r="NZF166" s="354"/>
      <c r="NZG166" s="465"/>
      <c r="NZH166" s="565"/>
      <c r="NZI166" s="572"/>
      <c r="NZJ166" s="572"/>
      <c r="NZK166" s="566"/>
      <c r="NZL166" s="587"/>
      <c r="NZM166" s="587"/>
      <c r="NZN166" s="587"/>
      <c r="NZO166" s="587"/>
      <c r="NZP166" s="588"/>
      <c r="NZQ166" s="589"/>
      <c r="NZR166" s="588"/>
      <c r="NZS166" s="589"/>
      <c r="NZT166" s="588"/>
      <c r="NZU166" s="589"/>
      <c r="NZV166" s="588"/>
      <c r="NZW166" s="589"/>
      <c r="NZX166" s="588"/>
      <c r="NZY166" s="589"/>
      <c r="NZZ166" s="429"/>
      <c r="OAA166" s="364"/>
      <c r="OAB166" s="365"/>
      <c r="OAC166" s="354"/>
      <c r="OAD166" s="465"/>
      <c r="OAE166" s="565"/>
      <c r="OAF166" s="572"/>
      <c r="OAG166" s="572"/>
      <c r="OAH166" s="566"/>
      <c r="OAI166" s="587"/>
      <c r="OAJ166" s="587"/>
      <c r="OAK166" s="587"/>
      <c r="OAL166" s="587"/>
      <c r="OAM166" s="588"/>
      <c r="OAN166" s="589"/>
      <c r="OAO166" s="588"/>
      <c r="OAP166" s="589"/>
      <c r="OAQ166" s="588"/>
      <c r="OAR166" s="589"/>
      <c r="OAS166" s="588"/>
      <c r="OAT166" s="589"/>
      <c r="OAU166" s="588"/>
      <c r="OAV166" s="589"/>
      <c r="OAW166" s="429"/>
      <c r="OAX166" s="364"/>
      <c r="OAY166" s="365"/>
      <c r="OAZ166" s="354"/>
      <c r="OBA166" s="465"/>
      <c r="OBB166" s="565"/>
      <c r="OBC166" s="572"/>
      <c r="OBD166" s="572"/>
      <c r="OBE166" s="566"/>
      <c r="OBF166" s="587"/>
      <c r="OBG166" s="587"/>
      <c r="OBH166" s="587"/>
      <c r="OBI166" s="587"/>
      <c r="OBJ166" s="588"/>
      <c r="OBK166" s="589"/>
      <c r="OBL166" s="588"/>
      <c r="OBM166" s="589"/>
      <c r="OBN166" s="588"/>
      <c r="OBO166" s="589"/>
      <c r="OBP166" s="588"/>
      <c r="OBQ166" s="589"/>
      <c r="OBR166" s="588"/>
      <c r="OBS166" s="589"/>
      <c r="OBT166" s="429"/>
      <c r="OBU166" s="364"/>
      <c r="OBV166" s="365"/>
      <c r="OBW166" s="354"/>
      <c r="OBX166" s="465"/>
      <c r="OBY166" s="565"/>
      <c r="OBZ166" s="572"/>
      <c r="OCA166" s="572"/>
      <c r="OCB166" s="566"/>
      <c r="OCC166" s="587"/>
      <c r="OCD166" s="587"/>
      <c r="OCE166" s="587"/>
      <c r="OCF166" s="587"/>
      <c r="OCG166" s="588"/>
      <c r="OCH166" s="589"/>
      <c r="OCI166" s="588"/>
      <c r="OCJ166" s="589"/>
      <c r="OCK166" s="588"/>
      <c r="OCL166" s="589"/>
      <c r="OCM166" s="588"/>
      <c r="OCN166" s="589"/>
      <c r="OCO166" s="588"/>
      <c r="OCP166" s="589"/>
      <c r="OCQ166" s="429"/>
      <c r="OCR166" s="364"/>
      <c r="OCS166" s="365"/>
      <c r="OCT166" s="354"/>
      <c r="OCU166" s="465"/>
      <c r="OCV166" s="565"/>
      <c r="OCW166" s="572"/>
      <c r="OCX166" s="572"/>
      <c r="OCY166" s="566"/>
      <c r="OCZ166" s="587"/>
      <c r="ODA166" s="587"/>
      <c r="ODB166" s="587"/>
      <c r="ODC166" s="587"/>
      <c r="ODD166" s="588"/>
      <c r="ODE166" s="589"/>
      <c r="ODF166" s="588"/>
      <c r="ODG166" s="589"/>
      <c r="ODH166" s="588"/>
      <c r="ODI166" s="589"/>
      <c r="ODJ166" s="588"/>
      <c r="ODK166" s="589"/>
      <c r="ODL166" s="588"/>
      <c r="ODM166" s="589"/>
      <c r="ODN166" s="429"/>
      <c r="ODO166" s="364"/>
      <c r="ODP166" s="365"/>
      <c r="ODQ166" s="354"/>
      <c r="ODR166" s="465"/>
      <c r="ODS166" s="565"/>
      <c r="ODT166" s="572"/>
      <c r="ODU166" s="572"/>
      <c r="ODV166" s="566"/>
      <c r="ODW166" s="587"/>
      <c r="ODX166" s="587"/>
      <c r="ODY166" s="587"/>
      <c r="ODZ166" s="587"/>
      <c r="OEA166" s="588"/>
      <c r="OEB166" s="589"/>
      <c r="OEC166" s="588"/>
      <c r="OED166" s="589"/>
      <c r="OEE166" s="588"/>
      <c r="OEF166" s="589"/>
      <c r="OEG166" s="588"/>
      <c r="OEH166" s="589"/>
      <c r="OEI166" s="588"/>
      <c r="OEJ166" s="589"/>
      <c r="OEK166" s="429"/>
      <c r="OEL166" s="364"/>
      <c r="OEM166" s="365"/>
      <c r="OEN166" s="354"/>
      <c r="OEO166" s="465"/>
      <c r="OEP166" s="565"/>
      <c r="OEQ166" s="572"/>
      <c r="OER166" s="572"/>
      <c r="OES166" s="566"/>
      <c r="OET166" s="587"/>
      <c r="OEU166" s="587"/>
      <c r="OEV166" s="587"/>
      <c r="OEW166" s="587"/>
      <c r="OEX166" s="588"/>
      <c r="OEY166" s="589"/>
      <c r="OEZ166" s="588"/>
      <c r="OFA166" s="589"/>
      <c r="OFB166" s="588"/>
      <c r="OFC166" s="589"/>
      <c r="OFD166" s="588"/>
      <c r="OFE166" s="589"/>
      <c r="OFF166" s="588"/>
      <c r="OFG166" s="589"/>
      <c r="OFH166" s="429"/>
      <c r="OFI166" s="364"/>
      <c r="OFJ166" s="365"/>
      <c r="OFK166" s="354"/>
      <c r="OFL166" s="465"/>
      <c r="OFM166" s="565"/>
      <c r="OFN166" s="572"/>
      <c r="OFO166" s="572"/>
      <c r="OFP166" s="566"/>
      <c r="OFQ166" s="587"/>
      <c r="OFR166" s="587"/>
      <c r="OFS166" s="587"/>
      <c r="OFT166" s="587"/>
      <c r="OFU166" s="588"/>
      <c r="OFV166" s="589"/>
      <c r="OFW166" s="588"/>
      <c r="OFX166" s="589"/>
      <c r="OFY166" s="588"/>
      <c r="OFZ166" s="589"/>
      <c r="OGA166" s="588"/>
      <c r="OGB166" s="589"/>
      <c r="OGC166" s="588"/>
      <c r="OGD166" s="589"/>
      <c r="OGE166" s="429"/>
      <c r="OGF166" s="364"/>
      <c r="OGG166" s="365"/>
      <c r="OGH166" s="354"/>
      <c r="OGI166" s="465"/>
      <c r="OGJ166" s="565"/>
      <c r="OGK166" s="572"/>
      <c r="OGL166" s="572"/>
      <c r="OGM166" s="566"/>
      <c r="OGN166" s="587"/>
      <c r="OGO166" s="587"/>
      <c r="OGP166" s="587"/>
      <c r="OGQ166" s="587"/>
      <c r="OGR166" s="588"/>
      <c r="OGS166" s="589"/>
      <c r="OGT166" s="588"/>
      <c r="OGU166" s="589"/>
      <c r="OGV166" s="588"/>
      <c r="OGW166" s="589"/>
      <c r="OGX166" s="588"/>
      <c r="OGY166" s="589"/>
      <c r="OGZ166" s="588"/>
      <c r="OHA166" s="589"/>
      <c r="OHB166" s="429"/>
      <c r="OHC166" s="364"/>
      <c r="OHD166" s="365"/>
      <c r="OHE166" s="354"/>
      <c r="OHF166" s="465"/>
      <c r="OHG166" s="565"/>
      <c r="OHH166" s="572"/>
      <c r="OHI166" s="572"/>
      <c r="OHJ166" s="566"/>
      <c r="OHK166" s="587"/>
      <c r="OHL166" s="587"/>
      <c r="OHM166" s="587"/>
      <c r="OHN166" s="587"/>
      <c r="OHO166" s="588"/>
      <c r="OHP166" s="589"/>
      <c r="OHQ166" s="588"/>
      <c r="OHR166" s="589"/>
      <c r="OHS166" s="588"/>
      <c r="OHT166" s="589"/>
      <c r="OHU166" s="588"/>
      <c r="OHV166" s="589"/>
      <c r="OHW166" s="588"/>
      <c r="OHX166" s="589"/>
      <c r="OHY166" s="429"/>
      <c r="OHZ166" s="364"/>
      <c r="OIA166" s="365"/>
      <c r="OIB166" s="354"/>
      <c r="OIC166" s="465"/>
      <c r="OID166" s="565"/>
      <c r="OIE166" s="572"/>
      <c r="OIF166" s="572"/>
      <c r="OIG166" s="566"/>
      <c r="OIH166" s="587"/>
      <c r="OII166" s="587"/>
      <c r="OIJ166" s="587"/>
      <c r="OIK166" s="587"/>
      <c r="OIL166" s="588"/>
      <c r="OIM166" s="589"/>
      <c r="OIN166" s="588"/>
      <c r="OIO166" s="589"/>
      <c r="OIP166" s="588"/>
      <c r="OIQ166" s="589"/>
      <c r="OIR166" s="588"/>
      <c r="OIS166" s="589"/>
      <c r="OIT166" s="588"/>
      <c r="OIU166" s="589"/>
      <c r="OIV166" s="429"/>
      <c r="OIW166" s="364"/>
      <c r="OIX166" s="365"/>
      <c r="OIY166" s="354"/>
      <c r="OIZ166" s="465"/>
      <c r="OJA166" s="565"/>
      <c r="OJB166" s="572"/>
      <c r="OJC166" s="572"/>
      <c r="OJD166" s="566"/>
      <c r="OJE166" s="587"/>
      <c r="OJF166" s="587"/>
      <c r="OJG166" s="587"/>
      <c r="OJH166" s="587"/>
      <c r="OJI166" s="588"/>
      <c r="OJJ166" s="589"/>
      <c r="OJK166" s="588"/>
      <c r="OJL166" s="589"/>
      <c r="OJM166" s="588"/>
      <c r="OJN166" s="589"/>
      <c r="OJO166" s="588"/>
      <c r="OJP166" s="589"/>
      <c r="OJQ166" s="588"/>
      <c r="OJR166" s="589"/>
      <c r="OJS166" s="429"/>
      <c r="OJT166" s="364"/>
      <c r="OJU166" s="365"/>
      <c r="OJV166" s="354"/>
      <c r="OJW166" s="465"/>
      <c r="OJX166" s="565"/>
      <c r="OJY166" s="572"/>
      <c r="OJZ166" s="572"/>
      <c r="OKA166" s="566"/>
      <c r="OKB166" s="587"/>
      <c r="OKC166" s="587"/>
      <c r="OKD166" s="587"/>
      <c r="OKE166" s="587"/>
      <c r="OKF166" s="588"/>
      <c r="OKG166" s="589"/>
      <c r="OKH166" s="588"/>
      <c r="OKI166" s="589"/>
      <c r="OKJ166" s="588"/>
      <c r="OKK166" s="589"/>
      <c r="OKL166" s="588"/>
      <c r="OKM166" s="589"/>
      <c r="OKN166" s="588"/>
      <c r="OKO166" s="589"/>
      <c r="OKP166" s="429"/>
      <c r="OKQ166" s="364"/>
      <c r="OKR166" s="365"/>
      <c r="OKS166" s="354"/>
      <c r="OKT166" s="465"/>
      <c r="OKU166" s="565"/>
      <c r="OKV166" s="572"/>
      <c r="OKW166" s="572"/>
      <c r="OKX166" s="566"/>
      <c r="OKY166" s="587"/>
      <c r="OKZ166" s="587"/>
      <c r="OLA166" s="587"/>
      <c r="OLB166" s="587"/>
      <c r="OLC166" s="588"/>
      <c r="OLD166" s="589"/>
      <c r="OLE166" s="588"/>
      <c r="OLF166" s="589"/>
      <c r="OLG166" s="588"/>
      <c r="OLH166" s="589"/>
      <c r="OLI166" s="588"/>
      <c r="OLJ166" s="589"/>
      <c r="OLK166" s="588"/>
      <c r="OLL166" s="589"/>
      <c r="OLM166" s="429"/>
      <c r="OLN166" s="364"/>
      <c r="OLO166" s="365"/>
      <c r="OLP166" s="354"/>
      <c r="OLQ166" s="465"/>
      <c r="OLR166" s="565"/>
      <c r="OLS166" s="572"/>
      <c r="OLT166" s="572"/>
      <c r="OLU166" s="566"/>
      <c r="OLV166" s="587"/>
      <c r="OLW166" s="587"/>
      <c r="OLX166" s="587"/>
      <c r="OLY166" s="587"/>
      <c r="OLZ166" s="588"/>
      <c r="OMA166" s="589"/>
      <c r="OMB166" s="588"/>
      <c r="OMC166" s="589"/>
      <c r="OMD166" s="588"/>
      <c r="OME166" s="589"/>
      <c r="OMF166" s="588"/>
      <c r="OMG166" s="589"/>
      <c r="OMH166" s="588"/>
      <c r="OMI166" s="589"/>
      <c r="OMJ166" s="429"/>
      <c r="OMK166" s="364"/>
      <c r="OML166" s="365"/>
      <c r="OMM166" s="354"/>
      <c r="OMN166" s="465"/>
      <c r="OMO166" s="565"/>
      <c r="OMP166" s="572"/>
      <c r="OMQ166" s="572"/>
      <c r="OMR166" s="566"/>
      <c r="OMS166" s="587"/>
      <c r="OMT166" s="587"/>
      <c r="OMU166" s="587"/>
      <c r="OMV166" s="587"/>
      <c r="OMW166" s="588"/>
      <c r="OMX166" s="589"/>
      <c r="OMY166" s="588"/>
      <c r="OMZ166" s="589"/>
      <c r="ONA166" s="588"/>
      <c r="ONB166" s="589"/>
      <c r="ONC166" s="588"/>
      <c r="OND166" s="589"/>
      <c r="ONE166" s="588"/>
      <c r="ONF166" s="589"/>
      <c r="ONG166" s="429"/>
      <c r="ONH166" s="364"/>
      <c r="ONI166" s="365"/>
      <c r="ONJ166" s="354"/>
      <c r="ONK166" s="465"/>
      <c r="ONL166" s="565"/>
      <c r="ONM166" s="572"/>
      <c r="ONN166" s="572"/>
      <c r="ONO166" s="566"/>
      <c r="ONP166" s="587"/>
      <c r="ONQ166" s="587"/>
      <c r="ONR166" s="587"/>
      <c r="ONS166" s="587"/>
      <c r="ONT166" s="588"/>
      <c r="ONU166" s="589"/>
      <c r="ONV166" s="588"/>
      <c r="ONW166" s="589"/>
      <c r="ONX166" s="588"/>
      <c r="ONY166" s="589"/>
      <c r="ONZ166" s="588"/>
      <c r="OOA166" s="589"/>
      <c r="OOB166" s="588"/>
      <c r="OOC166" s="589"/>
      <c r="OOD166" s="429"/>
      <c r="OOE166" s="364"/>
      <c r="OOF166" s="365"/>
      <c r="OOG166" s="354"/>
      <c r="OOH166" s="465"/>
      <c r="OOI166" s="565"/>
      <c r="OOJ166" s="572"/>
      <c r="OOK166" s="572"/>
      <c r="OOL166" s="566"/>
      <c r="OOM166" s="587"/>
      <c r="OON166" s="587"/>
      <c r="OOO166" s="587"/>
      <c r="OOP166" s="587"/>
      <c r="OOQ166" s="588"/>
      <c r="OOR166" s="589"/>
      <c r="OOS166" s="588"/>
      <c r="OOT166" s="589"/>
      <c r="OOU166" s="588"/>
      <c r="OOV166" s="589"/>
      <c r="OOW166" s="588"/>
      <c r="OOX166" s="589"/>
      <c r="OOY166" s="588"/>
      <c r="OOZ166" s="589"/>
      <c r="OPA166" s="429"/>
      <c r="OPB166" s="364"/>
      <c r="OPC166" s="365"/>
      <c r="OPD166" s="354"/>
      <c r="OPE166" s="465"/>
      <c r="OPF166" s="565"/>
      <c r="OPG166" s="572"/>
      <c r="OPH166" s="572"/>
      <c r="OPI166" s="566"/>
      <c r="OPJ166" s="587"/>
      <c r="OPK166" s="587"/>
      <c r="OPL166" s="587"/>
      <c r="OPM166" s="587"/>
      <c r="OPN166" s="588"/>
      <c r="OPO166" s="589"/>
      <c r="OPP166" s="588"/>
      <c r="OPQ166" s="589"/>
      <c r="OPR166" s="588"/>
      <c r="OPS166" s="589"/>
      <c r="OPT166" s="588"/>
      <c r="OPU166" s="589"/>
      <c r="OPV166" s="588"/>
      <c r="OPW166" s="589"/>
      <c r="OPX166" s="429"/>
      <c r="OPY166" s="364"/>
      <c r="OPZ166" s="365"/>
      <c r="OQA166" s="354"/>
      <c r="OQB166" s="465"/>
      <c r="OQC166" s="565"/>
      <c r="OQD166" s="572"/>
      <c r="OQE166" s="572"/>
      <c r="OQF166" s="566"/>
      <c r="OQG166" s="587"/>
      <c r="OQH166" s="587"/>
      <c r="OQI166" s="587"/>
      <c r="OQJ166" s="587"/>
      <c r="OQK166" s="588"/>
      <c r="OQL166" s="589"/>
      <c r="OQM166" s="588"/>
      <c r="OQN166" s="589"/>
      <c r="OQO166" s="588"/>
      <c r="OQP166" s="589"/>
      <c r="OQQ166" s="588"/>
      <c r="OQR166" s="589"/>
      <c r="OQS166" s="588"/>
      <c r="OQT166" s="589"/>
      <c r="OQU166" s="429"/>
      <c r="OQV166" s="364"/>
      <c r="OQW166" s="365"/>
      <c r="OQX166" s="354"/>
      <c r="OQY166" s="465"/>
      <c r="OQZ166" s="565"/>
      <c r="ORA166" s="572"/>
      <c r="ORB166" s="572"/>
      <c r="ORC166" s="566"/>
      <c r="ORD166" s="587"/>
      <c r="ORE166" s="587"/>
      <c r="ORF166" s="587"/>
      <c r="ORG166" s="587"/>
      <c r="ORH166" s="588"/>
      <c r="ORI166" s="589"/>
      <c r="ORJ166" s="588"/>
      <c r="ORK166" s="589"/>
      <c r="ORL166" s="588"/>
      <c r="ORM166" s="589"/>
      <c r="ORN166" s="588"/>
      <c r="ORO166" s="589"/>
      <c r="ORP166" s="588"/>
      <c r="ORQ166" s="589"/>
      <c r="ORR166" s="429"/>
      <c r="ORS166" s="364"/>
      <c r="ORT166" s="365"/>
      <c r="ORU166" s="354"/>
      <c r="ORV166" s="465"/>
      <c r="ORW166" s="565"/>
      <c r="ORX166" s="572"/>
      <c r="ORY166" s="572"/>
      <c r="ORZ166" s="566"/>
      <c r="OSA166" s="587"/>
      <c r="OSB166" s="587"/>
      <c r="OSC166" s="587"/>
      <c r="OSD166" s="587"/>
      <c r="OSE166" s="588"/>
      <c r="OSF166" s="589"/>
      <c r="OSG166" s="588"/>
      <c r="OSH166" s="589"/>
      <c r="OSI166" s="588"/>
      <c r="OSJ166" s="589"/>
      <c r="OSK166" s="588"/>
      <c r="OSL166" s="589"/>
      <c r="OSM166" s="588"/>
      <c r="OSN166" s="589"/>
      <c r="OSO166" s="429"/>
      <c r="OSP166" s="364"/>
      <c r="OSQ166" s="365"/>
      <c r="OSR166" s="354"/>
      <c r="OSS166" s="465"/>
      <c r="OST166" s="565"/>
      <c r="OSU166" s="572"/>
      <c r="OSV166" s="572"/>
      <c r="OSW166" s="566"/>
      <c r="OSX166" s="587"/>
      <c r="OSY166" s="587"/>
      <c r="OSZ166" s="587"/>
      <c r="OTA166" s="587"/>
      <c r="OTB166" s="588"/>
      <c r="OTC166" s="589"/>
      <c r="OTD166" s="588"/>
      <c r="OTE166" s="589"/>
      <c r="OTF166" s="588"/>
      <c r="OTG166" s="589"/>
      <c r="OTH166" s="588"/>
      <c r="OTI166" s="589"/>
      <c r="OTJ166" s="588"/>
      <c r="OTK166" s="589"/>
      <c r="OTL166" s="429"/>
      <c r="OTM166" s="364"/>
      <c r="OTN166" s="365"/>
      <c r="OTO166" s="354"/>
      <c r="OTP166" s="465"/>
      <c r="OTQ166" s="565"/>
      <c r="OTR166" s="572"/>
      <c r="OTS166" s="572"/>
      <c r="OTT166" s="566"/>
      <c r="OTU166" s="587"/>
      <c r="OTV166" s="587"/>
      <c r="OTW166" s="587"/>
      <c r="OTX166" s="587"/>
      <c r="OTY166" s="588"/>
      <c r="OTZ166" s="589"/>
      <c r="OUA166" s="588"/>
      <c r="OUB166" s="589"/>
      <c r="OUC166" s="588"/>
      <c r="OUD166" s="589"/>
      <c r="OUE166" s="588"/>
      <c r="OUF166" s="589"/>
      <c r="OUG166" s="588"/>
      <c r="OUH166" s="589"/>
      <c r="OUI166" s="429"/>
      <c r="OUJ166" s="364"/>
      <c r="OUK166" s="365"/>
      <c r="OUL166" s="354"/>
      <c r="OUM166" s="465"/>
      <c r="OUN166" s="565"/>
      <c r="OUO166" s="572"/>
      <c r="OUP166" s="572"/>
      <c r="OUQ166" s="566"/>
      <c r="OUR166" s="587"/>
      <c r="OUS166" s="587"/>
      <c r="OUT166" s="587"/>
      <c r="OUU166" s="587"/>
      <c r="OUV166" s="588"/>
      <c r="OUW166" s="589"/>
      <c r="OUX166" s="588"/>
      <c r="OUY166" s="589"/>
      <c r="OUZ166" s="588"/>
      <c r="OVA166" s="589"/>
      <c r="OVB166" s="588"/>
      <c r="OVC166" s="589"/>
      <c r="OVD166" s="588"/>
      <c r="OVE166" s="589"/>
      <c r="OVF166" s="429"/>
      <c r="OVG166" s="364"/>
      <c r="OVH166" s="365"/>
      <c r="OVI166" s="354"/>
      <c r="OVJ166" s="465"/>
      <c r="OVK166" s="565"/>
      <c r="OVL166" s="572"/>
      <c r="OVM166" s="572"/>
      <c r="OVN166" s="566"/>
      <c r="OVO166" s="587"/>
      <c r="OVP166" s="587"/>
      <c r="OVQ166" s="587"/>
      <c r="OVR166" s="587"/>
      <c r="OVS166" s="588"/>
      <c r="OVT166" s="589"/>
      <c r="OVU166" s="588"/>
      <c r="OVV166" s="589"/>
      <c r="OVW166" s="588"/>
      <c r="OVX166" s="589"/>
      <c r="OVY166" s="588"/>
      <c r="OVZ166" s="589"/>
      <c r="OWA166" s="588"/>
      <c r="OWB166" s="589"/>
      <c r="OWC166" s="429"/>
      <c r="OWD166" s="364"/>
      <c r="OWE166" s="365"/>
      <c r="OWF166" s="354"/>
      <c r="OWG166" s="465"/>
      <c r="OWH166" s="565"/>
      <c r="OWI166" s="572"/>
      <c r="OWJ166" s="572"/>
      <c r="OWK166" s="566"/>
      <c r="OWL166" s="587"/>
      <c r="OWM166" s="587"/>
      <c r="OWN166" s="587"/>
      <c r="OWO166" s="587"/>
      <c r="OWP166" s="588"/>
      <c r="OWQ166" s="589"/>
      <c r="OWR166" s="588"/>
      <c r="OWS166" s="589"/>
      <c r="OWT166" s="588"/>
      <c r="OWU166" s="589"/>
      <c r="OWV166" s="588"/>
      <c r="OWW166" s="589"/>
      <c r="OWX166" s="588"/>
      <c r="OWY166" s="589"/>
      <c r="OWZ166" s="429"/>
      <c r="OXA166" s="364"/>
      <c r="OXB166" s="365"/>
      <c r="OXC166" s="354"/>
      <c r="OXD166" s="465"/>
      <c r="OXE166" s="565"/>
      <c r="OXF166" s="572"/>
      <c r="OXG166" s="572"/>
      <c r="OXH166" s="566"/>
      <c r="OXI166" s="587"/>
      <c r="OXJ166" s="587"/>
      <c r="OXK166" s="587"/>
      <c r="OXL166" s="587"/>
      <c r="OXM166" s="588"/>
      <c r="OXN166" s="589"/>
      <c r="OXO166" s="588"/>
      <c r="OXP166" s="589"/>
      <c r="OXQ166" s="588"/>
      <c r="OXR166" s="589"/>
      <c r="OXS166" s="588"/>
      <c r="OXT166" s="589"/>
      <c r="OXU166" s="588"/>
      <c r="OXV166" s="589"/>
      <c r="OXW166" s="429"/>
      <c r="OXX166" s="364"/>
      <c r="OXY166" s="365"/>
      <c r="OXZ166" s="354"/>
      <c r="OYA166" s="465"/>
      <c r="OYB166" s="565"/>
      <c r="OYC166" s="572"/>
      <c r="OYD166" s="572"/>
      <c r="OYE166" s="566"/>
      <c r="OYF166" s="587"/>
      <c r="OYG166" s="587"/>
      <c r="OYH166" s="587"/>
      <c r="OYI166" s="587"/>
      <c r="OYJ166" s="588"/>
      <c r="OYK166" s="589"/>
      <c r="OYL166" s="588"/>
      <c r="OYM166" s="589"/>
      <c r="OYN166" s="588"/>
      <c r="OYO166" s="589"/>
      <c r="OYP166" s="588"/>
      <c r="OYQ166" s="589"/>
      <c r="OYR166" s="588"/>
      <c r="OYS166" s="589"/>
      <c r="OYT166" s="429"/>
      <c r="OYU166" s="364"/>
      <c r="OYV166" s="365"/>
      <c r="OYW166" s="354"/>
      <c r="OYX166" s="465"/>
      <c r="OYY166" s="565"/>
      <c r="OYZ166" s="572"/>
      <c r="OZA166" s="572"/>
      <c r="OZB166" s="566"/>
      <c r="OZC166" s="587"/>
      <c r="OZD166" s="587"/>
      <c r="OZE166" s="587"/>
      <c r="OZF166" s="587"/>
      <c r="OZG166" s="588"/>
      <c r="OZH166" s="589"/>
      <c r="OZI166" s="588"/>
      <c r="OZJ166" s="589"/>
      <c r="OZK166" s="588"/>
      <c r="OZL166" s="589"/>
      <c r="OZM166" s="588"/>
      <c r="OZN166" s="589"/>
      <c r="OZO166" s="588"/>
      <c r="OZP166" s="589"/>
      <c r="OZQ166" s="429"/>
      <c r="OZR166" s="364"/>
      <c r="OZS166" s="365"/>
      <c r="OZT166" s="354"/>
      <c r="OZU166" s="465"/>
      <c r="OZV166" s="565"/>
      <c r="OZW166" s="572"/>
      <c r="OZX166" s="572"/>
      <c r="OZY166" s="566"/>
      <c r="OZZ166" s="587"/>
      <c r="PAA166" s="587"/>
      <c r="PAB166" s="587"/>
      <c r="PAC166" s="587"/>
      <c r="PAD166" s="588"/>
      <c r="PAE166" s="589"/>
      <c r="PAF166" s="588"/>
      <c r="PAG166" s="589"/>
      <c r="PAH166" s="588"/>
      <c r="PAI166" s="589"/>
      <c r="PAJ166" s="588"/>
      <c r="PAK166" s="589"/>
      <c r="PAL166" s="588"/>
      <c r="PAM166" s="589"/>
      <c r="PAN166" s="429"/>
      <c r="PAO166" s="364"/>
      <c r="PAP166" s="365"/>
      <c r="PAQ166" s="354"/>
      <c r="PAR166" s="465"/>
      <c r="PAS166" s="565"/>
      <c r="PAT166" s="572"/>
      <c r="PAU166" s="572"/>
      <c r="PAV166" s="566"/>
      <c r="PAW166" s="587"/>
      <c r="PAX166" s="587"/>
      <c r="PAY166" s="587"/>
      <c r="PAZ166" s="587"/>
      <c r="PBA166" s="588"/>
      <c r="PBB166" s="589"/>
      <c r="PBC166" s="588"/>
      <c r="PBD166" s="589"/>
      <c r="PBE166" s="588"/>
      <c r="PBF166" s="589"/>
      <c r="PBG166" s="588"/>
      <c r="PBH166" s="589"/>
      <c r="PBI166" s="588"/>
      <c r="PBJ166" s="589"/>
      <c r="PBK166" s="429"/>
      <c r="PBL166" s="364"/>
      <c r="PBM166" s="365"/>
      <c r="PBN166" s="354"/>
      <c r="PBO166" s="465"/>
      <c r="PBP166" s="565"/>
      <c r="PBQ166" s="572"/>
      <c r="PBR166" s="572"/>
      <c r="PBS166" s="566"/>
      <c r="PBT166" s="587"/>
      <c r="PBU166" s="587"/>
      <c r="PBV166" s="587"/>
      <c r="PBW166" s="587"/>
      <c r="PBX166" s="588"/>
      <c r="PBY166" s="589"/>
      <c r="PBZ166" s="588"/>
      <c r="PCA166" s="589"/>
      <c r="PCB166" s="588"/>
      <c r="PCC166" s="589"/>
      <c r="PCD166" s="588"/>
      <c r="PCE166" s="589"/>
      <c r="PCF166" s="588"/>
      <c r="PCG166" s="589"/>
      <c r="PCH166" s="429"/>
      <c r="PCI166" s="364"/>
      <c r="PCJ166" s="365"/>
      <c r="PCK166" s="354"/>
      <c r="PCL166" s="465"/>
      <c r="PCM166" s="565"/>
      <c r="PCN166" s="572"/>
      <c r="PCO166" s="572"/>
      <c r="PCP166" s="566"/>
      <c r="PCQ166" s="587"/>
      <c r="PCR166" s="587"/>
      <c r="PCS166" s="587"/>
      <c r="PCT166" s="587"/>
      <c r="PCU166" s="588"/>
      <c r="PCV166" s="589"/>
      <c r="PCW166" s="588"/>
      <c r="PCX166" s="589"/>
      <c r="PCY166" s="588"/>
      <c r="PCZ166" s="589"/>
      <c r="PDA166" s="588"/>
      <c r="PDB166" s="589"/>
      <c r="PDC166" s="588"/>
      <c r="PDD166" s="589"/>
      <c r="PDE166" s="429"/>
      <c r="PDF166" s="364"/>
      <c r="PDG166" s="365"/>
      <c r="PDH166" s="354"/>
      <c r="PDI166" s="465"/>
      <c r="PDJ166" s="565"/>
      <c r="PDK166" s="572"/>
      <c r="PDL166" s="572"/>
      <c r="PDM166" s="566"/>
      <c r="PDN166" s="587"/>
      <c r="PDO166" s="587"/>
      <c r="PDP166" s="587"/>
      <c r="PDQ166" s="587"/>
      <c r="PDR166" s="588"/>
      <c r="PDS166" s="589"/>
      <c r="PDT166" s="588"/>
      <c r="PDU166" s="589"/>
      <c r="PDV166" s="588"/>
      <c r="PDW166" s="589"/>
      <c r="PDX166" s="588"/>
      <c r="PDY166" s="589"/>
      <c r="PDZ166" s="588"/>
      <c r="PEA166" s="589"/>
      <c r="PEB166" s="429"/>
      <c r="PEC166" s="364"/>
      <c r="PED166" s="365"/>
      <c r="PEE166" s="354"/>
      <c r="PEF166" s="465"/>
      <c r="PEG166" s="565"/>
      <c r="PEH166" s="572"/>
      <c r="PEI166" s="572"/>
      <c r="PEJ166" s="566"/>
      <c r="PEK166" s="587"/>
      <c r="PEL166" s="587"/>
      <c r="PEM166" s="587"/>
      <c r="PEN166" s="587"/>
      <c r="PEO166" s="588"/>
      <c r="PEP166" s="589"/>
      <c r="PEQ166" s="588"/>
      <c r="PER166" s="589"/>
      <c r="PES166" s="588"/>
      <c r="PET166" s="589"/>
      <c r="PEU166" s="588"/>
      <c r="PEV166" s="589"/>
      <c r="PEW166" s="588"/>
      <c r="PEX166" s="589"/>
      <c r="PEY166" s="429"/>
      <c r="PEZ166" s="364"/>
      <c r="PFA166" s="365"/>
      <c r="PFB166" s="354"/>
      <c r="PFC166" s="465"/>
      <c r="PFD166" s="565"/>
      <c r="PFE166" s="572"/>
      <c r="PFF166" s="572"/>
      <c r="PFG166" s="566"/>
      <c r="PFH166" s="587"/>
      <c r="PFI166" s="587"/>
      <c r="PFJ166" s="587"/>
      <c r="PFK166" s="587"/>
      <c r="PFL166" s="588"/>
      <c r="PFM166" s="589"/>
      <c r="PFN166" s="588"/>
      <c r="PFO166" s="589"/>
      <c r="PFP166" s="588"/>
      <c r="PFQ166" s="589"/>
      <c r="PFR166" s="588"/>
      <c r="PFS166" s="589"/>
      <c r="PFT166" s="588"/>
      <c r="PFU166" s="589"/>
      <c r="PFV166" s="429"/>
      <c r="PFW166" s="364"/>
      <c r="PFX166" s="365"/>
      <c r="PFY166" s="354"/>
      <c r="PFZ166" s="465"/>
      <c r="PGA166" s="565"/>
      <c r="PGB166" s="572"/>
      <c r="PGC166" s="572"/>
      <c r="PGD166" s="566"/>
      <c r="PGE166" s="587"/>
      <c r="PGF166" s="587"/>
      <c r="PGG166" s="587"/>
      <c r="PGH166" s="587"/>
      <c r="PGI166" s="588"/>
      <c r="PGJ166" s="589"/>
      <c r="PGK166" s="588"/>
      <c r="PGL166" s="589"/>
      <c r="PGM166" s="588"/>
      <c r="PGN166" s="589"/>
      <c r="PGO166" s="588"/>
      <c r="PGP166" s="589"/>
      <c r="PGQ166" s="588"/>
      <c r="PGR166" s="589"/>
      <c r="PGS166" s="429"/>
      <c r="PGT166" s="364"/>
      <c r="PGU166" s="365"/>
      <c r="PGV166" s="354"/>
      <c r="PGW166" s="465"/>
      <c r="PGX166" s="565"/>
      <c r="PGY166" s="572"/>
      <c r="PGZ166" s="572"/>
      <c r="PHA166" s="566"/>
      <c r="PHB166" s="587"/>
      <c r="PHC166" s="587"/>
      <c r="PHD166" s="587"/>
      <c r="PHE166" s="587"/>
      <c r="PHF166" s="588"/>
      <c r="PHG166" s="589"/>
      <c r="PHH166" s="588"/>
      <c r="PHI166" s="589"/>
      <c r="PHJ166" s="588"/>
      <c r="PHK166" s="589"/>
      <c r="PHL166" s="588"/>
      <c r="PHM166" s="589"/>
      <c r="PHN166" s="588"/>
      <c r="PHO166" s="589"/>
      <c r="PHP166" s="429"/>
      <c r="PHQ166" s="364"/>
      <c r="PHR166" s="365"/>
      <c r="PHS166" s="354"/>
      <c r="PHT166" s="465"/>
      <c r="PHU166" s="565"/>
      <c r="PHV166" s="572"/>
      <c r="PHW166" s="572"/>
      <c r="PHX166" s="566"/>
      <c r="PHY166" s="587"/>
      <c r="PHZ166" s="587"/>
      <c r="PIA166" s="587"/>
      <c r="PIB166" s="587"/>
      <c r="PIC166" s="588"/>
      <c r="PID166" s="589"/>
      <c r="PIE166" s="588"/>
      <c r="PIF166" s="589"/>
      <c r="PIG166" s="588"/>
      <c r="PIH166" s="589"/>
      <c r="PII166" s="588"/>
      <c r="PIJ166" s="589"/>
      <c r="PIK166" s="588"/>
      <c r="PIL166" s="589"/>
      <c r="PIM166" s="429"/>
      <c r="PIN166" s="364"/>
      <c r="PIO166" s="365"/>
      <c r="PIP166" s="354"/>
      <c r="PIQ166" s="465"/>
      <c r="PIR166" s="565"/>
      <c r="PIS166" s="572"/>
      <c r="PIT166" s="572"/>
      <c r="PIU166" s="566"/>
      <c r="PIV166" s="587"/>
      <c r="PIW166" s="587"/>
      <c r="PIX166" s="587"/>
      <c r="PIY166" s="587"/>
      <c r="PIZ166" s="588"/>
      <c r="PJA166" s="589"/>
      <c r="PJB166" s="588"/>
      <c r="PJC166" s="589"/>
      <c r="PJD166" s="588"/>
      <c r="PJE166" s="589"/>
      <c r="PJF166" s="588"/>
      <c r="PJG166" s="589"/>
      <c r="PJH166" s="588"/>
      <c r="PJI166" s="589"/>
      <c r="PJJ166" s="429"/>
      <c r="PJK166" s="364"/>
      <c r="PJL166" s="365"/>
      <c r="PJM166" s="354"/>
      <c r="PJN166" s="465"/>
      <c r="PJO166" s="565"/>
      <c r="PJP166" s="572"/>
      <c r="PJQ166" s="572"/>
      <c r="PJR166" s="566"/>
      <c r="PJS166" s="587"/>
      <c r="PJT166" s="587"/>
      <c r="PJU166" s="587"/>
      <c r="PJV166" s="587"/>
      <c r="PJW166" s="588"/>
      <c r="PJX166" s="589"/>
      <c r="PJY166" s="588"/>
      <c r="PJZ166" s="589"/>
      <c r="PKA166" s="588"/>
      <c r="PKB166" s="589"/>
      <c r="PKC166" s="588"/>
      <c r="PKD166" s="589"/>
      <c r="PKE166" s="588"/>
      <c r="PKF166" s="589"/>
      <c r="PKG166" s="429"/>
      <c r="PKH166" s="364"/>
      <c r="PKI166" s="365"/>
      <c r="PKJ166" s="354"/>
      <c r="PKK166" s="465"/>
      <c r="PKL166" s="565"/>
      <c r="PKM166" s="572"/>
      <c r="PKN166" s="572"/>
      <c r="PKO166" s="566"/>
      <c r="PKP166" s="587"/>
      <c r="PKQ166" s="587"/>
      <c r="PKR166" s="587"/>
      <c r="PKS166" s="587"/>
      <c r="PKT166" s="588"/>
      <c r="PKU166" s="589"/>
      <c r="PKV166" s="588"/>
      <c r="PKW166" s="589"/>
      <c r="PKX166" s="588"/>
      <c r="PKY166" s="589"/>
      <c r="PKZ166" s="588"/>
      <c r="PLA166" s="589"/>
      <c r="PLB166" s="588"/>
      <c r="PLC166" s="589"/>
      <c r="PLD166" s="429"/>
      <c r="PLE166" s="364"/>
      <c r="PLF166" s="365"/>
      <c r="PLG166" s="354"/>
      <c r="PLH166" s="465"/>
      <c r="PLI166" s="565"/>
      <c r="PLJ166" s="572"/>
      <c r="PLK166" s="572"/>
      <c r="PLL166" s="566"/>
      <c r="PLM166" s="587"/>
      <c r="PLN166" s="587"/>
      <c r="PLO166" s="587"/>
      <c r="PLP166" s="587"/>
      <c r="PLQ166" s="588"/>
      <c r="PLR166" s="589"/>
      <c r="PLS166" s="588"/>
      <c r="PLT166" s="589"/>
      <c r="PLU166" s="588"/>
      <c r="PLV166" s="589"/>
      <c r="PLW166" s="588"/>
      <c r="PLX166" s="589"/>
      <c r="PLY166" s="588"/>
      <c r="PLZ166" s="589"/>
      <c r="PMA166" s="429"/>
      <c r="PMB166" s="364"/>
      <c r="PMC166" s="365"/>
      <c r="PMD166" s="354"/>
      <c r="PME166" s="465"/>
      <c r="PMF166" s="565"/>
      <c r="PMG166" s="572"/>
      <c r="PMH166" s="572"/>
      <c r="PMI166" s="566"/>
      <c r="PMJ166" s="587"/>
      <c r="PMK166" s="587"/>
      <c r="PML166" s="587"/>
      <c r="PMM166" s="587"/>
      <c r="PMN166" s="588"/>
      <c r="PMO166" s="589"/>
      <c r="PMP166" s="588"/>
      <c r="PMQ166" s="589"/>
      <c r="PMR166" s="588"/>
      <c r="PMS166" s="589"/>
      <c r="PMT166" s="588"/>
      <c r="PMU166" s="589"/>
      <c r="PMV166" s="588"/>
      <c r="PMW166" s="589"/>
      <c r="PMX166" s="429"/>
      <c r="PMY166" s="364"/>
      <c r="PMZ166" s="365"/>
      <c r="PNA166" s="354"/>
      <c r="PNB166" s="465"/>
      <c r="PNC166" s="565"/>
      <c r="PND166" s="572"/>
      <c r="PNE166" s="572"/>
      <c r="PNF166" s="566"/>
      <c r="PNG166" s="587"/>
      <c r="PNH166" s="587"/>
      <c r="PNI166" s="587"/>
      <c r="PNJ166" s="587"/>
      <c r="PNK166" s="588"/>
      <c r="PNL166" s="589"/>
      <c r="PNM166" s="588"/>
      <c r="PNN166" s="589"/>
      <c r="PNO166" s="588"/>
      <c r="PNP166" s="589"/>
      <c r="PNQ166" s="588"/>
      <c r="PNR166" s="589"/>
      <c r="PNS166" s="588"/>
      <c r="PNT166" s="589"/>
      <c r="PNU166" s="429"/>
      <c r="PNV166" s="364"/>
      <c r="PNW166" s="365"/>
      <c r="PNX166" s="354"/>
      <c r="PNY166" s="465"/>
      <c r="PNZ166" s="565"/>
      <c r="POA166" s="572"/>
      <c r="POB166" s="572"/>
      <c r="POC166" s="566"/>
      <c r="POD166" s="587"/>
      <c r="POE166" s="587"/>
      <c r="POF166" s="587"/>
      <c r="POG166" s="587"/>
      <c r="POH166" s="588"/>
      <c r="POI166" s="589"/>
      <c r="POJ166" s="588"/>
      <c r="POK166" s="589"/>
      <c r="POL166" s="588"/>
      <c r="POM166" s="589"/>
      <c r="PON166" s="588"/>
      <c r="POO166" s="589"/>
      <c r="POP166" s="588"/>
      <c r="POQ166" s="589"/>
      <c r="POR166" s="429"/>
      <c r="POS166" s="364"/>
      <c r="POT166" s="365"/>
      <c r="POU166" s="354"/>
      <c r="POV166" s="465"/>
      <c r="POW166" s="565"/>
      <c r="POX166" s="572"/>
      <c r="POY166" s="572"/>
      <c r="POZ166" s="566"/>
      <c r="PPA166" s="587"/>
      <c r="PPB166" s="587"/>
      <c r="PPC166" s="587"/>
      <c r="PPD166" s="587"/>
      <c r="PPE166" s="588"/>
      <c r="PPF166" s="589"/>
      <c r="PPG166" s="588"/>
      <c r="PPH166" s="589"/>
      <c r="PPI166" s="588"/>
      <c r="PPJ166" s="589"/>
      <c r="PPK166" s="588"/>
      <c r="PPL166" s="589"/>
      <c r="PPM166" s="588"/>
      <c r="PPN166" s="589"/>
      <c r="PPO166" s="429"/>
      <c r="PPP166" s="364"/>
      <c r="PPQ166" s="365"/>
      <c r="PPR166" s="354"/>
      <c r="PPS166" s="465"/>
      <c r="PPT166" s="565"/>
      <c r="PPU166" s="572"/>
      <c r="PPV166" s="572"/>
      <c r="PPW166" s="566"/>
      <c r="PPX166" s="587"/>
      <c r="PPY166" s="587"/>
      <c r="PPZ166" s="587"/>
      <c r="PQA166" s="587"/>
      <c r="PQB166" s="588"/>
      <c r="PQC166" s="589"/>
      <c r="PQD166" s="588"/>
      <c r="PQE166" s="589"/>
      <c r="PQF166" s="588"/>
      <c r="PQG166" s="589"/>
      <c r="PQH166" s="588"/>
      <c r="PQI166" s="589"/>
      <c r="PQJ166" s="588"/>
      <c r="PQK166" s="589"/>
      <c r="PQL166" s="429"/>
      <c r="PQM166" s="364"/>
      <c r="PQN166" s="365"/>
      <c r="PQO166" s="354"/>
      <c r="PQP166" s="465"/>
      <c r="PQQ166" s="565"/>
      <c r="PQR166" s="572"/>
      <c r="PQS166" s="572"/>
      <c r="PQT166" s="566"/>
      <c r="PQU166" s="587"/>
      <c r="PQV166" s="587"/>
      <c r="PQW166" s="587"/>
      <c r="PQX166" s="587"/>
      <c r="PQY166" s="588"/>
      <c r="PQZ166" s="589"/>
      <c r="PRA166" s="588"/>
      <c r="PRB166" s="589"/>
      <c r="PRC166" s="588"/>
      <c r="PRD166" s="589"/>
      <c r="PRE166" s="588"/>
      <c r="PRF166" s="589"/>
      <c r="PRG166" s="588"/>
      <c r="PRH166" s="589"/>
      <c r="PRI166" s="429"/>
      <c r="PRJ166" s="364"/>
      <c r="PRK166" s="365"/>
      <c r="PRL166" s="354"/>
      <c r="PRM166" s="465"/>
      <c r="PRN166" s="565"/>
      <c r="PRO166" s="572"/>
      <c r="PRP166" s="572"/>
      <c r="PRQ166" s="566"/>
      <c r="PRR166" s="587"/>
      <c r="PRS166" s="587"/>
      <c r="PRT166" s="587"/>
      <c r="PRU166" s="587"/>
      <c r="PRV166" s="588"/>
      <c r="PRW166" s="589"/>
      <c r="PRX166" s="588"/>
      <c r="PRY166" s="589"/>
      <c r="PRZ166" s="588"/>
      <c r="PSA166" s="589"/>
      <c r="PSB166" s="588"/>
      <c r="PSC166" s="589"/>
      <c r="PSD166" s="588"/>
      <c r="PSE166" s="589"/>
      <c r="PSF166" s="429"/>
      <c r="PSG166" s="364"/>
      <c r="PSH166" s="365"/>
      <c r="PSI166" s="354"/>
      <c r="PSJ166" s="465"/>
      <c r="PSK166" s="565"/>
      <c r="PSL166" s="572"/>
      <c r="PSM166" s="572"/>
      <c r="PSN166" s="566"/>
      <c r="PSO166" s="587"/>
      <c r="PSP166" s="587"/>
      <c r="PSQ166" s="587"/>
      <c r="PSR166" s="587"/>
      <c r="PSS166" s="588"/>
      <c r="PST166" s="589"/>
      <c r="PSU166" s="588"/>
      <c r="PSV166" s="589"/>
      <c r="PSW166" s="588"/>
      <c r="PSX166" s="589"/>
      <c r="PSY166" s="588"/>
      <c r="PSZ166" s="589"/>
      <c r="PTA166" s="588"/>
      <c r="PTB166" s="589"/>
      <c r="PTC166" s="429"/>
      <c r="PTD166" s="364"/>
      <c r="PTE166" s="365"/>
      <c r="PTF166" s="354"/>
      <c r="PTG166" s="465"/>
      <c r="PTH166" s="565"/>
      <c r="PTI166" s="572"/>
      <c r="PTJ166" s="572"/>
      <c r="PTK166" s="566"/>
      <c r="PTL166" s="587"/>
      <c r="PTM166" s="587"/>
      <c r="PTN166" s="587"/>
      <c r="PTO166" s="587"/>
      <c r="PTP166" s="588"/>
      <c r="PTQ166" s="589"/>
      <c r="PTR166" s="588"/>
      <c r="PTS166" s="589"/>
      <c r="PTT166" s="588"/>
      <c r="PTU166" s="589"/>
      <c r="PTV166" s="588"/>
      <c r="PTW166" s="589"/>
      <c r="PTX166" s="588"/>
      <c r="PTY166" s="589"/>
      <c r="PTZ166" s="429"/>
      <c r="PUA166" s="364"/>
      <c r="PUB166" s="365"/>
      <c r="PUC166" s="354"/>
      <c r="PUD166" s="465"/>
      <c r="PUE166" s="565"/>
      <c r="PUF166" s="572"/>
      <c r="PUG166" s="572"/>
      <c r="PUH166" s="566"/>
      <c r="PUI166" s="587"/>
      <c r="PUJ166" s="587"/>
      <c r="PUK166" s="587"/>
      <c r="PUL166" s="587"/>
      <c r="PUM166" s="588"/>
      <c r="PUN166" s="589"/>
      <c r="PUO166" s="588"/>
      <c r="PUP166" s="589"/>
      <c r="PUQ166" s="588"/>
      <c r="PUR166" s="589"/>
      <c r="PUS166" s="588"/>
      <c r="PUT166" s="589"/>
      <c r="PUU166" s="588"/>
      <c r="PUV166" s="589"/>
      <c r="PUW166" s="429"/>
      <c r="PUX166" s="364"/>
      <c r="PUY166" s="365"/>
      <c r="PUZ166" s="354"/>
      <c r="PVA166" s="465"/>
      <c r="PVB166" s="565"/>
      <c r="PVC166" s="572"/>
      <c r="PVD166" s="572"/>
      <c r="PVE166" s="566"/>
      <c r="PVF166" s="587"/>
      <c r="PVG166" s="587"/>
      <c r="PVH166" s="587"/>
      <c r="PVI166" s="587"/>
      <c r="PVJ166" s="588"/>
      <c r="PVK166" s="589"/>
      <c r="PVL166" s="588"/>
      <c r="PVM166" s="589"/>
      <c r="PVN166" s="588"/>
      <c r="PVO166" s="589"/>
      <c r="PVP166" s="588"/>
      <c r="PVQ166" s="589"/>
      <c r="PVR166" s="588"/>
      <c r="PVS166" s="589"/>
      <c r="PVT166" s="429"/>
      <c r="PVU166" s="364"/>
      <c r="PVV166" s="365"/>
      <c r="PVW166" s="354"/>
      <c r="PVX166" s="465"/>
      <c r="PVY166" s="565"/>
      <c r="PVZ166" s="572"/>
      <c r="PWA166" s="572"/>
      <c r="PWB166" s="566"/>
      <c r="PWC166" s="587"/>
      <c r="PWD166" s="587"/>
      <c r="PWE166" s="587"/>
      <c r="PWF166" s="587"/>
      <c r="PWG166" s="588"/>
      <c r="PWH166" s="589"/>
      <c r="PWI166" s="588"/>
      <c r="PWJ166" s="589"/>
      <c r="PWK166" s="588"/>
      <c r="PWL166" s="589"/>
      <c r="PWM166" s="588"/>
      <c r="PWN166" s="589"/>
      <c r="PWO166" s="588"/>
      <c r="PWP166" s="589"/>
      <c r="PWQ166" s="429"/>
      <c r="PWR166" s="364"/>
      <c r="PWS166" s="365"/>
      <c r="PWT166" s="354"/>
      <c r="PWU166" s="465"/>
      <c r="PWV166" s="565"/>
      <c r="PWW166" s="572"/>
      <c r="PWX166" s="572"/>
      <c r="PWY166" s="566"/>
      <c r="PWZ166" s="587"/>
      <c r="PXA166" s="587"/>
      <c r="PXB166" s="587"/>
      <c r="PXC166" s="587"/>
      <c r="PXD166" s="588"/>
      <c r="PXE166" s="589"/>
      <c r="PXF166" s="588"/>
      <c r="PXG166" s="589"/>
      <c r="PXH166" s="588"/>
      <c r="PXI166" s="589"/>
      <c r="PXJ166" s="588"/>
      <c r="PXK166" s="589"/>
      <c r="PXL166" s="588"/>
      <c r="PXM166" s="589"/>
      <c r="PXN166" s="429"/>
      <c r="PXO166" s="364"/>
      <c r="PXP166" s="365"/>
      <c r="PXQ166" s="354"/>
      <c r="PXR166" s="465"/>
      <c r="PXS166" s="565"/>
      <c r="PXT166" s="572"/>
      <c r="PXU166" s="572"/>
      <c r="PXV166" s="566"/>
      <c r="PXW166" s="587"/>
      <c r="PXX166" s="587"/>
      <c r="PXY166" s="587"/>
      <c r="PXZ166" s="587"/>
      <c r="PYA166" s="588"/>
      <c r="PYB166" s="589"/>
      <c r="PYC166" s="588"/>
      <c r="PYD166" s="589"/>
      <c r="PYE166" s="588"/>
      <c r="PYF166" s="589"/>
      <c r="PYG166" s="588"/>
      <c r="PYH166" s="589"/>
      <c r="PYI166" s="588"/>
      <c r="PYJ166" s="589"/>
      <c r="PYK166" s="429"/>
      <c r="PYL166" s="364"/>
      <c r="PYM166" s="365"/>
      <c r="PYN166" s="354"/>
      <c r="PYO166" s="465"/>
      <c r="PYP166" s="565"/>
      <c r="PYQ166" s="572"/>
      <c r="PYR166" s="572"/>
      <c r="PYS166" s="566"/>
      <c r="PYT166" s="587"/>
      <c r="PYU166" s="587"/>
      <c r="PYV166" s="587"/>
      <c r="PYW166" s="587"/>
      <c r="PYX166" s="588"/>
      <c r="PYY166" s="589"/>
      <c r="PYZ166" s="588"/>
      <c r="PZA166" s="589"/>
      <c r="PZB166" s="588"/>
      <c r="PZC166" s="589"/>
      <c r="PZD166" s="588"/>
      <c r="PZE166" s="589"/>
      <c r="PZF166" s="588"/>
      <c r="PZG166" s="589"/>
      <c r="PZH166" s="429"/>
      <c r="PZI166" s="364"/>
      <c r="PZJ166" s="365"/>
      <c r="PZK166" s="354"/>
      <c r="PZL166" s="465"/>
      <c r="PZM166" s="565"/>
      <c r="PZN166" s="572"/>
      <c r="PZO166" s="572"/>
      <c r="PZP166" s="566"/>
      <c r="PZQ166" s="587"/>
      <c r="PZR166" s="587"/>
      <c r="PZS166" s="587"/>
      <c r="PZT166" s="587"/>
      <c r="PZU166" s="588"/>
      <c r="PZV166" s="589"/>
      <c r="PZW166" s="588"/>
      <c r="PZX166" s="589"/>
      <c r="PZY166" s="588"/>
      <c r="PZZ166" s="589"/>
      <c r="QAA166" s="588"/>
      <c r="QAB166" s="589"/>
      <c r="QAC166" s="588"/>
      <c r="QAD166" s="589"/>
      <c r="QAE166" s="429"/>
      <c r="QAF166" s="364"/>
      <c r="QAG166" s="365"/>
      <c r="QAH166" s="354"/>
      <c r="QAI166" s="465"/>
      <c r="QAJ166" s="565"/>
      <c r="QAK166" s="572"/>
      <c r="QAL166" s="572"/>
      <c r="QAM166" s="566"/>
      <c r="QAN166" s="587"/>
      <c r="QAO166" s="587"/>
      <c r="QAP166" s="587"/>
      <c r="QAQ166" s="587"/>
      <c r="QAR166" s="588"/>
      <c r="QAS166" s="589"/>
      <c r="QAT166" s="588"/>
      <c r="QAU166" s="589"/>
      <c r="QAV166" s="588"/>
      <c r="QAW166" s="589"/>
      <c r="QAX166" s="588"/>
      <c r="QAY166" s="589"/>
      <c r="QAZ166" s="588"/>
      <c r="QBA166" s="589"/>
      <c r="QBB166" s="429"/>
      <c r="QBC166" s="364"/>
      <c r="QBD166" s="365"/>
      <c r="QBE166" s="354"/>
      <c r="QBF166" s="465"/>
      <c r="QBG166" s="565"/>
      <c r="QBH166" s="572"/>
      <c r="QBI166" s="572"/>
      <c r="QBJ166" s="566"/>
      <c r="QBK166" s="587"/>
      <c r="QBL166" s="587"/>
      <c r="QBM166" s="587"/>
      <c r="QBN166" s="587"/>
      <c r="QBO166" s="588"/>
      <c r="QBP166" s="589"/>
      <c r="QBQ166" s="588"/>
      <c r="QBR166" s="589"/>
      <c r="QBS166" s="588"/>
      <c r="QBT166" s="589"/>
      <c r="QBU166" s="588"/>
      <c r="QBV166" s="589"/>
      <c r="QBW166" s="588"/>
      <c r="QBX166" s="589"/>
      <c r="QBY166" s="429"/>
      <c r="QBZ166" s="364"/>
      <c r="QCA166" s="365"/>
      <c r="QCB166" s="354"/>
      <c r="QCC166" s="465"/>
      <c r="QCD166" s="565"/>
      <c r="QCE166" s="572"/>
      <c r="QCF166" s="572"/>
      <c r="QCG166" s="566"/>
      <c r="QCH166" s="587"/>
      <c r="QCI166" s="587"/>
      <c r="QCJ166" s="587"/>
      <c r="QCK166" s="587"/>
      <c r="QCL166" s="588"/>
      <c r="QCM166" s="589"/>
      <c r="QCN166" s="588"/>
      <c r="QCO166" s="589"/>
      <c r="QCP166" s="588"/>
      <c r="QCQ166" s="589"/>
      <c r="QCR166" s="588"/>
      <c r="QCS166" s="589"/>
      <c r="QCT166" s="588"/>
      <c r="QCU166" s="589"/>
      <c r="QCV166" s="429"/>
      <c r="QCW166" s="364"/>
      <c r="QCX166" s="365"/>
      <c r="QCY166" s="354"/>
      <c r="QCZ166" s="465"/>
      <c r="QDA166" s="565"/>
      <c r="QDB166" s="572"/>
      <c r="QDC166" s="572"/>
      <c r="QDD166" s="566"/>
      <c r="QDE166" s="587"/>
      <c r="QDF166" s="587"/>
      <c r="QDG166" s="587"/>
      <c r="QDH166" s="587"/>
      <c r="QDI166" s="588"/>
      <c r="QDJ166" s="589"/>
      <c r="QDK166" s="588"/>
      <c r="QDL166" s="589"/>
      <c r="QDM166" s="588"/>
      <c r="QDN166" s="589"/>
      <c r="QDO166" s="588"/>
      <c r="QDP166" s="589"/>
      <c r="QDQ166" s="588"/>
      <c r="QDR166" s="589"/>
      <c r="QDS166" s="429"/>
      <c r="QDT166" s="364"/>
      <c r="QDU166" s="365"/>
      <c r="QDV166" s="354"/>
      <c r="QDW166" s="465"/>
      <c r="QDX166" s="565"/>
      <c r="QDY166" s="572"/>
      <c r="QDZ166" s="572"/>
      <c r="QEA166" s="566"/>
      <c r="QEB166" s="587"/>
      <c r="QEC166" s="587"/>
      <c r="QED166" s="587"/>
      <c r="QEE166" s="587"/>
      <c r="QEF166" s="588"/>
      <c r="QEG166" s="589"/>
      <c r="QEH166" s="588"/>
      <c r="QEI166" s="589"/>
      <c r="QEJ166" s="588"/>
      <c r="QEK166" s="589"/>
      <c r="QEL166" s="588"/>
      <c r="QEM166" s="589"/>
      <c r="QEN166" s="588"/>
      <c r="QEO166" s="589"/>
      <c r="QEP166" s="429"/>
      <c r="QEQ166" s="364"/>
      <c r="QER166" s="365"/>
      <c r="QES166" s="354"/>
      <c r="QET166" s="465"/>
      <c r="QEU166" s="565"/>
      <c r="QEV166" s="572"/>
      <c r="QEW166" s="572"/>
      <c r="QEX166" s="566"/>
      <c r="QEY166" s="587"/>
      <c r="QEZ166" s="587"/>
      <c r="QFA166" s="587"/>
      <c r="QFB166" s="587"/>
      <c r="QFC166" s="588"/>
      <c r="QFD166" s="589"/>
      <c r="QFE166" s="588"/>
      <c r="QFF166" s="589"/>
      <c r="QFG166" s="588"/>
      <c r="QFH166" s="589"/>
      <c r="QFI166" s="588"/>
      <c r="QFJ166" s="589"/>
      <c r="QFK166" s="588"/>
      <c r="QFL166" s="589"/>
      <c r="QFM166" s="429"/>
      <c r="QFN166" s="364"/>
      <c r="QFO166" s="365"/>
      <c r="QFP166" s="354"/>
      <c r="QFQ166" s="465"/>
      <c r="QFR166" s="565"/>
      <c r="QFS166" s="572"/>
      <c r="QFT166" s="572"/>
      <c r="QFU166" s="566"/>
      <c r="QFV166" s="587"/>
      <c r="QFW166" s="587"/>
      <c r="QFX166" s="587"/>
      <c r="QFY166" s="587"/>
      <c r="QFZ166" s="588"/>
      <c r="QGA166" s="589"/>
      <c r="QGB166" s="588"/>
      <c r="QGC166" s="589"/>
      <c r="QGD166" s="588"/>
      <c r="QGE166" s="589"/>
      <c r="QGF166" s="588"/>
      <c r="QGG166" s="589"/>
      <c r="QGH166" s="588"/>
      <c r="QGI166" s="589"/>
      <c r="QGJ166" s="429"/>
      <c r="QGK166" s="364"/>
      <c r="QGL166" s="365"/>
      <c r="QGM166" s="354"/>
      <c r="QGN166" s="465"/>
      <c r="QGO166" s="565"/>
      <c r="QGP166" s="572"/>
      <c r="QGQ166" s="572"/>
      <c r="QGR166" s="566"/>
      <c r="QGS166" s="587"/>
      <c r="QGT166" s="587"/>
      <c r="QGU166" s="587"/>
      <c r="QGV166" s="587"/>
      <c r="QGW166" s="588"/>
      <c r="QGX166" s="589"/>
      <c r="QGY166" s="588"/>
      <c r="QGZ166" s="589"/>
      <c r="QHA166" s="588"/>
      <c r="QHB166" s="589"/>
      <c r="QHC166" s="588"/>
      <c r="QHD166" s="589"/>
      <c r="QHE166" s="588"/>
      <c r="QHF166" s="589"/>
      <c r="QHG166" s="429"/>
      <c r="QHH166" s="364"/>
      <c r="QHI166" s="365"/>
      <c r="QHJ166" s="354"/>
      <c r="QHK166" s="465"/>
      <c r="QHL166" s="565"/>
      <c r="QHM166" s="572"/>
      <c r="QHN166" s="572"/>
      <c r="QHO166" s="566"/>
      <c r="QHP166" s="587"/>
      <c r="QHQ166" s="587"/>
      <c r="QHR166" s="587"/>
      <c r="QHS166" s="587"/>
      <c r="QHT166" s="588"/>
      <c r="QHU166" s="589"/>
      <c r="QHV166" s="588"/>
      <c r="QHW166" s="589"/>
      <c r="QHX166" s="588"/>
      <c r="QHY166" s="589"/>
      <c r="QHZ166" s="588"/>
      <c r="QIA166" s="589"/>
      <c r="QIB166" s="588"/>
      <c r="QIC166" s="589"/>
      <c r="QID166" s="429"/>
      <c r="QIE166" s="364"/>
      <c r="QIF166" s="365"/>
      <c r="QIG166" s="354"/>
      <c r="QIH166" s="465"/>
      <c r="QII166" s="565"/>
      <c r="QIJ166" s="572"/>
      <c r="QIK166" s="572"/>
      <c r="QIL166" s="566"/>
      <c r="QIM166" s="587"/>
      <c r="QIN166" s="587"/>
      <c r="QIO166" s="587"/>
      <c r="QIP166" s="587"/>
      <c r="QIQ166" s="588"/>
      <c r="QIR166" s="589"/>
      <c r="QIS166" s="588"/>
      <c r="QIT166" s="589"/>
      <c r="QIU166" s="588"/>
      <c r="QIV166" s="589"/>
      <c r="QIW166" s="588"/>
      <c r="QIX166" s="589"/>
      <c r="QIY166" s="588"/>
      <c r="QIZ166" s="589"/>
      <c r="QJA166" s="429"/>
      <c r="QJB166" s="364"/>
      <c r="QJC166" s="365"/>
      <c r="QJD166" s="354"/>
      <c r="QJE166" s="465"/>
      <c r="QJF166" s="565"/>
      <c r="QJG166" s="572"/>
      <c r="QJH166" s="572"/>
      <c r="QJI166" s="566"/>
      <c r="QJJ166" s="587"/>
      <c r="QJK166" s="587"/>
      <c r="QJL166" s="587"/>
      <c r="QJM166" s="587"/>
      <c r="QJN166" s="588"/>
      <c r="QJO166" s="589"/>
      <c r="QJP166" s="588"/>
      <c r="QJQ166" s="589"/>
      <c r="QJR166" s="588"/>
      <c r="QJS166" s="589"/>
      <c r="QJT166" s="588"/>
      <c r="QJU166" s="589"/>
      <c r="QJV166" s="588"/>
      <c r="QJW166" s="589"/>
      <c r="QJX166" s="429"/>
      <c r="QJY166" s="364"/>
      <c r="QJZ166" s="365"/>
      <c r="QKA166" s="354"/>
      <c r="QKB166" s="465"/>
      <c r="QKC166" s="565"/>
      <c r="QKD166" s="572"/>
      <c r="QKE166" s="572"/>
      <c r="QKF166" s="566"/>
      <c r="QKG166" s="587"/>
      <c r="QKH166" s="587"/>
      <c r="QKI166" s="587"/>
      <c r="QKJ166" s="587"/>
      <c r="QKK166" s="588"/>
      <c r="QKL166" s="589"/>
      <c r="QKM166" s="588"/>
      <c r="QKN166" s="589"/>
      <c r="QKO166" s="588"/>
      <c r="QKP166" s="589"/>
      <c r="QKQ166" s="588"/>
      <c r="QKR166" s="589"/>
      <c r="QKS166" s="588"/>
      <c r="QKT166" s="589"/>
      <c r="QKU166" s="429"/>
      <c r="QKV166" s="364"/>
      <c r="QKW166" s="365"/>
      <c r="QKX166" s="354"/>
      <c r="QKY166" s="465"/>
      <c r="QKZ166" s="565"/>
      <c r="QLA166" s="572"/>
      <c r="QLB166" s="572"/>
      <c r="QLC166" s="566"/>
      <c r="QLD166" s="587"/>
      <c r="QLE166" s="587"/>
      <c r="QLF166" s="587"/>
      <c r="QLG166" s="587"/>
      <c r="QLH166" s="588"/>
      <c r="QLI166" s="589"/>
      <c r="QLJ166" s="588"/>
      <c r="QLK166" s="589"/>
      <c r="QLL166" s="588"/>
      <c r="QLM166" s="589"/>
      <c r="QLN166" s="588"/>
      <c r="QLO166" s="589"/>
      <c r="QLP166" s="588"/>
      <c r="QLQ166" s="589"/>
      <c r="QLR166" s="429"/>
      <c r="QLS166" s="364"/>
      <c r="QLT166" s="365"/>
      <c r="QLU166" s="354"/>
      <c r="QLV166" s="465"/>
      <c r="QLW166" s="565"/>
      <c r="QLX166" s="572"/>
      <c r="QLY166" s="572"/>
      <c r="QLZ166" s="566"/>
      <c r="QMA166" s="587"/>
      <c r="QMB166" s="587"/>
      <c r="QMC166" s="587"/>
      <c r="QMD166" s="587"/>
      <c r="QME166" s="588"/>
      <c r="QMF166" s="589"/>
      <c r="QMG166" s="588"/>
      <c r="QMH166" s="589"/>
      <c r="QMI166" s="588"/>
      <c r="QMJ166" s="589"/>
      <c r="QMK166" s="588"/>
      <c r="QML166" s="589"/>
      <c r="QMM166" s="588"/>
      <c r="QMN166" s="589"/>
      <c r="QMO166" s="429"/>
      <c r="QMP166" s="364"/>
      <c r="QMQ166" s="365"/>
      <c r="QMR166" s="354"/>
      <c r="QMS166" s="465"/>
      <c r="QMT166" s="565"/>
      <c r="QMU166" s="572"/>
      <c r="QMV166" s="572"/>
      <c r="QMW166" s="566"/>
      <c r="QMX166" s="587"/>
      <c r="QMY166" s="587"/>
      <c r="QMZ166" s="587"/>
      <c r="QNA166" s="587"/>
      <c r="QNB166" s="588"/>
      <c r="QNC166" s="589"/>
      <c r="QND166" s="588"/>
      <c r="QNE166" s="589"/>
      <c r="QNF166" s="588"/>
      <c r="QNG166" s="589"/>
      <c r="QNH166" s="588"/>
      <c r="QNI166" s="589"/>
      <c r="QNJ166" s="588"/>
      <c r="QNK166" s="589"/>
      <c r="QNL166" s="429"/>
      <c r="QNM166" s="364"/>
      <c r="QNN166" s="365"/>
      <c r="QNO166" s="354"/>
      <c r="QNP166" s="465"/>
      <c r="QNQ166" s="565"/>
      <c r="QNR166" s="572"/>
      <c r="QNS166" s="572"/>
      <c r="QNT166" s="566"/>
      <c r="QNU166" s="587"/>
      <c r="QNV166" s="587"/>
      <c r="QNW166" s="587"/>
      <c r="QNX166" s="587"/>
      <c r="QNY166" s="588"/>
      <c r="QNZ166" s="589"/>
      <c r="QOA166" s="588"/>
      <c r="QOB166" s="589"/>
      <c r="QOC166" s="588"/>
      <c r="QOD166" s="589"/>
      <c r="QOE166" s="588"/>
      <c r="QOF166" s="589"/>
      <c r="QOG166" s="588"/>
      <c r="QOH166" s="589"/>
      <c r="QOI166" s="429"/>
      <c r="QOJ166" s="364"/>
      <c r="QOK166" s="365"/>
      <c r="QOL166" s="354"/>
      <c r="QOM166" s="465"/>
      <c r="QON166" s="565"/>
      <c r="QOO166" s="572"/>
      <c r="QOP166" s="572"/>
      <c r="QOQ166" s="566"/>
      <c r="QOR166" s="587"/>
      <c r="QOS166" s="587"/>
      <c r="QOT166" s="587"/>
      <c r="QOU166" s="587"/>
      <c r="QOV166" s="588"/>
      <c r="QOW166" s="589"/>
      <c r="QOX166" s="588"/>
      <c r="QOY166" s="589"/>
      <c r="QOZ166" s="588"/>
      <c r="QPA166" s="589"/>
      <c r="QPB166" s="588"/>
      <c r="QPC166" s="589"/>
      <c r="QPD166" s="588"/>
      <c r="QPE166" s="589"/>
      <c r="QPF166" s="429"/>
      <c r="QPG166" s="364"/>
      <c r="QPH166" s="365"/>
      <c r="QPI166" s="354"/>
      <c r="QPJ166" s="465"/>
      <c r="QPK166" s="565"/>
      <c r="QPL166" s="572"/>
      <c r="QPM166" s="572"/>
      <c r="QPN166" s="566"/>
      <c r="QPO166" s="587"/>
      <c r="QPP166" s="587"/>
      <c r="QPQ166" s="587"/>
      <c r="QPR166" s="587"/>
      <c r="QPS166" s="588"/>
      <c r="QPT166" s="589"/>
      <c r="QPU166" s="588"/>
      <c r="QPV166" s="589"/>
      <c r="QPW166" s="588"/>
      <c r="QPX166" s="589"/>
      <c r="QPY166" s="588"/>
      <c r="QPZ166" s="589"/>
      <c r="QQA166" s="588"/>
      <c r="QQB166" s="589"/>
      <c r="QQC166" s="429"/>
      <c r="QQD166" s="364"/>
      <c r="QQE166" s="365"/>
      <c r="QQF166" s="354"/>
      <c r="QQG166" s="465"/>
      <c r="QQH166" s="565"/>
      <c r="QQI166" s="572"/>
      <c r="QQJ166" s="572"/>
      <c r="QQK166" s="566"/>
      <c r="QQL166" s="587"/>
      <c r="QQM166" s="587"/>
      <c r="QQN166" s="587"/>
      <c r="QQO166" s="587"/>
      <c r="QQP166" s="588"/>
      <c r="QQQ166" s="589"/>
      <c r="QQR166" s="588"/>
      <c r="QQS166" s="589"/>
      <c r="QQT166" s="588"/>
      <c r="QQU166" s="589"/>
      <c r="QQV166" s="588"/>
      <c r="QQW166" s="589"/>
      <c r="QQX166" s="588"/>
      <c r="QQY166" s="589"/>
      <c r="QQZ166" s="429"/>
      <c r="QRA166" s="364"/>
      <c r="QRB166" s="365"/>
      <c r="QRC166" s="354"/>
      <c r="QRD166" s="465"/>
      <c r="QRE166" s="565"/>
      <c r="QRF166" s="572"/>
      <c r="QRG166" s="572"/>
      <c r="QRH166" s="566"/>
      <c r="QRI166" s="587"/>
      <c r="QRJ166" s="587"/>
      <c r="QRK166" s="587"/>
      <c r="QRL166" s="587"/>
      <c r="QRM166" s="588"/>
      <c r="QRN166" s="589"/>
      <c r="QRO166" s="588"/>
      <c r="QRP166" s="589"/>
      <c r="QRQ166" s="588"/>
      <c r="QRR166" s="589"/>
      <c r="QRS166" s="588"/>
      <c r="QRT166" s="589"/>
      <c r="QRU166" s="588"/>
      <c r="QRV166" s="589"/>
      <c r="QRW166" s="429"/>
      <c r="QRX166" s="364"/>
      <c r="QRY166" s="365"/>
      <c r="QRZ166" s="354"/>
      <c r="QSA166" s="465"/>
      <c r="QSB166" s="565"/>
      <c r="QSC166" s="572"/>
      <c r="QSD166" s="572"/>
      <c r="QSE166" s="566"/>
      <c r="QSF166" s="587"/>
      <c r="QSG166" s="587"/>
      <c r="QSH166" s="587"/>
      <c r="QSI166" s="587"/>
      <c r="QSJ166" s="588"/>
      <c r="QSK166" s="589"/>
      <c r="QSL166" s="588"/>
      <c r="QSM166" s="589"/>
      <c r="QSN166" s="588"/>
      <c r="QSO166" s="589"/>
      <c r="QSP166" s="588"/>
      <c r="QSQ166" s="589"/>
      <c r="QSR166" s="588"/>
      <c r="QSS166" s="589"/>
      <c r="QST166" s="429"/>
      <c r="QSU166" s="364"/>
      <c r="QSV166" s="365"/>
      <c r="QSW166" s="354"/>
      <c r="QSX166" s="465"/>
      <c r="QSY166" s="565"/>
      <c r="QSZ166" s="572"/>
      <c r="QTA166" s="572"/>
      <c r="QTB166" s="566"/>
      <c r="QTC166" s="587"/>
      <c r="QTD166" s="587"/>
      <c r="QTE166" s="587"/>
      <c r="QTF166" s="587"/>
      <c r="QTG166" s="588"/>
      <c r="QTH166" s="589"/>
      <c r="QTI166" s="588"/>
      <c r="QTJ166" s="589"/>
      <c r="QTK166" s="588"/>
      <c r="QTL166" s="589"/>
      <c r="QTM166" s="588"/>
      <c r="QTN166" s="589"/>
      <c r="QTO166" s="588"/>
      <c r="QTP166" s="589"/>
      <c r="QTQ166" s="429"/>
      <c r="QTR166" s="364"/>
      <c r="QTS166" s="365"/>
      <c r="QTT166" s="354"/>
      <c r="QTU166" s="465"/>
      <c r="QTV166" s="565"/>
      <c r="QTW166" s="572"/>
      <c r="QTX166" s="572"/>
      <c r="QTY166" s="566"/>
      <c r="QTZ166" s="587"/>
      <c r="QUA166" s="587"/>
      <c r="QUB166" s="587"/>
      <c r="QUC166" s="587"/>
      <c r="QUD166" s="588"/>
      <c r="QUE166" s="589"/>
      <c r="QUF166" s="588"/>
      <c r="QUG166" s="589"/>
      <c r="QUH166" s="588"/>
      <c r="QUI166" s="589"/>
      <c r="QUJ166" s="588"/>
      <c r="QUK166" s="589"/>
      <c r="QUL166" s="588"/>
      <c r="QUM166" s="589"/>
      <c r="QUN166" s="429"/>
      <c r="QUO166" s="364"/>
      <c r="QUP166" s="365"/>
      <c r="QUQ166" s="354"/>
      <c r="QUR166" s="465"/>
      <c r="QUS166" s="565"/>
      <c r="QUT166" s="572"/>
      <c r="QUU166" s="572"/>
      <c r="QUV166" s="566"/>
      <c r="QUW166" s="587"/>
      <c r="QUX166" s="587"/>
      <c r="QUY166" s="587"/>
      <c r="QUZ166" s="587"/>
      <c r="QVA166" s="588"/>
      <c r="QVB166" s="589"/>
      <c r="QVC166" s="588"/>
      <c r="QVD166" s="589"/>
      <c r="QVE166" s="588"/>
      <c r="QVF166" s="589"/>
      <c r="QVG166" s="588"/>
      <c r="QVH166" s="589"/>
      <c r="QVI166" s="588"/>
      <c r="QVJ166" s="589"/>
      <c r="QVK166" s="429"/>
      <c r="QVL166" s="364"/>
      <c r="QVM166" s="365"/>
      <c r="QVN166" s="354"/>
      <c r="QVO166" s="465"/>
      <c r="QVP166" s="565"/>
      <c r="QVQ166" s="572"/>
      <c r="QVR166" s="572"/>
      <c r="QVS166" s="566"/>
      <c r="QVT166" s="587"/>
      <c r="QVU166" s="587"/>
      <c r="QVV166" s="587"/>
      <c r="QVW166" s="587"/>
      <c r="QVX166" s="588"/>
      <c r="QVY166" s="589"/>
      <c r="QVZ166" s="588"/>
      <c r="QWA166" s="589"/>
      <c r="QWB166" s="588"/>
      <c r="QWC166" s="589"/>
      <c r="QWD166" s="588"/>
      <c r="QWE166" s="589"/>
      <c r="QWF166" s="588"/>
      <c r="QWG166" s="589"/>
      <c r="QWH166" s="429"/>
      <c r="QWI166" s="364"/>
      <c r="QWJ166" s="365"/>
      <c r="QWK166" s="354"/>
      <c r="QWL166" s="465"/>
      <c r="QWM166" s="565"/>
      <c r="QWN166" s="572"/>
      <c r="QWO166" s="572"/>
      <c r="QWP166" s="566"/>
      <c r="QWQ166" s="587"/>
      <c r="QWR166" s="587"/>
      <c r="QWS166" s="587"/>
      <c r="QWT166" s="587"/>
      <c r="QWU166" s="588"/>
      <c r="QWV166" s="589"/>
      <c r="QWW166" s="588"/>
      <c r="QWX166" s="589"/>
      <c r="QWY166" s="588"/>
      <c r="QWZ166" s="589"/>
      <c r="QXA166" s="588"/>
      <c r="QXB166" s="589"/>
      <c r="QXC166" s="588"/>
      <c r="QXD166" s="589"/>
      <c r="QXE166" s="429"/>
      <c r="QXF166" s="364"/>
      <c r="QXG166" s="365"/>
      <c r="QXH166" s="354"/>
      <c r="QXI166" s="465"/>
      <c r="QXJ166" s="565"/>
      <c r="QXK166" s="572"/>
      <c r="QXL166" s="572"/>
      <c r="QXM166" s="566"/>
      <c r="QXN166" s="587"/>
      <c r="QXO166" s="587"/>
      <c r="QXP166" s="587"/>
      <c r="QXQ166" s="587"/>
      <c r="QXR166" s="588"/>
      <c r="QXS166" s="589"/>
      <c r="QXT166" s="588"/>
      <c r="QXU166" s="589"/>
      <c r="QXV166" s="588"/>
      <c r="QXW166" s="589"/>
      <c r="QXX166" s="588"/>
      <c r="QXY166" s="589"/>
      <c r="QXZ166" s="588"/>
      <c r="QYA166" s="589"/>
      <c r="QYB166" s="429"/>
      <c r="QYC166" s="364"/>
      <c r="QYD166" s="365"/>
      <c r="QYE166" s="354"/>
      <c r="QYF166" s="465"/>
      <c r="QYG166" s="565"/>
      <c r="QYH166" s="572"/>
      <c r="QYI166" s="572"/>
      <c r="QYJ166" s="566"/>
      <c r="QYK166" s="587"/>
      <c r="QYL166" s="587"/>
      <c r="QYM166" s="587"/>
      <c r="QYN166" s="587"/>
      <c r="QYO166" s="588"/>
      <c r="QYP166" s="589"/>
      <c r="QYQ166" s="588"/>
      <c r="QYR166" s="589"/>
      <c r="QYS166" s="588"/>
      <c r="QYT166" s="589"/>
      <c r="QYU166" s="588"/>
      <c r="QYV166" s="589"/>
      <c r="QYW166" s="588"/>
      <c r="QYX166" s="589"/>
      <c r="QYY166" s="429"/>
      <c r="QYZ166" s="364"/>
      <c r="QZA166" s="365"/>
      <c r="QZB166" s="354"/>
      <c r="QZC166" s="465"/>
      <c r="QZD166" s="565"/>
      <c r="QZE166" s="572"/>
      <c r="QZF166" s="572"/>
      <c r="QZG166" s="566"/>
      <c r="QZH166" s="587"/>
      <c r="QZI166" s="587"/>
      <c r="QZJ166" s="587"/>
      <c r="QZK166" s="587"/>
      <c r="QZL166" s="588"/>
      <c r="QZM166" s="589"/>
      <c r="QZN166" s="588"/>
      <c r="QZO166" s="589"/>
      <c r="QZP166" s="588"/>
      <c r="QZQ166" s="589"/>
      <c r="QZR166" s="588"/>
      <c r="QZS166" s="589"/>
      <c r="QZT166" s="588"/>
      <c r="QZU166" s="589"/>
      <c r="QZV166" s="429"/>
      <c r="QZW166" s="364"/>
      <c r="QZX166" s="365"/>
      <c r="QZY166" s="354"/>
      <c r="QZZ166" s="465"/>
      <c r="RAA166" s="565"/>
      <c r="RAB166" s="572"/>
      <c r="RAC166" s="572"/>
      <c r="RAD166" s="566"/>
      <c r="RAE166" s="587"/>
      <c r="RAF166" s="587"/>
      <c r="RAG166" s="587"/>
      <c r="RAH166" s="587"/>
      <c r="RAI166" s="588"/>
      <c r="RAJ166" s="589"/>
      <c r="RAK166" s="588"/>
      <c r="RAL166" s="589"/>
      <c r="RAM166" s="588"/>
      <c r="RAN166" s="589"/>
      <c r="RAO166" s="588"/>
      <c r="RAP166" s="589"/>
      <c r="RAQ166" s="588"/>
      <c r="RAR166" s="589"/>
      <c r="RAS166" s="429"/>
      <c r="RAT166" s="364"/>
      <c r="RAU166" s="365"/>
      <c r="RAV166" s="354"/>
      <c r="RAW166" s="465"/>
      <c r="RAX166" s="565"/>
      <c r="RAY166" s="572"/>
      <c r="RAZ166" s="572"/>
      <c r="RBA166" s="566"/>
      <c r="RBB166" s="587"/>
      <c r="RBC166" s="587"/>
      <c r="RBD166" s="587"/>
      <c r="RBE166" s="587"/>
      <c r="RBF166" s="588"/>
      <c r="RBG166" s="589"/>
      <c r="RBH166" s="588"/>
      <c r="RBI166" s="589"/>
      <c r="RBJ166" s="588"/>
      <c r="RBK166" s="589"/>
      <c r="RBL166" s="588"/>
      <c r="RBM166" s="589"/>
      <c r="RBN166" s="588"/>
      <c r="RBO166" s="589"/>
      <c r="RBP166" s="429"/>
      <c r="RBQ166" s="364"/>
      <c r="RBR166" s="365"/>
      <c r="RBS166" s="354"/>
      <c r="RBT166" s="465"/>
      <c r="RBU166" s="565"/>
      <c r="RBV166" s="572"/>
      <c r="RBW166" s="572"/>
      <c r="RBX166" s="566"/>
      <c r="RBY166" s="587"/>
      <c r="RBZ166" s="587"/>
      <c r="RCA166" s="587"/>
      <c r="RCB166" s="587"/>
      <c r="RCC166" s="588"/>
      <c r="RCD166" s="589"/>
      <c r="RCE166" s="588"/>
      <c r="RCF166" s="589"/>
      <c r="RCG166" s="588"/>
      <c r="RCH166" s="589"/>
      <c r="RCI166" s="588"/>
      <c r="RCJ166" s="589"/>
      <c r="RCK166" s="588"/>
      <c r="RCL166" s="589"/>
      <c r="RCM166" s="429"/>
      <c r="RCN166" s="364"/>
      <c r="RCO166" s="365"/>
      <c r="RCP166" s="354"/>
      <c r="RCQ166" s="465"/>
      <c r="RCR166" s="565"/>
      <c r="RCS166" s="572"/>
      <c r="RCT166" s="572"/>
      <c r="RCU166" s="566"/>
      <c r="RCV166" s="587"/>
      <c r="RCW166" s="587"/>
      <c r="RCX166" s="587"/>
      <c r="RCY166" s="587"/>
      <c r="RCZ166" s="588"/>
      <c r="RDA166" s="589"/>
      <c r="RDB166" s="588"/>
      <c r="RDC166" s="589"/>
      <c r="RDD166" s="588"/>
      <c r="RDE166" s="589"/>
      <c r="RDF166" s="588"/>
      <c r="RDG166" s="589"/>
      <c r="RDH166" s="588"/>
      <c r="RDI166" s="589"/>
      <c r="RDJ166" s="429"/>
      <c r="RDK166" s="364"/>
      <c r="RDL166" s="365"/>
      <c r="RDM166" s="354"/>
      <c r="RDN166" s="465"/>
      <c r="RDO166" s="565"/>
      <c r="RDP166" s="572"/>
      <c r="RDQ166" s="572"/>
      <c r="RDR166" s="566"/>
      <c r="RDS166" s="587"/>
      <c r="RDT166" s="587"/>
      <c r="RDU166" s="587"/>
      <c r="RDV166" s="587"/>
      <c r="RDW166" s="588"/>
      <c r="RDX166" s="589"/>
      <c r="RDY166" s="588"/>
      <c r="RDZ166" s="589"/>
      <c r="REA166" s="588"/>
      <c r="REB166" s="589"/>
      <c r="REC166" s="588"/>
      <c r="RED166" s="589"/>
      <c r="REE166" s="588"/>
      <c r="REF166" s="589"/>
      <c r="REG166" s="429"/>
      <c r="REH166" s="364"/>
      <c r="REI166" s="365"/>
      <c r="REJ166" s="354"/>
      <c r="REK166" s="465"/>
      <c r="REL166" s="565"/>
      <c r="REM166" s="572"/>
      <c r="REN166" s="572"/>
      <c r="REO166" s="566"/>
      <c r="REP166" s="587"/>
      <c r="REQ166" s="587"/>
      <c r="RER166" s="587"/>
      <c r="RES166" s="587"/>
      <c r="RET166" s="588"/>
      <c r="REU166" s="589"/>
      <c r="REV166" s="588"/>
      <c r="REW166" s="589"/>
      <c r="REX166" s="588"/>
      <c r="REY166" s="589"/>
      <c r="REZ166" s="588"/>
      <c r="RFA166" s="589"/>
      <c r="RFB166" s="588"/>
      <c r="RFC166" s="589"/>
      <c r="RFD166" s="429"/>
      <c r="RFE166" s="364"/>
      <c r="RFF166" s="365"/>
      <c r="RFG166" s="354"/>
      <c r="RFH166" s="465"/>
      <c r="RFI166" s="565"/>
      <c r="RFJ166" s="572"/>
      <c r="RFK166" s="572"/>
      <c r="RFL166" s="566"/>
      <c r="RFM166" s="587"/>
      <c r="RFN166" s="587"/>
      <c r="RFO166" s="587"/>
      <c r="RFP166" s="587"/>
      <c r="RFQ166" s="588"/>
      <c r="RFR166" s="589"/>
      <c r="RFS166" s="588"/>
      <c r="RFT166" s="589"/>
      <c r="RFU166" s="588"/>
      <c r="RFV166" s="589"/>
      <c r="RFW166" s="588"/>
      <c r="RFX166" s="589"/>
      <c r="RFY166" s="588"/>
      <c r="RFZ166" s="589"/>
      <c r="RGA166" s="429"/>
      <c r="RGB166" s="364"/>
      <c r="RGC166" s="365"/>
      <c r="RGD166" s="354"/>
      <c r="RGE166" s="465"/>
      <c r="RGF166" s="565"/>
      <c r="RGG166" s="572"/>
      <c r="RGH166" s="572"/>
      <c r="RGI166" s="566"/>
      <c r="RGJ166" s="587"/>
      <c r="RGK166" s="587"/>
      <c r="RGL166" s="587"/>
      <c r="RGM166" s="587"/>
      <c r="RGN166" s="588"/>
      <c r="RGO166" s="589"/>
      <c r="RGP166" s="588"/>
      <c r="RGQ166" s="589"/>
      <c r="RGR166" s="588"/>
      <c r="RGS166" s="589"/>
      <c r="RGT166" s="588"/>
      <c r="RGU166" s="589"/>
      <c r="RGV166" s="588"/>
      <c r="RGW166" s="589"/>
      <c r="RGX166" s="429"/>
      <c r="RGY166" s="364"/>
      <c r="RGZ166" s="365"/>
      <c r="RHA166" s="354"/>
      <c r="RHB166" s="465"/>
      <c r="RHC166" s="565"/>
      <c r="RHD166" s="572"/>
      <c r="RHE166" s="572"/>
      <c r="RHF166" s="566"/>
      <c r="RHG166" s="587"/>
      <c r="RHH166" s="587"/>
      <c r="RHI166" s="587"/>
      <c r="RHJ166" s="587"/>
      <c r="RHK166" s="588"/>
      <c r="RHL166" s="589"/>
      <c r="RHM166" s="588"/>
      <c r="RHN166" s="589"/>
      <c r="RHO166" s="588"/>
      <c r="RHP166" s="589"/>
      <c r="RHQ166" s="588"/>
      <c r="RHR166" s="589"/>
      <c r="RHS166" s="588"/>
      <c r="RHT166" s="589"/>
      <c r="RHU166" s="429"/>
      <c r="RHV166" s="364"/>
      <c r="RHW166" s="365"/>
      <c r="RHX166" s="354"/>
      <c r="RHY166" s="465"/>
      <c r="RHZ166" s="565"/>
      <c r="RIA166" s="572"/>
      <c r="RIB166" s="572"/>
      <c r="RIC166" s="566"/>
      <c r="RID166" s="587"/>
      <c r="RIE166" s="587"/>
      <c r="RIF166" s="587"/>
      <c r="RIG166" s="587"/>
      <c r="RIH166" s="588"/>
      <c r="RII166" s="589"/>
      <c r="RIJ166" s="588"/>
      <c r="RIK166" s="589"/>
      <c r="RIL166" s="588"/>
      <c r="RIM166" s="589"/>
      <c r="RIN166" s="588"/>
      <c r="RIO166" s="589"/>
      <c r="RIP166" s="588"/>
      <c r="RIQ166" s="589"/>
      <c r="RIR166" s="429"/>
      <c r="RIS166" s="364"/>
      <c r="RIT166" s="365"/>
      <c r="RIU166" s="354"/>
      <c r="RIV166" s="465"/>
      <c r="RIW166" s="565"/>
      <c r="RIX166" s="572"/>
      <c r="RIY166" s="572"/>
      <c r="RIZ166" s="566"/>
      <c r="RJA166" s="587"/>
      <c r="RJB166" s="587"/>
      <c r="RJC166" s="587"/>
      <c r="RJD166" s="587"/>
      <c r="RJE166" s="588"/>
      <c r="RJF166" s="589"/>
      <c r="RJG166" s="588"/>
      <c r="RJH166" s="589"/>
      <c r="RJI166" s="588"/>
      <c r="RJJ166" s="589"/>
      <c r="RJK166" s="588"/>
      <c r="RJL166" s="589"/>
      <c r="RJM166" s="588"/>
      <c r="RJN166" s="589"/>
      <c r="RJO166" s="429"/>
      <c r="RJP166" s="364"/>
      <c r="RJQ166" s="365"/>
      <c r="RJR166" s="354"/>
      <c r="RJS166" s="465"/>
      <c r="RJT166" s="565"/>
      <c r="RJU166" s="572"/>
      <c r="RJV166" s="572"/>
      <c r="RJW166" s="566"/>
      <c r="RJX166" s="587"/>
      <c r="RJY166" s="587"/>
      <c r="RJZ166" s="587"/>
      <c r="RKA166" s="587"/>
      <c r="RKB166" s="588"/>
      <c r="RKC166" s="589"/>
      <c r="RKD166" s="588"/>
      <c r="RKE166" s="589"/>
      <c r="RKF166" s="588"/>
      <c r="RKG166" s="589"/>
      <c r="RKH166" s="588"/>
      <c r="RKI166" s="589"/>
      <c r="RKJ166" s="588"/>
      <c r="RKK166" s="589"/>
      <c r="RKL166" s="429"/>
      <c r="RKM166" s="364"/>
      <c r="RKN166" s="365"/>
      <c r="RKO166" s="354"/>
      <c r="RKP166" s="465"/>
      <c r="RKQ166" s="565"/>
      <c r="RKR166" s="572"/>
      <c r="RKS166" s="572"/>
      <c r="RKT166" s="566"/>
      <c r="RKU166" s="587"/>
      <c r="RKV166" s="587"/>
      <c r="RKW166" s="587"/>
      <c r="RKX166" s="587"/>
      <c r="RKY166" s="588"/>
      <c r="RKZ166" s="589"/>
      <c r="RLA166" s="588"/>
      <c r="RLB166" s="589"/>
      <c r="RLC166" s="588"/>
      <c r="RLD166" s="589"/>
      <c r="RLE166" s="588"/>
      <c r="RLF166" s="589"/>
      <c r="RLG166" s="588"/>
      <c r="RLH166" s="589"/>
      <c r="RLI166" s="429"/>
      <c r="RLJ166" s="364"/>
      <c r="RLK166" s="365"/>
      <c r="RLL166" s="354"/>
      <c r="RLM166" s="465"/>
      <c r="RLN166" s="565"/>
      <c r="RLO166" s="572"/>
      <c r="RLP166" s="572"/>
      <c r="RLQ166" s="566"/>
      <c r="RLR166" s="587"/>
      <c r="RLS166" s="587"/>
      <c r="RLT166" s="587"/>
      <c r="RLU166" s="587"/>
      <c r="RLV166" s="588"/>
      <c r="RLW166" s="589"/>
      <c r="RLX166" s="588"/>
      <c r="RLY166" s="589"/>
      <c r="RLZ166" s="588"/>
      <c r="RMA166" s="589"/>
      <c r="RMB166" s="588"/>
      <c r="RMC166" s="589"/>
      <c r="RMD166" s="588"/>
      <c r="RME166" s="589"/>
      <c r="RMF166" s="429"/>
      <c r="RMG166" s="364"/>
      <c r="RMH166" s="365"/>
      <c r="RMI166" s="354"/>
      <c r="RMJ166" s="465"/>
      <c r="RMK166" s="565"/>
      <c r="RML166" s="572"/>
      <c r="RMM166" s="572"/>
      <c r="RMN166" s="566"/>
      <c r="RMO166" s="587"/>
      <c r="RMP166" s="587"/>
      <c r="RMQ166" s="587"/>
      <c r="RMR166" s="587"/>
      <c r="RMS166" s="588"/>
      <c r="RMT166" s="589"/>
      <c r="RMU166" s="588"/>
      <c r="RMV166" s="589"/>
      <c r="RMW166" s="588"/>
      <c r="RMX166" s="589"/>
      <c r="RMY166" s="588"/>
      <c r="RMZ166" s="589"/>
      <c r="RNA166" s="588"/>
      <c r="RNB166" s="589"/>
      <c r="RNC166" s="429"/>
      <c r="RND166" s="364"/>
      <c r="RNE166" s="365"/>
      <c r="RNF166" s="354"/>
      <c r="RNG166" s="465"/>
      <c r="RNH166" s="565"/>
      <c r="RNI166" s="572"/>
      <c r="RNJ166" s="572"/>
      <c r="RNK166" s="566"/>
      <c r="RNL166" s="587"/>
      <c r="RNM166" s="587"/>
      <c r="RNN166" s="587"/>
      <c r="RNO166" s="587"/>
      <c r="RNP166" s="588"/>
      <c r="RNQ166" s="589"/>
      <c r="RNR166" s="588"/>
      <c r="RNS166" s="589"/>
      <c r="RNT166" s="588"/>
      <c r="RNU166" s="589"/>
      <c r="RNV166" s="588"/>
      <c r="RNW166" s="589"/>
      <c r="RNX166" s="588"/>
      <c r="RNY166" s="589"/>
      <c r="RNZ166" s="429"/>
      <c r="ROA166" s="364"/>
      <c r="ROB166" s="365"/>
      <c r="ROC166" s="354"/>
      <c r="ROD166" s="465"/>
      <c r="ROE166" s="565"/>
      <c r="ROF166" s="572"/>
      <c r="ROG166" s="572"/>
      <c r="ROH166" s="566"/>
      <c r="ROI166" s="587"/>
      <c r="ROJ166" s="587"/>
      <c r="ROK166" s="587"/>
      <c r="ROL166" s="587"/>
      <c r="ROM166" s="588"/>
      <c r="RON166" s="589"/>
      <c r="ROO166" s="588"/>
      <c r="ROP166" s="589"/>
      <c r="ROQ166" s="588"/>
      <c r="ROR166" s="589"/>
      <c r="ROS166" s="588"/>
      <c r="ROT166" s="589"/>
      <c r="ROU166" s="588"/>
      <c r="ROV166" s="589"/>
      <c r="ROW166" s="429"/>
      <c r="ROX166" s="364"/>
      <c r="ROY166" s="365"/>
      <c r="ROZ166" s="354"/>
      <c r="RPA166" s="465"/>
      <c r="RPB166" s="565"/>
      <c r="RPC166" s="572"/>
      <c r="RPD166" s="572"/>
      <c r="RPE166" s="566"/>
      <c r="RPF166" s="587"/>
      <c r="RPG166" s="587"/>
      <c r="RPH166" s="587"/>
      <c r="RPI166" s="587"/>
      <c r="RPJ166" s="588"/>
      <c r="RPK166" s="589"/>
      <c r="RPL166" s="588"/>
      <c r="RPM166" s="589"/>
      <c r="RPN166" s="588"/>
      <c r="RPO166" s="589"/>
      <c r="RPP166" s="588"/>
      <c r="RPQ166" s="589"/>
      <c r="RPR166" s="588"/>
      <c r="RPS166" s="589"/>
      <c r="RPT166" s="429"/>
      <c r="RPU166" s="364"/>
      <c r="RPV166" s="365"/>
      <c r="RPW166" s="354"/>
      <c r="RPX166" s="465"/>
      <c r="RPY166" s="565"/>
      <c r="RPZ166" s="572"/>
      <c r="RQA166" s="572"/>
      <c r="RQB166" s="566"/>
      <c r="RQC166" s="587"/>
      <c r="RQD166" s="587"/>
      <c r="RQE166" s="587"/>
      <c r="RQF166" s="587"/>
      <c r="RQG166" s="588"/>
      <c r="RQH166" s="589"/>
      <c r="RQI166" s="588"/>
      <c r="RQJ166" s="589"/>
      <c r="RQK166" s="588"/>
      <c r="RQL166" s="589"/>
      <c r="RQM166" s="588"/>
      <c r="RQN166" s="589"/>
      <c r="RQO166" s="588"/>
      <c r="RQP166" s="589"/>
      <c r="RQQ166" s="429"/>
      <c r="RQR166" s="364"/>
      <c r="RQS166" s="365"/>
      <c r="RQT166" s="354"/>
      <c r="RQU166" s="465"/>
      <c r="RQV166" s="565"/>
      <c r="RQW166" s="572"/>
      <c r="RQX166" s="572"/>
      <c r="RQY166" s="566"/>
      <c r="RQZ166" s="587"/>
      <c r="RRA166" s="587"/>
      <c r="RRB166" s="587"/>
      <c r="RRC166" s="587"/>
      <c r="RRD166" s="588"/>
      <c r="RRE166" s="589"/>
      <c r="RRF166" s="588"/>
      <c r="RRG166" s="589"/>
      <c r="RRH166" s="588"/>
      <c r="RRI166" s="589"/>
      <c r="RRJ166" s="588"/>
      <c r="RRK166" s="589"/>
      <c r="RRL166" s="588"/>
      <c r="RRM166" s="589"/>
      <c r="RRN166" s="429"/>
      <c r="RRO166" s="364"/>
      <c r="RRP166" s="365"/>
      <c r="RRQ166" s="354"/>
      <c r="RRR166" s="465"/>
      <c r="RRS166" s="565"/>
      <c r="RRT166" s="572"/>
      <c r="RRU166" s="572"/>
      <c r="RRV166" s="566"/>
      <c r="RRW166" s="587"/>
      <c r="RRX166" s="587"/>
      <c r="RRY166" s="587"/>
      <c r="RRZ166" s="587"/>
      <c r="RSA166" s="588"/>
      <c r="RSB166" s="589"/>
      <c r="RSC166" s="588"/>
      <c r="RSD166" s="589"/>
      <c r="RSE166" s="588"/>
      <c r="RSF166" s="589"/>
      <c r="RSG166" s="588"/>
      <c r="RSH166" s="589"/>
      <c r="RSI166" s="588"/>
      <c r="RSJ166" s="589"/>
      <c r="RSK166" s="429"/>
      <c r="RSL166" s="364"/>
      <c r="RSM166" s="365"/>
      <c r="RSN166" s="354"/>
      <c r="RSO166" s="465"/>
      <c r="RSP166" s="565"/>
      <c r="RSQ166" s="572"/>
      <c r="RSR166" s="572"/>
      <c r="RSS166" s="566"/>
      <c r="RST166" s="587"/>
      <c r="RSU166" s="587"/>
      <c r="RSV166" s="587"/>
      <c r="RSW166" s="587"/>
      <c r="RSX166" s="588"/>
      <c r="RSY166" s="589"/>
      <c r="RSZ166" s="588"/>
      <c r="RTA166" s="589"/>
      <c r="RTB166" s="588"/>
      <c r="RTC166" s="589"/>
      <c r="RTD166" s="588"/>
      <c r="RTE166" s="589"/>
      <c r="RTF166" s="588"/>
      <c r="RTG166" s="589"/>
      <c r="RTH166" s="429"/>
      <c r="RTI166" s="364"/>
      <c r="RTJ166" s="365"/>
      <c r="RTK166" s="354"/>
      <c r="RTL166" s="465"/>
      <c r="RTM166" s="565"/>
      <c r="RTN166" s="572"/>
      <c r="RTO166" s="572"/>
      <c r="RTP166" s="566"/>
      <c r="RTQ166" s="587"/>
      <c r="RTR166" s="587"/>
      <c r="RTS166" s="587"/>
      <c r="RTT166" s="587"/>
      <c r="RTU166" s="588"/>
      <c r="RTV166" s="589"/>
      <c r="RTW166" s="588"/>
      <c r="RTX166" s="589"/>
      <c r="RTY166" s="588"/>
      <c r="RTZ166" s="589"/>
      <c r="RUA166" s="588"/>
      <c r="RUB166" s="589"/>
      <c r="RUC166" s="588"/>
      <c r="RUD166" s="589"/>
      <c r="RUE166" s="429"/>
      <c r="RUF166" s="364"/>
      <c r="RUG166" s="365"/>
      <c r="RUH166" s="354"/>
      <c r="RUI166" s="465"/>
      <c r="RUJ166" s="565"/>
      <c r="RUK166" s="572"/>
      <c r="RUL166" s="572"/>
      <c r="RUM166" s="566"/>
      <c r="RUN166" s="587"/>
      <c r="RUO166" s="587"/>
      <c r="RUP166" s="587"/>
      <c r="RUQ166" s="587"/>
      <c r="RUR166" s="588"/>
      <c r="RUS166" s="589"/>
      <c r="RUT166" s="588"/>
      <c r="RUU166" s="589"/>
      <c r="RUV166" s="588"/>
      <c r="RUW166" s="589"/>
      <c r="RUX166" s="588"/>
      <c r="RUY166" s="589"/>
      <c r="RUZ166" s="588"/>
      <c r="RVA166" s="589"/>
      <c r="RVB166" s="429"/>
      <c r="RVC166" s="364"/>
      <c r="RVD166" s="365"/>
      <c r="RVE166" s="354"/>
      <c r="RVF166" s="465"/>
      <c r="RVG166" s="565"/>
      <c r="RVH166" s="572"/>
      <c r="RVI166" s="572"/>
      <c r="RVJ166" s="566"/>
      <c r="RVK166" s="587"/>
      <c r="RVL166" s="587"/>
      <c r="RVM166" s="587"/>
      <c r="RVN166" s="587"/>
      <c r="RVO166" s="588"/>
      <c r="RVP166" s="589"/>
      <c r="RVQ166" s="588"/>
      <c r="RVR166" s="589"/>
      <c r="RVS166" s="588"/>
      <c r="RVT166" s="589"/>
      <c r="RVU166" s="588"/>
      <c r="RVV166" s="589"/>
      <c r="RVW166" s="588"/>
      <c r="RVX166" s="589"/>
      <c r="RVY166" s="429"/>
      <c r="RVZ166" s="364"/>
      <c r="RWA166" s="365"/>
      <c r="RWB166" s="354"/>
      <c r="RWC166" s="465"/>
      <c r="RWD166" s="565"/>
      <c r="RWE166" s="572"/>
      <c r="RWF166" s="572"/>
      <c r="RWG166" s="566"/>
      <c r="RWH166" s="587"/>
      <c r="RWI166" s="587"/>
      <c r="RWJ166" s="587"/>
      <c r="RWK166" s="587"/>
      <c r="RWL166" s="588"/>
      <c r="RWM166" s="589"/>
      <c r="RWN166" s="588"/>
      <c r="RWO166" s="589"/>
      <c r="RWP166" s="588"/>
      <c r="RWQ166" s="589"/>
      <c r="RWR166" s="588"/>
      <c r="RWS166" s="589"/>
      <c r="RWT166" s="588"/>
      <c r="RWU166" s="589"/>
      <c r="RWV166" s="429"/>
      <c r="RWW166" s="364"/>
      <c r="RWX166" s="365"/>
      <c r="RWY166" s="354"/>
      <c r="RWZ166" s="465"/>
      <c r="RXA166" s="565"/>
      <c r="RXB166" s="572"/>
      <c r="RXC166" s="572"/>
      <c r="RXD166" s="566"/>
      <c r="RXE166" s="587"/>
      <c r="RXF166" s="587"/>
      <c r="RXG166" s="587"/>
      <c r="RXH166" s="587"/>
      <c r="RXI166" s="588"/>
      <c r="RXJ166" s="589"/>
      <c r="RXK166" s="588"/>
      <c r="RXL166" s="589"/>
      <c r="RXM166" s="588"/>
      <c r="RXN166" s="589"/>
      <c r="RXO166" s="588"/>
      <c r="RXP166" s="589"/>
      <c r="RXQ166" s="588"/>
      <c r="RXR166" s="589"/>
      <c r="RXS166" s="429"/>
      <c r="RXT166" s="364"/>
      <c r="RXU166" s="365"/>
      <c r="RXV166" s="354"/>
      <c r="RXW166" s="465"/>
      <c r="RXX166" s="565"/>
      <c r="RXY166" s="572"/>
      <c r="RXZ166" s="572"/>
      <c r="RYA166" s="566"/>
      <c r="RYB166" s="587"/>
      <c r="RYC166" s="587"/>
      <c r="RYD166" s="587"/>
      <c r="RYE166" s="587"/>
      <c r="RYF166" s="588"/>
      <c r="RYG166" s="589"/>
      <c r="RYH166" s="588"/>
      <c r="RYI166" s="589"/>
      <c r="RYJ166" s="588"/>
      <c r="RYK166" s="589"/>
      <c r="RYL166" s="588"/>
      <c r="RYM166" s="589"/>
      <c r="RYN166" s="588"/>
      <c r="RYO166" s="589"/>
      <c r="RYP166" s="429"/>
      <c r="RYQ166" s="364"/>
      <c r="RYR166" s="365"/>
      <c r="RYS166" s="354"/>
      <c r="RYT166" s="465"/>
      <c r="RYU166" s="565"/>
      <c r="RYV166" s="572"/>
      <c r="RYW166" s="572"/>
      <c r="RYX166" s="566"/>
      <c r="RYY166" s="587"/>
      <c r="RYZ166" s="587"/>
      <c r="RZA166" s="587"/>
      <c r="RZB166" s="587"/>
      <c r="RZC166" s="588"/>
      <c r="RZD166" s="589"/>
      <c r="RZE166" s="588"/>
      <c r="RZF166" s="589"/>
      <c r="RZG166" s="588"/>
      <c r="RZH166" s="589"/>
      <c r="RZI166" s="588"/>
      <c r="RZJ166" s="589"/>
      <c r="RZK166" s="588"/>
      <c r="RZL166" s="589"/>
      <c r="RZM166" s="429"/>
      <c r="RZN166" s="364"/>
      <c r="RZO166" s="365"/>
      <c r="RZP166" s="354"/>
      <c r="RZQ166" s="465"/>
      <c r="RZR166" s="565"/>
      <c r="RZS166" s="572"/>
      <c r="RZT166" s="572"/>
      <c r="RZU166" s="566"/>
      <c r="RZV166" s="587"/>
      <c r="RZW166" s="587"/>
      <c r="RZX166" s="587"/>
      <c r="RZY166" s="587"/>
      <c r="RZZ166" s="588"/>
      <c r="SAA166" s="589"/>
      <c r="SAB166" s="588"/>
      <c r="SAC166" s="589"/>
      <c r="SAD166" s="588"/>
      <c r="SAE166" s="589"/>
      <c r="SAF166" s="588"/>
      <c r="SAG166" s="589"/>
      <c r="SAH166" s="588"/>
      <c r="SAI166" s="589"/>
      <c r="SAJ166" s="429"/>
      <c r="SAK166" s="364"/>
      <c r="SAL166" s="365"/>
      <c r="SAM166" s="354"/>
      <c r="SAN166" s="465"/>
      <c r="SAO166" s="565"/>
      <c r="SAP166" s="572"/>
      <c r="SAQ166" s="572"/>
      <c r="SAR166" s="566"/>
      <c r="SAS166" s="587"/>
      <c r="SAT166" s="587"/>
      <c r="SAU166" s="587"/>
      <c r="SAV166" s="587"/>
      <c r="SAW166" s="588"/>
      <c r="SAX166" s="589"/>
      <c r="SAY166" s="588"/>
      <c r="SAZ166" s="589"/>
      <c r="SBA166" s="588"/>
      <c r="SBB166" s="589"/>
      <c r="SBC166" s="588"/>
      <c r="SBD166" s="589"/>
      <c r="SBE166" s="588"/>
      <c r="SBF166" s="589"/>
      <c r="SBG166" s="429"/>
      <c r="SBH166" s="364"/>
      <c r="SBI166" s="365"/>
      <c r="SBJ166" s="354"/>
      <c r="SBK166" s="465"/>
      <c r="SBL166" s="565"/>
      <c r="SBM166" s="572"/>
      <c r="SBN166" s="572"/>
      <c r="SBO166" s="566"/>
      <c r="SBP166" s="587"/>
      <c r="SBQ166" s="587"/>
      <c r="SBR166" s="587"/>
      <c r="SBS166" s="587"/>
      <c r="SBT166" s="588"/>
      <c r="SBU166" s="589"/>
      <c r="SBV166" s="588"/>
      <c r="SBW166" s="589"/>
      <c r="SBX166" s="588"/>
      <c r="SBY166" s="589"/>
      <c r="SBZ166" s="588"/>
      <c r="SCA166" s="589"/>
      <c r="SCB166" s="588"/>
      <c r="SCC166" s="589"/>
      <c r="SCD166" s="429"/>
      <c r="SCE166" s="364"/>
      <c r="SCF166" s="365"/>
      <c r="SCG166" s="354"/>
      <c r="SCH166" s="465"/>
      <c r="SCI166" s="565"/>
      <c r="SCJ166" s="572"/>
      <c r="SCK166" s="572"/>
      <c r="SCL166" s="566"/>
      <c r="SCM166" s="587"/>
      <c r="SCN166" s="587"/>
      <c r="SCO166" s="587"/>
      <c r="SCP166" s="587"/>
      <c r="SCQ166" s="588"/>
      <c r="SCR166" s="589"/>
      <c r="SCS166" s="588"/>
      <c r="SCT166" s="589"/>
      <c r="SCU166" s="588"/>
      <c r="SCV166" s="589"/>
      <c r="SCW166" s="588"/>
      <c r="SCX166" s="589"/>
      <c r="SCY166" s="588"/>
      <c r="SCZ166" s="589"/>
      <c r="SDA166" s="429"/>
      <c r="SDB166" s="364"/>
      <c r="SDC166" s="365"/>
      <c r="SDD166" s="354"/>
      <c r="SDE166" s="465"/>
      <c r="SDF166" s="565"/>
      <c r="SDG166" s="572"/>
      <c r="SDH166" s="572"/>
      <c r="SDI166" s="566"/>
      <c r="SDJ166" s="587"/>
      <c r="SDK166" s="587"/>
      <c r="SDL166" s="587"/>
      <c r="SDM166" s="587"/>
      <c r="SDN166" s="588"/>
      <c r="SDO166" s="589"/>
      <c r="SDP166" s="588"/>
      <c r="SDQ166" s="589"/>
      <c r="SDR166" s="588"/>
      <c r="SDS166" s="589"/>
      <c r="SDT166" s="588"/>
      <c r="SDU166" s="589"/>
      <c r="SDV166" s="588"/>
      <c r="SDW166" s="589"/>
      <c r="SDX166" s="429"/>
      <c r="SDY166" s="364"/>
      <c r="SDZ166" s="365"/>
      <c r="SEA166" s="354"/>
      <c r="SEB166" s="465"/>
      <c r="SEC166" s="565"/>
      <c r="SED166" s="572"/>
      <c r="SEE166" s="572"/>
      <c r="SEF166" s="566"/>
      <c r="SEG166" s="587"/>
      <c r="SEH166" s="587"/>
      <c r="SEI166" s="587"/>
      <c r="SEJ166" s="587"/>
      <c r="SEK166" s="588"/>
      <c r="SEL166" s="589"/>
      <c r="SEM166" s="588"/>
      <c r="SEN166" s="589"/>
      <c r="SEO166" s="588"/>
      <c r="SEP166" s="589"/>
      <c r="SEQ166" s="588"/>
      <c r="SER166" s="589"/>
      <c r="SES166" s="588"/>
      <c r="SET166" s="589"/>
      <c r="SEU166" s="429"/>
      <c r="SEV166" s="364"/>
      <c r="SEW166" s="365"/>
      <c r="SEX166" s="354"/>
      <c r="SEY166" s="465"/>
      <c r="SEZ166" s="565"/>
      <c r="SFA166" s="572"/>
      <c r="SFB166" s="572"/>
      <c r="SFC166" s="566"/>
      <c r="SFD166" s="587"/>
      <c r="SFE166" s="587"/>
      <c r="SFF166" s="587"/>
      <c r="SFG166" s="587"/>
      <c r="SFH166" s="588"/>
      <c r="SFI166" s="589"/>
      <c r="SFJ166" s="588"/>
      <c r="SFK166" s="589"/>
      <c r="SFL166" s="588"/>
      <c r="SFM166" s="589"/>
      <c r="SFN166" s="588"/>
      <c r="SFO166" s="589"/>
      <c r="SFP166" s="588"/>
      <c r="SFQ166" s="589"/>
      <c r="SFR166" s="429"/>
      <c r="SFS166" s="364"/>
      <c r="SFT166" s="365"/>
      <c r="SFU166" s="354"/>
      <c r="SFV166" s="465"/>
      <c r="SFW166" s="565"/>
      <c r="SFX166" s="572"/>
      <c r="SFY166" s="572"/>
      <c r="SFZ166" s="566"/>
      <c r="SGA166" s="587"/>
      <c r="SGB166" s="587"/>
      <c r="SGC166" s="587"/>
      <c r="SGD166" s="587"/>
      <c r="SGE166" s="588"/>
      <c r="SGF166" s="589"/>
      <c r="SGG166" s="588"/>
      <c r="SGH166" s="589"/>
      <c r="SGI166" s="588"/>
      <c r="SGJ166" s="589"/>
      <c r="SGK166" s="588"/>
      <c r="SGL166" s="589"/>
      <c r="SGM166" s="588"/>
      <c r="SGN166" s="589"/>
      <c r="SGO166" s="429"/>
      <c r="SGP166" s="364"/>
      <c r="SGQ166" s="365"/>
      <c r="SGR166" s="354"/>
      <c r="SGS166" s="465"/>
      <c r="SGT166" s="565"/>
      <c r="SGU166" s="572"/>
      <c r="SGV166" s="572"/>
      <c r="SGW166" s="566"/>
      <c r="SGX166" s="587"/>
      <c r="SGY166" s="587"/>
      <c r="SGZ166" s="587"/>
      <c r="SHA166" s="587"/>
      <c r="SHB166" s="588"/>
      <c r="SHC166" s="589"/>
      <c r="SHD166" s="588"/>
      <c r="SHE166" s="589"/>
      <c r="SHF166" s="588"/>
      <c r="SHG166" s="589"/>
      <c r="SHH166" s="588"/>
      <c r="SHI166" s="589"/>
      <c r="SHJ166" s="588"/>
      <c r="SHK166" s="589"/>
      <c r="SHL166" s="429"/>
      <c r="SHM166" s="364"/>
      <c r="SHN166" s="365"/>
      <c r="SHO166" s="354"/>
      <c r="SHP166" s="465"/>
      <c r="SHQ166" s="565"/>
      <c r="SHR166" s="572"/>
      <c r="SHS166" s="572"/>
      <c r="SHT166" s="566"/>
      <c r="SHU166" s="587"/>
      <c r="SHV166" s="587"/>
      <c r="SHW166" s="587"/>
      <c r="SHX166" s="587"/>
      <c r="SHY166" s="588"/>
      <c r="SHZ166" s="589"/>
      <c r="SIA166" s="588"/>
      <c r="SIB166" s="589"/>
      <c r="SIC166" s="588"/>
      <c r="SID166" s="589"/>
      <c r="SIE166" s="588"/>
      <c r="SIF166" s="589"/>
      <c r="SIG166" s="588"/>
      <c r="SIH166" s="589"/>
      <c r="SII166" s="429"/>
      <c r="SIJ166" s="364"/>
      <c r="SIK166" s="365"/>
      <c r="SIL166" s="354"/>
      <c r="SIM166" s="465"/>
      <c r="SIN166" s="565"/>
      <c r="SIO166" s="572"/>
      <c r="SIP166" s="572"/>
      <c r="SIQ166" s="566"/>
      <c r="SIR166" s="587"/>
      <c r="SIS166" s="587"/>
      <c r="SIT166" s="587"/>
      <c r="SIU166" s="587"/>
      <c r="SIV166" s="588"/>
      <c r="SIW166" s="589"/>
      <c r="SIX166" s="588"/>
      <c r="SIY166" s="589"/>
      <c r="SIZ166" s="588"/>
      <c r="SJA166" s="589"/>
      <c r="SJB166" s="588"/>
      <c r="SJC166" s="589"/>
      <c r="SJD166" s="588"/>
      <c r="SJE166" s="589"/>
      <c r="SJF166" s="429"/>
      <c r="SJG166" s="364"/>
      <c r="SJH166" s="365"/>
      <c r="SJI166" s="354"/>
      <c r="SJJ166" s="465"/>
      <c r="SJK166" s="565"/>
      <c r="SJL166" s="572"/>
      <c r="SJM166" s="572"/>
      <c r="SJN166" s="566"/>
      <c r="SJO166" s="587"/>
      <c r="SJP166" s="587"/>
      <c r="SJQ166" s="587"/>
      <c r="SJR166" s="587"/>
      <c r="SJS166" s="588"/>
      <c r="SJT166" s="589"/>
      <c r="SJU166" s="588"/>
      <c r="SJV166" s="589"/>
      <c r="SJW166" s="588"/>
      <c r="SJX166" s="589"/>
      <c r="SJY166" s="588"/>
      <c r="SJZ166" s="589"/>
      <c r="SKA166" s="588"/>
      <c r="SKB166" s="589"/>
      <c r="SKC166" s="429"/>
      <c r="SKD166" s="364"/>
      <c r="SKE166" s="365"/>
      <c r="SKF166" s="354"/>
      <c r="SKG166" s="465"/>
      <c r="SKH166" s="565"/>
      <c r="SKI166" s="572"/>
      <c r="SKJ166" s="572"/>
      <c r="SKK166" s="566"/>
      <c r="SKL166" s="587"/>
      <c r="SKM166" s="587"/>
      <c r="SKN166" s="587"/>
      <c r="SKO166" s="587"/>
      <c r="SKP166" s="588"/>
      <c r="SKQ166" s="589"/>
      <c r="SKR166" s="588"/>
      <c r="SKS166" s="589"/>
      <c r="SKT166" s="588"/>
      <c r="SKU166" s="589"/>
      <c r="SKV166" s="588"/>
      <c r="SKW166" s="589"/>
      <c r="SKX166" s="588"/>
      <c r="SKY166" s="589"/>
      <c r="SKZ166" s="429"/>
      <c r="SLA166" s="364"/>
      <c r="SLB166" s="365"/>
      <c r="SLC166" s="354"/>
      <c r="SLD166" s="465"/>
      <c r="SLE166" s="565"/>
      <c r="SLF166" s="572"/>
      <c r="SLG166" s="572"/>
      <c r="SLH166" s="566"/>
      <c r="SLI166" s="587"/>
      <c r="SLJ166" s="587"/>
      <c r="SLK166" s="587"/>
      <c r="SLL166" s="587"/>
      <c r="SLM166" s="588"/>
      <c r="SLN166" s="589"/>
      <c r="SLO166" s="588"/>
      <c r="SLP166" s="589"/>
      <c r="SLQ166" s="588"/>
      <c r="SLR166" s="589"/>
      <c r="SLS166" s="588"/>
      <c r="SLT166" s="589"/>
      <c r="SLU166" s="588"/>
      <c r="SLV166" s="589"/>
      <c r="SLW166" s="429"/>
      <c r="SLX166" s="364"/>
      <c r="SLY166" s="365"/>
      <c r="SLZ166" s="354"/>
      <c r="SMA166" s="465"/>
      <c r="SMB166" s="565"/>
      <c r="SMC166" s="572"/>
      <c r="SMD166" s="572"/>
      <c r="SME166" s="566"/>
      <c r="SMF166" s="587"/>
      <c r="SMG166" s="587"/>
      <c r="SMH166" s="587"/>
      <c r="SMI166" s="587"/>
      <c r="SMJ166" s="588"/>
      <c r="SMK166" s="589"/>
      <c r="SML166" s="588"/>
      <c r="SMM166" s="589"/>
      <c r="SMN166" s="588"/>
      <c r="SMO166" s="589"/>
      <c r="SMP166" s="588"/>
      <c r="SMQ166" s="589"/>
      <c r="SMR166" s="588"/>
      <c r="SMS166" s="589"/>
      <c r="SMT166" s="429"/>
      <c r="SMU166" s="364"/>
      <c r="SMV166" s="365"/>
      <c r="SMW166" s="354"/>
      <c r="SMX166" s="465"/>
      <c r="SMY166" s="565"/>
      <c r="SMZ166" s="572"/>
      <c r="SNA166" s="572"/>
      <c r="SNB166" s="566"/>
      <c r="SNC166" s="587"/>
      <c r="SND166" s="587"/>
      <c r="SNE166" s="587"/>
      <c r="SNF166" s="587"/>
      <c r="SNG166" s="588"/>
      <c r="SNH166" s="589"/>
      <c r="SNI166" s="588"/>
      <c r="SNJ166" s="589"/>
      <c r="SNK166" s="588"/>
      <c r="SNL166" s="589"/>
      <c r="SNM166" s="588"/>
      <c r="SNN166" s="589"/>
      <c r="SNO166" s="588"/>
      <c r="SNP166" s="589"/>
      <c r="SNQ166" s="429"/>
      <c r="SNR166" s="364"/>
      <c r="SNS166" s="365"/>
      <c r="SNT166" s="354"/>
      <c r="SNU166" s="465"/>
      <c r="SNV166" s="565"/>
      <c r="SNW166" s="572"/>
      <c r="SNX166" s="572"/>
      <c r="SNY166" s="566"/>
      <c r="SNZ166" s="587"/>
      <c r="SOA166" s="587"/>
      <c r="SOB166" s="587"/>
      <c r="SOC166" s="587"/>
      <c r="SOD166" s="588"/>
      <c r="SOE166" s="589"/>
      <c r="SOF166" s="588"/>
      <c r="SOG166" s="589"/>
      <c r="SOH166" s="588"/>
      <c r="SOI166" s="589"/>
      <c r="SOJ166" s="588"/>
      <c r="SOK166" s="589"/>
      <c r="SOL166" s="588"/>
      <c r="SOM166" s="589"/>
      <c r="SON166" s="429"/>
      <c r="SOO166" s="364"/>
      <c r="SOP166" s="365"/>
      <c r="SOQ166" s="354"/>
      <c r="SOR166" s="465"/>
      <c r="SOS166" s="565"/>
      <c r="SOT166" s="572"/>
      <c r="SOU166" s="572"/>
      <c r="SOV166" s="566"/>
      <c r="SOW166" s="587"/>
      <c r="SOX166" s="587"/>
      <c r="SOY166" s="587"/>
      <c r="SOZ166" s="587"/>
      <c r="SPA166" s="588"/>
      <c r="SPB166" s="589"/>
      <c r="SPC166" s="588"/>
      <c r="SPD166" s="589"/>
      <c r="SPE166" s="588"/>
      <c r="SPF166" s="589"/>
      <c r="SPG166" s="588"/>
      <c r="SPH166" s="589"/>
      <c r="SPI166" s="588"/>
      <c r="SPJ166" s="589"/>
      <c r="SPK166" s="429"/>
      <c r="SPL166" s="364"/>
      <c r="SPM166" s="365"/>
      <c r="SPN166" s="354"/>
      <c r="SPO166" s="465"/>
      <c r="SPP166" s="565"/>
      <c r="SPQ166" s="572"/>
      <c r="SPR166" s="572"/>
      <c r="SPS166" s="566"/>
      <c r="SPT166" s="587"/>
      <c r="SPU166" s="587"/>
      <c r="SPV166" s="587"/>
      <c r="SPW166" s="587"/>
      <c r="SPX166" s="588"/>
      <c r="SPY166" s="589"/>
      <c r="SPZ166" s="588"/>
      <c r="SQA166" s="589"/>
      <c r="SQB166" s="588"/>
      <c r="SQC166" s="589"/>
      <c r="SQD166" s="588"/>
      <c r="SQE166" s="589"/>
      <c r="SQF166" s="588"/>
      <c r="SQG166" s="589"/>
      <c r="SQH166" s="429"/>
      <c r="SQI166" s="364"/>
      <c r="SQJ166" s="365"/>
      <c r="SQK166" s="354"/>
      <c r="SQL166" s="465"/>
      <c r="SQM166" s="565"/>
      <c r="SQN166" s="572"/>
      <c r="SQO166" s="572"/>
      <c r="SQP166" s="566"/>
      <c r="SQQ166" s="587"/>
      <c r="SQR166" s="587"/>
      <c r="SQS166" s="587"/>
      <c r="SQT166" s="587"/>
      <c r="SQU166" s="588"/>
      <c r="SQV166" s="589"/>
      <c r="SQW166" s="588"/>
      <c r="SQX166" s="589"/>
      <c r="SQY166" s="588"/>
      <c r="SQZ166" s="589"/>
      <c r="SRA166" s="588"/>
      <c r="SRB166" s="589"/>
      <c r="SRC166" s="588"/>
      <c r="SRD166" s="589"/>
      <c r="SRE166" s="429"/>
      <c r="SRF166" s="364"/>
      <c r="SRG166" s="365"/>
      <c r="SRH166" s="354"/>
      <c r="SRI166" s="465"/>
      <c r="SRJ166" s="565"/>
      <c r="SRK166" s="572"/>
      <c r="SRL166" s="572"/>
      <c r="SRM166" s="566"/>
      <c r="SRN166" s="587"/>
      <c r="SRO166" s="587"/>
      <c r="SRP166" s="587"/>
      <c r="SRQ166" s="587"/>
      <c r="SRR166" s="588"/>
      <c r="SRS166" s="589"/>
      <c r="SRT166" s="588"/>
      <c r="SRU166" s="589"/>
      <c r="SRV166" s="588"/>
      <c r="SRW166" s="589"/>
      <c r="SRX166" s="588"/>
      <c r="SRY166" s="589"/>
      <c r="SRZ166" s="588"/>
      <c r="SSA166" s="589"/>
      <c r="SSB166" s="429"/>
      <c r="SSC166" s="364"/>
      <c r="SSD166" s="365"/>
      <c r="SSE166" s="354"/>
      <c r="SSF166" s="465"/>
      <c r="SSG166" s="565"/>
      <c r="SSH166" s="572"/>
      <c r="SSI166" s="572"/>
      <c r="SSJ166" s="566"/>
      <c r="SSK166" s="587"/>
      <c r="SSL166" s="587"/>
      <c r="SSM166" s="587"/>
      <c r="SSN166" s="587"/>
      <c r="SSO166" s="588"/>
      <c r="SSP166" s="589"/>
      <c r="SSQ166" s="588"/>
      <c r="SSR166" s="589"/>
      <c r="SSS166" s="588"/>
      <c r="SST166" s="589"/>
      <c r="SSU166" s="588"/>
      <c r="SSV166" s="589"/>
      <c r="SSW166" s="588"/>
      <c r="SSX166" s="589"/>
      <c r="SSY166" s="429"/>
      <c r="SSZ166" s="364"/>
      <c r="STA166" s="365"/>
      <c r="STB166" s="354"/>
      <c r="STC166" s="465"/>
      <c r="STD166" s="565"/>
      <c r="STE166" s="572"/>
      <c r="STF166" s="572"/>
      <c r="STG166" s="566"/>
      <c r="STH166" s="587"/>
      <c r="STI166" s="587"/>
      <c r="STJ166" s="587"/>
      <c r="STK166" s="587"/>
      <c r="STL166" s="588"/>
      <c r="STM166" s="589"/>
      <c r="STN166" s="588"/>
      <c r="STO166" s="589"/>
      <c r="STP166" s="588"/>
      <c r="STQ166" s="589"/>
      <c r="STR166" s="588"/>
      <c r="STS166" s="589"/>
      <c r="STT166" s="588"/>
      <c r="STU166" s="589"/>
      <c r="STV166" s="429"/>
      <c r="STW166" s="364"/>
      <c r="STX166" s="365"/>
      <c r="STY166" s="354"/>
      <c r="STZ166" s="465"/>
      <c r="SUA166" s="565"/>
      <c r="SUB166" s="572"/>
      <c r="SUC166" s="572"/>
      <c r="SUD166" s="566"/>
      <c r="SUE166" s="587"/>
      <c r="SUF166" s="587"/>
      <c r="SUG166" s="587"/>
      <c r="SUH166" s="587"/>
      <c r="SUI166" s="588"/>
      <c r="SUJ166" s="589"/>
      <c r="SUK166" s="588"/>
      <c r="SUL166" s="589"/>
      <c r="SUM166" s="588"/>
      <c r="SUN166" s="589"/>
      <c r="SUO166" s="588"/>
      <c r="SUP166" s="589"/>
      <c r="SUQ166" s="588"/>
      <c r="SUR166" s="589"/>
      <c r="SUS166" s="429"/>
      <c r="SUT166" s="364"/>
      <c r="SUU166" s="365"/>
      <c r="SUV166" s="354"/>
      <c r="SUW166" s="465"/>
      <c r="SUX166" s="565"/>
      <c r="SUY166" s="572"/>
      <c r="SUZ166" s="572"/>
      <c r="SVA166" s="566"/>
      <c r="SVB166" s="587"/>
      <c r="SVC166" s="587"/>
      <c r="SVD166" s="587"/>
      <c r="SVE166" s="587"/>
      <c r="SVF166" s="588"/>
      <c r="SVG166" s="589"/>
      <c r="SVH166" s="588"/>
      <c r="SVI166" s="589"/>
      <c r="SVJ166" s="588"/>
      <c r="SVK166" s="589"/>
      <c r="SVL166" s="588"/>
      <c r="SVM166" s="589"/>
      <c r="SVN166" s="588"/>
      <c r="SVO166" s="589"/>
      <c r="SVP166" s="429"/>
      <c r="SVQ166" s="364"/>
      <c r="SVR166" s="365"/>
      <c r="SVS166" s="354"/>
      <c r="SVT166" s="465"/>
      <c r="SVU166" s="565"/>
      <c r="SVV166" s="572"/>
      <c r="SVW166" s="572"/>
      <c r="SVX166" s="566"/>
      <c r="SVY166" s="587"/>
      <c r="SVZ166" s="587"/>
      <c r="SWA166" s="587"/>
      <c r="SWB166" s="587"/>
      <c r="SWC166" s="588"/>
      <c r="SWD166" s="589"/>
      <c r="SWE166" s="588"/>
      <c r="SWF166" s="589"/>
      <c r="SWG166" s="588"/>
      <c r="SWH166" s="589"/>
      <c r="SWI166" s="588"/>
      <c r="SWJ166" s="589"/>
      <c r="SWK166" s="588"/>
      <c r="SWL166" s="589"/>
      <c r="SWM166" s="429"/>
      <c r="SWN166" s="364"/>
      <c r="SWO166" s="365"/>
      <c r="SWP166" s="354"/>
      <c r="SWQ166" s="465"/>
      <c r="SWR166" s="565"/>
      <c r="SWS166" s="572"/>
      <c r="SWT166" s="572"/>
      <c r="SWU166" s="566"/>
      <c r="SWV166" s="587"/>
      <c r="SWW166" s="587"/>
      <c r="SWX166" s="587"/>
      <c r="SWY166" s="587"/>
      <c r="SWZ166" s="588"/>
      <c r="SXA166" s="589"/>
      <c r="SXB166" s="588"/>
      <c r="SXC166" s="589"/>
      <c r="SXD166" s="588"/>
      <c r="SXE166" s="589"/>
      <c r="SXF166" s="588"/>
      <c r="SXG166" s="589"/>
      <c r="SXH166" s="588"/>
      <c r="SXI166" s="589"/>
      <c r="SXJ166" s="429"/>
      <c r="SXK166" s="364"/>
      <c r="SXL166" s="365"/>
      <c r="SXM166" s="354"/>
      <c r="SXN166" s="465"/>
      <c r="SXO166" s="565"/>
      <c r="SXP166" s="572"/>
      <c r="SXQ166" s="572"/>
      <c r="SXR166" s="566"/>
      <c r="SXS166" s="587"/>
      <c r="SXT166" s="587"/>
      <c r="SXU166" s="587"/>
      <c r="SXV166" s="587"/>
      <c r="SXW166" s="588"/>
      <c r="SXX166" s="589"/>
      <c r="SXY166" s="588"/>
      <c r="SXZ166" s="589"/>
      <c r="SYA166" s="588"/>
      <c r="SYB166" s="589"/>
      <c r="SYC166" s="588"/>
      <c r="SYD166" s="589"/>
      <c r="SYE166" s="588"/>
      <c r="SYF166" s="589"/>
      <c r="SYG166" s="429"/>
      <c r="SYH166" s="364"/>
      <c r="SYI166" s="365"/>
      <c r="SYJ166" s="354"/>
      <c r="SYK166" s="465"/>
      <c r="SYL166" s="565"/>
      <c r="SYM166" s="572"/>
      <c r="SYN166" s="572"/>
      <c r="SYO166" s="566"/>
      <c r="SYP166" s="587"/>
      <c r="SYQ166" s="587"/>
      <c r="SYR166" s="587"/>
      <c r="SYS166" s="587"/>
      <c r="SYT166" s="588"/>
      <c r="SYU166" s="589"/>
      <c r="SYV166" s="588"/>
      <c r="SYW166" s="589"/>
      <c r="SYX166" s="588"/>
      <c r="SYY166" s="589"/>
      <c r="SYZ166" s="588"/>
      <c r="SZA166" s="589"/>
      <c r="SZB166" s="588"/>
      <c r="SZC166" s="589"/>
      <c r="SZD166" s="429"/>
      <c r="SZE166" s="364"/>
      <c r="SZF166" s="365"/>
      <c r="SZG166" s="354"/>
      <c r="SZH166" s="465"/>
      <c r="SZI166" s="565"/>
      <c r="SZJ166" s="572"/>
      <c r="SZK166" s="572"/>
      <c r="SZL166" s="566"/>
      <c r="SZM166" s="587"/>
      <c r="SZN166" s="587"/>
      <c r="SZO166" s="587"/>
      <c r="SZP166" s="587"/>
      <c r="SZQ166" s="588"/>
      <c r="SZR166" s="589"/>
      <c r="SZS166" s="588"/>
      <c r="SZT166" s="589"/>
      <c r="SZU166" s="588"/>
      <c r="SZV166" s="589"/>
      <c r="SZW166" s="588"/>
      <c r="SZX166" s="589"/>
      <c r="SZY166" s="588"/>
      <c r="SZZ166" s="589"/>
      <c r="TAA166" s="429"/>
      <c r="TAB166" s="364"/>
      <c r="TAC166" s="365"/>
      <c r="TAD166" s="354"/>
      <c r="TAE166" s="465"/>
      <c r="TAF166" s="565"/>
      <c r="TAG166" s="572"/>
      <c r="TAH166" s="572"/>
      <c r="TAI166" s="566"/>
      <c r="TAJ166" s="587"/>
      <c r="TAK166" s="587"/>
      <c r="TAL166" s="587"/>
      <c r="TAM166" s="587"/>
      <c r="TAN166" s="588"/>
      <c r="TAO166" s="589"/>
      <c r="TAP166" s="588"/>
      <c r="TAQ166" s="589"/>
      <c r="TAR166" s="588"/>
      <c r="TAS166" s="589"/>
      <c r="TAT166" s="588"/>
      <c r="TAU166" s="589"/>
      <c r="TAV166" s="588"/>
      <c r="TAW166" s="589"/>
      <c r="TAX166" s="429"/>
      <c r="TAY166" s="364"/>
      <c r="TAZ166" s="365"/>
      <c r="TBA166" s="354"/>
      <c r="TBB166" s="465"/>
      <c r="TBC166" s="565"/>
      <c r="TBD166" s="572"/>
      <c r="TBE166" s="572"/>
      <c r="TBF166" s="566"/>
      <c r="TBG166" s="587"/>
      <c r="TBH166" s="587"/>
      <c r="TBI166" s="587"/>
      <c r="TBJ166" s="587"/>
      <c r="TBK166" s="588"/>
      <c r="TBL166" s="589"/>
      <c r="TBM166" s="588"/>
      <c r="TBN166" s="589"/>
      <c r="TBO166" s="588"/>
      <c r="TBP166" s="589"/>
      <c r="TBQ166" s="588"/>
      <c r="TBR166" s="589"/>
      <c r="TBS166" s="588"/>
      <c r="TBT166" s="589"/>
      <c r="TBU166" s="429"/>
      <c r="TBV166" s="364"/>
      <c r="TBW166" s="365"/>
      <c r="TBX166" s="354"/>
      <c r="TBY166" s="465"/>
      <c r="TBZ166" s="565"/>
      <c r="TCA166" s="572"/>
      <c r="TCB166" s="572"/>
      <c r="TCC166" s="566"/>
      <c r="TCD166" s="587"/>
      <c r="TCE166" s="587"/>
      <c r="TCF166" s="587"/>
      <c r="TCG166" s="587"/>
      <c r="TCH166" s="588"/>
      <c r="TCI166" s="589"/>
      <c r="TCJ166" s="588"/>
      <c r="TCK166" s="589"/>
      <c r="TCL166" s="588"/>
      <c r="TCM166" s="589"/>
      <c r="TCN166" s="588"/>
      <c r="TCO166" s="589"/>
      <c r="TCP166" s="588"/>
      <c r="TCQ166" s="589"/>
      <c r="TCR166" s="429"/>
      <c r="TCS166" s="364"/>
      <c r="TCT166" s="365"/>
      <c r="TCU166" s="354"/>
      <c r="TCV166" s="465"/>
      <c r="TCW166" s="565"/>
      <c r="TCX166" s="572"/>
      <c r="TCY166" s="572"/>
      <c r="TCZ166" s="566"/>
      <c r="TDA166" s="587"/>
      <c r="TDB166" s="587"/>
      <c r="TDC166" s="587"/>
      <c r="TDD166" s="587"/>
      <c r="TDE166" s="588"/>
      <c r="TDF166" s="589"/>
      <c r="TDG166" s="588"/>
      <c r="TDH166" s="589"/>
      <c r="TDI166" s="588"/>
      <c r="TDJ166" s="589"/>
      <c r="TDK166" s="588"/>
      <c r="TDL166" s="589"/>
      <c r="TDM166" s="588"/>
      <c r="TDN166" s="589"/>
      <c r="TDO166" s="429"/>
      <c r="TDP166" s="364"/>
      <c r="TDQ166" s="365"/>
      <c r="TDR166" s="354"/>
      <c r="TDS166" s="465"/>
      <c r="TDT166" s="565"/>
      <c r="TDU166" s="572"/>
      <c r="TDV166" s="572"/>
      <c r="TDW166" s="566"/>
      <c r="TDX166" s="587"/>
      <c r="TDY166" s="587"/>
      <c r="TDZ166" s="587"/>
      <c r="TEA166" s="587"/>
      <c r="TEB166" s="588"/>
      <c r="TEC166" s="589"/>
      <c r="TED166" s="588"/>
      <c r="TEE166" s="589"/>
      <c r="TEF166" s="588"/>
      <c r="TEG166" s="589"/>
      <c r="TEH166" s="588"/>
      <c r="TEI166" s="589"/>
      <c r="TEJ166" s="588"/>
      <c r="TEK166" s="589"/>
      <c r="TEL166" s="429"/>
      <c r="TEM166" s="364"/>
      <c r="TEN166" s="365"/>
      <c r="TEO166" s="354"/>
      <c r="TEP166" s="465"/>
      <c r="TEQ166" s="565"/>
      <c r="TER166" s="572"/>
      <c r="TES166" s="572"/>
      <c r="TET166" s="566"/>
      <c r="TEU166" s="587"/>
      <c r="TEV166" s="587"/>
      <c r="TEW166" s="587"/>
      <c r="TEX166" s="587"/>
      <c r="TEY166" s="588"/>
      <c r="TEZ166" s="589"/>
      <c r="TFA166" s="588"/>
      <c r="TFB166" s="589"/>
      <c r="TFC166" s="588"/>
      <c r="TFD166" s="589"/>
      <c r="TFE166" s="588"/>
      <c r="TFF166" s="589"/>
      <c r="TFG166" s="588"/>
      <c r="TFH166" s="589"/>
      <c r="TFI166" s="429"/>
      <c r="TFJ166" s="364"/>
      <c r="TFK166" s="365"/>
      <c r="TFL166" s="354"/>
      <c r="TFM166" s="465"/>
      <c r="TFN166" s="565"/>
      <c r="TFO166" s="572"/>
      <c r="TFP166" s="572"/>
      <c r="TFQ166" s="566"/>
      <c r="TFR166" s="587"/>
      <c r="TFS166" s="587"/>
      <c r="TFT166" s="587"/>
      <c r="TFU166" s="587"/>
      <c r="TFV166" s="588"/>
      <c r="TFW166" s="589"/>
      <c r="TFX166" s="588"/>
      <c r="TFY166" s="589"/>
      <c r="TFZ166" s="588"/>
      <c r="TGA166" s="589"/>
      <c r="TGB166" s="588"/>
      <c r="TGC166" s="589"/>
      <c r="TGD166" s="588"/>
      <c r="TGE166" s="589"/>
      <c r="TGF166" s="429"/>
      <c r="TGG166" s="364"/>
      <c r="TGH166" s="365"/>
      <c r="TGI166" s="354"/>
      <c r="TGJ166" s="465"/>
      <c r="TGK166" s="565"/>
      <c r="TGL166" s="572"/>
      <c r="TGM166" s="572"/>
      <c r="TGN166" s="566"/>
      <c r="TGO166" s="587"/>
      <c r="TGP166" s="587"/>
      <c r="TGQ166" s="587"/>
      <c r="TGR166" s="587"/>
      <c r="TGS166" s="588"/>
      <c r="TGT166" s="589"/>
      <c r="TGU166" s="588"/>
      <c r="TGV166" s="589"/>
      <c r="TGW166" s="588"/>
      <c r="TGX166" s="589"/>
      <c r="TGY166" s="588"/>
      <c r="TGZ166" s="589"/>
      <c r="THA166" s="588"/>
      <c r="THB166" s="589"/>
      <c r="THC166" s="429"/>
      <c r="THD166" s="364"/>
      <c r="THE166" s="365"/>
      <c r="THF166" s="354"/>
      <c r="THG166" s="465"/>
      <c r="THH166" s="565"/>
      <c r="THI166" s="572"/>
      <c r="THJ166" s="572"/>
      <c r="THK166" s="566"/>
      <c r="THL166" s="587"/>
      <c r="THM166" s="587"/>
      <c r="THN166" s="587"/>
      <c r="THO166" s="587"/>
      <c r="THP166" s="588"/>
      <c r="THQ166" s="589"/>
      <c r="THR166" s="588"/>
      <c r="THS166" s="589"/>
      <c r="THT166" s="588"/>
      <c r="THU166" s="589"/>
      <c r="THV166" s="588"/>
      <c r="THW166" s="589"/>
      <c r="THX166" s="588"/>
      <c r="THY166" s="589"/>
      <c r="THZ166" s="429"/>
      <c r="TIA166" s="364"/>
      <c r="TIB166" s="365"/>
      <c r="TIC166" s="354"/>
      <c r="TID166" s="465"/>
      <c r="TIE166" s="565"/>
      <c r="TIF166" s="572"/>
      <c r="TIG166" s="572"/>
      <c r="TIH166" s="566"/>
      <c r="TII166" s="587"/>
      <c r="TIJ166" s="587"/>
      <c r="TIK166" s="587"/>
      <c r="TIL166" s="587"/>
      <c r="TIM166" s="588"/>
      <c r="TIN166" s="589"/>
      <c r="TIO166" s="588"/>
      <c r="TIP166" s="589"/>
      <c r="TIQ166" s="588"/>
      <c r="TIR166" s="589"/>
      <c r="TIS166" s="588"/>
      <c r="TIT166" s="589"/>
      <c r="TIU166" s="588"/>
      <c r="TIV166" s="589"/>
      <c r="TIW166" s="429"/>
      <c r="TIX166" s="364"/>
      <c r="TIY166" s="365"/>
      <c r="TIZ166" s="354"/>
      <c r="TJA166" s="465"/>
      <c r="TJB166" s="565"/>
      <c r="TJC166" s="572"/>
      <c r="TJD166" s="572"/>
      <c r="TJE166" s="566"/>
      <c r="TJF166" s="587"/>
      <c r="TJG166" s="587"/>
      <c r="TJH166" s="587"/>
      <c r="TJI166" s="587"/>
      <c r="TJJ166" s="588"/>
      <c r="TJK166" s="589"/>
      <c r="TJL166" s="588"/>
      <c r="TJM166" s="589"/>
      <c r="TJN166" s="588"/>
      <c r="TJO166" s="589"/>
      <c r="TJP166" s="588"/>
      <c r="TJQ166" s="589"/>
      <c r="TJR166" s="588"/>
      <c r="TJS166" s="589"/>
      <c r="TJT166" s="429"/>
      <c r="TJU166" s="364"/>
      <c r="TJV166" s="365"/>
      <c r="TJW166" s="354"/>
      <c r="TJX166" s="465"/>
      <c r="TJY166" s="565"/>
      <c r="TJZ166" s="572"/>
      <c r="TKA166" s="572"/>
      <c r="TKB166" s="566"/>
      <c r="TKC166" s="587"/>
      <c r="TKD166" s="587"/>
      <c r="TKE166" s="587"/>
      <c r="TKF166" s="587"/>
      <c r="TKG166" s="588"/>
      <c r="TKH166" s="589"/>
      <c r="TKI166" s="588"/>
      <c r="TKJ166" s="589"/>
      <c r="TKK166" s="588"/>
      <c r="TKL166" s="589"/>
      <c r="TKM166" s="588"/>
      <c r="TKN166" s="589"/>
      <c r="TKO166" s="588"/>
      <c r="TKP166" s="589"/>
      <c r="TKQ166" s="429"/>
      <c r="TKR166" s="364"/>
      <c r="TKS166" s="365"/>
      <c r="TKT166" s="354"/>
      <c r="TKU166" s="465"/>
      <c r="TKV166" s="565"/>
      <c r="TKW166" s="572"/>
      <c r="TKX166" s="572"/>
      <c r="TKY166" s="566"/>
      <c r="TKZ166" s="587"/>
      <c r="TLA166" s="587"/>
      <c r="TLB166" s="587"/>
      <c r="TLC166" s="587"/>
      <c r="TLD166" s="588"/>
      <c r="TLE166" s="589"/>
      <c r="TLF166" s="588"/>
      <c r="TLG166" s="589"/>
      <c r="TLH166" s="588"/>
      <c r="TLI166" s="589"/>
      <c r="TLJ166" s="588"/>
      <c r="TLK166" s="589"/>
      <c r="TLL166" s="588"/>
      <c r="TLM166" s="589"/>
      <c r="TLN166" s="429"/>
      <c r="TLO166" s="364"/>
      <c r="TLP166" s="365"/>
      <c r="TLQ166" s="354"/>
      <c r="TLR166" s="465"/>
      <c r="TLS166" s="565"/>
      <c r="TLT166" s="572"/>
      <c r="TLU166" s="572"/>
      <c r="TLV166" s="566"/>
      <c r="TLW166" s="587"/>
      <c r="TLX166" s="587"/>
      <c r="TLY166" s="587"/>
      <c r="TLZ166" s="587"/>
      <c r="TMA166" s="588"/>
      <c r="TMB166" s="589"/>
      <c r="TMC166" s="588"/>
      <c r="TMD166" s="589"/>
      <c r="TME166" s="588"/>
      <c r="TMF166" s="589"/>
      <c r="TMG166" s="588"/>
      <c r="TMH166" s="589"/>
      <c r="TMI166" s="588"/>
      <c r="TMJ166" s="589"/>
      <c r="TMK166" s="429"/>
      <c r="TML166" s="364"/>
      <c r="TMM166" s="365"/>
      <c r="TMN166" s="354"/>
      <c r="TMO166" s="465"/>
      <c r="TMP166" s="565"/>
      <c r="TMQ166" s="572"/>
      <c r="TMR166" s="572"/>
      <c r="TMS166" s="566"/>
      <c r="TMT166" s="587"/>
      <c r="TMU166" s="587"/>
      <c r="TMV166" s="587"/>
      <c r="TMW166" s="587"/>
      <c r="TMX166" s="588"/>
      <c r="TMY166" s="589"/>
      <c r="TMZ166" s="588"/>
      <c r="TNA166" s="589"/>
      <c r="TNB166" s="588"/>
      <c r="TNC166" s="589"/>
      <c r="TND166" s="588"/>
      <c r="TNE166" s="589"/>
      <c r="TNF166" s="588"/>
      <c r="TNG166" s="589"/>
      <c r="TNH166" s="429"/>
      <c r="TNI166" s="364"/>
      <c r="TNJ166" s="365"/>
      <c r="TNK166" s="354"/>
      <c r="TNL166" s="465"/>
      <c r="TNM166" s="565"/>
      <c r="TNN166" s="572"/>
      <c r="TNO166" s="572"/>
      <c r="TNP166" s="566"/>
      <c r="TNQ166" s="587"/>
      <c r="TNR166" s="587"/>
      <c r="TNS166" s="587"/>
      <c r="TNT166" s="587"/>
      <c r="TNU166" s="588"/>
      <c r="TNV166" s="589"/>
      <c r="TNW166" s="588"/>
      <c r="TNX166" s="589"/>
      <c r="TNY166" s="588"/>
      <c r="TNZ166" s="589"/>
      <c r="TOA166" s="588"/>
      <c r="TOB166" s="589"/>
      <c r="TOC166" s="588"/>
      <c r="TOD166" s="589"/>
      <c r="TOE166" s="429"/>
      <c r="TOF166" s="364"/>
      <c r="TOG166" s="365"/>
      <c r="TOH166" s="354"/>
      <c r="TOI166" s="465"/>
      <c r="TOJ166" s="565"/>
      <c r="TOK166" s="572"/>
      <c r="TOL166" s="572"/>
      <c r="TOM166" s="566"/>
      <c r="TON166" s="587"/>
      <c r="TOO166" s="587"/>
      <c r="TOP166" s="587"/>
      <c r="TOQ166" s="587"/>
      <c r="TOR166" s="588"/>
      <c r="TOS166" s="589"/>
      <c r="TOT166" s="588"/>
      <c r="TOU166" s="589"/>
      <c r="TOV166" s="588"/>
      <c r="TOW166" s="589"/>
      <c r="TOX166" s="588"/>
      <c r="TOY166" s="589"/>
      <c r="TOZ166" s="588"/>
      <c r="TPA166" s="589"/>
      <c r="TPB166" s="429"/>
      <c r="TPC166" s="364"/>
      <c r="TPD166" s="365"/>
      <c r="TPE166" s="354"/>
      <c r="TPF166" s="465"/>
      <c r="TPG166" s="565"/>
      <c r="TPH166" s="572"/>
      <c r="TPI166" s="572"/>
      <c r="TPJ166" s="566"/>
      <c r="TPK166" s="587"/>
      <c r="TPL166" s="587"/>
      <c r="TPM166" s="587"/>
      <c r="TPN166" s="587"/>
      <c r="TPO166" s="588"/>
      <c r="TPP166" s="589"/>
      <c r="TPQ166" s="588"/>
      <c r="TPR166" s="589"/>
      <c r="TPS166" s="588"/>
      <c r="TPT166" s="589"/>
      <c r="TPU166" s="588"/>
      <c r="TPV166" s="589"/>
      <c r="TPW166" s="588"/>
      <c r="TPX166" s="589"/>
      <c r="TPY166" s="429"/>
      <c r="TPZ166" s="364"/>
      <c r="TQA166" s="365"/>
      <c r="TQB166" s="354"/>
      <c r="TQC166" s="465"/>
      <c r="TQD166" s="565"/>
      <c r="TQE166" s="572"/>
      <c r="TQF166" s="572"/>
      <c r="TQG166" s="566"/>
      <c r="TQH166" s="587"/>
      <c r="TQI166" s="587"/>
      <c r="TQJ166" s="587"/>
      <c r="TQK166" s="587"/>
      <c r="TQL166" s="588"/>
      <c r="TQM166" s="589"/>
      <c r="TQN166" s="588"/>
      <c r="TQO166" s="589"/>
      <c r="TQP166" s="588"/>
      <c r="TQQ166" s="589"/>
      <c r="TQR166" s="588"/>
      <c r="TQS166" s="589"/>
      <c r="TQT166" s="588"/>
      <c r="TQU166" s="589"/>
      <c r="TQV166" s="429"/>
      <c r="TQW166" s="364"/>
      <c r="TQX166" s="365"/>
      <c r="TQY166" s="354"/>
      <c r="TQZ166" s="465"/>
      <c r="TRA166" s="565"/>
      <c r="TRB166" s="572"/>
      <c r="TRC166" s="572"/>
      <c r="TRD166" s="566"/>
      <c r="TRE166" s="587"/>
      <c r="TRF166" s="587"/>
      <c r="TRG166" s="587"/>
      <c r="TRH166" s="587"/>
      <c r="TRI166" s="588"/>
      <c r="TRJ166" s="589"/>
      <c r="TRK166" s="588"/>
      <c r="TRL166" s="589"/>
      <c r="TRM166" s="588"/>
      <c r="TRN166" s="589"/>
      <c r="TRO166" s="588"/>
      <c r="TRP166" s="589"/>
      <c r="TRQ166" s="588"/>
      <c r="TRR166" s="589"/>
      <c r="TRS166" s="429"/>
      <c r="TRT166" s="364"/>
      <c r="TRU166" s="365"/>
      <c r="TRV166" s="354"/>
      <c r="TRW166" s="465"/>
      <c r="TRX166" s="565"/>
      <c r="TRY166" s="572"/>
      <c r="TRZ166" s="572"/>
      <c r="TSA166" s="566"/>
      <c r="TSB166" s="587"/>
      <c r="TSC166" s="587"/>
      <c r="TSD166" s="587"/>
      <c r="TSE166" s="587"/>
      <c r="TSF166" s="588"/>
      <c r="TSG166" s="589"/>
      <c r="TSH166" s="588"/>
      <c r="TSI166" s="589"/>
      <c r="TSJ166" s="588"/>
      <c r="TSK166" s="589"/>
      <c r="TSL166" s="588"/>
      <c r="TSM166" s="589"/>
      <c r="TSN166" s="588"/>
      <c r="TSO166" s="589"/>
      <c r="TSP166" s="429"/>
      <c r="TSQ166" s="364"/>
      <c r="TSR166" s="365"/>
      <c r="TSS166" s="354"/>
      <c r="TST166" s="465"/>
      <c r="TSU166" s="565"/>
      <c r="TSV166" s="572"/>
      <c r="TSW166" s="572"/>
      <c r="TSX166" s="566"/>
      <c r="TSY166" s="587"/>
      <c r="TSZ166" s="587"/>
      <c r="TTA166" s="587"/>
      <c r="TTB166" s="587"/>
      <c r="TTC166" s="588"/>
      <c r="TTD166" s="589"/>
      <c r="TTE166" s="588"/>
      <c r="TTF166" s="589"/>
      <c r="TTG166" s="588"/>
      <c r="TTH166" s="589"/>
      <c r="TTI166" s="588"/>
      <c r="TTJ166" s="589"/>
      <c r="TTK166" s="588"/>
      <c r="TTL166" s="589"/>
      <c r="TTM166" s="429"/>
      <c r="TTN166" s="364"/>
      <c r="TTO166" s="365"/>
      <c r="TTP166" s="354"/>
      <c r="TTQ166" s="465"/>
      <c r="TTR166" s="565"/>
      <c r="TTS166" s="572"/>
      <c r="TTT166" s="572"/>
      <c r="TTU166" s="566"/>
      <c r="TTV166" s="587"/>
      <c r="TTW166" s="587"/>
      <c r="TTX166" s="587"/>
      <c r="TTY166" s="587"/>
      <c r="TTZ166" s="588"/>
      <c r="TUA166" s="589"/>
      <c r="TUB166" s="588"/>
      <c r="TUC166" s="589"/>
      <c r="TUD166" s="588"/>
      <c r="TUE166" s="589"/>
      <c r="TUF166" s="588"/>
      <c r="TUG166" s="589"/>
      <c r="TUH166" s="588"/>
      <c r="TUI166" s="589"/>
      <c r="TUJ166" s="429"/>
      <c r="TUK166" s="364"/>
      <c r="TUL166" s="365"/>
      <c r="TUM166" s="354"/>
      <c r="TUN166" s="465"/>
      <c r="TUO166" s="565"/>
      <c r="TUP166" s="572"/>
      <c r="TUQ166" s="572"/>
      <c r="TUR166" s="566"/>
      <c r="TUS166" s="587"/>
      <c r="TUT166" s="587"/>
      <c r="TUU166" s="587"/>
      <c r="TUV166" s="587"/>
      <c r="TUW166" s="588"/>
      <c r="TUX166" s="589"/>
      <c r="TUY166" s="588"/>
      <c r="TUZ166" s="589"/>
      <c r="TVA166" s="588"/>
      <c r="TVB166" s="589"/>
      <c r="TVC166" s="588"/>
      <c r="TVD166" s="589"/>
      <c r="TVE166" s="588"/>
      <c r="TVF166" s="589"/>
      <c r="TVG166" s="429"/>
      <c r="TVH166" s="364"/>
      <c r="TVI166" s="365"/>
      <c r="TVJ166" s="354"/>
      <c r="TVK166" s="465"/>
      <c r="TVL166" s="565"/>
      <c r="TVM166" s="572"/>
      <c r="TVN166" s="572"/>
      <c r="TVO166" s="566"/>
      <c r="TVP166" s="587"/>
      <c r="TVQ166" s="587"/>
      <c r="TVR166" s="587"/>
      <c r="TVS166" s="587"/>
      <c r="TVT166" s="588"/>
      <c r="TVU166" s="589"/>
      <c r="TVV166" s="588"/>
      <c r="TVW166" s="589"/>
      <c r="TVX166" s="588"/>
      <c r="TVY166" s="589"/>
      <c r="TVZ166" s="588"/>
      <c r="TWA166" s="589"/>
      <c r="TWB166" s="588"/>
      <c r="TWC166" s="589"/>
      <c r="TWD166" s="429"/>
      <c r="TWE166" s="364"/>
      <c r="TWF166" s="365"/>
      <c r="TWG166" s="354"/>
      <c r="TWH166" s="465"/>
      <c r="TWI166" s="565"/>
      <c r="TWJ166" s="572"/>
      <c r="TWK166" s="572"/>
      <c r="TWL166" s="566"/>
      <c r="TWM166" s="587"/>
      <c r="TWN166" s="587"/>
      <c r="TWO166" s="587"/>
      <c r="TWP166" s="587"/>
      <c r="TWQ166" s="588"/>
      <c r="TWR166" s="589"/>
      <c r="TWS166" s="588"/>
      <c r="TWT166" s="589"/>
      <c r="TWU166" s="588"/>
      <c r="TWV166" s="589"/>
      <c r="TWW166" s="588"/>
      <c r="TWX166" s="589"/>
      <c r="TWY166" s="588"/>
      <c r="TWZ166" s="589"/>
      <c r="TXA166" s="429"/>
      <c r="TXB166" s="364"/>
      <c r="TXC166" s="365"/>
      <c r="TXD166" s="354"/>
      <c r="TXE166" s="465"/>
      <c r="TXF166" s="565"/>
      <c r="TXG166" s="572"/>
      <c r="TXH166" s="572"/>
      <c r="TXI166" s="566"/>
      <c r="TXJ166" s="587"/>
      <c r="TXK166" s="587"/>
      <c r="TXL166" s="587"/>
      <c r="TXM166" s="587"/>
      <c r="TXN166" s="588"/>
      <c r="TXO166" s="589"/>
      <c r="TXP166" s="588"/>
      <c r="TXQ166" s="589"/>
      <c r="TXR166" s="588"/>
      <c r="TXS166" s="589"/>
      <c r="TXT166" s="588"/>
      <c r="TXU166" s="589"/>
      <c r="TXV166" s="588"/>
      <c r="TXW166" s="589"/>
      <c r="TXX166" s="429"/>
      <c r="TXY166" s="364"/>
      <c r="TXZ166" s="365"/>
      <c r="TYA166" s="354"/>
      <c r="TYB166" s="465"/>
      <c r="TYC166" s="565"/>
      <c r="TYD166" s="572"/>
      <c r="TYE166" s="572"/>
      <c r="TYF166" s="566"/>
      <c r="TYG166" s="587"/>
      <c r="TYH166" s="587"/>
      <c r="TYI166" s="587"/>
      <c r="TYJ166" s="587"/>
      <c r="TYK166" s="588"/>
      <c r="TYL166" s="589"/>
      <c r="TYM166" s="588"/>
      <c r="TYN166" s="589"/>
      <c r="TYO166" s="588"/>
      <c r="TYP166" s="589"/>
      <c r="TYQ166" s="588"/>
      <c r="TYR166" s="589"/>
      <c r="TYS166" s="588"/>
      <c r="TYT166" s="589"/>
      <c r="TYU166" s="429"/>
      <c r="TYV166" s="364"/>
      <c r="TYW166" s="365"/>
      <c r="TYX166" s="354"/>
      <c r="TYY166" s="465"/>
      <c r="TYZ166" s="565"/>
      <c r="TZA166" s="572"/>
      <c r="TZB166" s="572"/>
      <c r="TZC166" s="566"/>
      <c r="TZD166" s="587"/>
      <c r="TZE166" s="587"/>
      <c r="TZF166" s="587"/>
      <c r="TZG166" s="587"/>
      <c r="TZH166" s="588"/>
      <c r="TZI166" s="589"/>
      <c r="TZJ166" s="588"/>
      <c r="TZK166" s="589"/>
      <c r="TZL166" s="588"/>
      <c r="TZM166" s="589"/>
      <c r="TZN166" s="588"/>
      <c r="TZO166" s="589"/>
      <c r="TZP166" s="588"/>
      <c r="TZQ166" s="589"/>
      <c r="TZR166" s="429"/>
      <c r="TZS166" s="364"/>
      <c r="TZT166" s="365"/>
      <c r="TZU166" s="354"/>
      <c r="TZV166" s="465"/>
      <c r="TZW166" s="565"/>
      <c r="TZX166" s="572"/>
      <c r="TZY166" s="572"/>
      <c r="TZZ166" s="566"/>
      <c r="UAA166" s="587"/>
      <c r="UAB166" s="587"/>
      <c r="UAC166" s="587"/>
      <c r="UAD166" s="587"/>
      <c r="UAE166" s="588"/>
      <c r="UAF166" s="589"/>
      <c r="UAG166" s="588"/>
      <c r="UAH166" s="589"/>
      <c r="UAI166" s="588"/>
      <c r="UAJ166" s="589"/>
      <c r="UAK166" s="588"/>
      <c r="UAL166" s="589"/>
      <c r="UAM166" s="588"/>
      <c r="UAN166" s="589"/>
      <c r="UAO166" s="429"/>
      <c r="UAP166" s="364"/>
      <c r="UAQ166" s="365"/>
      <c r="UAR166" s="354"/>
      <c r="UAS166" s="465"/>
      <c r="UAT166" s="565"/>
      <c r="UAU166" s="572"/>
      <c r="UAV166" s="572"/>
      <c r="UAW166" s="566"/>
      <c r="UAX166" s="587"/>
      <c r="UAY166" s="587"/>
      <c r="UAZ166" s="587"/>
      <c r="UBA166" s="587"/>
      <c r="UBB166" s="588"/>
      <c r="UBC166" s="589"/>
      <c r="UBD166" s="588"/>
      <c r="UBE166" s="589"/>
      <c r="UBF166" s="588"/>
      <c r="UBG166" s="589"/>
      <c r="UBH166" s="588"/>
      <c r="UBI166" s="589"/>
      <c r="UBJ166" s="588"/>
      <c r="UBK166" s="589"/>
      <c r="UBL166" s="429"/>
      <c r="UBM166" s="364"/>
      <c r="UBN166" s="365"/>
      <c r="UBO166" s="354"/>
      <c r="UBP166" s="465"/>
      <c r="UBQ166" s="565"/>
      <c r="UBR166" s="572"/>
      <c r="UBS166" s="572"/>
      <c r="UBT166" s="566"/>
      <c r="UBU166" s="587"/>
      <c r="UBV166" s="587"/>
      <c r="UBW166" s="587"/>
      <c r="UBX166" s="587"/>
      <c r="UBY166" s="588"/>
      <c r="UBZ166" s="589"/>
      <c r="UCA166" s="588"/>
      <c r="UCB166" s="589"/>
      <c r="UCC166" s="588"/>
      <c r="UCD166" s="589"/>
      <c r="UCE166" s="588"/>
      <c r="UCF166" s="589"/>
      <c r="UCG166" s="588"/>
      <c r="UCH166" s="589"/>
      <c r="UCI166" s="429"/>
      <c r="UCJ166" s="364"/>
      <c r="UCK166" s="365"/>
      <c r="UCL166" s="354"/>
      <c r="UCM166" s="465"/>
      <c r="UCN166" s="565"/>
      <c r="UCO166" s="572"/>
      <c r="UCP166" s="572"/>
      <c r="UCQ166" s="566"/>
      <c r="UCR166" s="587"/>
      <c r="UCS166" s="587"/>
      <c r="UCT166" s="587"/>
      <c r="UCU166" s="587"/>
      <c r="UCV166" s="588"/>
      <c r="UCW166" s="589"/>
      <c r="UCX166" s="588"/>
      <c r="UCY166" s="589"/>
      <c r="UCZ166" s="588"/>
      <c r="UDA166" s="589"/>
      <c r="UDB166" s="588"/>
      <c r="UDC166" s="589"/>
      <c r="UDD166" s="588"/>
      <c r="UDE166" s="589"/>
      <c r="UDF166" s="429"/>
      <c r="UDG166" s="364"/>
      <c r="UDH166" s="365"/>
      <c r="UDI166" s="354"/>
      <c r="UDJ166" s="465"/>
      <c r="UDK166" s="565"/>
      <c r="UDL166" s="572"/>
      <c r="UDM166" s="572"/>
      <c r="UDN166" s="566"/>
      <c r="UDO166" s="587"/>
      <c r="UDP166" s="587"/>
      <c r="UDQ166" s="587"/>
      <c r="UDR166" s="587"/>
      <c r="UDS166" s="588"/>
      <c r="UDT166" s="589"/>
      <c r="UDU166" s="588"/>
      <c r="UDV166" s="589"/>
      <c r="UDW166" s="588"/>
      <c r="UDX166" s="589"/>
      <c r="UDY166" s="588"/>
      <c r="UDZ166" s="589"/>
      <c r="UEA166" s="588"/>
      <c r="UEB166" s="589"/>
      <c r="UEC166" s="429"/>
      <c r="UED166" s="364"/>
      <c r="UEE166" s="365"/>
      <c r="UEF166" s="354"/>
      <c r="UEG166" s="465"/>
      <c r="UEH166" s="565"/>
      <c r="UEI166" s="572"/>
      <c r="UEJ166" s="572"/>
      <c r="UEK166" s="566"/>
      <c r="UEL166" s="587"/>
      <c r="UEM166" s="587"/>
      <c r="UEN166" s="587"/>
      <c r="UEO166" s="587"/>
      <c r="UEP166" s="588"/>
      <c r="UEQ166" s="589"/>
      <c r="UER166" s="588"/>
      <c r="UES166" s="589"/>
      <c r="UET166" s="588"/>
      <c r="UEU166" s="589"/>
      <c r="UEV166" s="588"/>
      <c r="UEW166" s="589"/>
      <c r="UEX166" s="588"/>
      <c r="UEY166" s="589"/>
      <c r="UEZ166" s="429"/>
      <c r="UFA166" s="364"/>
      <c r="UFB166" s="365"/>
      <c r="UFC166" s="354"/>
      <c r="UFD166" s="465"/>
      <c r="UFE166" s="565"/>
      <c r="UFF166" s="572"/>
      <c r="UFG166" s="572"/>
      <c r="UFH166" s="566"/>
      <c r="UFI166" s="587"/>
      <c r="UFJ166" s="587"/>
      <c r="UFK166" s="587"/>
      <c r="UFL166" s="587"/>
      <c r="UFM166" s="588"/>
      <c r="UFN166" s="589"/>
      <c r="UFO166" s="588"/>
      <c r="UFP166" s="589"/>
      <c r="UFQ166" s="588"/>
      <c r="UFR166" s="589"/>
      <c r="UFS166" s="588"/>
      <c r="UFT166" s="589"/>
      <c r="UFU166" s="588"/>
      <c r="UFV166" s="589"/>
      <c r="UFW166" s="429"/>
      <c r="UFX166" s="364"/>
      <c r="UFY166" s="365"/>
      <c r="UFZ166" s="354"/>
      <c r="UGA166" s="465"/>
      <c r="UGB166" s="565"/>
      <c r="UGC166" s="572"/>
      <c r="UGD166" s="572"/>
      <c r="UGE166" s="566"/>
      <c r="UGF166" s="587"/>
      <c r="UGG166" s="587"/>
      <c r="UGH166" s="587"/>
      <c r="UGI166" s="587"/>
      <c r="UGJ166" s="588"/>
      <c r="UGK166" s="589"/>
      <c r="UGL166" s="588"/>
      <c r="UGM166" s="589"/>
      <c r="UGN166" s="588"/>
      <c r="UGO166" s="589"/>
      <c r="UGP166" s="588"/>
      <c r="UGQ166" s="589"/>
      <c r="UGR166" s="588"/>
      <c r="UGS166" s="589"/>
      <c r="UGT166" s="429"/>
      <c r="UGU166" s="364"/>
      <c r="UGV166" s="365"/>
      <c r="UGW166" s="354"/>
      <c r="UGX166" s="465"/>
      <c r="UGY166" s="565"/>
      <c r="UGZ166" s="572"/>
      <c r="UHA166" s="572"/>
      <c r="UHB166" s="566"/>
      <c r="UHC166" s="587"/>
      <c r="UHD166" s="587"/>
      <c r="UHE166" s="587"/>
      <c r="UHF166" s="587"/>
      <c r="UHG166" s="588"/>
      <c r="UHH166" s="589"/>
      <c r="UHI166" s="588"/>
      <c r="UHJ166" s="589"/>
      <c r="UHK166" s="588"/>
      <c r="UHL166" s="589"/>
      <c r="UHM166" s="588"/>
      <c r="UHN166" s="589"/>
      <c r="UHO166" s="588"/>
      <c r="UHP166" s="589"/>
      <c r="UHQ166" s="429"/>
      <c r="UHR166" s="364"/>
      <c r="UHS166" s="365"/>
      <c r="UHT166" s="354"/>
      <c r="UHU166" s="465"/>
      <c r="UHV166" s="565"/>
      <c r="UHW166" s="572"/>
      <c r="UHX166" s="572"/>
      <c r="UHY166" s="566"/>
      <c r="UHZ166" s="587"/>
      <c r="UIA166" s="587"/>
      <c r="UIB166" s="587"/>
      <c r="UIC166" s="587"/>
      <c r="UID166" s="588"/>
      <c r="UIE166" s="589"/>
      <c r="UIF166" s="588"/>
      <c r="UIG166" s="589"/>
      <c r="UIH166" s="588"/>
      <c r="UII166" s="589"/>
      <c r="UIJ166" s="588"/>
      <c r="UIK166" s="589"/>
      <c r="UIL166" s="588"/>
      <c r="UIM166" s="589"/>
      <c r="UIN166" s="429"/>
      <c r="UIO166" s="364"/>
      <c r="UIP166" s="365"/>
      <c r="UIQ166" s="354"/>
      <c r="UIR166" s="465"/>
      <c r="UIS166" s="565"/>
      <c r="UIT166" s="572"/>
      <c r="UIU166" s="572"/>
      <c r="UIV166" s="566"/>
      <c r="UIW166" s="587"/>
      <c r="UIX166" s="587"/>
      <c r="UIY166" s="587"/>
      <c r="UIZ166" s="587"/>
      <c r="UJA166" s="588"/>
      <c r="UJB166" s="589"/>
      <c r="UJC166" s="588"/>
      <c r="UJD166" s="589"/>
      <c r="UJE166" s="588"/>
      <c r="UJF166" s="589"/>
      <c r="UJG166" s="588"/>
      <c r="UJH166" s="589"/>
      <c r="UJI166" s="588"/>
      <c r="UJJ166" s="589"/>
      <c r="UJK166" s="429"/>
      <c r="UJL166" s="364"/>
      <c r="UJM166" s="365"/>
      <c r="UJN166" s="354"/>
      <c r="UJO166" s="465"/>
      <c r="UJP166" s="565"/>
      <c r="UJQ166" s="572"/>
      <c r="UJR166" s="572"/>
      <c r="UJS166" s="566"/>
      <c r="UJT166" s="587"/>
      <c r="UJU166" s="587"/>
      <c r="UJV166" s="587"/>
      <c r="UJW166" s="587"/>
      <c r="UJX166" s="588"/>
      <c r="UJY166" s="589"/>
      <c r="UJZ166" s="588"/>
      <c r="UKA166" s="589"/>
      <c r="UKB166" s="588"/>
      <c r="UKC166" s="589"/>
      <c r="UKD166" s="588"/>
      <c r="UKE166" s="589"/>
      <c r="UKF166" s="588"/>
      <c r="UKG166" s="589"/>
      <c r="UKH166" s="429"/>
      <c r="UKI166" s="364"/>
      <c r="UKJ166" s="365"/>
      <c r="UKK166" s="354"/>
      <c r="UKL166" s="465"/>
      <c r="UKM166" s="565"/>
      <c r="UKN166" s="572"/>
      <c r="UKO166" s="572"/>
      <c r="UKP166" s="566"/>
      <c r="UKQ166" s="587"/>
      <c r="UKR166" s="587"/>
      <c r="UKS166" s="587"/>
      <c r="UKT166" s="587"/>
      <c r="UKU166" s="588"/>
      <c r="UKV166" s="589"/>
      <c r="UKW166" s="588"/>
      <c r="UKX166" s="589"/>
      <c r="UKY166" s="588"/>
      <c r="UKZ166" s="589"/>
      <c r="ULA166" s="588"/>
      <c r="ULB166" s="589"/>
      <c r="ULC166" s="588"/>
      <c r="ULD166" s="589"/>
      <c r="ULE166" s="429"/>
      <c r="ULF166" s="364"/>
      <c r="ULG166" s="365"/>
      <c r="ULH166" s="354"/>
      <c r="ULI166" s="465"/>
      <c r="ULJ166" s="565"/>
      <c r="ULK166" s="572"/>
      <c r="ULL166" s="572"/>
      <c r="ULM166" s="566"/>
      <c r="ULN166" s="587"/>
      <c r="ULO166" s="587"/>
      <c r="ULP166" s="587"/>
      <c r="ULQ166" s="587"/>
      <c r="ULR166" s="588"/>
      <c r="ULS166" s="589"/>
      <c r="ULT166" s="588"/>
      <c r="ULU166" s="589"/>
      <c r="ULV166" s="588"/>
      <c r="ULW166" s="589"/>
      <c r="ULX166" s="588"/>
      <c r="ULY166" s="589"/>
      <c r="ULZ166" s="588"/>
      <c r="UMA166" s="589"/>
      <c r="UMB166" s="429"/>
      <c r="UMC166" s="364"/>
      <c r="UMD166" s="365"/>
      <c r="UME166" s="354"/>
      <c r="UMF166" s="465"/>
      <c r="UMG166" s="565"/>
      <c r="UMH166" s="572"/>
      <c r="UMI166" s="572"/>
      <c r="UMJ166" s="566"/>
      <c r="UMK166" s="587"/>
      <c r="UML166" s="587"/>
      <c r="UMM166" s="587"/>
      <c r="UMN166" s="587"/>
      <c r="UMO166" s="588"/>
      <c r="UMP166" s="589"/>
      <c r="UMQ166" s="588"/>
      <c r="UMR166" s="589"/>
      <c r="UMS166" s="588"/>
      <c r="UMT166" s="589"/>
      <c r="UMU166" s="588"/>
      <c r="UMV166" s="589"/>
      <c r="UMW166" s="588"/>
      <c r="UMX166" s="589"/>
      <c r="UMY166" s="429"/>
      <c r="UMZ166" s="364"/>
      <c r="UNA166" s="365"/>
      <c r="UNB166" s="354"/>
      <c r="UNC166" s="465"/>
      <c r="UND166" s="565"/>
      <c r="UNE166" s="572"/>
      <c r="UNF166" s="572"/>
      <c r="UNG166" s="566"/>
      <c r="UNH166" s="587"/>
      <c r="UNI166" s="587"/>
      <c r="UNJ166" s="587"/>
      <c r="UNK166" s="587"/>
      <c r="UNL166" s="588"/>
      <c r="UNM166" s="589"/>
      <c r="UNN166" s="588"/>
      <c r="UNO166" s="589"/>
      <c r="UNP166" s="588"/>
      <c r="UNQ166" s="589"/>
      <c r="UNR166" s="588"/>
      <c r="UNS166" s="589"/>
      <c r="UNT166" s="588"/>
      <c r="UNU166" s="589"/>
      <c r="UNV166" s="429"/>
      <c r="UNW166" s="364"/>
      <c r="UNX166" s="365"/>
      <c r="UNY166" s="354"/>
      <c r="UNZ166" s="465"/>
      <c r="UOA166" s="565"/>
      <c r="UOB166" s="572"/>
      <c r="UOC166" s="572"/>
      <c r="UOD166" s="566"/>
      <c r="UOE166" s="587"/>
      <c r="UOF166" s="587"/>
      <c r="UOG166" s="587"/>
      <c r="UOH166" s="587"/>
      <c r="UOI166" s="588"/>
      <c r="UOJ166" s="589"/>
      <c r="UOK166" s="588"/>
      <c r="UOL166" s="589"/>
      <c r="UOM166" s="588"/>
      <c r="UON166" s="589"/>
      <c r="UOO166" s="588"/>
      <c r="UOP166" s="589"/>
      <c r="UOQ166" s="588"/>
      <c r="UOR166" s="589"/>
      <c r="UOS166" s="429"/>
      <c r="UOT166" s="364"/>
      <c r="UOU166" s="365"/>
      <c r="UOV166" s="354"/>
      <c r="UOW166" s="465"/>
      <c r="UOX166" s="565"/>
      <c r="UOY166" s="572"/>
      <c r="UOZ166" s="572"/>
      <c r="UPA166" s="566"/>
      <c r="UPB166" s="587"/>
      <c r="UPC166" s="587"/>
      <c r="UPD166" s="587"/>
      <c r="UPE166" s="587"/>
      <c r="UPF166" s="588"/>
      <c r="UPG166" s="589"/>
      <c r="UPH166" s="588"/>
      <c r="UPI166" s="589"/>
      <c r="UPJ166" s="588"/>
      <c r="UPK166" s="589"/>
      <c r="UPL166" s="588"/>
      <c r="UPM166" s="589"/>
      <c r="UPN166" s="588"/>
      <c r="UPO166" s="589"/>
      <c r="UPP166" s="429"/>
      <c r="UPQ166" s="364"/>
      <c r="UPR166" s="365"/>
      <c r="UPS166" s="354"/>
      <c r="UPT166" s="465"/>
      <c r="UPU166" s="565"/>
      <c r="UPV166" s="572"/>
      <c r="UPW166" s="572"/>
      <c r="UPX166" s="566"/>
      <c r="UPY166" s="587"/>
      <c r="UPZ166" s="587"/>
      <c r="UQA166" s="587"/>
      <c r="UQB166" s="587"/>
      <c r="UQC166" s="588"/>
      <c r="UQD166" s="589"/>
      <c r="UQE166" s="588"/>
      <c r="UQF166" s="589"/>
      <c r="UQG166" s="588"/>
      <c r="UQH166" s="589"/>
      <c r="UQI166" s="588"/>
      <c r="UQJ166" s="589"/>
      <c r="UQK166" s="588"/>
      <c r="UQL166" s="589"/>
      <c r="UQM166" s="429"/>
      <c r="UQN166" s="364"/>
      <c r="UQO166" s="365"/>
      <c r="UQP166" s="354"/>
      <c r="UQQ166" s="465"/>
      <c r="UQR166" s="565"/>
      <c r="UQS166" s="572"/>
      <c r="UQT166" s="572"/>
      <c r="UQU166" s="566"/>
      <c r="UQV166" s="587"/>
      <c r="UQW166" s="587"/>
      <c r="UQX166" s="587"/>
      <c r="UQY166" s="587"/>
      <c r="UQZ166" s="588"/>
      <c r="URA166" s="589"/>
      <c r="URB166" s="588"/>
      <c r="URC166" s="589"/>
      <c r="URD166" s="588"/>
      <c r="URE166" s="589"/>
      <c r="URF166" s="588"/>
      <c r="URG166" s="589"/>
      <c r="URH166" s="588"/>
      <c r="URI166" s="589"/>
      <c r="URJ166" s="429"/>
      <c r="URK166" s="364"/>
      <c r="URL166" s="365"/>
      <c r="URM166" s="354"/>
      <c r="URN166" s="465"/>
      <c r="URO166" s="565"/>
      <c r="URP166" s="572"/>
      <c r="URQ166" s="572"/>
      <c r="URR166" s="566"/>
      <c r="URS166" s="587"/>
      <c r="URT166" s="587"/>
      <c r="URU166" s="587"/>
      <c r="URV166" s="587"/>
      <c r="URW166" s="588"/>
      <c r="URX166" s="589"/>
      <c r="URY166" s="588"/>
      <c r="URZ166" s="589"/>
      <c r="USA166" s="588"/>
      <c r="USB166" s="589"/>
      <c r="USC166" s="588"/>
      <c r="USD166" s="589"/>
      <c r="USE166" s="588"/>
      <c r="USF166" s="589"/>
      <c r="USG166" s="429"/>
      <c r="USH166" s="364"/>
      <c r="USI166" s="365"/>
      <c r="USJ166" s="354"/>
      <c r="USK166" s="465"/>
      <c r="USL166" s="565"/>
      <c r="USM166" s="572"/>
      <c r="USN166" s="572"/>
      <c r="USO166" s="566"/>
      <c r="USP166" s="587"/>
      <c r="USQ166" s="587"/>
      <c r="USR166" s="587"/>
      <c r="USS166" s="587"/>
      <c r="UST166" s="588"/>
      <c r="USU166" s="589"/>
      <c r="USV166" s="588"/>
      <c r="USW166" s="589"/>
      <c r="USX166" s="588"/>
      <c r="USY166" s="589"/>
      <c r="USZ166" s="588"/>
      <c r="UTA166" s="589"/>
      <c r="UTB166" s="588"/>
      <c r="UTC166" s="589"/>
      <c r="UTD166" s="429"/>
      <c r="UTE166" s="364"/>
      <c r="UTF166" s="365"/>
      <c r="UTG166" s="354"/>
      <c r="UTH166" s="465"/>
      <c r="UTI166" s="565"/>
      <c r="UTJ166" s="572"/>
      <c r="UTK166" s="572"/>
      <c r="UTL166" s="566"/>
      <c r="UTM166" s="587"/>
      <c r="UTN166" s="587"/>
      <c r="UTO166" s="587"/>
      <c r="UTP166" s="587"/>
      <c r="UTQ166" s="588"/>
      <c r="UTR166" s="589"/>
      <c r="UTS166" s="588"/>
      <c r="UTT166" s="589"/>
      <c r="UTU166" s="588"/>
      <c r="UTV166" s="589"/>
      <c r="UTW166" s="588"/>
      <c r="UTX166" s="589"/>
      <c r="UTY166" s="588"/>
      <c r="UTZ166" s="589"/>
      <c r="UUA166" s="429"/>
      <c r="UUB166" s="364"/>
      <c r="UUC166" s="365"/>
      <c r="UUD166" s="354"/>
      <c r="UUE166" s="465"/>
      <c r="UUF166" s="565"/>
      <c r="UUG166" s="572"/>
      <c r="UUH166" s="572"/>
      <c r="UUI166" s="566"/>
      <c r="UUJ166" s="587"/>
      <c r="UUK166" s="587"/>
      <c r="UUL166" s="587"/>
      <c r="UUM166" s="587"/>
      <c r="UUN166" s="588"/>
      <c r="UUO166" s="589"/>
      <c r="UUP166" s="588"/>
      <c r="UUQ166" s="589"/>
      <c r="UUR166" s="588"/>
      <c r="UUS166" s="589"/>
      <c r="UUT166" s="588"/>
      <c r="UUU166" s="589"/>
      <c r="UUV166" s="588"/>
      <c r="UUW166" s="589"/>
      <c r="UUX166" s="429"/>
      <c r="UUY166" s="364"/>
      <c r="UUZ166" s="365"/>
      <c r="UVA166" s="354"/>
      <c r="UVB166" s="465"/>
      <c r="UVC166" s="565"/>
      <c r="UVD166" s="572"/>
      <c r="UVE166" s="572"/>
      <c r="UVF166" s="566"/>
      <c r="UVG166" s="587"/>
      <c r="UVH166" s="587"/>
      <c r="UVI166" s="587"/>
      <c r="UVJ166" s="587"/>
      <c r="UVK166" s="588"/>
      <c r="UVL166" s="589"/>
      <c r="UVM166" s="588"/>
      <c r="UVN166" s="589"/>
      <c r="UVO166" s="588"/>
      <c r="UVP166" s="589"/>
      <c r="UVQ166" s="588"/>
      <c r="UVR166" s="589"/>
      <c r="UVS166" s="588"/>
      <c r="UVT166" s="589"/>
      <c r="UVU166" s="429"/>
      <c r="UVV166" s="364"/>
      <c r="UVW166" s="365"/>
      <c r="UVX166" s="354"/>
      <c r="UVY166" s="465"/>
      <c r="UVZ166" s="565"/>
      <c r="UWA166" s="572"/>
      <c r="UWB166" s="572"/>
      <c r="UWC166" s="566"/>
      <c r="UWD166" s="587"/>
      <c r="UWE166" s="587"/>
      <c r="UWF166" s="587"/>
      <c r="UWG166" s="587"/>
      <c r="UWH166" s="588"/>
      <c r="UWI166" s="589"/>
      <c r="UWJ166" s="588"/>
      <c r="UWK166" s="589"/>
      <c r="UWL166" s="588"/>
      <c r="UWM166" s="589"/>
      <c r="UWN166" s="588"/>
      <c r="UWO166" s="589"/>
      <c r="UWP166" s="588"/>
      <c r="UWQ166" s="589"/>
      <c r="UWR166" s="429"/>
      <c r="UWS166" s="364"/>
      <c r="UWT166" s="365"/>
      <c r="UWU166" s="354"/>
      <c r="UWV166" s="465"/>
      <c r="UWW166" s="565"/>
      <c r="UWX166" s="572"/>
      <c r="UWY166" s="572"/>
      <c r="UWZ166" s="566"/>
      <c r="UXA166" s="587"/>
      <c r="UXB166" s="587"/>
      <c r="UXC166" s="587"/>
      <c r="UXD166" s="587"/>
      <c r="UXE166" s="588"/>
      <c r="UXF166" s="589"/>
      <c r="UXG166" s="588"/>
      <c r="UXH166" s="589"/>
      <c r="UXI166" s="588"/>
      <c r="UXJ166" s="589"/>
      <c r="UXK166" s="588"/>
      <c r="UXL166" s="589"/>
      <c r="UXM166" s="588"/>
      <c r="UXN166" s="589"/>
      <c r="UXO166" s="429"/>
      <c r="UXP166" s="364"/>
      <c r="UXQ166" s="365"/>
      <c r="UXR166" s="354"/>
      <c r="UXS166" s="465"/>
      <c r="UXT166" s="565"/>
      <c r="UXU166" s="572"/>
      <c r="UXV166" s="572"/>
      <c r="UXW166" s="566"/>
      <c r="UXX166" s="587"/>
      <c r="UXY166" s="587"/>
      <c r="UXZ166" s="587"/>
      <c r="UYA166" s="587"/>
      <c r="UYB166" s="588"/>
      <c r="UYC166" s="589"/>
      <c r="UYD166" s="588"/>
      <c r="UYE166" s="589"/>
      <c r="UYF166" s="588"/>
      <c r="UYG166" s="589"/>
      <c r="UYH166" s="588"/>
      <c r="UYI166" s="589"/>
      <c r="UYJ166" s="588"/>
      <c r="UYK166" s="589"/>
      <c r="UYL166" s="429"/>
      <c r="UYM166" s="364"/>
      <c r="UYN166" s="365"/>
      <c r="UYO166" s="354"/>
      <c r="UYP166" s="465"/>
      <c r="UYQ166" s="565"/>
      <c r="UYR166" s="572"/>
      <c r="UYS166" s="572"/>
      <c r="UYT166" s="566"/>
      <c r="UYU166" s="587"/>
      <c r="UYV166" s="587"/>
      <c r="UYW166" s="587"/>
      <c r="UYX166" s="587"/>
      <c r="UYY166" s="588"/>
      <c r="UYZ166" s="589"/>
      <c r="UZA166" s="588"/>
      <c r="UZB166" s="589"/>
      <c r="UZC166" s="588"/>
      <c r="UZD166" s="589"/>
      <c r="UZE166" s="588"/>
      <c r="UZF166" s="589"/>
      <c r="UZG166" s="588"/>
      <c r="UZH166" s="589"/>
      <c r="UZI166" s="429"/>
      <c r="UZJ166" s="364"/>
      <c r="UZK166" s="365"/>
      <c r="UZL166" s="354"/>
      <c r="UZM166" s="465"/>
      <c r="UZN166" s="565"/>
      <c r="UZO166" s="572"/>
      <c r="UZP166" s="572"/>
      <c r="UZQ166" s="566"/>
      <c r="UZR166" s="587"/>
      <c r="UZS166" s="587"/>
      <c r="UZT166" s="587"/>
      <c r="UZU166" s="587"/>
      <c r="UZV166" s="588"/>
      <c r="UZW166" s="589"/>
      <c r="UZX166" s="588"/>
      <c r="UZY166" s="589"/>
      <c r="UZZ166" s="588"/>
      <c r="VAA166" s="589"/>
      <c r="VAB166" s="588"/>
      <c r="VAC166" s="589"/>
      <c r="VAD166" s="588"/>
      <c r="VAE166" s="589"/>
      <c r="VAF166" s="429"/>
      <c r="VAG166" s="364"/>
      <c r="VAH166" s="365"/>
      <c r="VAI166" s="354"/>
      <c r="VAJ166" s="465"/>
      <c r="VAK166" s="565"/>
      <c r="VAL166" s="572"/>
      <c r="VAM166" s="572"/>
      <c r="VAN166" s="566"/>
      <c r="VAO166" s="587"/>
      <c r="VAP166" s="587"/>
      <c r="VAQ166" s="587"/>
      <c r="VAR166" s="587"/>
      <c r="VAS166" s="588"/>
      <c r="VAT166" s="589"/>
      <c r="VAU166" s="588"/>
      <c r="VAV166" s="589"/>
      <c r="VAW166" s="588"/>
      <c r="VAX166" s="589"/>
      <c r="VAY166" s="588"/>
      <c r="VAZ166" s="589"/>
      <c r="VBA166" s="588"/>
      <c r="VBB166" s="589"/>
      <c r="VBC166" s="429"/>
      <c r="VBD166" s="364"/>
      <c r="VBE166" s="365"/>
      <c r="VBF166" s="354"/>
      <c r="VBG166" s="465"/>
      <c r="VBH166" s="565"/>
      <c r="VBI166" s="572"/>
      <c r="VBJ166" s="572"/>
      <c r="VBK166" s="566"/>
      <c r="VBL166" s="587"/>
      <c r="VBM166" s="587"/>
      <c r="VBN166" s="587"/>
      <c r="VBO166" s="587"/>
      <c r="VBP166" s="588"/>
      <c r="VBQ166" s="589"/>
      <c r="VBR166" s="588"/>
      <c r="VBS166" s="589"/>
      <c r="VBT166" s="588"/>
      <c r="VBU166" s="589"/>
      <c r="VBV166" s="588"/>
      <c r="VBW166" s="589"/>
      <c r="VBX166" s="588"/>
      <c r="VBY166" s="589"/>
      <c r="VBZ166" s="429"/>
      <c r="VCA166" s="364"/>
      <c r="VCB166" s="365"/>
      <c r="VCC166" s="354"/>
      <c r="VCD166" s="465"/>
      <c r="VCE166" s="565"/>
      <c r="VCF166" s="572"/>
      <c r="VCG166" s="572"/>
      <c r="VCH166" s="566"/>
      <c r="VCI166" s="587"/>
      <c r="VCJ166" s="587"/>
      <c r="VCK166" s="587"/>
      <c r="VCL166" s="587"/>
      <c r="VCM166" s="588"/>
      <c r="VCN166" s="589"/>
      <c r="VCO166" s="588"/>
      <c r="VCP166" s="589"/>
      <c r="VCQ166" s="588"/>
      <c r="VCR166" s="589"/>
      <c r="VCS166" s="588"/>
      <c r="VCT166" s="589"/>
      <c r="VCU166" s="588"/>
      <c r="VCV166" s="589"/>
      <c r="VCW166" s="429"/>
      <c r="VCX166" s="364"/>
      <c r="VCY166" s="365"/>
      <c r="VCZ166" s="354"/>
      <c r="VDA166" s="465"/>
      <c r="VDB166" s="565"/>
      <c r="VDC166" s="572"/>
      <c r="VDD166" s="572"/>
      <c r="VDE166" s="566"/>
      <c r="VDF166" s="587"/>
      <c r="VDG166" s="587"/>
      <c r="VDH166" s="587"/>
      <c r="VDI166" s="587"/>
      <c r="VDJ166" s="588"/>
      <c r="VDK166" s="589"/>
      <c r="VDL166" s="588"/>
      <c r="VDM166" s="589"/>
      <c r="VDN166" s="588"/>
      <c r="VDO166" s="589"/>
      <c r="VDP166" s="588"/>
      <c r="VDQ166" s="589"/>
      <c r="VDR166" s="588"/>
      <c r="VDS166" s="589"/>
      <c r="VDT166" s="429"/>
      <c r="VDU166" s="364"/>
      <c r="VDV166" s="365"/>
      <c r="VDW166" s="354"/>
      <c r="VDX166" s="465"/>
      <c r="VDY166" s="565"/>
      <c r="VDZ166" s="572"/>
      <c r="VEA166" s="572"/>
      <c r="VEB166" s="566"/>
      <c r="VEC166" s="587"/>
      <c r="VED166" s="587"/>
      <c r="VEE166" s="587"/>
      <c r="VEF166" s="587"/>
      <c r="VEG166" s="588"/>
      <c r="VEH166" s="589"/>
      <c r="VEI166" s="588"/>
      <c r="VEJ166" s="589"/>
      <c r="VEK166" s="588"/>
      <c r="VEL166" s="589"/>
      <c r="VEM166" s="588"/>
      <c r="VEN166" s="589"/>
      <c r="VEO166" s="588"/>
      <c r="VEP166" s="589"/>
      <c r="VEQ166" s="429"/>
      <c r="VER166" s="364"/>
      <c r="VES166" s="365"/>
      <c r="VET166" s="354"/>
      <c r="VEU166" s="465"/>
      <c r="VEV166" s="565"/>
      <c r="VEW166" s="572"/>
      <c r="VEX166" s="572"/>
      <c r="VEY166" s="566"/>
      <c r="VEZ166" s="587"/>
      <c r="VFA166" s="587"/>
      <c r="VFB166" s="587"/>
      <c r="VFC166" s="587"/>
      <c r="VFD166" s="588"/>
      <c r="VFE166" s="589"/>
      <c r="VFF166" s="588"/>
      <c r="VFG166" s="589"/>
      <c r="VFH166" s="588"/>
      <c r="VFI166" s="589"/>
      <c r="VFJ166" s="588"/>
      <c r="VFK166" s="589"/>
      <c r="VFL166" s="588"/>
      <c r="VFM166" s="589"/>
      <c r="VFN166" s="429"/>
      <c r="VFO166" s="364"/>
      <c r="VFP166" s="365"/>
      <c r="VFQ166" s="354"/>
      <c r="VFR166" s="465"/>
      <c r="VFS166" s="565"/>
      <c r="VFT166" s="572"/>
      <c r="VFU166" s="572"/>
      <c r="VFV166" s="566"/>
      <c r="VFW166" s="587"/>
      <c r="VFX166" s="587"/>
      <c r="VFY166" s="587"/>
      <c r="VFZ166" s="587"/>
      <c r="VGA166" s="588"/>
      <c r="VGB166" s="589"/>
      <c r="VGC166" s="588"/>
      <c r="VGD166" s="589"/>
      <c r="VGE166" s="588"/>
      <c r="VGF166" s="589"/>
      <c r="VGG166" s="588"/>
      <c r="VGH166" s="589"/>
      <c r="VGI166" s="588"/>
      <c r="VGJ166" s="589"/>
      <c r="VGK166" s="429"/>
      <c r="VGL166" s="364"/>
      <c r="VGM166" s="365"/>
      <c r="VGN166" s="354"/>
      <c r="VGO166" s="465"/>
      <c r="VGP166" s="565"/>
      <c r="VGQ166" s="572"/>
      <c r="VGR166" s="572"/>
      <c r="VGS166" s="566"/>
      <c r="VGT166" s="587"/>
      <c r="VGU166" s="587"/>
      <c r="VGV166" s="587"/>
      <c r="VGW166" s="587"/>
      <c r="VGX166" s="588"/>
      <c r="VGY166" s="589"/>
      <c r="VGZ166" s="588"/>
      <c r="VHA166" s="589"/>
      <c r="VHB166" s="588"/>
      <c r="VHC166" s="589"/>
      <c r="VHD166" s="588"/>
      <c r="VHE166" s="589"/>
      <c r="VHF166" s="588"/>
      <c r="VHG166" s="589"/>
      <c r="VHH166" s="429"/>
      <c r="VHI166" s="364"/>
      <c r="VHJ166" s="365"/>
      <c r="VHK166" s="354"/>
      <c r="VHL166" s="465"/>
      <c r="VHM166" s="565"/>
      <c r="VHN166" s="572"/>
      <c r="VHO166" s="572"/>
      <c r="VHP166" s="566"/>
      <c r="VHQ166" s="587"/>
      <c r="VHR166" s="587"/>
      <c r="VHS166" s="587"/>
      <c r="VHT166" s="587"/>
      <c r="VHU166" s="588"/>
      <c r="VHV166" s="589"/>
      <c r="VHW166" s="588"/>
      <c r="VHX166" s="589"/>
      <c r="VHY166" s="588"/>
      <c r="VHZ166" s="589"/>
      <c r="VIA166" s="588"/>
      <c r="VIB166" s="589"/>
      <c r="VIC166" s="588"/>
      <c r="VID166" s="589"/>
      <c r="VIE166" s="429"/>
      <c r="VIF166" s="364"/>
      <c r="VIG166" s="365"/>
      <c r="VIH166" s="354"/>
      <c r="VII166" s="465"/>
      <c r="VIJ166" s="565"/>
      <c r="VIK166" s="572"/>
      <c r="VIL166" s="572"/>
      <c r="VIM166" s="566"/>
      <c r="VIN166" s="587"/>
      <c r="VIO166" s="587"/>
      <c r="VIP166" s="587"/>
      <c r="VIQ166" s="587"/>
      <c r="VIR166" s="588"/>
      <c r="VIS166" s="589"/>
      <c r="VIT166" s="588"/>
      <c r="VIU166" s="589"/>
      <c r="VIV166" s="588"/>
      <c r="VIW166" s="589"/>
      <c r="VIX166" s="588"/>
      <c r="VIY166" s="589"/>
      <c r="VIZ166" s="588"/>
      <c r="VJA166" s="589"/>
      <c r="VJB166" s="429"/>
      <c r="VJC166" s="364"/>
      <c r="VJD166" s="365"/>
      <c r="VJE166" s="354"/>
      <c r="VJF166" s="465"/>
      <c r="VJG166" s="565"/>
      <c r="VJH166" s="572"/>
      <c r="VJI166" s="572"/>
      <c r="VJJ166" s="566"/>
      <c r="VJK166" s="587"/>
      <c r="VJL166" s="587"/>
      <c r="VJM166" s="587"/>
      <c r="VJN166" s="587"/>
      <c r="VJO166" s="588"/>
      <c r="VJP166" s="589"/>
      <c r="VJQ166" s="588"/>
      <c r="VJR166" s="589"/>
      <c r="VJS166" s="588"/>
      <c r="VJT166" s="589"/>
      <c r="VJU166" s="588"/>
      <c r="VJV166" s="589"/>
      <c r="VJW166" s="588"/>
      <c r="VJX166" s="589"/>
      <c r="VJY166" s="429"/>
      <c r="VJZ166" s="364"/>
      <c r="VKA166" s="365"/>
      <c r="VKB166" s="354"/>
      <c r="VKC166" s="465"/>
      <c r="VKD166" s="565"/>
      <c r="VKE166" s="572"/>
      <c r="VKF166" s="572"/>
      <c r="VKG166" s="566"/>
      <c r="VKH166" s="587"/>
      <c r="VKI166" s="587"/>
      <c r="VKJ166" s="587"/>
      <c r="VKK166" s="587"/>
      <c r="VKL166" s="588"/>
      <c r="VKM166" s="589"/>
      <c r="VKN166" s="588"/>
      <c r="VKO166" s="589"/>
      <c r="VKP166" s="588"/>
      <c r="VKQ166" s="589"/>
      <c r="VKR166" s="588"/>
      <c r="VKS166" s="589"/>
      <c r="VKT166" s="588"/>
      <c r="VKU166" s="589"/>
      <c r="VKV166" s="429"/>
      <c r="VKW166" s="364"/>
      <c r="VKX166" s="365"/>
      <c r="VKY166" s="354"/>
      <c r="VKZ166" s="465"/>
      <c r="VLA166" s="565"/>
      <c r="VLB166" s="572"/>
      <c r="VLC166" s="572"/>
      <c r="VLD166" s="566"/>
      <c r="VLE166" s="587"/>
      <c r="VLF166" s="587"/>
      <c r="VLG166" s="587"/>
      <c r="VLH166" s="587"/>
      <c r="VLI166" s="588"/>
      <c r="VLJ166" s="589"/>
      <c r="VLK166" s="588"/>
      <c r="VLL166" s="589"/>
      <c r="VLM166" s="588"/>
      <c r="VLN166" s="589"/>
      <c r="VLO166" s="588"/>
      <c r="VLP166" s="589"/>
      <c r="VLQ166" s="588"/>
      <c r="VLR166" s="589"/>
      <c r="VLS166" s="429"/>
      <c r="VLT166" s="364"/>
      <c r="VLU166" s="365"/>
      <c r="VLV166" s="354"/>
      <c r="VLW166" s="465"/>
      <c r="VLX166" s="565"/>
      <c r="VLY166" s="572"/>
      <c r="VLZ166" s="572"/>
      <c r="VMA166" s="566"/>
      <c r="VMB166" s="587"/>
      <c r="VMC166" s="587"/>
      <c r="VMD166" s="587"/>
      <c r="VME166" s="587"/>
      <c r="VMF166" s="588"/>
      <c r="VMG166" s="589"/>
      <c r="VMH166" s="588"/>
      <c r="VMI166" s="589"/>
      <c r="VMJ166" s="588"/>
      <c r="VMK166" s="589"/>
      <c r="VML166" s="588"/>
      <c r="VMM166" s="589"/>
      <c r="VMN166" s="588"/>
      <c r="VMO166" s="589"/>
      <c r="VMP166" s="429"/>
      <c r="VMQ166" s="364"/>
      <c r="VMR166" s="365"/>
      <c r="VMS166" s="354"/>
      <c r="VMT166" s="465"/>
      <c r="VMU166" s="565"/>
      <c r="VMV166" s="572"/>
      <c r="VMW166" s="572"/>
      <c r="VMX166" s="566"/>
      <c r="VMY166" s="587"/>
      <c r="VMZ166" s="587"/>
      <c r="VNA166" s="587"/>
      <c r="VNB166" s="587"/>
      <c r="VNC166" s="588"/>
      <c r="VND166" s="589"/>
      <c r="VNE166" s="588"/>
      <c r="VNF166" s="589"/>
      <c r="VNG166" s="588"/>
      <c r="VNH166" s="589"/>
      <c r="VNI166" s="588"/>
      <c r="VNJ166" s="589"/>
      <c r="VNK166" s="588"/>
      <c r="VNL166" s="589"/>
      <c r="VNM166" s="429"/>
      <c r="VNN166" s="364"/>
      <c r="VNO166" s="365"/>
      <c r="VNP166" s="354"/>
      <c r="VNQ166" s="465"/>
      <c r="VNR166" s="565"/>
      <c r="VNS166" s="572"/>
      <c r="VNT166" s="572"/>
      <c r="VNU166" s="566"/>
      <c r="VNV166" s="587"/>
      <c r="VNW166" s="587"/>
      <c r="VNX166" s="587"/>
      <c r="VNY166" s="587"/>
      <c r="VNZ166" s="588"/>
      <c r="VOA166" s="589"/>
      <c r="VOB166" s="588"/>
      <c r="VOC166" s="589"/>
      <c r="VOD166" s="588"/>
      <c r="VOE166" s="589"/>
      <c r="VOF166" s="588"/>
      <c r="VOG166" s="589"/>
      <c r="VOH166" s="588"/>
      <c r="VOI166" s="589"/>
      <c r="VOJ166" s="429"/>
      <c r="VOK166" s="364"/>
      <c r="VOL166" s="365"/>
      <c r="VOM166" s="354"/>
      <c r="VON166" s="465"/>
      <c r="VOO166" s="565"/>
      <c r="VOP166" s="572"/>
      <c r="VOQ166" s="572"/>
      <c r="VOR166" s="566"/>
      <c r="VOS166" s="587"/>
      <c r="VOT166" s="587"/>
      <c r="VOU166" s="587"/>
      <c r="VOV166" s="587"/>
      <c r="VOW166" s="588"/>
      <c r="VOX166" s="589"/>
      <c r="VOY166" s="588"/>
      <c r="VOZ166" s="589"/>
      <c r="VPA166" s="588"/>
      <c r="VPB166" s="589"/>
      <c r="VPC166" s="588"/>
      <c r="VPD166" s="589"/>
      <c r="VPE166" s="588"/>
      <c r="VPF166" s="589"/>
      <c r="VPG166" s="429"/>
      <c r="VPH166" s="364"/>
      <c r="VPI166" s="365"/>
      <c r="VPJ166" s="354"/>
      <c r="VPK166" s="465"/>
      <c r="VPL166" s="565"/>
      <c r="VPM166" s="572"/>
      <c r="VPN166" s="572"/>
      <c r="VPO166" s="566"/>
      <c r="VPP166" s="587"/>
      <c r="VPQ166" s="587"/>
      <c r="VPR166" s="587"/>
      <c r="VPS166" s="587"/>
      <c r="VPT166" s="588"/>
      <c r="VPU166" s="589"/>
      <c r="VPV166" s="588"/>
      <c r="VPW166" s="589"/>
      <c r="VPX166" s="588"/>
      <c r="VPY166" s="589"/>
      <c r="VPZ166" s="588"/>
      <c r="VQA166" s="589"/>
      <c r="VQB166" s="588"/>
      <c r="VQC166" s="589"/>
      <c r="VQD166" s="429"/>
      <c r="VQE166" s="364"/>
      <c r="VQF166" s="365"/>
      <c r="VQG166" s="354"/>
      <c r="VQH166" s="465"/>
      <c r="VQI166" s="565"/>
      <c r="VQJ166" s="572"/>
      <c r="VQK166" s="572"/>
      <c r="VQL166" s="566"/>
      <c r="VQM166" s="587"/>
      <c r="VQN166" s="587"/>
      <c r="VQO166" s="587"/>
      <c r="VQP166" s="587"/>
      <c r="VQQ166" s="588"/>
      <c r="VQR166" s="589"/>
      <c r="VQS166" s="588"/>
      <c r="VQT166" s="589"/>
      <c r="VQU166" s="588"/>
      <c r="VQV166" s="589"/>
      <c r="VQW166" s="588"/>
      <c r="VQX166" s="589"/>
      <c r="VQY166" s="588"/>
      <c r="VQZ166" s="589"/>
      <c r="VRA166" s="429"/>
      <c r="VRB166" s="364"/>
      <c r="VRC166" s="365"/>
      <c r="VRD166" s="354"/>
      <c r="VRE166" s="465"/>
      <c r="VRF166" s="565"/>
      <c r="VRG166" s="572"/>
      <c r="VRH166" s="572"/>
      <c r="VRI166" s="566"/>
      <c r="VRJ166" s="587"/>
      <c r="VRK166" s="587"/>
      <c r="VRL166" s="587"/>
      <c r="VRM166" s="587"/>
      <c r="VRN166" s="588"/>
      <c r="VRO166" s="589"/>
      <c r="VRP166" s="588"/>
      <c r="VRQ166" s="589"/>
      <c r="VRR166" s="588"/>
      <c r="VRS166" s="589"/>
      <c r="VRT166" s="588"/>
      <c r="VRU166" s="589"/>
      <c r="VRV166" s="588"/>
      <c r="VRW166" s="589"/>
      <c r="VRX166" s="429"/>
      <c r="VRY166" s="364"/>
      <c r="VRZ166" s="365"/>
      <c r="VSA166" s="354"/>
      <c r="VSB166" s="465"/>
      <c r="VSC166" s="565"/>
      <c r="VSD166" s="572"/>
      <c r="VSE166" s="572"/>
      <c r="VSF166" s="566"/>
      <c r="VSG166" s="587"/>
      <c r="VSH166" s="587"/>
      <c r="VSI166" s="587"/>
      <c r="VSJ166" s="587"/>
      <c r="VSK166" s="588"/>
      <c r="VSL166" s="589"/>
      <c r="VSM166" s="588"/>
      <c r="VSN166" s="589"/>
      <c r="VSO166" s="588"/>
      <c r="VSP166" s="589"/>
      <c r="VSQ166" s="588"/>
      <c r="VSR166" s="589"/>
      <c r="VSS166" s="588"/>
      <c r="VST166" s="589"/>
      <c r="VSU166" s="429"/>
      <c r="VSV166" s="364"/>
      <c r="VSW166" s="365"/>
      <c r="VSX166" s="354"/>
      <c r="VSY166" s="465"/>
      <c r="VSZ166" s="565"/>
      <c r="VTA166" s="572"/>
      <c r="VTB166" s="572"/>
      <c r="VTC166" s="566"/>
      <c r="VTD166" s="587"/>
      <c r="VTE166" s="587"/>
      <c r="VTF166" s="587"/>
      <c r="VTG166" s="587"/>
      <c r="VTH166" s="588"/>
      <c r="VTI166" s="589"/>
      <c r="VTJ166" s="588"/>
      <c r="VTK166" s="589"/>
      <c r="VTL166" s="588"/>
      <c r="VTM166" s="589"/>
      <c r="VTN166" s="588"/>
      <c r="VTO166" s="589"/>
      <c r="VTP166" s="588"/>
      <c r="VTQ166" s="589"/>
      <c r="VTR166" s="429"/>
      <c r="VTS166" s="364"/>
      <c r="VTT166" s="365"/>
      <c r="VTU166" s="354"/>
      <c r="VTV166" s="465"/>
      <c r="VTW166" s="565"/>
      <c r="VTX166" s="572"/>
      <c r="VTY166" s="572"/>
      <c r="VTZ166" s="566"/>
      <c r="VUA166" s="587"/>
      <c r="VUB166" s="587"/>
      <c r="VUC166" s="587"/>
      <c r="VUD166" s="587"/>
      <c r="VUE166" s="588"/>
      <c r="VUF166" s="589"/>
      <c r="VUG166" s="588"/>
      <c r="VUH166" s="589"/>
      <c r="VUI166" s="588"/>
      <c r="VUJ166" s="589"/>
      <c r="VUK166" s="588"/>
      <c r="VUL166" s="589"/>
      <c r="VUM166" s="588"/>
      <c r="VUN166" s="589"/>
      <c r="VUO166" s="429"/>
      <c r="VUP166" s="364"/>
      <c r="VUQ166" s="365"/>
      <c r="VUR166" s="354"/>
      <c r="VUS166" s="465"/>
      <c r="VUT166" s="565"/>
      <c r="VUU166" s="572"/>
      <c r="VUV166" s="572"/>
      <c r="VUW166" s="566"/>
      <c r="VUX166" s="587"/>
      <c r="VUY166" s="587"/>
      <c r="VUZ166" s="587"/>
      <c r="VVA166" s="587"/>
      <c r="VVB166" s="588"/>
      <c r="VVC166" s="589"/>
      <c r="VVD166" s="588"/>
      <c r="VVE166" s="589"/>
      <c r="VVF166" s="588"/>
      <c r="VVG166" s="589"/>
      <c r="VVH166" s="588"/>
      <c r="VVI166" s="589"/>
      <c r="VVJ166" s="588"/>
      <c r="VVK166" s="589"/>
      <c r="VVL166" s="429"/>
      <c r="VVM166" s="364"/>
      <c r="VVN166" s="365"/>
      <c r="VVO166" s="354"/>
      <c r="VVP166" s="465"/>
      <c r="VVQ166" s="565"/>
      <c r="VVR166" s="572"/>
      <c r="VVS166" s="572"/>
      <c r="VVT166" s="566"/>
      <c r="VVU166" s="587"/>
      <c r="VVV166" s="587"/>
      <c r="VVW166" s="587"/>
      <c r="VVX166" s="587"/>
      <c r="VVY166" s="588"/>
      <c r="VVZ166" s="589"/>
      <c r="VWA166" s="588"/>
      <c r="VWB166" s="589"/>
      <c r="VWC166" s="588"/>
      <c r="VWD166" s="589"/>
      <c r="VWE166" s="588"/>
      <c r="VWF166" s="589"/>
      <c r="VWG166" s="588"/>
      <c r="VWH166" s="589"/>
      <c r="VWI166" s="429"/>
      <c r="VWJ166" s="364"/>
      <c r="VWK166" s="365"/>
      <c r="VWL166" s="354"/>
      <c r="VWM166" s="465"/>
      <c r="VWN166" s="565"/>
      <c r="VWO166" s="572"/>
      <c r="VWP166" s="572"/>
      <c r="VWQ166" s="566"/>
      <c r="VWR166" s="587"/>
      <c r="VWS166" s="587"/>
      <c r="VWT166" s="587"/>
      <c r="VWU166" s="587"/>
      <c r="VWV166" s="588"/>
      <c r="VWW166" s="589"/>
      <c r="VWX166" s="588"/>
      <c r="VWY166" s="589"/>
      <c r="VWZ166" s="588"/>
      <c r="VXA166" s="589"/>
      <c r="VXB166" s="588"/>
      <c r="VXC166" s="589"/>
      <c r="VXD166" s="588"/>
      <c r="VXE166" s="589"/>
      <c r="VXF166" s="429"/>
      <c r="VXG166" s="364"/>
      <c r="VXH166" s="365"/>
      <c r="VXI166" s="354"/>
      <c r="VXJ166" s="465"/>
      <c r="VXK166" s="565"/>
      <c r="VXL166" s="572"/>
      <c r="VXM166" s="572"/>
      <c r="VXN166" s="566"/>
      <c r="VXO166" s="587"/>
      <c r="VXP166" s="587"/>
      <c r="VXQ166" s="587"/>
      <c r="VXR166" s="587"/>
      <c r="VXS166" s="588"/>
      <c r="VXT166" s="589"/>
      <c r="VXU166" s="588"/>
      <c r="VXV166" s="589"/>
      <c r="VXW166" s="588"/>
      <c r="VXX166" s="589"/>
      <c r="VXY166" s="588"/>
      <c r="VXZ166" s="589"/>
      <c r="VYA166" s="588"/>
      <c r="VYB166" s="589"/>
      <c r="VYC166" s="429"/>
      <c r="VYD166" s="364"/>
      <c r="VYE166" s="365"/>
      <c r="VYF166" s="354"/>
      <c r="VYG166" s="465"/>
      <c r="VYH166" s="565"/>
      <c r="VYI166" s="572"/>
      <c r="VYJ166" s="572"/>
      <c r="VYK166" s="566"/>
      <c r="VYL166" s="587"/>
      <c r="VYM166" s="587"/>
      <c r="VYN166" s="587"/>
      <c r="VYO166" s="587"/>
      <c r="VYP166" s="588"/>
      <c r="VYQ166" s="589"/>
      <c r="VYR166" s="588"/>
      <c r="VYS166" s="589"/>
      <c r="VYT166" s="588"/>
      <c r="VYU166" s="589"/>
      <c r="VYV166" s="588"/>
      <c r="VYW166" s="589"/>
      <c r="VYX166" s="588"/>
      <c r="VYY166" s="589"/>
      <c r="VYZ166" s="429"/>
      <c r="VZA166" s="364"/>
      <c r="VZB166" s="365"/>
      <c r="VZC166" s="354"/>
      <c r="VZD166" s="465"/>
      <c r="VZE166" s="565"/>
      <c r="VZF166" s="572"/>
      <c r="VZG166" s="572"/>
      <c r="VZH166" s="566"/>
      <c r="VZI166" s="587"/>
      <c r="VZJ166" s="587"/>
      <c r="VZK166" s="587"/>
      <c r="VZL166" s="587"/>
      <c r="VZM166" s="588"/>
      <c r="VZN166" s="589"/>
      <c r="VZO166" s="588"/>
      <c r="VZP166" s="589"/>
      <c r="VZQ166" s="588"/>
      <c r="VZR166" s="589"/>
      <c r="VZS166" s="588"/>
      <c r="VZT166" s="589"/>
      <c r="VZU166" s="588"/>
      <c r="VZV166" s="589"/>
      <c r="VZW166" s="429"/>
      <c r="VZX166" s="364"/>
      <c r="VZY166" s="365"/>
      <c r="VZZ166" s="354"/>
      <c r="WAA166" s="465"/>
      <c r="WAB166" s="565"/>
      <c r="WAC166" s="572"/>
      <c r="WAD166" s="572"/>
      <c r="WAE166" s="566"/>
      <c r="WAF166" s="587"/>
      <c r="WAG166" s="587"/>
      <c r="WAH166" s="587"/>
      <c r="WAI166" s="587"/>
      <c r="WAJ166" s="588"/>
      <c r="WAK166" s="589"/>
      <c r="WAL166" s="588"/>
      <c r="WAM166" s="589"/>
      <c r="WAN166" s="588"/>
      <c r="WAO166" s="589"/>
      <c r="WAP166" s="588"/>
      <c r="WAQ166" s="589"/>
      <c r="WAR166" s="588"/>
      <c r="WAS166" s="589"/>
      <c r="WAT166" s="429"/>
      <c r="WAU166" s="364"/>
      <c r="WAV166" s="365"/>
      <c r="WAW166" s="354"/>
      <c r="WAX166" s="465"/>
      <c r="WAY166" s="565"/>
      <c r="WAZ166" s="572"/>
      <c r="WBA166" s="572"/>
      <c r="WBB166" s="566"/>
      <c r="WBC166" s="587"/>
      <c r="WBD166" s="587"/>
      <c r="WBE166" s="587"/>
      <c r="WBF166" s="587"/>
      <c r="WBG166" s="588"/>
      <c r="WBH166" s="589"/>
      <c r="WBI166" s="588"/>
      <c r="WBJ166" s="589"/>
      <c r="WBK166" s="588"/>
      <c r="WBL166" s="589"/>
      <c r="WBM166" s="588"/>
      <c r="WBN166" s="589"/>
      <c r="WBO166" s="588"/>
      <c r="WBP166" s="589"/>
      <c r="WBQ166" s="429"/>
      <c r="WBR166" s="364"/>
      <c r="WBS166" s="365"/>
      <c r="WBT166" s="354"/>
      <c r="WBU166" s="465"/>
      <c r="WBV166" s="565"/>
      <c r="WBW166" s="572"/>
      <c r="WBX166" s="572"/>
      <c r="WBY166" s="566"/>
      <c r="WBZ166" s="587"/>
      <c r="WCA166" s="587"/>
      <c r="WCB166" s="587"/>
      <c r="WCC166" s="587"/>
      <c r="WCD166" s="588"/>
      <c r="WCE166" s="589"/>
      <c r="WCF166" s="588"/>
      <c r="WCG166" s="589"/>
      <c r="WCH166" s="588"/>
      <c r="WCI166" s="589"/>
      <c r="WCJ166" s="588"/>
      <c r="WCK166" s="589"/>
      <c r="WCL166" s="588"/>
      <c r="WCM166" s="589"/>
      <c r="WCN166" s="429"/>
      <c r="WCO166" s="364"/>
      <c r="WCP166" s="365"/>
      <c r="WCQ166" s="354"/>
      <c r="WCR166" s="465"/>
      <c r="WCS166" s="565"/>
      <c r="WCT166" s="572"/>
      <c r="WCU166" s="572"/>
      <c r="WCV166" s="566"/>
      <c r="WCW166" s="587"/>
      <c r="WCX166" s="587"/>
      <c r="WCY166" s="587"/>
      <c r="WCZ166" s="587"/>
      <c r="WDA166" s="588"/>
      <c r="WDB166" s="589"/>
      <c r="WDC166" s="588"/>
      <c r="WDD166" s="589"/>
      <c r="WDE166" s="588"/>
      <c r="WDF166" s="589"/>
      <c r="WDG166" s="588"/>
      <c r="WDH166" s="589"/>
      <c r="WDI166" s="588"/>
      <c r="WDJ166" s="589"/>
      <c r="WDK166" s="429"/>
      <c r="WDL166" s="364"/>
      <c r="WDM166" s="365"/>
      <c r="WDN166" s="354"/>
      <c r="WDO166" s="465"/>
      <c r="WDP166" s="565"/>
      <c r="WDQ166" s="572"/>
      <c r="WDR166" s="572"/>
      <c r="WDS166" s="566"/>
      <c r="WDT166" s="587"/>
      <c r="WDU166" s="587"/>
      <c r="WDV166" s="587"/>
      <c r="WDW166" s="587"/>
      <c r="WDX166" s="588"/>
      <c r="WDY166" s="589"/>
      <c r="WDZ166" s="588"/>
      <c r="WEA166" s="589"/>
      <c r="WEB166" s="588"/>
      <c r="WEC166" s="589"/>
      <c r="WED166" s="588"/>
      <c r="WEE166" s="589"/>
      <c r="WEF166" s="588"/>
      <c r="WEG166" s="589"/>
      <c r="WEH166" s="429"/>
      <c r="WEI166" s="364"/>
      <c r="WEJ166" s="365"/>
      <c r="WEK166" s="354"/>
      <c r="WEL166" s="465"/>
      <c r="WEM166" s="565"/>
      <c r="WEN166" s="572"/>
      <c r="WEO166" s="572"/>
      <c r="WEP166" s="566"/>
      <c r="WEQ166" s="587"/>
      <c r="WER166" s="587"/>
      <c r="WES166" s="587"/>
      <c r="WET166" s="587"/>
      <c r="WEU166" s="588"/>
      <c r="WEV166" s="589"/>
      <c r="WEW166" s="588"/>
      <c r="WEX166" s="589"/>
      <c r="WEY166" s="588"/>
      <c r="WEZ166" s="589"/>
      <c r="WFA166" s="588"/>
      <c r="WFB166" s="589"/>
      <c r="WFC166" s="588"/>
      <c r="WFD166" s="589"/>
      <c r="WFE166" s="429"/>
      <c r="WFF166" s="364"/>
      <c r="WFG166" s="365"/>
      <c r="WFH166" s="354"/>
      <c r="WFI166" s="465"/>
      <c r="WFJ166" s="565"/>
      <c r="WFK166" s="572"/>
      <c r="WFL166" s="572"/>
      <c r="WFM166" s="566"/>
      <c r="WFN166" s="587"/>
      <c r="WFO166" s="587"/>
      <c r="WFP166" s="587"/>
      <c r="WFQ166" s="587"/>
      <c r="WFR166" s="588"/>
      <c r="WFS166" s="589"/>
      <c r="WFT166" s="588"/>
      <c r="WFU166" s="589"/>
      <c r="WFV166" s="588"/>
      <c r="WFW166" s="589"/>
      <c r="WFX166" s="588"/>
      <c r="WFY166" s="589"/>
      <c r="WFZ166" s="588"/>
      <c r="WGA166" s="589"/>
      <c r="WGB166" s="429"/>
      <c r="WGC166" s="364"/>
      <c r="WGD166" s="365"/>
      <c r="WGE166" s="354"/>
      <c r="WGF166" s="465"/>
      <c r="WGG166" s="565"/>
      <c r="WGH166" s="572"/>
      <c r="WGI166" s="572"/>
      <c r="WGJ166" s="566"/>
      <c r="WGK166" s="587"/>
      <c r="WGL166" s="587"/>
      <c r="WGM166" s="587"/>
      <c r="WGN166" s="587"/>
      <c r="WGO166" s="588"/>
      <c r="WGP166" s="589"/>
      <c r="WGQ166" s="588"/>
      <c r="WGR166" s="589"/>
      <c r="WGS166" s="588"/>
      <c r="WGT166" s="589"/>
      <c r="WGU166" s="588"/>
      <c r="WGV166" s="589"/>
      <c r="WGW166" s="588"/>
      <c r="WGX166" s="589"/>
      <c r="WGY166" s="429"/>
      <c r="WGZ166" s="364"/>
      <c r="WHA166" s="365"/>
      <c r="WHB166" s="354"/>
      <c r="WHC166" s="465"/>
      <c r="WHD166" s="565"/>
      <c r="WHE166" s="572"/>
      <c r="WHF166" s="572"/>
      <c r="WHG166" s="566"/>
      <c r="WHH166" s="587"/>
      <c r="WHI166" s="587"/>
      <c r="WHJ166" s="587"/>
      <c r="WHK166" s="587"/>
      <c r="WHL166" s="588"/>
      <c r="WHM166" s="589"/>
      <c r="WHN166" s="588"/>
      <c r="WHO166" s="589"/>
      <c r="WHP166" s="588"/>
      <c r="WHQ166" s="589"/>
      <c r="WHR166" s="588"/>
      <c r="WHS166" s="589"/>
      <c r="WHT166" s="588"/>
      <c r="WHU166" s="589"/>
      <c r="WHV166" s="429"/>
      <c r="WHW166" s="364"/>
      <c r="WHX166" s="365"/>
      <c r="WHY166" s="354"/>
      <c r="WHZ166" s="465"/>
      <c r="WIA166" s="565"/>
      <c r="WIB166" s="572"/>
      <c r="WIC166" s="572"/>
      <c r="WID166" s="566"/>
      <c r="WIE166" s="587"/>
      <c r="WIF166" s="587"/>
      <c r="WIG166" s="587"/>
      <c r="WIH166" s="587"/>
      <c r="WII166" s="588"/>
      <c r="WIJ166" s="589"/>
      <c r="WIK166" s="588"/>
      <c r="WIL166" s="589"/>
      <c r="WIM166" s="588"/>
      <c r="WIN166" s="589"/>
      <c r="WIO166" s="588"/>
      <c r="WIP166" s="589"/>
      <c r="WIQ166" s="588"/>
      <c r="WIR166" s="589"/>
      <c r="WIS166" s="429"/>
      <c r="WIT166" s="364"/>
      <c r="WIU166" s="365"/>
      <c r="WIV166" s="354"/>
      <c r="WIW166" s="465"/>
      <c r="WIX166" s="565"/>
      <c r="WIY166" s="572"/>
      <c r="WIZ166" s="572"/>
      <c r="WJA166" s="566"/>
      <c r="WJB166" s="587"/>
      <c r="WJC166" s="587"/>
      <c r="WJD166" s="587"/>
      <c r="WJE166" s="587"/>
      <c r="WJF166" s="588"/>
      <c r="WJG166" s="589"/>
      <c r="WJH166" s="588"/>
      <c r="WJI166" s="589"/>
      <c r="WJJ166" s="588"/>
      <c r="WJK166" s="589"/>
      <c r="WJL166" s="588"/>
      <c r="WJM166" s="589"/>
      <c r="WJN166" s="588"/>
      <c r="WJO166" s="589"/>
      <c r="WJP166" s="429"/>
      <c r="WJQ166" s="364"/>
      <c r="WJR166" s="365"/>
      <c r="WJS166" s="354"/>
      <c r="WJT166" s="465"/>
      <c r="WJU166" s="565"/>
      <c r="WJV166" s="572"/>
      <c r="WJW166" s="572"/>
      <c r="WJX166" s="566"/>
      <c r="WJY166" s="587"/>
      <c r="WJZ166" s="587"/>
      <c r="WKA166" s="587"/>
      <c r="WKB166" s="587"/>
      <c r="WKC166" s="588"/>
      <c r="WKD166" s="589"/>
      <c r="WKE166" s="588"/>
      <c r="WKF166" s="589"/>
      <c r="WKG166" s="588"/>
      <c r="WKH166" s="589"/>
      <c r="WKI166" s="588"/>
      <c r="WKJ166" s="589"/>
      <c r="WKK166" s="588"/>
      <c r="WKL166" s="589"/>
      <c r="WKM166" s="429"/>
      <c r="WKN166" s="364"/>
      <c r="WKO166" s="365"/>
      <c r="WKP166" s="354"/>
      <c r="WKQ166" s="465"/>
      <c r="WKR166" s="565"/>
      <c r="WKS166" s="572"/>
      <c r="WKT166" s="572"/>
      <c r="WKU166" s="566"/>
      <c r="WKV166" s="587"/>
      <c r="WKW166" s="587"/>
      <c r="WKX166" s="587"/>
      <c r="WKY166" s="587"/>
      <c r="WKZ166" s="588"/>
      <c r="WLA166" s="589"/>
      <c r="WLB166" s="588"/>
      <c r="WLC166" s="589"/>
      <c r="WLD166" s="588"/>
      <c r="WLE166" s="589"/>
      <c r="WLF166" s="588"/>
      <c r="WLG166" s="589"/>
      <c r="WLH166" s="588"/>
      <c r="WLI166" s="589"/>
      <c r="WLJ166" s="429"/>
      <c r="WLK166" s="364"/>
      <c r="WLL166" s="365"/>
      <c r="WLM166" s="354"/>
      <c r="WLN166" s="465"/>
      <c r="WLO166" s="565"/>
      <c r="WLP166" s="572"/>
      <c r="WLQ166" s="572"/>
      <c r="WLR166" s="566"/>
      <c r="WLS166" s="587"/>
      <c r="WLT166" s="587"/>
      <c r="WLU166" s="587"/>
      <c r="WLV166" s="587"/>
      <c r="WLW166" s="588"/>
      <c r="WLX166" s="589"/>
      <c r="WLY166" s="588"/>
      <c r="WLZ166" s="589"/>
      <c r="WMA166" s="588"/>
      <c r="WMB166" s="589"/>
      <c r="WMC166" s="588"/>
      <c r="WMD166" s="589"/>
      <c r="WME166" s="588"/>
      <c r="WMF166" s="589"/>
      <c r="WMG166" s="429"/>
      <c r="WMH166" s="364"/>
      <c r="WMI166" s="365"/>
      <c r="WMJ166" s="354"/>
      <c r="WMK166" s="465"/>
      <c r="WML166" s="565"/>
      <c r="WMM166" s="572"/>
      <c r="WMN166" s="572"/>
      <c r="WMO166" s="566"/>
      <c r="WMP166" s="587"/>
      <c r="WMQ166" s="587"/>
      <c r="WMR166" s="587"/>
      <c r="WMS166" s="587"/>
      <c r="WMT166" s="588"/>
      <c r="WMU166" s="589"/>
      <c r="WMV166" s="588"/>
      <c r="WMW166" s="589"/>
      <c r="WMX166" s="588"/>
      <c r="WMY166" s="589"/>
      <c r="WMZ166" s="588"/>
      <c r="WNA166" s="589"/>
      <c r="WNB166" s="588"/>
      <c r="WNC166" s="589"/>
      <c r="WND166" s="429"/>
      <c r="WNE166" s="364"/>
      <c r="WNF166" s="365"/>
      <c r="WNG166" s="354"/>
      <c r="WNH166" s="465"/>
      <c r="WNI166" s="565"/>
      <c r="WNJ166" s="572"/>
      <c r="WNK166" s="572"/>
      <c r="WNL166" s="566"/>
      <c r="WNM166" s="587"/>
      <c r="WNN166" s="587"/>
      <c r="WNO166" s="587"/>
      <c r="WNP166" s="587"/>
      <c r="WNQ166" s="588"/>
      <c r="WNR166" s="589"/>
      <c r="WNS166" s="588"/>
      <c r="WNT166" s="589"/>
      <c r="WNU166" s="588"/>
      <c r="WNV166" s="589"/>
      <c r="WNW166" s="588"/>
      <c r="WNX166" s="589"/>
      <c r="WNY166" s="588"/>
      <c r="WNZ166" s="589"/>
      <c r="WOA166" s="429"/>
      <c r="WOB166" s="364"/>
      <c r="WOC166" s="365"/>
      <c r="WOD166" s="354"/>
      <c r="WOE166" s="465"/>
      <c r="WOF166" s="565"/>
      <c r="WOG166" s="572"/>
      <c r="WOH166" s="572"/>
      <c r="WOI166" s="566"/>
      <c r="WOJ166" s="587"/>
      <c r="WOK166" s="587"/>
      <c r="WOL166" s="587"/>
      <c r="WOM166" s="587"/>
      <c r="WON166" s="588"/>
      <c r="WOO166" s="589"/>
      <c r="WOP166" s="588"/>
      <c r="WOQ166" s="589"/>
      <c r="WOR166" s="588"/>
      <c r="WOS166" s="589"/>
      <c r="WOT166" s="588"/>
      <c r="WOU166" s="589"/>
      <c r="WOV166" s="588"/>
      <c r="WOW166" s="589"/>
      <c r="WOX166" s="429"/>
      <c r="WOY166" s="364"/>
      <c r="WOZ166" s="365"/>
      <c r="WPA166" s="354"/>
      <c r="WPB166" s="465"/>
      <c r="WPC166" s="565"/>
      <c r="WPD166" s="572"/>
      <c r="WPE166" s="572"/>
      <c r="WPF166" s="566"/>
      <c r="WPG166" s="587"/>
      <c r="WPH166" s="587"/>
      <c r="WPI166" s="587"/>
      <c r="WPJ166" s="587"/>
      <c r="WPK166" s="588"/>
      <c r="WPL166" s="589"/>
      <c r="WPM166" s="588"/>
      <c r="WPN166" s="589"/>
      <c r="WPO166" s="588"/>
      <c r="WPP166" s="589"/>
      <c r="WPQ166" s="588"/>
      <c r="WPR166" s="589"/>
      <c r="WPS166" s="588"/>
      <c r="WPT166" s="589"/>
      <c r="WPU166" s="429"/>
      <c r="WPV166" s="364"/>
      <c r="WPW166" s="365"/>
      <c r="WPX166" s="354"/>
      <c r="WPY166" s="465"/>
      <c r="WPZ166" s="565"/>
      <c r="WQA166" s="572"/>
      <c r="WQB166" s="572"/>
      <c r="WQC166" s="566"/>
      <c r="WQD166" s="587"/>
      <c r="WQE166" s="587"/>
      <c r="WQF166" s="587"/>
      <c r="WQG166" s="587"/>
      <c r="WQH166" s="588"/>
      <c r="WQI166" s="589"/>
      <c r="WQJ166" s="588"/>
      <c r="WQK166" s="589"/>
      <c r="WQL166" s="588"/>
      <c r="WQM166" s="589"/>
      <c r="WQN166" s="588"/>
      <c r="WQO166" s="589"/>
      <c r="WQP166" s="588"/>
      <c r="WQQ166" s="589"/>
      <c r="WQR166" s="429"/>
      <c r="WQS166" s="364"/>
      <c r="WQT166" s="365"/>
      <c r="WQU166" s="354"/>
      <c r="WQV166" s="465"/>
      <c r="WQW166" s="565"/>
      <c r="WQX166" s="572"/>
      <c r="WQY166" s="572"/>
      <c r="WQZ166" s="566"/>
      <c r="WRA166" s="587"/>
      <c r="WRB166" s="587"/>
      <c r="WRC166" s="587"/>
      <c r="WRD166" s="587"/>
      <c r="WRE166" s="588"/>
      <c r="WRF166" s="589"/>
      <c r="WRG166" s="588"/>
      <c r="WRH166" s="589"/>
      <c r="WRI166" s="588"/>
      <c r="WRJ166" s="589"/>
      <c r="WRK166" s="588"/>
      <c r="WRL166" s="589"/>
      <c r="WRM166" s="588"/>
      <c r="WRN166" s="589"/>
      <c r="WRO166" s="429"/>
      <c r="WRP166" s="364"/>
      <c r="WRQ166" s="365"/>
      <c r="WRR166" s="354"/>
      <c r="WRS166" s="465"/>
      <c r="WRT166" s="565"/>
      <c r="WRU166" s="572"/>
      <c r="WRV166" s="572"/>
      <c r="WRW166" s="566"/>
      <c r="WRX166" s="587"/>
      <c r="WRY166" s="587"/>
      <c r="WRZ166" s="587"/>
      <c r="WSA166" s="587"/>
      <c r="WSB166" s="588"/>
      <c r="WSC166" s="589"/>
      <c r="WSD166" s="588"/>
      <c r="WSE166" s="589"/>
      <c r="WSF166" s="588"/>
      <c r="WSG166" s="589"/>
      <c r="WSH166" s="588"/>
      <c r="WSI166" s="589"/>
      <c r="WSJ166" s="588"/>
      <c r="WSK166" s="589"/>
      <c r="WSL166" s="429"/>
      <c r="WSM166" s="364"/>
      <c r="WSN166" s="365"/>
      <c r="WSO166" s="354"/>
      <c r="WSP166" s="465"/>
      <c r="WSQ166" s="565"/>
      <c r="WSR166" s="572"/>
      <c r="WSS166" s="572"/>
      <c r="WST166" s="566"/>
      <c r="WSU166" s="587"/>
      <c r="WSV166" s="587"/>
      <c r="WSW166" s="587"/>
      <c r="WSX166" s="587"/>
      <c r="WSY166" s="588"/>
      <c r="WSZ166" s="589"/>
      <c r="WTA166" s="588"/>
      <c r="WTB166" s="589"/>
      <c r="WTC166" s="588"/>
      <c r="WTD166" s="589"/>
      <c r="WTE166" s="588"/>
      <c r="WTF166" s="589"/>
      <c r="WTG166" s="588"/>
      <c r="WTH166" s="589"/>
      <c r="WTI166" s="429"/>
      <c r="WTJ166" s="364"/>
      <c r="WTK166" s="365"/>
      <c r="WTL166" s="354"/>
      <c r="WTM166" s="465"/>
      <c r="WTN166" s="565"/>
      <c r="WTO166" s="572"/>
      <c r="WTP166" s="572"/>
      <c r="WTQ166" s="566"/>
      <c r="WTR166" s="587"/>
      <c r="WTS166" s="587"/>
      <c r="WTT166" s="587"/>
      <c r="WTU166" s="587"/>
      <c r="WTV166" s="588"/>
      <c r="WTW166" s="589"/>
      <c r="WTX166" s="588"/>
      <c r="WTY166" s="589"/>
      <c r="WTZ166" s="588"/>
      <c r="WUA166" s="589"/>
      <c r="WUB166" s="588"/>
      <c r="WUC166" s="589"/>
      <c r="WUD166" s="588"/>
      <c r="WUE166" s="589"/>
      <c r="WUF166" s="429"/>
      <c r="WUG166" s="364"/>
      <c r="WUH166" s="365"/>
      <c r="WUI166" s="354"/>
      <c r="WUJ166" s="465"/>
      <c r="WUK166" s="565"/>
      <c r="WUL166" s="572"/>
      <c r="WUM166" s="572"/>
      <c r="WUN166" s="566"/>
      <c r="WUO166" s="587"/>
      <c r="WUP166" s="587"/>
      <c r="WUQ166" s="587"/>
      <c r="WUR166" s="587"/>
      <c r="WUS166" s="588"/>
      <c r="WUT166" s="589"/>
      <c r="WUU166" s="588"/>
      <c r="WUV166" s="589"/>
      <c r="WUW166" s="588"/>
      <c r="WUX166" s="589"/>
      <c r="WUY166" s="588"/>
      <c r="WUZ166" s="589"/>
      <c r="WVA166" s="588"/>
      <c r="WVB166" s="589"/>
      <c r="WVC166" s="429"/>
      <c r="WVD166" s="364"/>
      <c r="WVE166" s="365"/>
      <c r="WVF166" s="354"/>
      <c r="WVG166" s="465"/>
      <c r="WVH166" s="565"/>
      <c r="WVI166" s="572"/>
      <c r="WVJ166" s="572"/>
      <c r="WVK166" s="566"/>
      <c r="WVL166" s="587"/>
      <c r="WVM166" s="587"/>
      <c r="WVN166" s="587"/>
      <c r="WVO166" s="587"/>
      <c r="WVP166" s="588"/>
      <c r="WVQ166" s="589"/>
      <c r="WVR166" s="588"/>
      <c r="WVS166" s="589"/>
      <c r="WVT166" s="588"/>
      <c r="WVU166" s="589"/>
      <c r="WVV166" s="588"/>
      <c r="WVW166" s="589"/>
      <c r="WVX166" s="588"/>
      <c r="WVY166" s="589"/>
      <c r="WVZ166" s="429"/>
      <c r="WWA166" s="364"/>
      <c r="WWB166" s="365"/>
      <c r="WWC166" s="354"/>
      <c r="WWD166" s="465"/>
      <c r="WWE166" s="565"/>
      <c r="WWF166" s="572"/>
      <c r="WWG166" s="572"/>
      <c r="WWH166" s="566"/>
      <c r="WWI166" s="587"/>
      <c r="WWJ166" s="587"/>
      <c r="WWK166" s="587"/>
      <c r="WWL166" s="587"/>
      <c r="WWM166" s="588"/>
      <c r="WWN166" s="589"/>
      <c r="WWO166" s="588"/>
      <c r="WWP166" s="589"/>
      <c r="WWQ166" s="588"/>
      <c r="WWR166" s="589"/>
      <c r="WWS166" s="588"/>
      <c r="WWT166" s="589"/>
      <c r="WWU166" s="588"/>
      <c r="WWV166" s="589"/>
      <c r="WWW166" s="429"/>
      <c r="WWX166" s="364"/>
      <c r="WWY166" s="365"/>
      <c r="WWZ166" s="354"/>
      <c r="WXA166" s="465"/>
      <c r="WXB166" s="565"/>
      <c r="WXC166" s="572"/>
      <c r="WXD166" s="572"/>
      <c r="WXE166" s="566"/>
      <c r="WXF166" s="587"/>
      <c r="WXG166" s="587"/>
      <c r="WXH166" s="587"/>
      <c r="WXI166" s="587"/>
      <c r="WXJ166" s="588"/>
      <c r="WXK166" s="589"/>
      <c r="WXL166" s="588"/>
      <c r="WXM166" s="589"/>
      <c r="WXN166" s="588"/>
      <c r="WXO166" s="589"/>
      <c r="WXP166" s="588"/>
      <c r="WXQ166" s="589"/>
      <c r="WXR166" s="588"/>
      <c r="WXS166" s="589"/>
      <c r="WXT166" s="429"/>
      <c r="WXU166" s="364"/>
      <c r="WXV166" s="365"/>
      <c r="WXW166" s="354"/>
      <c r="WXX166" s="465"/>
      <c r="WXY166" s="565"/>
      <c r="WXZ166" s="572"/>
      <c r="WYA166" s="572"/>
      <c r="WYB166" s="566"/>
      <c r="WYC166" s="587"/>
      <c r="WYD166" s="587"/>
      <c r="WYE166" s="587"/>
      <c r="WYF166" s="587"/>
      <c r="WYG166" s="588"/>
      <c r="WYH166" s="589"/>
      <c r="WYI166" s="588"/>
      <c r="WYJ166" s="589"/>
      <c r="WYK166" s="588"/>
      <c r="WYL166" s="589"/>
      <c r="WYM166" s="588"/>
      <c r="WYN166" s="589"/>
      <c r="WYO166" s="588"/>
      <c r="WYP166" s="589"/>
      <c r="WYQ166" s="429"/>
      <c r="WYR166" s="364"/>
      <c r="WYS166" s="365"/>
      <c r="WYT166" s="354"/>
      <c r="WYU166" s="465"/>
      <c r="WYV166" s="565"/>
      <c r="WYW166" s="572"/>
      <c r="WYX166" s="572"/>
      <c r="WYY166" s="566"/>
      <c r="WYZ166" s="587"/>
      <c r="WZA166" s="587"/>
      <c r="WZB166" s="587"/>
      <c r="WZC166" s="587"/>
      <c r="WZD166" s="588"/>
      <c r="WZE166" s="589"/>
      <c r="WZF166" s="588"/>
      <c r="WZG166" s="589"/>
      <c r="WZH166" s="588"/>
      <c r="WZI166" s="589"/>
      <c r="WZJ166" s="588"/>
      <c r="WZK166" s="589"/>
      <c r="WZL166" s="588"/>
      <c r="WZM166" s="589"/>
      <c r="WZN166" s="429"/>
      <c r="WZO166" s="364"/>
      <c r="WZP166" s="365"/>
      <c r="WZQ166" s="354"/>
      <c r="WZR166" s="465"/>
      <c r="WZS166" s="565"/>
      <c r="WZT166" s="572"/>
      <c r="WZU166" s="572"/>
      <c r="WZV166" s="566"/>
      <c r="WZW166" s="587"/>
      <c r="WZX166" s="587"/>
      <c r="WZY166" s="587"/>
      <c r="WZZ166" s="587"/>
      <c r="XAA166" s="588"/>
      <c r="XAB166" s="589"/>
      <c r="XAC166" s="588"/>
      <c r="XAD166" s="589"/>
      <c r="XAE166" s="588"/>
      <c r="XAF166" s="589"/>
      <c r="XAG166" s="588"/>
      <c r="XAH166" s="589"/>
      <c r="XAI166" s="588"/>
      <c r="XAJ166" s="589"/>
      <c r="XAK166" s="429"/>
      <c r="XAL166" s="364"/>
      <c r="XAM166" s="365"/>
      <c r="XAN166" s="354"/>
      <c r="XAO166" s="465"/>
      <c r="XAP166" s="565"/>
    </row>
    <row r="167" spans="1:16266" s="367" customFormat="1" ht="16.5" customHeight="1" x14ac:dyDescent="0.3">
      <c r="A167" s="354" t="str">
        <f>VLOOKUP(C167,'[15]Prix accès'!A:C,3,FALSE)</f>
        <v>Vague 1</v>
      </c>
      <c r="B167" s="415" t="s">
        <v>2805</v>
      </c>
      <c r="C167" s="378" t="s">
        <v>669</v>
      </c>
      <c r="D167" s="543">
        <f>(27*12)+460</f>
        <v>784</v>
      </c>
      <c r="E167" s="843">
        <v>54</v>
      </c>
      <c r="F167" s="543">
        <v>0</v>
      </c>
      <c r="G167" s="468">
        <v>0</v>
      </c>
      <c r="H167" s="468">
        <v>66</v>
      </c>
      <c r="I167" s="841">
        <v>487</v>
      </c>
      <c r="J167" s="831"/>
      <c r="K167" s="831">
        <v>66</v>
      </c>
      <c r="L167" s="835">
        <v>487</v>
      </c>
      <c r="M167" s="831"/>
      <c r="N167" s="831">
        <v>66</v>
      </c>
      <c r="O167" s="835">
        <v>487</v>
      </c>
      <c r="P167" s="831"/>
      <c r="Q167" s="831">
        <v>66</v>
      </c>
      <c r="R167" s="835">
        <v>487</v>
      </c>
      <c r="S167" s="831"/>
      <c r="T167" s="831">
        <v>66</v>
      </c>
      <c r="U167" s="835">
        <v>487</v>
      </c>
      <c r="V167" s="831"/>
      <c r="W167" s="831">
        <v>66</v>
      </c>
      <c r="X167" s="835">
        <v>487</v>
      </c>
      <c r="Y167" s="831"/>
      <c r="Z167" s="831">
        <v>66</v>
      </c>
      <c r="AA167" s="835">
        <v>487</v>
      </c>
      <c r="AB167" s="831"/>
      <c r="AC167" s="831">
        <v>66</v>
      </c>
      <c r="AD167" s="835">
        <v>487</v>
      </c>
      <c r="AE167" s="831"/>
      <c r="AF167" s="831">
        <v>66</v>
      </c>
      <c r="AG167" s="835">
        <v>487</v>
      </c>
      <c r="AH167" s="831"/>
      <c r="AI167" s="831">
        <v>66</v>
      </c>
      <c r="AJ167" s="835">
        <v>487</v>
      </c>
      <c r="AK167" s="831"/>
      <c r="AL167" s="831">
        <v>66</v>
      </c>
      <c r="AM167" s="835">
        <v>487</v>
      </c>
      <c r="AN167" s="831"/>
      <c r="AO167" s="831">
        <v>66</v>
      </c>
      <c r="AP167" s="835">
        <v>487</v>
      </c>
      <c r="AQ167" s="831"/>
      <c r="AR167" s="831">
        <v>66</v>
      </c>
      <c r="AS167" s="881">
        <f>((487-345)/30.5)*31+487</f>
        <v>631.32786885245901</v>
      </c>
      <c r="AT167" s="831"/>
      <c r="AU167" s="831">
        <v>66</v>
      </c>
      <c r="AV167" s="831">
        <v>345.21</v>
      </c>
      <c r="AW167" s="831"/>
      <c r="AX167" s="831">
        <v>66</v>
      </c>
      <c r="AY167" s="831">
        <v>345.21</v>
      </c>
      <c r="AZ167" s="831"/>
      <c r="BA167" s="369">
        <v>66</v>
      </c>
      <c r="BB167" s="385">
        <v>345.21</v>
      </c>
      <c r="BC167" s="385"/>
      <c r="BD167" s="369">
        <v>66</v>
      </c>
      <c r="BE167" s="385">
        <v>345.21</v>
      </c>
      <c r="BF167" s="385"/>
      <c r="BG167" s="369">
        <v>66</v>
      </c>
      <c r="BH167" s="385">
        <v>345.21</v>
      </c>
      <c r="BI167" s="385"/>
      <c r="BJ167" s="369">
        <v>66</v>
      </c>
      <c r="BK167" s="385">
        <v>345.21</v>
      </c>
      <c r="BL167" s="385"/>
      <c r="BM167" s="369">
        <v>66</v>
      </c>
      <c r="BN167" s="385">
        <v>345.21</v>
      </c>
      <c r="BO167" s="385"/>
      <c r="BP167" s="369">
        <v>66</v>
      </c>
      <c r="BQ167" s="385">
        <v>345.21</v>
      </c>
      <c r="BR167" s="385"/>
      <c r="BS167" s="369">
        <v>66</v>
      </c>
      <c r="BT167" s="385">
        <v>345.21</v>
      </c>
      <c r="BU167" s="385"/>
      <c r="BV167" s="369">
        <v>66</v>
      </c>
      <c r="BW167" s="385">
        <v>345.21</v>
      </c>
      <c r="BX167" s="385"/>
      <c r="BY167" s="369">
        <v>66</v>
      </c>
      <c r="BZ167" s="385">
        <v>345.21</v>
      </c>
      <c r="CA167" s="385"/>
      <c r="CB167" s="369">
        <v>66</v>
      </c>
      <c r="CC167" s="385">
        <v>345.21</v>
      </c>
      <c r="CD167" s="385"/>
      <c r="CE167" s="369">
        <v>66</v>
      </c>
      <c r="CF167" s="385">
        <v>345.21</v>
      </c>
      <c r="CG167" s="385"/>
      <c r="CH167" s="369">
        <v>66</v>
      </c>
      <c r="CI167" s="385">
        <v>345.21</v>
      </c>
      <c r="CJ167" s="385"/>
      <c r="CK167" s="369">
        <v>66</v>
      </c>
      <c r="CL167" s="385">
        <v>345.21</v>
      </c>
      <c r="CM167" s="385"/>
      <c r="CN167" s="369">
        <v>66</v>
      </c>
      <c r="CO167" s="385">
        <v>345.21</v>
      </c>
      <c r="CP167" s="385"/>
      <c r="CQ167" s="369">
        <v>66</v>
      </c>
      <c r="CR167" s="385">
        <v>345.21</v>
      </c>
      <c r="CS167" s="385"/>
      <c r="CT167" s="369">
        <v>66</v>
      </c>
      <c r="CU167" s="385">
        <v>345.21</v>
      </c>
      <c r="CV167" s="385"/>
      <c r="CW167" s="369">
        <v>66</v>
      </c>
      <c r="CX167" s="385">
        <v>345.21</v>
      </c>
      <c r="CY167" s="385"/>
      <c r="CZ167" s="369">
        <v>66</v>
      </c>
      <c r="DA167" s="385">
        <v>345.21</v>
      </c>
      <c r="DB167" s="385"/>
      <c r="DC167" s="369">
        <v>66</v>
      </c>
      <c r="DD167" s="385">
        <v>345.21</v>
      </c>
      <c r="DE167" s="385"/>
      <c r="DF167" s="369">
        <v>66</v>
      </c>
      <c r="DG167" s="385">
        <v>345.21</v>
      </c>
      <c r="DH167" s="385"/>
      <c r="DI167" s="369">
        <v>66</v>
      </c>
      <c r="DJ167" s="385">
        <v>345.21</v>
      </c>
      <c r="DK167" s="385"/>
      <c r="DL167" s="369">
        <v>66</v>
      </c>
      <c r="DM167" s="385">
        <v>345.21</v>
      </c>
      <c r="DN167" s="385"/>
      <c r="DO167" s="369">
        <v>66</v>
      </c>
      <c r="DP167" s="385">
        <v>345.21</v>
      </c>
      <c r="DQ167" s="385"/>
      <c r="DR167" s="369">
        <v>66</v>
      </c>
      <c r="DS167" s="385">
        <v>345.21</v>
      </c>
      <c r="DT167" s="385"/>
      <c r="DU167" s="369">
        <v>66</v>
      </c>
      <c r="DV167" s="385">
        <v>345.21</v>
      </c>
      <c r="DW167" s="385"/>
      <c r="DX167" s="369">
        <v>66</v>
      </c>
      <c r="DY167" s="385">
        <v>345.21</v>
      </c>
      <c r="DZ167" s="385"/>
      <c r="EA167" s="369">
        <v>66</v>
      </c>
      <c r="EB167" s="385">
        <v>345.21</v>
      </c>
      <c r="EC167" s="385"/>
      <c r="ED167" s="369">
        <v>66</v>
      </c>
      <c r="EE167" s="385">
        <v>345.21</v>
      </c>
      <c r="EF167" s="385"/>
      <c r="EG167" s="369">
        <v>66</v>
      </c>
      <c r="EH167" s="385">
        <v>345.21</v>
      </c>
      <c r="EI167" s="385"/>
      <c r="EJ167" s="369">
        <v>66</v>
      </c>
      <c r="EK167" s="385">
        <v>345.21</v>
      </c>
      <c r="EL167" s="385"/>
      <c r="EM167" s="369">
        <v>66</v>
      </c>
      <c r="EN167" s="385">
        <v>345.21</v>
      </c>
      <c r="EO167" s="385"/>
      <c r="EP167" s="369">
        <v>66</v>
      </c>
      <c r="EQ167" s="385">
        <v>345.21</v>
      </c>
      <c r="ER167" s="385"/>
      <c r="ES167" s="369">
        <v>66</v>
      </c>
      <c r="ET167" s="385">
        <v>345.21</v>
      </c>
      <c r="EU167" s="385"/>
      <c r="EV167" s="369">
        <v>66</v>
      </c>
      <c r="EW167" s="385">
        <v>345.21</v>
      </c>
      <c r="EX167" s="385"/>
      <c r="EY167" s="369">
        <v>66</v>
      </c>
      <c r="EZ167" s="385">
        <v>345.21</v>
      </c>
      <c r="FA167" s="385"/>
      <c r="FB167" s="369">
        <v>66</v>
      </c>
      <c r="FC167" s="385">
        <v>345.21</v>
      </c>
      <c r="FD167" s="385"/>
      <c r="FE167" s="369">
        <v>66</v>
      </c>
      <c r="FF167" s="385">
        <v>345.21</v>
      </c>
      <c r="FG167" s="385"/>
      <c r="FH167" s="369">
        <v>66</v>
      </c>
      <c r="FI167" s="385">
        <v>345.21</v>
      </c>
      <c r="FJ167" s="385"/>
      <c r="FK167" s="369">
        <v>66</v>
      </c>
      <c r="FL167" s="385">
        <v>345.21</v>
      </c>
      <c r="FM167" s="385"/>
      <c r="FN167" s="369">
        <v>66</v>
      </c>
      <c r="FO167" s="385">
        <v>345.21</v>
      </c>
      <c r="FP167" s="385"/>
      <c r="FQ167" s="369">
        <v>66</v>
      </c>
      <c r="FR167" s="385">
        <v>345.21</v>
      </c>
      <c r="FS167" s="385"/>
      <c r="FT167" s="369">
        <v>66</v>
      </c>
      <c r="FU167" s="386">
        <v>345.21</v>
      </c>
      <c r="FV167" s="386"/>
      <c r="FW167" s="370">
        <v>66</v>
      </c>
      <c r="FX167" s="387">
        <v>345.21</v>
      </c>
      <c r="FY167" s="387"/>
      <c r="FZ167" s="358"/>
      <c r="GA167" s="387">
        <v>345.21</v>
      </c>
      <c r="GB167" s="387"/>
      <c r="GC167" s="358"/>
      <c r="GD167" s="387">
        <v>345.21</v>
      </c>
      <c r="GE167" s="387"/>
      <c r="GF167" s="358"/>
      <c r="GG167" s="387">
        <v>345.21</v>
      </c>
      <c r="GH167" s="387"/>
      <c r="GI167" s="358"/>
      <c r="GJ167" s="387">
        <v>345.21</v>
      </c>
      <c r="GK167" s="387"/>
      <c r="GL167" s="358"/>
      <c r="GM167" s="387">
        <v>345.21</v>
      </c>
      <c r="GN167" s="387"/>
      <c r="GO167" s="358"/>
      <c r="GP167" s="387">
        <v>345.21</v>
      </c>
      <c r="GQ167" s="387"/>
      <c r="GR167" s="358"/>
      <c r="GS167" s="387">
        <v>345.21</v>
      </c>
      <c r="GT167" s="387"/>
      <c r="GU167" s="358"/>
      <c r="GV167" s="387">
        <v>345.21</v>
      </c>
      <c r="GW167" s="387"/>
      <c r="GX167" s="358"/>
      <c r="GY167" s="387">
        <v>345.21</v>
      </c>
      <c r="GZ167" s="387"/>
      <c r="HA167" s="358"/>
      <c r="HB167" s="387">
        <v>345.21</v>
      </c>
      <c r="HC167" s="387"/>
      <c r="HD167" s="358"/>
      <c r="HE167" s="387">
        <v>345.21</v>
      </c>
      <c r="HF167" s="387"/>
      <c r="HG167" s="358"/>
      <c r="HH167" s="387">
        <v>345.21</v>
      </c>
      <c r="HI167" s="358"/>
      <c r="HJ167" s="387">
        <v>345.21</v>
      </c>
      <c r="HK167" s="358"/>
      <c r="HL167" s="387">
        <v>345.21</v>
      </c>
      <c r="HM167" s="358"/>
      <c r="HN167" s="387">
        <v>345.21</v>
      </c>
      <c r="HO167" s="358"/>
      <c r="HP167" s="387">
        <v>345.21</v>
      </c>
      <c r="HQ167" s="358"/>
      <c r="HR167" s="387">
        <v>345.21</v>
      </c>
      <c r="HS167" s="358"/>
      <c r="HT167" s="387">
        <v>345.21</v>
      </c>
      <c r="HU167" s="358"/>
      <c r="HV167" s="388">
        <v>345.21</v>
      </c>
      <c r="HW167" s="590" t="s">
        <v>3310</v>
      </c>
      <c r="HX167" s="564">
        <v>345.21</v>
      </c>
      <c r="HY167" s="563"/>
      <c r="HZ167" s="565">
        <v>367.84999999999997</v>
      </c>
      <c r="IA167" s="572"/>
      <c r="IB167" s="572"/>
      <c r="IC167" s="566"/>
      <c r="ID167" s="567"/>
      <c r="IE167" s="567"/>
      <c r="IF167" s="567"/>
      <c r="IG167" s="567"/>
      <c r="IH167" s="568"/>
      <c r="II167" s="569"/>
      <c r="IJ167" s="568"/>
      <c r="IK167" s="569"/>
      <c r="IL167" s="568"/>
      <c r="IM167" s="569"/>
      <c r="IN167" s="568"/>
      <c r="IO167" s="569"/>
      <c r="IP167" s="568"/>
      <c r="IQ167" s="569"/>
      <c r="IR167" s="429" t="s">
        <v>3388</v>
      </c>
      <c r="IS167" s="364" t="s">
        <v>77</v>
      </c>
      <c r="IT167" s="574">
        <v>43676</v>
      </c>
      <c r="IU167" s="562">
        <v>43678</v>
      </c>
      <c r="IV167" s="591">
        <v>44348</v>
      </c>
      <c r="IW167" s="372">
        <f t="shared" si="22"/>
        <v>2</v>
      </c>
      <c r="IX167" s="373">
        <f t="shared" si="23"/>
        <v>12.060655737704916</v>
      </c>
      <c r="IY167" s="531">
        <f t="shared" si="20"/>
        <v>24.121311475409833</v>
      </c>
      <c r="IZ167" s="531"/>
      <c r="JA167" s="531"/>
    </row>
    <row r="168" spans="1:16266" s="367" customFormat="1" ht="16.5" customHeight="1" x14ac:dyDescent="0.3">
      <c r="A168" s="354" t="s">
        <v>2743</v>
      </c>
      <c r="B168" s="411" t="s">
        <v>3832</v>
      </c>
      <c r="C168" s="416" t="s">
        <v>2090</v>
      </c>
      <c r="D168" s="417">
        <v>8164.6119818565903</v>
      </c>
      <c r="E168" s="418">
        <v>0</v>
      </c>
      <c r="F168" s="418">
        <v>0</v>
      </c>
      <c r="G168" s="418">
        <v>0</v>
      </c>
      <c r="H168" s="419">
        <v>36</v>
      </c>
      <c r="I168" s="830">
        <v>8164.6119818565903</v>
      </c>
      <c r="J168" s="831"/>
      <c r="K168" s="831">
        <v>35.615106286748073</v>
      </c>
      <c r="L168" s="831">
        <v>8164.6119818565903</v>
      </c>
      <c r="M168" s="831"/>
      <c r="N168" s="831">
        <v>35.615106286748073</v>
      </c>
      <c r="O168" s="831">
        <v>8164.6119818565903</v>
      </c>
      <c r="P168" s="831"/>
      <c r="Q168" s="831">
        <v>35.615106286748073</v>
      </c>
      <c r="R168" s="831">
        <v>8164.6119818565903</v>
      </c>
      <c r="S168" s="831"/>
      <c r="T168" s="831">
        <v>35.615106286748073</v>
      </c>
      <c r="U168" s="831">
        <v>8164.6119818565903</v>
      </c>
      <c r="V168" s="831"/>
      <c r="W168" s="831">
        <v>35.615106286748073</v>
      </c>
      <c r="X168" s="831">
        <v>8164.6119818565903</v>
      </c>
      <c r="Y168" s="831"/>
      <c r="Z168" s="831">
        <v>35.615106286748073</v>
      </c>
      <c r="AA168" s="831">
        <v>8164.6119818565903</v>
      </c>
      <c r="AB168" s="831"/>
      <c r="AC168" s="831">
        <v>35.615106286748073</v>
      </c>
      <c r="AD168" s="831">
        <v>8164.6119818565903</v>
      </c>
      <c r="AE168" s="831"/>
      <c r="AF168" s="831">
        <v>35.615106286748073</v>
      </c>
      <c r="AG168" s="831">
        <v>8164.6119818565903</v>
      </c>
      <c r="AH168" s="831"/>
      <c r="AI168" s="831">
        <v>35.615106286748073</v>
      </c>
      <c r="AJ168" s="831">
        <v>8164.6119818565903</v>
      </c>
      <c r="AK168" s="831"/>
      <c r="AL168" s="831">
        <v>35.615106286748073</v>
      </c>
      <c r="AM168" s="831">
        <v>8164.6119818565903</v>
      </c>
      <c r="AN168" s="831"/>
      <c r="AO168" s="831">
        <v>35.615106286748073</v>
      </c>
      <c r="AP168" s="831">
        <v>8164.6119818565903</v>
      </c>
      <c r="AQ168" s="831"/>
      <c r="AR168" s="831">
        <v>35.615106286748073</v>
      </c>
      <c r="AS168" s="831">
        <v>8164.6119818565903</v>
      </c>
      <c r="AT168" s="831"/>
      <c r="AU168" s="831">
        <v>35.615106286748073</v>
      </c>
      <c r="AV168" s="831">
        <v>8164.6119818565903</v>
      </c>
      <c r="AW168" s="831"/>
      <c r="AX168" s="831">
        <v>35.615106286748073</v>
      </c>
      <c r="AY168" s="831">
        <v>8164.6119818565903</v>
      </c>
      <c r="AZ168" s="831"/>
      <c r="BA168" s="369">
        <v>35.615106286748073</v>
      </c>
      <c r="BB168" s="385">
        <v>8164.6119818565903</v>
      </c>
      <c r="BC168" s="385"/>
      <c r="BD168" s="369">
        <v>35.615106286748073</v>
      </c>
      <c r="BE168" s="385">
        <v>8164.6119818565903</v>
      </c>
      <c r="BF168" s="385"/>
      <c r="BG168" s="369">
        <v>35.615106286748073</v>
      </c>
      <c r="BH168" s="385">
        <v>8164.6119818565903</v>
      </c>
      <c r="BI168" s="385"/>
      <c r="BJ168" s="369">
        <v>35.615106286748073</v>
      </c>
      <c r="BK168" s="385">
        <v>8164.6119818565903</v>
      </c>
      <c r="BL168" s="385"/>
      <c r="BM168" s="369">
        <v>35.615106286748073</v>
      </c>
      <c r="BN168" s="385">
        <v>8164.6119818565903</v>
      </c>
      <c r="BO168" s="385"/>
      <c r="BP168" s="369">
        <v>35.615106286748073</v>
      </c>
      <c r="BQ168" s="385">
        <v>8164.6119818565903</v>
      </c>
      <c r="BR168" s="385"/>
      <c r="BS168" s="369">
        <v>35.615106286748073</v>
      </c>
      <c r="BT168" s="385">
        <v>8164.6119818565903</v>
      </c>
      <c r="BU168" s="385"/>
      <c r="BV168" s="369">
        <v>35.615106286748073</v>
      </c>
      <c r="BW168" s="385">
        <v>8164.6119818565903</v>
      </c>
      <c r="BX168" s="385"/>
      <c r="BY168" s="369">
        <v>35.615106286748073</v>
      </c>
      <c r="BZ168" s="385">
        <v>8164.6119818565903</v>
      </c>
      <c r="CA168" s="385"/>
      <c r="CB168" s="369">
        <v>35.615106286748073</v>
      </c>
      <c r="CC168" s="385">
        <v>8164.6119818565903</v>
      </c>
      <c r="CD168" s="385"/>
      <c r="CE168" s="369">
        <v>35.615106286748073</v>
      </c>
      <c r="CF168" s="385">
        <v>8164.6119818565903</v>
      </c>
      <c r="CG168" s="385"/>
      <c r="CH168" s="369">
        <v>35.615106286748073</v>
      </c>
      <c r="CI168" s="385">
        <v>8164.6119818565903</v>
      </c>
      <c r="CJ168" s="385"/>
      <c r="CK168" s="369">
        <v>35.615106286748073</v>
      </c>
      <c r="CL168" s="385">
        <v>8164.6119818565903</v>
      </c>
      <c r="CM168" s="385"/>
      <c r="CN168" s="369">
        <v>35.615106286748073</v>
      </c>
      <c r="CO168" s="385">
        <v>8164.6119818565903</v>
      </c>
      <c r="CP168" s="385"/>
      <c r="CQ168" s="369">
        <v>35.615106286748073</v>
      </c>
      <c r="CR168" s="385">
        <v>8164.6119818565903</v>
      </c>
      <c r="CS168" s="385"/>
      <c r="CT168" s="369">
        <v>35.615106286748073</v>
      </c>
      <c r="CU168" s="385">
        <v>8164.6119818565903</v>
      </c>
      <c r="CV168" s="385"/>
      <c r="CW168" s="369">
        <v>35.615106286748073</v>
      </c>
      <c r="CX168" s="385">
        <v>8164.6119818565903</v>
      </c>
      <c r="CY168" s="385"/>
      <c r="CZ168" s="369">
        <v>35.615106286748073</v>
      </c>
      <c r="DA168" s="385">
        <v>8164.6119818565903</v>
      </c>
      <c r="DB168" s="385"/>
      <c r="DC168" s="369">
        <v>35.615106286748073</v>
      </c>
      <c r="DD168" s="385">
        <v>8164.6119818565903</v>
      </c>
      <c r="DE168" s="385"/>
      <c r="DF168" s="369">
        <v>35.615106286748073</v>
      </c>
      <c r="DG168" s="385">
        <v>8164.6119818565903</v>
      </c>
      <c r="DH168" s="385"/>
      <c r="DI168" s="369">
        <v>35.615106286748073</v>
      </c>
      <c r="DJ168" s="385">
        <v>8164.6119818565903</v>
      </c>
      <c r="DK168" s="385"/>
      <c r="DL168" s="369">
        <v>35.615106286748073</v>
      </c>
      <c r="DM168" s="385">
        <v>8164.6119818565903</v>
      </c>
      <c r="DN168" s="385"/>
      <c r="DO168" s="369">
        <v>35.615106286748073</v>
      </c>
      <c r="DP168" s="385">
        <v>8164.6119818565903</v>
      </c>
      <c r="DQ168" s="385"/>
      <c r="DR168" s="369">
        <v>35.615106286748073</v>
      </c>
      <c r="DS168" s="385">
        <v>8164.6119818565903</v>
      </c>
      <c r="DT168" s="385"/>
      <c r="DU168" s="369">
        <v>35.615106286748073</v>
      </c>
      <c r="DV168" s="385">
        <v>8164.6119818565903</v>
      </c>
      <c r="DW168" s="385"/>
      <c r="DX168" s="369">
        <v>35.615106286748073</v>
      </c>
      <c r="DY168" s="385">
        <v>8164.6119818565903</v>
      </c>
      <c r="DZ168" s="385"/>
      <c r="EA168" s="369">
        <v>35.615106286748073</v>
      </c>
      <c r="EB168" s="385">
        <v>8164.6119818565903</v>
      </c>
      <c r="EC168" s="385"/>
      <c r="ED168" s="369">
        <v>35.615106286748073</v>
      </c>
      <c r="EE168" s="385">
        <v>8164.6119818565903</v>
      </c>
      <c r="EF168" s="385"/>
      <c r="EG168" s="369">
        <v>35.615106286748073</v>
      </c>
      <c r="EH168" s="385">
        <v>8164.6119818565903</v>
      </c>
      <c r="EI168" s="385"/>
      <c r="EJ168" s="369">
        <v>35.615106286748073</v>
      </c>
      <c r="EK168" s="385">
        <v>8164.6119818565903</v>
      </c>
      <c r="EL168" s="385"/>
      <c r="EM168" s="369">
        <v>35.615106286748073</v>
      </c>
      <c r="EN168" s="385">
        <v>8164.6119818565903</v>
      </c>
      <c r="EO168" s="385"/>
      <c r="EP168" s="369">
        <v>35.615106286748073</v>
      </c>
      <c r="EQ168" s="385">
        <v>8164.6119818565903</v>
      </c>
      <c r="ER168" s="385"/>
      <c r="ES168" s="369">
        <v>35.615106286748073</v>
      </c>
      <c r="ET168" s="385">
        <v>8164.6119818565903</v>
      </c>
      <c r="EU168" s="385"/>
      <c r="EV168" s="369">
        <v>35.615106286748073</v>
      </c>
      <c r="EW168" s="385">
        <v>8164.6119818565903</v>
      </c>
      <c r="EX168" s="385"/>
      <c r="EY168" s="369">
        <v>35.615106286748073</v>
      </c>
      <c r="EZ168" s="385">
        <v>8164.6119818565903</v>
      </c>
      <c r="FA168" s="385"/>
      <c r="FB168" s="369">
        <v>35.615106286748073</v>
      </c>
      <c r="FC168" s="385">
        <v>8164.6119818565903</v>
      </c>
      <c r="FD168" s="385"/>
      <c r="FE168" s="369">
        <v>35.615106286748073</v>
      </c>
      <c r="FF168" s="385">
        <v>8164.6119818565903</v>
      </c>
      <c r="FG168" s="385"/>
      <c r="FH168" s="369">
        <v>35.615106286748073</v>
      </c>
      <c r="FI168" s="385">
        <v>8164.6119818565903</v>
      </c>
      <c r="FJ168" s="385"/>
      <c r="FK168" s="369">
        <v>35.615106286748073</v>
      </c>
      <c r="FL168" s="385">
        <v>8164.6119818565903</v>
      </c>
      <c r="FM168" s="385"/>
      <c r="FN168" s="369">
        <v>35.615106286748073</v>
      </c>
      <c r="FO168" s="385">
        <v>8164.6119818565903</v>
      </c>
      <c r="FP168" s="385"/>
      <c r="FQ168" s="369">
        <v>35.615106286748073</v>
      </c>
      <c r="FR168" s="385">
        <v>8164.6119818565903</v>
      </c>
      <c r="FS168" s="385"/>
      <c r="FT168" s="369">
        <v>35.615106286748073</v>
      </c>
      <c r="FU168" s="385">
        <v>8164.6119818565903</v>
      </c>
      <c r="FV168" s="385"/>
      <c r="FW168" s="369">
        <v>35.615106286748073</v>
      </c>
      <c r="FX168" s="385">
        <v>8164.6119818565903</v>
      </c>
      <c r="FY168" s="385"/>
      <c r="FZ168" s="369">
        <v>35.615106286748073</v>
      </c>
      <c r="GA168" s="385">
        <v>8164.6119818565903</v>
      </c>
      <c r="GB168" s="385"/>
      <c r="GC168" s="369">
        <v>35.615106286748073</v>
      </c>
      <c r="GD168" s="385">
        <v>8164.6119818565903</v>
      </c>
      <c r="GE168" s="385"/>
      <c r="GF168" s="369">
        <v>35.615106286748073</v>
      </c>
      <c r="GG168" s="385">
        <v>8164.6119818565903</v>
      </c>
      <c r="GH168" s="385"/>
      <c r="GI168" s="369">
        <v>35.615106286748073</v>
      </c>
      <c r="GJ168" s="387">
        <v>8164.6119818565903</v>
      </c>
      <c r="GK168" s="387"/>
      <c r="GL168" s="369">
        <v>35.615106286748073</v>
      </c>
      <c r="GM168" s="387">
        <v>8164.6119818565903</v>
      </c>
      <c r="GN168" s="387"/>
      <c r="GO168" s="369">
        <v>35.615106286748073</v>
      </c>
      <c r="GP168" s="387">
        <v>8164.6119818565903</v>
      </c>
      <c r="GQ168" s="387"/>
      <c r="GR168" s="369">
        <v>35.615106286748073</v>
      </c>
      <c r="GS168" s="387">
        <v>8164.6119818565903</v>
      </c>
      <c r="GT168" s="387"/>
      <c r="GU168" s="369">
        <v>35.615106286748073</v>
      </c>
      <c r="GV168" s="387">
        <v>8164.6119818565903</v>
      </c>
      <c r="GW168" s="387"/>
      <c r="GX168" s="369">
        <v>35.615106286748073</v>
      </c>
      <c r="GY168" s="387">
        <v>8164.6119818565903</v>
      </c>
      <c r="GZ168" s="387"/>
      <c r="HA168" s="369">
        <v>35.615106286748073</v>
      </c>
      <c r="HB168" s="387">
        <v>8164.6119818565903</v>
      </c>
      <c r="HC168" s="387"/>
      <c r="HD168" s="369">
        <v>35.615106286748073</v>
      </c>
      <c r="HE168" s="387">
        <v>8164.6119818565903</v>
      </c>
      <c r="HF168" s="387"/>
      <c r="HG168" s="369">
        <v>35.615106286748073</v>
      </c>
      <c r="HH168" s="387">
        <v>8164.6119818565903</v>
      </c>
      <c r="HI168" s="369">
        <v>35.615106286748073</v>
      </c>
      <c r="HJ168" s="387">
        <v>8164.6119818565903</v>
      </c>
      <c r="HK168" s="369">
        <v>35.615106286748073</v>
      </c>
      <c r="HL168" s="387">
        <v>8164.6119818565903</v>
      </c>
      <c r="HM168" s="369">
        <v>35.615106286748073</v>
      </c>
      <c r="HN168" s="387">
        <v>8164.6119818565903</v>
      </c>
      <c r="HO168" s="369">
        <v>35.615106286748073</v>
      </c>
      <c r="HP168" s="387">
        <v>8164.6119818565903</v>
      </c>
      <c r="HQ168" s="369">
        <v>35.615106286748073</v>
      </c>
      <c r="HR168" s="387">
        <v>8164.6119818565903</v>
      </c>
      <c r="HS168" s="369">
        <v>35.615106286748073</v>
      </c>
      <c r="HT168" s="387">
        <v>8164.6119818565903</v>
      </c>
      <c r="HU168" s="369">
        <v>35.615106286748073</v>
      </c>
      <c r="HV168" s="388">
        <v>8164.6119818565903</v>
      </c>
      <c r="HW168" s="570">
        <v>35.615106286748073</v>
      </c>
      <c r="HX168" s="564">
        <v>33996.908908058591</v>
      </c>
      <c r="HY168" s="592">
        <f>36/30.5*IW168</f>
        <v>149.90163934426229</v>
      </c>
      <c r="HZ168" s="572"/>
      <c r="IA168" s="572"/>
      <c r="IB168" s="572"/>
      <c r="IC168" s="566"/>
      <c r="ID168" s="567"/>
      <c r="IE168" s="567"/>
      <c r="IF168" s="567"/>
      <c r="IG168" s="567"/>
      <c r="IH168" s="568"/>
      <c r="II168" s="569"/>
      <c r="IJ168" s="568"/>
      <c r="IK168" s="569"/>
      <c r="IL168" s="568"/>
      <c r="IM168" s="569"/>
      <c r="IN168" s="568"/>
      <c r="IO168" s="569"/>
      <c r="IP168" s="568"/>
      <c r="IQ168" s="569"/>
      <c r="IR168" s="429" t="s">
        <v>3389</v>
      </c>
      <c r="IS168" s="364" t="s">
        <v>77</v>
      </c>
      <c r="IT168" s="574">
        <v>43612</v>
      </c>
      <c r="IU168" s="393">
        <v>43739</v>
      </c>
      <c r="IV168" s="575"/>
      <c r="IW168" s="372">
        <f t="shared" si="22"/>
        <v>127</v>
      </c>
      <c r="IX168" s="373">
        <f>'[15]Prix accès'!D154/30.5</f>
        <v>35.451030370525721</v>
      </c>
      <c r="IY168" s="531">
        <f t="shared" si="20"/>
        <v>4502.2808570567668</v>
      </c>
      <c r="IZ168" s="531"/>
      <c r="JA168" s="531"/>
    </row>
    <row r="169" spans="1:16266" s="367" customFormat="1" ht="16.5" customHeight="1" x14ac:dyDescent="0.3">
      <c r="A169" s="354" t="s">
        <v>2743</v>
      </c>
      <c r="B169" s="411" t="s">
        <v>3832</v>
      </c>
      <c r="C169" s="447" t="s">
        <v>1019</v>
      </c>
      <c r="D169" s="448">
        <v>3261.6119818565899</v>
      </c>
      <c r="E169" s="449">
        <v>0</v>
      </c>
      <c r="F169" s="449">
        <v>0</v>
      </c>
      <c r="G169" s="449">
        <v>0</v>
      </c>
      <c r="H169" s="450">
        <v>36</v>
      </c>
      <c r="I169" s="830">
        <v>3261.6119818565899</v>
      </c>
      <c r="J169" s="831"/>
      <c r="K169" s="831">
        <v>35.615106286748073</v>
      </c>
      <c r="L169" s="831">
        <v>3261.6119818565899</v>
      </c>
      <c r="M169" s="831"/>
      <c r="N169" s="831">
        <v>35.615106286748073</v>
      </c>
      <c r="O169" s="831">
        <v>3261.6119818565899</v>
      </c>
      <c r="P169" s="831"/>
      <c r="Q169" s="831">
        <v>35.615106286748073</v>
      </c>
      <c r="R169" s="831">
        <v>3261.6119818565899</v>
      </c>
      <c r="S169" s="831"/>
      <c r="T169" s="831">
        <v>35.615106286748073</v>
      </c>
      <c r="U169" s="831">
        <v>3261.6119818565899</v>
      </c>
      <c r="V169" s="831"/>
      <c r="W169" s="831">
        <v>35.615106286748073</v>
      </c>
      <c r="X169" s="831">
        <v>3261.6119818565899</v>
      </c>
      <c r="Y169" s="831"/>
      <c r="Z169" s="831">
        <v>35.615106286748073</v>
      </c>
      <c r="AA169" s="831">
        <v>3261.6119818565899</v>
      </c>
      <c r="AB169" s="831"/>
      <c r="AC169" s="831">
        <v>35.615106286748073</v>
      </c>
      <c r="AD169" s="831">
        <v>3261.6119818565899</v>
      </c>
      <c r="AE169" s="831"/>
      <c r="AF169" s="831">
        <v>35.615106286748073</v>
      </c>
      <c r="AG169" s="831">
        <v>3261.6119818565899</v>
      </c>
      <c r="AH169" s="831"/>
      <c r="AI169" s="831">
        <v>35.615106286748073</v>
      </c>
      <c r="AJ169" s="831">
        <v>3261.6119818565899</v>
      </c>
      <c r="AK169" s="831"/>
      <c r="AL169" s="831">
        <v>35.615106286748073</v>
      </c>
      <c r="AM169" s="831">
        <v>3261.6119818565899</v>
      </c>
      <c r="AN169" s="831"/>
      <c r="AO169" s="831">
        <v>35.615106286748073</v>
      </c>
      <c r="AP169" s="831">
        <v>3261.6119818565899</v>
      </c>
      <c r="AQ169" s="831"/>
      <c r="AR169" s="831">
        <v>35.615106286748073</v>
      </c>
      <c r="AS169" s="831">
        <v>3261.6119818565899</v>
      </c>
      <c r="AT169" s="831"/>
      <c r="AU169" s="831">
        <v>35.615106286748073</v>
      </c>
      <c r="AV169" s="831">
        <v>3261.6119818565899</v>
      </c>
      <c r="AW169" s="831"/>
      <c r="AX169" s="831">
        <v>35.615106286748073</v>
      </c>
      <c r="AY169" s="831">
        <v>3261.6119818565899</v>
      </c>
      <c r="AZ169" s="831"/>
      <c r="BA169" s="369">
        <v>35.615106286748073</v>
      </c>
      <c r="BB169" s="385">
        <v>3261.6119818565899</v>
      </c>
      <c r="BC169" s="385"/>
      <c r="BD169" s="369">
        <v>35.615106286748073</v>
      </c>
      <c r="BE169" s="385">
        <v>3261.6119818565899</v>
      </c>
      <c r="BF169" s="385"/>
      <c r="BG169" s="369">
        <v>35.615106286748073</v>
      </c>
      <c r="BH169" s="385">
        <v>3261.6119818565899</v>
      </c>
      <c r="BI169" s="385"/>
      <c r="BJ169" s="369">
        <v>35.615106286748073</v>
      </c>
      <c r="BK169" s="385">
        <v>3261.6119818565899</v>
      </c>
      <c r="BL169" s="385"/>
      <c r="BM169" s="369">
        <v>35.615106286748073</v>
      </c>
      <c r="BN169" s="385">
        <v>3261.6119818565899</v>
      </c>
      <c r="BO169" s="385"/>
      <c r="BP169" s="369">
        <v>35.615106286748073</v>
      </c>
      <c r="BQ169" s="385">
        <v>3261.6119818565899</v>
      </c>
      <c r="BR169" s="385"/>
      <c r="BS169" s="369">
        <v>35.615106286748073</v>
      </c>
      <c r="BT169" s="385">
        <v>3261.6119818565899</v>
      </c>
      <c r="BU169" s="385"/>
      <c r="BV169" s="369">
        <v>35.615106286748073</v>
      </c>
      <c r="BW169" s="385">
        <v>3261.6119818565899</v>
      </c>
      <c r="BX169" s="385"/>
      <c r="BY169" s="369">
        <v>35.615106286748073</v>
      </c>
      <c r="BZ169" s="385">
        <v>3261.6119818565899</v>
      </c>
      <c r="CA169" s="385"/>
      <c r="CB169" s="369">
        <v>35.615106286748073</v>
      </c>
      <c r="CC169" s="385">
        <v>3261.6119818565899</v>
      </c>
      <c r="CD169" s="385"/>
      <c r="CE169" s="369">
        <v>35.615106286748073</v>
      </c>
      <c r="CF169" s="385">
        <v>3261.6119818565899</v>
      </c>
      <c r="CG169" s="385"/>
      <c r="CH169" s="369">
        <v>35.615106286748073</v>
      </c>
      <c r="CI169" s="385">
        <v>3261.6119818565899</v>
      </c>
      <c r="CJ169" s="385"/>
      <c r="CK169" s="369">
        <v>35.615106286748073</v>
      </c>
      <c r="CL169" s="385">
        <v>3261.6119818565899</v>
      </c>
      <c r="CM169" s="385"/>
      <c r="CN169" s="369">
        <v>35.615106286748073</v>
      </c>
      <c r="CO169" s="385">
        <v>3261.6119818565899</v>
      </c>
      <c r="CP169" s="385"/>
      <c r="CQ169" s="369">
        <v>35.615106286748073</v>
      </c>
      <c r="CR169" s="385">
        <v>3261.6119818565899</v>
      </c>
      <c r="CS169" s="385"/>
      <c r="CT169" s="369">
        <v>35.615106286748073</v>
      </c>
      <c r="CU169" s="385">
        <v>3261.6119818565899</v>
      </c>
      <c r="CV169" s="385"/>
      <c r="CW169" s="369">
        <v>35.615106286748073</v>
      </c>
      <c r="CX169" s="385">
        <v>3261.6119818565899</v>
      </c>
      <c r="CY169" s="385"/>
      <c r="CZ169" s="369">
        <v>35.615106286748073</v>
      </c>
      <c r="DA169" s="385">
        <v>3261.6119818565899</v>
      </c>
      <c r="DB169" s="385"/>
      <c r="DC169" s="369">
        <v>35.615106286748073</v>
      </c>
      <c r="DD169" s="385">
        <v>3261.6119818565899</v>
      </c>
      <c r="DE169" s="385"/>
      <c r="DF169" s="369">
        <v>35.615106286748073</v>
      </c>
      <c r="DG169" s="385">
        <v>3261.6119818565899</v>
      </c>
      <c r="DH169" s="385"/>
      <c r="DI169" s="369">
        <v>35.615106286748073</v>
      </c>
      <c r="DJ169" s="385">
        <v>3261.6119818565899</v>
      </c>
      <c r="DK169" s="385"/>
      <c r="DL169" s="369">
        <v>35.615106286748073</v>
      </c>
      <c r="DM169" s="385">
        <v>3261.6119818565899</v>
      </c>
      <c r="DN169" s="385"/>
      <c r="DO169" s="369">
        <v>35.615106286748073</v>
      </c>
      <c r="DP169" s="385">
        <v>3261.6119818565899</v>
      </c>
      <c r="DQ169" s="385"/>
      <c r="DR169" s="369">
        <v>35.615106286748073</v>
      </c>
      <c r="DS169" s="385">
        <v>3261.6119818565899</v>
      </c>
      <c r="DT169" s="385"/>
      <c r="DU169" s="369">
        <v>35.615106286748073</v>
      </c>
      <c r="DV169" s="385">
        <v>3261.6119818565899</v>
      </c>
      <c r="DW169" s="385"/>
      <c r="DX169" s="369">
        <v>35.615106286748073</v>
      </c>
      <c r="DY169" s="385">
        <v>3261.6119818565899</v>
      </c>
      <c r="DZ169" s="385"/>
      <c r="EA169" s="369">
        <v>35.615106286748073</v>
      </c>
      <c r="EB169" s="385">
        <v>3261.6119818565899</v>
      </c>
      <c r="EC169" s="385"/>
      <c r="ED169" s="369">
        <v>35.615106286748073</v>
      </c>
      <c r="EE169" s="385">
        <v>3261.6119818565899</v>
      </c>
      <c r="EF169" s="385"/>
      <c r="EG169" s="369">
        <v>35.615106286748073</v>
      </c>
      <c r="EH169" s="385">
        <v>3261.6119818565899</v>
      </c>
      <c r="EI169" s="385"/>
      <c r="EJ169" s="369">
        <v>35.615106286748073</v>
      </c>
      <c r="EK169" s="385">
        <v>3261.6119818565899</v>
      </c>
      <c r="EL169" s="385"/>
      <c r="EM169" s="369">
        <v>35.615106286748073</v>
      </c>
      <c r="EN169" s="385">
        <v>3261.6119818565899</v>
      </c>
      <c r="EO169" s="385"/>
      <c r="EP169" s="369">
        <v>35.615106286748073</v>
      </c>
      <c r="EQ169" s="385">
        <v>3261.6119818565899</v>
      </c>
      <c r="ER169" s="385"/>
      <c r="ES169" s="369">
        <v>35.615106286748073</v>
      </c>
      <c r="ET169" s="385">
        <v>3261.6119818565899</v>
      </c>
      <c r="EU169" s="385"/>
      <c r="EV169" s="369">
        <v>35.615106286748073</v>
      </c>
      <c r="EW169" s="385">
        <v>3261.6119818565899</v>
      </c>
      <c r="EX169" s="385"/>
      <c r="EY169" s="369">
        <v>35.615106286748073</v>
      </c>
      <c r="EZ169" s="385">
        <v>3261.6119818565899</v>
      </c>
      <c r="FA169" s="385"/>
      <c r="FB169" s="369">
        <v>35.615106286748073</v>
      </c>
      <c r="FC169" s="385">
        <v>3261.6119818565899</v>
      </c>
      <c r="FD169" s="385"/>
      <c r="FE169" s="369">
        <v>35.615106286748073</v>
      </c>
      <c r="FF169" s="385">
        <v>3261.6119818565899</v>
      </c>
      <c r="FG169" s="385"/>
      <c r="FH169" s="369">
        <v>35.615106286748073</v>
      </c>
      <c r="FI169" s="385">
        <v>3261.6119818565899</v>
      </c>
      <c r="FJ169" s="385"/>
      <c r="FK169" s="369">
        <v>35.615106286748073</v>
      </c>
      <c r="FL169" s="385">
        <v>3261.6119818565899</v>
      </c>
      <c r="FM169" s="385"/>
      <c r="FN169" s="369">
        <v>35.615106286748073</v>
      </c>
      <c r="FO169" s="385">
        <v>3261.6119818565899</v>
      </c>
      <c r="FP169" s="385"/>
      <c r="FQ169" s="369">
        <v>35.615106286748073</v>
      </c>
      <c r="FR169" s="385">
        <v>3261.6119818565899</v>
      </c>
      <c r="FS169" s="385"/>
      <c r="FT169" s="369">
        <v>35.615106286748073</v>
      </c>
      <c r="FU169" s="385">
        <v>3261.6119818565899</v>
      </c>
      <c r="FV169" s="385"/>
      <c r="FW169" s="369">
        <v>35.615106286748073</v>
      </c>
      <c r="FX169" s="385">
        <v>3261.6119818565899</v>
      </c>
      <c r="FY169" s="385"/>
      <c r="FZ169" s="369">
        <v>35.615106286748073</v>
      </c>
      <c r="GA169" s="385">
        <v>3261.6119818565899</v>
      </c>
      <c r="GB169" s="385"/>
      <c r="GC169" s="369">
        <v>35.615106286748073</v>
      </c>
      <c r="GD169" s="385">
        <v>3261.6119818565899</v>
      </c>
      <c r="GE169" s="385"/>
      <c r="GF169" s="369">
        <v>35.615106286748073</v>
      </c>
      <c r="GG169" s="385">
        <v>3261.6119818565899</v>
      </c>
      <c r="GH169" s="385"/>
      <c r="GI169" s="369">
        <v>35.615106286748073</v>
      </c>
      <c r="GJ169" s="387">
        <v>3261.6119818565899</v>
      </c>
      <c r="GK169" s="387"/>
      <c r="GL169" s="369">
        <v>35.615106286748073</v>
      </c>
      <c r="GM169" s="387">
        <v>3261.6119818565899</v>
      </c>
      <c r="GN169" s="387"/>
      <c r="GO169" s="369">
        <v>35.615106286748073</v>
      </c>
      <c r="GP169" s="387">
        <v>3261.6119818565899</v>
      </c>
      <c r="GQ169" s="387"/>
      <c r="GR169" s="369">
        <v>35.615106286748073</v>
      </c>
      <c r="GS169" s="387">
        <v>3261.6119818565899</v>
      </c>
      <c r="GT169" s="387"/>
      <c r="GU169" s="369">
        <v>35.615106286748073</v>
      </c>
      <c r="GV169" s="387">
        <v>3261.6119818565899</v>
      </c>
      <c r="GW169" s="387"/>
      <c r="GX169" s="369">
        <v>35.615106286748073</v>
      </c>
      <c r="GY169" s="387">
        <v>3261.6119818565899</v>
      </c>
      <c r="GZ169" s="387"/>
      <c r="HA169" s="369">
        <v>35.615106286748073</v>
      </c>
      <c r="HB169" s="387">
        <v>3261.6119818565899</v>
      </c>
      <c r="HC169" s="387"/>
      <c r="HD169" s="369">
        <v>35.615106286748073</v>
      </c>
      <c r="HE169" s="387">
        <v>3261.6119818565899</v>
      </c>
      <c r="HF169" s="387"/>
      <c r="HG169" s="369">
        <v>35.615106286748073</v>
      </c>
      <c r="HH169" s="387">
        <v>3261.6119818565899</v>
      </c>
      <c r="HI169" s="369">
        <v>35.615106286748073</v>
      </c>
      <c r="HJ169" s="387">
        <v>3261.6119818565899</v>
      </c>
      <c r="HK169" s="369">
        <v>35.615106286748073</v>
      </c>
      <c r="HL169" s="387">
        <v>3261.6119818565899</v>
      </c>
      <c r="HM169" s="369">
        <v>35.615106286748073</v>
      </c>
      <c r="HN169" s="387">
        <v>3261.6119818565899</v>
      </c>
      <c r="HO169" s="369">
        <v>35.615106286748073</v>
      </c>
      <c r="HP169" s="387">
        <v>3261.6119818565899</v>
      </c>
      <c r="HQ169" s="369">
        <v>35.615106286748073</v>
      </c>
      <c r="HR169" s="387">
        <v>3261.6119818565899</v>
      </c>
      <c r="HS169" s="369">
        <v>35.615106286748073</v>
      </c>
      <c r="HT169" s="387">
        <v>3261.6119818565899</v>
      </c>
      <c r="HU169" s="369">
        <v>35.615106286748073</v>
      </c>
      <c r="HV169" s="388">
        <v>3261.6119818565899</v>
      </c>
      <c r="HW169" s="570">
        <v>35.615106286748073</v>
      </c>
      <c r="HX169" s="564">
        <v>13581.138416255309</v>
      </c>
      <c r="HY169" s="592">
        <f>36/30.5*IW169</f>
        <v>149.90163934426229</v>
      </c>
      <c r="HZ169" s="572"/>
      <c r="IA169" s="572"/>
      <c r="IB169" s="572"/>
      <c r="IC169" s="566"/>
      <c r="ID169" s="567"/>
      <c r="IE169" s="567"/>
      <c r="IF169" s="567"/>
      <c r="IG169" s="567"/>
      <c r="IH169" s="568"/>
      <c r="II169" s="569"/>
      <c r="IJ169" s="568"/>
      <c r="IK169" s="569"/>
      <c r="IL169" s="568"/>
      <c r="IM169" s="569"/>
      <c r="IN169" s="568"/>
      <c r="IO169" s="569"/>
      <c r="IP169" s="568"/>
      <c r="IQ169" s="569"/>
      <c r="IR169" s="429" t="s">
        <v>3390</v>
      </c>
      <c r="IS169" s="364" t="s">
        <v>77</v>
      </c>
      <c r="IT169" s="574">
        <v>43612</v>
      </c>
      <c r="IU169" s="393">
        <v>43739</v>
      </c>
      <c r="IV169" s="575"/>
      <c r="IW169" s="372">
        <f t="shared" si="22"/>
        <v>127</v>
      </c>
      <c r="IX169" s="373">
        <f>'[15]Prix accès'!D155/30.5</f>
        <v>33.542833649214245</v>
      </c>
      <c r="IY169" s="531">
        <f t="shared" si="20"/>
        <v>4259.9398734502092</v>
      </c>
      <c r="IZ169" s="531"/>
      <c r="JA169" s="531"/>
    </row>
    <row r="170" spans="1:16266" s="367" customFormat="1" ht="16.5" customHeight="1" x14ac:dyDescent="0.3">
      <c r="A170" s="354" t="s">
        <v>2735</v>
      </c>
      <c r="B170" s="415" t="s">
        <v>2867</v>
      </c>
      <c r="C170" s="466" t="s">
        <v>903</v>
      </c>
      <c r="D170" s="467">
        <v>290</v>
      </c>
      <c r="E170" s="468">
        <v>27</v>
      </c>
      <c r="F170" s="468">
        <v>0</v>
      </c>
      <c r="G170" s="468">
        <v>0</v>
      </c>
      <c r="H170" s="469">
        <v>0</v>
      </c>
      <c r="I170" s="841">
        <v>317</v>
      </c>
      <c r="J170" s="827"/>
      <c r="K170" s="827"/>
      <c r="L170" s="835">
        <v>317</v>
      </c>
      <c r="M170" s="827"/>
      <c r="N170" s="827"/>
      <c r="O170" s="835">
        <v>317</v>
      </c>
      <c r="P170" s="827"/>
      <c r="Q170" s="827"/>
      <c r="R170" s="835">
        <v>317</v>
      </c>
      <c r="S170" s="827"/>
      <c r="T170" s="827"/>
      <c r="U170" s="835">
        <v>317</v>
      </c>
      <c r="V170" s="827"/>
      <c r="W170" s="827"/>
      <c r="X170" s="835">
        <v>317</v>
      </c>
      <c r="Y170" s="827"/>
      <c r="Z170" s="827"/>
      <c r="AA170" s="835">
        <v>317</v>
      </c>
      <c r="AB170" s="827"/>
      <c r="AC170" s="827"/>
      <c r="AD170" s="835">
        <v>317</v>
      </c>
      <c r="AE170" s="827"/>
      <c r="AF170" s="827"/>
      <c r="AG170" s="835">
        <v>317</v>
      </c>
      <c r="AH170" s="827"/>
      <c r="AI170" s="827"/>
      <c r="AJ170" s="835">
        <v>317</v>
      </c>
      <c r="AK170" s="827"/>
      <c r="AL170" s="827"/>
      <c r="AM170" s="835">
        <v>317</v>
      </c>
      <c r="AN170" s="827"/>
      <c r="AO170" s="827"/>
      <c r="AP170" s="835">
        <v>317</v>
      </c>
      <c r="AQ170" s="827"/>
      <c r="AR170" s="827"/>
      <c r="AS170" s="881">
        <f>((317-269)/30.5)*31+317</f>
        <v>365.78688524590166</v>
      </c>
      <c r="AT170" s="827"/>
      <c r="AU170" s="827"/>
      <c r="AV170" s="829">
        <v>269.41198185659005</v>
      </c>
      <c r="AW170" s="827"/>
      <c r="AX170" s="827"/>
      <c r="AY170" s="829">
        <v>269.41198185659005</v>
      </c>
      <c r="AZ170" s="827"/>
      <c r="BA170" s="358"/>
      <c r="BB170" s="387">
        <v>269.41198185659005</v>
      </c>
      <c r="BC170" s="358"/>
      <c r="BD170" s="358"/>
      <c r="BE170" s="387">
        <v>269.41198185659005</v>
      </c>
      <c r="BF170" s="358"/>
      <c r="BG170" s="358"/>
      <c r="BH170" s="387">
        <v>269.41198185659005</v>
      </c>
      <c r="BI170" s="385"/>
      <c r="BJ170" s="358"/>
      <c r="BK170" s="387">
        <v>269.41198185659005</v>
      </c>
      <c r="BL170" s="385"/>
      <c r="BM170" s="358"/>
      <c r="BN170" s="387">
        <v>269.41198185659005</v>
      </c>
      <c r="BO170" s="385"/>
      <c r="BP170" s="358"/>
      <c r="BQ170" s="387">
        <v>269.41198185659005</v>
      </c>
      <c r="BR170" s="385"/>
      <c r="BS170" s="358"/>
      <c r="BT170" s="387">
        <v>269.41198185659005</v>
      </c>
      <c r="BU170" s="385"/>
      <c r="BV170" s="358"/>
      <c r="BW170" s="387">
        <v>269.41198185659005</v>
      </c>
      <c r="BX170" s="385"/>
      <c r="BY170" s="358"/>
      <c r="BZ170" s="387">
        <v>269.41198185659005</v>
      </c>
      <c r="CA170" s="385"/>
      <c r="CB170" s="358"/>
      <c r="CC170" s="387">
        <v>269.41198185659005</v>
      </c>
      <c r="CD170" s="385"/>
      <c r="CE170" s="358"/>
      <c r="CF170" s="387">
        <v>269.41198185659005</v>
      </c>
      <c r="CG170" s="385"/>
      <c r="CH170" s="358"/>
      <c r="CI170" s="387">
        <v>269.41198185659005</v>
      </c>
      <c r="CJ170" s="385"/>
      <c r="CK170" s="358"/>
      <c r="CL170" s="387">
        <v>269.41198185659005</v>
      </c>
      <c r="CM170" s="385"/>
      <c r="CN170" s="358"/>
      <c r="CO170" s="387">
        <v>269.41198185659005</v>
      </c>
      <c r="CP170" s="385"/>
      <c r="CQ170" s="358"/>
      <c r="CR170" s="387">
        <v>269.41198185659005</v>
      </c>
      <c r="CS170" s="385"/>
      <c r="CT170" s="358"/>
      <c r="CU170" s="387">
        <v>269.41198185659005</v>
      </c>
      <c r="CV170" s="385"/>
      <c r="CW170" s="358"/>
      <c r="CX170" s="387">
        <v>269.41198185659005</v>
      </c>
      <c r="CY170" s="385"/>
      <c r="CZ170" s="358"/>
      <c r="DA170" s="387">
        <v>269.41198185659005</v>
      </c>
      <c r="DB170" s="385"/>
      <c r="DC170" s="358"/>
      <c r="DD170" s="387">
        <v>269.41198185659005</v>
      </c>
      <c r="DE170" s="385"/>
      <c r="DF170" s="358"/>
      <c r="DG170" s="387">
        <v>269.41198185659005</v>
      </c>
      <c r="DH170" s="385"/>
      <c r="DI170" s="358"/>
      <c r="DJ170" s="387">
        <v>269.41198185659005</v>
      </c>
      <c r="DK170" s="385"/>
      <c r="DL170" s="358"/>
      <c r="DM170" s="387">
        <v>269.41198185659005</v>
      </c>
      <c r="DN170" s="385"/>
      <c r="DO170" s="358"/>
      <c r="DP170" s="387">
        <v>269.41198185659005</v>
      </c>
      <c r="DQ170" s="385"/>
      <c r="DR170" s="358"/>
      <c r="DS170" s="387">
        <v>269.41198185659005</v>
      </c>
      <c r="DT170" s="385"/>
      <c r="DU170" s="358"/>
      <c r="DV170" s="387">
        <v>269.41198185659005</v>
      </c>
      <c r="DW170" s="385"/>
      <c r="DX170" s="358"/>
      <c r="DY170" s="387">
        <v>269.41198185659005</v>
      </c>
      <c r="DZ170" s="385"/>
      <c r="EA170" s="358"/>
      <c r="EB170" s="387">
        <v>269.41198185659005</v>
      </c>
      <c r="EC170" s="385"/>
      <c r="ED170" s="358"/>
      <c r="EE170" s="387">
        <v>269.41198185659005</v>
      </c>
      <c r="EF170" s="385"/>
      <c r="EG170" s="358"/>
      <c r="EH170" s="387">
        <v>269.41198185659005</v>
      </c>
      <c r="EI170" s="385"/>
      <c r="EJ170" s="358"/>
      <c r="EK170" s="387">
        <v>269.41198185659005</v>
      </c>
      <c r="EL170" s="385"/>
      <c r="EM170" s="358"/>
      <c r="EN170" s="387">
        <v>269.41198185659005</v>
      </c>
      <c r="EO170" s="385"/>
      <c r="EP170" s="358"/>
      <c r="EQ170" s="387">
        <v>269.41198185659005</v>
      </c>
      <c r="ER170" s="385"/>
      <c r="ES170" s="358"/>
      <c r="ET170" s="387">
        <v>269.41198185659005</v>
      </c>
      <c r="EU170" s="385"/>
      <c r="EV170" s="358"/>
      <c r="EW170" s="387">
        <v>269.41198185659005</v>
      </c>
      <c r="EX170" s="385"/>
      <c r="EY170" s="358"/>
      <c r="EZ170" s="387">
        <v>269.41198185659005</v>
      </c>
      <c r="FA170" s="385"/>
      <c r="FB170" s="358"/>
      <c r="FC170" s="387">
        <v>269.41198185659005</v>
      </c>
      <c r="FD170" s="385"/>
      <c r="FE170" s="358"/>
      <c r="FF170" s="387">
        <v>269.41198185659005</v>
      </c>
      <c r="FG170" s="385"/>
      <c r="FH170" s="358"/>
      <c r="FI170" s="387">
        <v>269.41198185659005</v>
      </c>
      <c r="FJ170" s="385"/>
      <c r="FK170" s="358"/>
      <c r="FL170" s="387">
        <v>269.41198185659005</v>
      </c>
      <c r="FM170" s="385"/>
      <c r="FN170" s="358"/>
      <c r="FO170" s="387">
        <v>269.41198185659005</v>
      </c>
      <c r="FP170" s="385"/>
      <c r="FQ170" s="358"/>
      <c r="FR170" s="387">
        <v>269.41198185659005</v>
      </c>
      <c r="FS170" s="385"/>
      <c r="FT170" s="358"/>
      <c r="FU170" s="387">
        <v>269.41198185659005</v>
      </c>
      <c r="FV170" s="385"/>
      <c r="FW170" s="358"/>
      <c r="FX170" s="387">
        <v>269.41198185659005</v>
      </c>
      <c r="FY170" s="385"/>
      <c r="FZ170" s="358"/>
      <c r="GA170" s="387">
        <v>269.41198185659005</v>
      </c>
      <c r="GB170" s="385"/>
      <c r="GC170" s="358"/>
      <c r="GD170" s="387">
        <v>269.41198185659005</v>
      </c>
      <c r="GE170" s="385"/>
      <c r="GF170" s="358"/>
      <c r="GG170" s="387">
        <v>269.41198185659005</v>
      </c>
      <c r="GH170" s="385"/>
      <c r="GI170" s="358"/>
      <c r="GJ170" s="387">
        <v>269.41198185659005</v>
      </c>
      <c r="GK170" s="385"/>
      <c r="GL170" s="358"/>
      <c r="GM170" s="387">
        <v>269.41198185659005</v>
      </c>
      <c r="GN170" s="385"/>
      <c r="GO170" s="358"/>
      <c r="GP170" s="387">
        <v>269.41198185659005</v>
      </c>
      <c r="GQ170" s="385"/>
      <c r="GR170" s="358"/>
      <c r="GS170" s="387">
        <v>269.41198185659005</v>
      </c>
      <c r="GT170" s="385"/>
      <c r="GU170" s="358"/>
      <c r="GV170" s="387">
        <v>269.41198185659005</v>
      </c>
      <c r="GW170" s="385"/>
      <c r="GX170" s="358"/>
      <c r="GY170" s="387">
        <v>269.41198185659005</v>
      </c>
      <c r="GZ170" s="385"/>
      <c r="HA170" s="358"/>
      <c r="HB170" s="387">
        <v>269.41198185659005</v>
      </c>
      <c r="HC170" s="385"/>
      <c r="HD170" s="358"/>
      <c r="HE170" s="387">
        <v>269.41198185659005</v>
      </c>
      <c r="HF170" s="385"/>
      <c r="HG170" s="358"/>
      <c r="HH170" s="387">
        <v>269.41198185659005</v>
      </c>
      <c r="HI170" s="358"/>
      <c r="HJ170" s="387">
        <v>269.41198185659005</v>
      </c>
      <c r="HK170" s="358"/>
      <c r="HL170" s="387">
        <v>269.41198185659005</v>
      </c>
      <c r="HM170" s="358"/>
      <c r="HN170" s="387">
        <v>269.41198185659005</v>
      </c>
      <c r="HO170" s="358"/>
      <c r="HP170" s="387">
        <v>269.41198185659005</v>
      </c>
      <c r="HQ170" s="358"/>
      <c r="HR170" s="387">
        <v>269.41198185659005</v>
      </c>
      <c r="HS170" s="358"/>
      <c r="HT170" s="387">
        <v>269.41198185659005</v>
      </c>
      <c r="HU170" s="358"/>
      <c r="HV170" s="388">
        <v>269.41198185659005</v>
      </c>
      <c r="HW170" s="563" t="s">
        <v>3310</v>
      </c>
      <c r="HX170" s="564">
        <v>468.15852584915643</v>
      </c>
      <c r="HY170" s="572"/>
      <c r="HZ170" s="572"/>
      <c r="IA170" s="572"/>
      <c r="IB170" s="572"/>
      <c r="IC170" s="566"/>
      <c r="ID170" s="567"/>
      <c r="IE170" s="567"/>
      <c r="IF170" s="567"/>
      <c r="IG170" s="567"/>
      <c r="IH170" s="568"/>
      <c r="II170" s="569"/>
      <c r="IJ170" s="568"/>
      <c r="IK170" s="569"/>
      <c r="IL170" s="568"/>
      <c r="IM170" s="569"/>
      <c r="IN170" s="568"/>
      <c r="IO170" s="569"/>
      <c r="IP170" s="568"/>
      <c r="IQ170" s="569"/>
      <c r="IR170" s="429" t="s">
        <v>3108</v>
      </c>
      <c r="IS170" s="364" t="s">
        <v>77</v>
      </c>
      <c r="IT170" s="574">
        <v>43686</v>
      </c>
      <c r="IU170" s="393">
        <v>43739</v>
      </c>
      <c r="IV170" s="575"/>
      <c r="IW170" s="372">
        <f t="shared" si="22"/>
        <v>53</v>
      </c>
      <c r="IX170" s="373">
        <f t="shared" ref="IX170:IX177" si="24">HX170/30.5</f>
        <v>15.349459863906768</v>
      </c>
      <c r="IY170" s="531">
        <f t="shared" si="20"/>
        <v>813.52137278705868</v>
      </c>
      <c r="IZ170" s="531"/>
      <c r="JA170" s="531"/>
    </row>
    <row r="171" spans="1:16266" s="367" customFormat="1" ht="16.5" customHeight="1" x14ac:dyDescent="0.3">
      <c r="A171" s="401" t="s">
        <v>3315</v>
      </c>
      <c r="B171" s="402" t="s">
        <v>3315</v>
      </c>
      <c r="C171" s="434" t="s">
        <v>3391</v>
      </c>
      <c r="D171" s="856"/>
      <c r="E171" s="751"/>
      <c r="F171" s="751"/>
      <c r="G171" s="751"/>
      <c r="H171" s="857"/>
      <c r="I171" s="853">
        <v>0</v>
      </c>
      <c r="J171" s="833">
        <v>0</v>
      </c>
      <c r="K171" s="833">
        <v>0</v>
      </c>
      <c r="L171" s="833">
        <v>0</v>
      </c>
      <c r="M171" s="833">
        <v>0</v>
      </c>
      <c r="N171" s="833">
        <v>0</v>
      </c>
      <c r="O171" s="833">
        <v>0</v>
      </c>
      <c r="P171" s="833">
        <v>0</v>
      </c>
      <c r="Q171" s="833">
        <v>0</v>
      </c>
      <c r="R171" s="833">
        <v>0</v>
      </c>
      <c r="S171" s="833">
        <v>0</v>
      </c>
      <c r="T171" s="833">
        <v>0</v>
      </c>
      <c r="U171" s="833">
        <v>0</v>
      </c>
      <c r="V171" s="833">
        <v>0</v>
      </c>
      <c r="W171" s="833">
        <v>0</v>
      </c>
      <c r="X171" s="833">
        <v>0</v>
      </c>
      <c r="Y171" s="833">
        <v>0</v>
      </c>
      <c r="Z171" s="833">
        <v>0</v>
      </c>
      <c r="AA171" s="833">
        <v>0</v>
      </c>
      <c r="AB171" s="833">
        <v>0</v>
      </c>
      <c r="AC171" s="833">
        <v>0</v>
      </c>
      <c r="AD171" s="833">
        <v>0</v>
      </c>
      <c r="AE171" s="833">
        <v>0</v>
      </c>
      <c r="AF171" s="833">
        <v>0</v>
      </c>
      <c r="AG171" s="833">
        <v>0</v>
      </c>
      <c r="AH171" s="833">
        <v>0</v>
      </c>
      <c r="AI171" s="833">
        <v>0</v>
      </c>
      <c r="AJ171" s="833">
        <v>0</v>
      </c>
      <c r="AK171" s="833">
        <v>0</v>
      </c>
      <c r="AL171" s="833">
        <v>0</v>
      </c>
      <c r="AM171" s="833">
        <v>0</v>
      </c>
      <c r="AN171" s="833">
        <v>0</v>
      </c>
      <c r="AO171" s="833">
        <v>0</v>
      </c>
      <c r="AP171" s="833">
        <v>0</v>
      </c>
      <c r="AQ171" s="833">
        <v>0</v>
      </c>
      <c r="AR171" s="833">
        <v>0</v>
      </c>
      <c r="AS171" s="833">
        <v>0</v>
      </c>
      <c r="AT171" s="833">
        <v>0</v>
      </c>
      <c r="AU171" s="833">
        <v>0</v>
      </c>
      <c r="AV171" s="833"/>
      <c r="AW171" s="833"/>
      <c r="AX171" s="833"/>
      <c r="AY171" s="833"/>
      <c r="AZ171" s="833"/>
      <c r="BA171" s="455"/>
      <c r="BB171" s="404"/>
      <c r="BC171" s="404"/>
      <c r="BD171" s="455"/>
      <c r="BE171" s="404"/>
      <c r="BF171" s="404"/>
      <c r="BG171" s="455"/>
      <c r="BH171" s="404"/>
      <c r="BI171" s="404"/>
      <c r="BJ171" s="455"/>
      <c r="BK171" s="404"/>
      <c r="BL171" s="404"/>
      <c r="BM171" s="455"/>
      <c r="BN171" s="404"/>
      <c r="BO171" s="404"/>
      <c r="BP171" s="455"/>
      <c r="BQ171" s="404"/>
      <c r="BR171" s="404"/>
      <c r="BS171" s="455"/>
      <c r="BT171" s="404"/>
      <c r="BU171" s="404"/>
      <c r="BV171" s="455"/>
      <c r="BW171" s="404"/>
      <c r="BX171" s="404"/>
      <c r="BY171" s="455"/>
      <c r="BZ171" s="404"/>
      <c r="CA171" s="404"/>
      <c r="CB171" s="455"/>
      <c r="CC171" s="404"/>
      <c r="CD171" s="404"/>
      <c r="CE171" s="455"/>
      <c r="CF171" s="404"/>
      <c r="CG171" s="404"/>
      <c r="CH171" s="455"/>
      <c r="CI171" s="404"/>
      <c r="CJ171" s="404"/>
      <c r="CK171" s="455"/>
      <c r="CL171" s="404"/>
      <c r="CM171" s="404"/>
      <c r="CN171" s="455"/>
      <c r="CO171" s="404"/>
      <c r="CP171" s="404"/>
      <c r="CQ171" s="455"/>
      <c r="CR171" s="404"/>
      <c r="CS171" s="404"/>
      <c r="CT171" s="455"/>
      <c r="CU171" s="404"/>
      <c r="CV171" s="404"/>
      <c r="CW171" s="455"/>
      <c r="CX171" s="404"/>
      <c r="CY171" s="404"/>
      <c r="CZ171" s="455"/>
      <c r="DA171" s="404"/>
      <c r="DB171" s="404"/>
      <c r="DC171" s="455"/>
      <c r="DD171" s="404"/>
      <c r="DE171" s="404"/>
      <c r="DF171" s="455"/>
      <c r="DG171" s="404"/>
      <c r="DH171" s="404"/>
      <c r="DI171" s="455"/>
      <c r="DJ171" s="404"/>
      <c r="DK171" s="404"/>
      <c r="DL171" s="455"/>
      <c r="DM171" s="404"/>
      <c r="DN171" s="404"/>
      <c r="DO171" s="455"/>
      <c r="DP171" s="404"/>
      <c r="DQ171" s="404"/>
      <c r="DR171" s="455"/>
      <c r="DS171" s="404"/>
      <c r="DT171" s="404"/>
      <c r="DU171" s="455"/>
      <c r="DV171" s="404"/>
      <c r="DW171" s="404"/>
      <c r="DX171" s="455"/>
      <c r="DY171" s="404"/>
      <c r="DZ171" s="404"/>
      <c r="EA171" s="455"/>
      <c r="EB171" s="404"/>
      <c r="EC171" s="404"/>
      <c r="ED171" s="455"/>
      <c r="EE171" s="404"/>
      <c r="EF171" s="404"/>
      <c r="EG171" s="455"/>
      <c r="EH171" s="404"/>
      <c r="EI171" s="404"/>
      <c r="EJ171" s="455"/>
      <c r="EK171" s="404"/>
      <c r="EL171" s="404"/>
      <c r="EM171" s="455"/>
      <c r="EN171" s="404"/>
      <c r="EO171" s="404"/>
      <c r="EP171" s="455"/>
      <c r="EQ171" s="404"/>
      <c r="ER171" s="404"/>
      <c r="ES171" s="455"/>
      <c r="ET171" s="404"/>
      <c r="EU171" s="404"/>
      <c r="EV171" s="455"/>
      <c r="EW171" s="404"/>
      <c r="EX171" s="404"/>
      <c r="EY171" s="455"/>
      <c r="EZ171" s="404"/>
      <c r="FA171" s="404"/>
      <c r="FB171" s="455"/>
      <c r="FC171" s="404"/>
      <c r="FD171" s="404"/>
      <c r="FE171" s="455"/>
      <c r="FF171" s="404"/>
      <c r="FG171" s="404"/>
      <c r="FH171" s="455"/>
      <c r="FI171" s="404"/>
      <c r="FJ171" s="404"/>
      <c r="FK171" s="455"/>
      <c r="FL171" s="404"/>
      <c r="FM171" s="404"/>
      <c r="FN171" s="455"/>
      <c r="FO171" s="404"/>
      <c r="FP171" s="404"/>
      <c r="FQ171" s="455"/>
      <c r="FR171" s="404"/>
      <c r="FS171" s="404"/>
      <c r="FT171" s="455"/>
      <c r="FU171" s="404"/>
      <c r="FV171" s="404"/>
      <c r="FW171" s="455"/>
      <c r="FX171" s="404"/>
      <c r="FY171" s="404"/>
      <c r="FZ171" s="455"/>
      <c r="GA171" s="404"/>
      <c r="GB171" s="404"/>
      <c r="GC171" s="455"/>
      <c r="GD171" s="404"/>
      <c r="GE171" s="404"/>
      <c r="GF171" s="455"/>
      <c r="GG171" s="404"/>
      <c r="GH171" s="404"/>
      <c r="GI171" s="455"/>
      <c r="GJ171" s="404"/>
      <c r="GK171" s="404"/>
      <c r="GL171" s="455"/>
      <c r="GM171" s="404"/>
      <c r="GN171" s="404"/>
      <c r="GO171" s="455"/>
      <c r="GP171" s="404"/>
      <c r="GQ171" s="404"/>
      <c r="GR171" s="455"/>
      <c r="GS171" s="404"/>
      <c r="GT171" s="404"/>
      <c r="GU171" s="455"/>
      <c r="GV171" s="385">
        <v>447.65642630103451</v>
      </c>
      <c r="GW171" s="385">
        <f>1</f>
        <v>1</v>
      </c>
      <c r="GX171" s="358"/>
      <c r="GY171" s="385">
        <v>447.65642630103451</v>
      </c>
      <c r="GZ171" s="385">
        <f>1</f>
        <v>1</v>
      </c>
      <c r="HA171" s="358"/>
      <c r="HB171" s="385">
        <v>447.65642630103451</v>
      </c>
      <c r="HC171" s="385">
        <f>1</f>
        <v>1</v>
      </c>
      <c r="HD171" s="358"/>
      <c r="HE171" s="387">
        <v>447.65642630103451</v>
      </c>
      <c r="HF171" s="386">
        <f>1*6</f>
        <v>6</v>
      </c>
      <c r="HG171" s="358"/>
      <c r="HH171" s="387">
        <v>447.65642630103451</v>
      </c>
      <c r="HI171" s="358"/>
      <c r="HJ171" s="387">
        <v>447.65642630103451</v>
      </c>
      <c r="HK171" s="358"/>
      <c r="HL171" s="387">
        <v>447.65642630103451</v>
      </c>
      <c r="HM171" s="358"/>
      <c r="HN171" s="387">
        <v>447.65642630103451</v>
      </c>
      <c r="HO171" s="358"/>
      <c r="HP171" s="387">
        <v>447.65642630103451</v>
      </c>
      <c r="HQ171" s="358"/>
      <c r="HR171" s="387">
        <v>447.65642630103451</v>
      </c>
      <c r="HS171" s="358"/>
      <c r="HT171" s="387">
        <v>447.65642630103451</v>
      </c>
      <c r="HU171" s="358"/>
      <c r="HV171" s="388">
        <v>447.65642630103451</v>
      </c>
      <c r="HW171" s="563" t="s">
        <v>3310</v>
      </c>
      <c r="HX171" s="564">
        <v>895.31285260206903</v>
      </c>
      <c r="HY171" s="572"/>
      <c r="HZ171" s="572"/>
      <c r="IA171" s="572"/>
      <c r="IB171" s="572"/>
      <c r="IC171" s="566"/>
      <c r="ID171" s="567"/>
      <c r="IE171" s="567"/>
      <c r="IF171" s="567"/>
      <c r="IG171" s="567"/>
      <c r="IH171" s="568"/>
      <c r="II171" s="569"/>
      <c r="IJ171" s="568"/>
      <c r="IK171" s="569"/>
      <c r="IL171" s="568"/>
      <c r="IM171" s="569"/>
      <c r="IN171" s="568"/>
      <c r="IO171" s="569"/>
      <c r="IP171" s="568"/>
      <c r="IQ171" s="569"/>
      <c r="IR171" s="429" t="s">
        <v>3392</v>
      </c>
      <c r="IS171" s="364" t="s">
        <v>77</v>
      </c>
      <c r="IT171" s="574">
        <v>43678</v>
      </c>
      <c r="IU171" s="393">
        <v>43739</v>
      </c>
      <c r="IV171" s="575"/>
      <c r="IW171" s="372">
        <f t="shared" si="22"/>
        <v>61</v>
      </c>
      <c r="IX171" s="373">
        <f t="shared" si="24"/>
        <v>29.354519757444887</v>
      </c>
      <c r="IY171" s="531">
        <f t="shared" si="20"/>
        <v>1790.6257052041381</v>
      </c>
      <c r="IZ171" s="531"/>
      <c r="JA171" s="531"/>
    </row>
    <row r="172" spans="1:16266" s="367" customFormat="1" ht="16.5" customHeight="1" x14ac:dyDescent="0.3">
      <c r="A172" s="401" t="s">
        <v>3315</v>
      </c>
      <c r="B172" s="402" t="s">
        <v>3315</v>
      </c>
      <c r="C172" s="434" t="s">
        <v>3393</v>
      </c>
      <c r="D172" s="856"/>
      <c r="E172" s="751"/>
      <c r="F172" s="751"/>
      <c r="G172" s="751"/>
      <c r="H172" s="857"/>
      <c r="I172" s="853">
        <v>0</v>
      </c>
      <c r="J172" s="833">
        <v>0</v>
      </c>
      <c r="K172" s="833">
        <v>0</v>
      </c>
      <c r="L172" s="833">
        <v>0</v>
      </c>
      <c r="M172" s="833">
        <v>0</v>
      </c>
      <c r="N172" s="833">
        <v>0</v>
      </c>
      <c r="O172" s="833">
        <v>0</v>
      </c>
      <c r="P172" s="833">
        <v>0</v>
      </c>
      <c r="Q172" s="833">
        <v>0</v>
      </c>
      <c r="R172" s="833">
        <v>0</v>
      </c>
      <c r="S172" s="833">
        <v>0</v>
      </c>
      <c r="T172" s="833">
        <v>0</v>
      </c>
      <c r="U172" s="833">
        <v>0</v>
      </c>
      <c r="V172" s="833">
        <v>0</v>
      </c>
      <c r="W172" s="833">
        <v>0</v>
      </c>
      <c r="X172" s="833">
        <v>0</v>
      </c>
      <c r="Y172" s="833">
        <v>0</v>
      </c>
      <c r="Z172" s="833">
        <v>0</v>
      </c>
      <c r="AA172" s="833">
        <v>0</v>
      </c>
      <c r="AB172" s="833">
        <v>0</v>
      </c>
      <c r="AC172" s="833">
        <v>0</v>
      </c>
      <c r="AD172" s="833">
        <v>0</v>
      </c>
      <c r="AE172" s="833">
        <v>0</v>
      </c>
      <c r="AF172" s="833">
        <v>0</v>
      </c>
      <c r="AG172" s="833">
        <v>0</v>
      </c>
      <c r="AH172" s="833">
        <v>0</v>
      </c>
      <c r="AI172" s="833">
        <v>0</v>
      </c>
      <c r="AJ172" s="833">
        <v>0</v>
      </c>
      <c r="AK172" s="833">
        <v>0</v>
      </c>
      <c r="AL172" s="833">
        <v>0</v>
      </c>
      <c r="AM172" s="833">
        <v>0</v>
      </c>
      <c r="AN172" s="833">
        <v>0</v>
      </c>
      <c r="AO172" s="833">
        <v>0</v>
      </c>
      <c r="AP172" s="833">
        <v>0</v>
      </c>
      <c r="AQ172" s="833">
        <v>0</v>
      </c>
      <c r="AR172" s="833">
        <v>0</v>
      </c>
      <c r="AS172" s="833">
        <v>0</v>
      </c>
      <c r="AT172" s="833">
        <v>0</v>
      </c>
      <c r="AU172" s="833">
        <v>0</v>
      </c>
      <c r="AV172" s="833">
        <v>0</v>
      </c>
      <c r="AW172" s="833"/>
      <c r="AX172" s="833"/>
      <c r="AY172" s="833">
        <v>0</v>
      </c>
      <c r="AZ172" s="833"/>
      <c r="BA172" s="455"/>
      <c r="BB172" s="404">
        <v>0</v>
      </c>
      <c r="BC172" s="404"/>
      <c r="BD172" s="455"/>
      <c r="BE172" s="404">
        <v>0</v>
      </c>
      <c r="BF172" s="404"/>
      <c r="BG172" s="455"/>
      <c r="BH172" s="404">
        <v>0</v>
      </c>
      <c r="BI172" s="404"/>
      <c r="BJ172" s="455"/>
      <c r="BK172" s="404">
        <v>0</v>
      </c>
      <c r="BL172" s="404"/>
      <c r="BM172" s="455"/>
      <c r="BN172" s="404">
        <v>0</v>
      </c>
      <c r="BO172" s="404"/>
      <c r="BP172" s="455"/>
      <c r="BQ172" s="404">
        <v>0</v>
      </c>
      <c r="BR172" s="404"/>
      <c r="BS172" s="455"/>
      <c r="BT172" s="404">
        <v>0</v>
      </c>
      <c r="BU172" s="404"/>
      <c r="BV172" s="455"/>
      <c r="BW172" s="404">
        <v>0</v>
      </c>
      <c r="BX172" s="404"/>
      <c r="BY172" s="455"/>
      <c r="BZ172" s="404">
        <v>0</v>
      </c>
      <c r="CA172" s="404"/>
      <c r="CB172" s="455"/>
      <c r="CC172" s="404">
        <v>0</v>
      </c>
      <c r="CD172" s="404"/>
      <c r="CE172" s="455"/>
      <c r="CF172" s="404">
        <v>0</v>
      </c>
      <c r="CG172" s="404"/>
      <c r="CH172" s="455"/>
      <c r="CI172" s="404">
        <v>0</v>
      </c>
      <c r="CJ172" s="404"/>
      <c r="CK172" s="455"/>
      <c r="CL172" s="404">
        <v>0</v>
      </c>
      <c r="CM172" s="404"/>
      <c r="CN172" s="455"/>
      <c r="CO172" s="404">
        <v>0</v>
      </c>
      <c r="CP172" s="404"/>
      <c r="CQ172" s="455"/>
      <c r="CR172" s="404">
        <v>0</v>
      </c>
      <c r="CS172" s="404"/>
      <c r="CT172" s="455"/>
      <c r="CU172" s="404">
        <v>0</v>
      </c>
      <c r="CV172" s="404"/>
      <c r="CW172" s="455"/>
      <c r="CX172" s="404">
        <v>0</v>
      </c>
      <c r="CY172" s="404"/>
      <c r="CZ172" s="455"/>
      <c r="DA172" s="404">
        <v>0</v>
      </c>
      <c r="DB172" s="404"/>
      <c r="DC172" s="455"/>
      <c r="DD172" s="404">
        <v>0</v>
      </c>
      <c r="DE172" s="404"/>
      <c r="DF172" s="455"/>
      <c r="DG172" s="404">
        <v>0</v>
      </c>
      <c r="DH172" s="404"/>
      <c r="DI172" s="455"/>
      <c r="DJ172" s="404">
        <v>0</v>
      </c>
      <c r="DK172" s="404"/>
      <c r="DL172" s="455"/>
      <c r="DM172" s="404">
        <v>0</v>
      </c>
      <c r="DN172" s="404"/>
      <c r="DO172" s="455"/>
      <c r="DP172" s="404">
        <v>0</v>
      </c>
      <c r="DQ172" s="404"/>
      <c r="DR172" s="455"/>
      <c r="DS172" s="404">
        <v>0</v>
      </c>
      <c r="DT172" s="404"/>
      <c r="DU172" s="455"/>
      <c r="DV172" s="404">
        <v>0</v>
      </c>
      <c r="DW172" s="404"/>
      <c r="DX172" s="455"/>
      <c r="DY172" s="404">
        <v>0</v>
      </c>
      <c r="DZ172" s="404"/>
      <c r="EA172" s="455"/>
      <c r="EB172" s="404">
        <v>0</v>
      </c>
      <c r="EC172" s="404"/>
      <c r="ED172" s="455"/>
      <c r="EE172" s="404">
        <v>0</v>
      </c>
      <c r="EF172" s="404"/>
      <c r="EG172" s="455"/>
      <c r="EH172" s="404">
        <v>0</v>
      </c>
      <c r="EI172" s="404"/>
      <c r="EJ172" s="455"/>
      <c r="EK172" s="404">
        <v>0</v>
      </c>
      <c r="EL172" s="404"/>
      <c r="EM172" s="455"/>
      <c r="EN172" s="404">
        <v>0</v>
      </c>
      <c r="EO172" s="404"/>
      <c r="EP172" s="455"/>
      <c r="EQ172" s="404">
        <v>0</v>
      </c>
      <c r="ER172" s="404"/>
      <c r="ES172" s="455"/>
      <c r="ET172" s="404">
        <v>0</v>
      </c>
      <c r="EU172" s="404"/>
      <c r="EV172" s="455"/>
      <c r="EW172" s="404">
        <v>0</v>
      </c>
      <c r="EX172" s="404"/>
      <c r="EY172" s="455"/>
      <c r="EZ172" s="404">
        <v>0</v>
      </c>
      <c r="FA172" s="404"/>
      <c r="FB172" s="455"/>
      <c r="FC172" s="404">
        <v>0</v>
      </c>
      <c r="FD172" s="404"/>
      <c r="FE172" s="455"/>
      <c r="FF172" s="404">
        <v>0</v>
      </c>
      <c r="FG172" s="404"/>
      <c r="FH172" s="455"/>
      <c r="FI172" s="404">
        <v>0</v>
      </c>
      <c r="FJ172" s="404"/>
      <c r="FK172" s="455"/>
      <c r="FL172" s="404">
        <v>0</v>
      </c>
      <c r="FM172" s="404"/>
      <c r="FN172" s="455"/>
      <c r="FO172" s="404">
        <v>0</v>
      </c>
      <c r="FP172" s="404"/>
      <c r="FQ172" s="455"/>
      <c r="FR172" s="404">
        <v>0</v>
      </c>
      <c r="FS172" s="404"/>
      <c r="FT172" s="455"/>
      <c r="FU172" s="404">
        <v>0</v>
      </c>
      <c r="FV172" s="404"/>
      <c r="FW172" s="455"/>
      <c r="FX172" s="404">
        <v>0</v>
      </c>
      <c r="FY172" s="404"/>
      <c r="FZ172" s="455"/>
      <c r="GA172" s="404">
        <v>0</v>
      </c>
      <c r="GB172" s="404"/>
      <c r="GC172" s="455"/>
      <c r="GD172" s="385">
        <v>1335</v>
      </c>
      <c r="GE172" s="385">
        <f>14</f>
        <v>14</v>
      </c>
      <c r="GF172" s="358"/>
      <c r="GG172" s="385">
        <v>1335</v>
      </c>
      <c r="GH172" s="385">
        <f>14</f>
        <v>14</v>
      </c>
      <c r="GI172" s="358"/>
      <c r="GJ172" s="385">
        <v>1335</v>
      </c>
      <c r="GK172" s="385">
        <f>14</f>
        <v>14</v>
      </c>
      <c r="GL172" s="358"/>
      <c r="GM172" s="385">
        <v>1335</v>
      </c>
      <c r="GN172" s="385">
        <f>14</f>
        <v>14</v>
      </c>
      <c r="GO172" s="358"/>
      <c r="GP172" s="385">
        <v>1335</v>
      </c>
      <c r="GQ172" s="385">
        <f>14</f>
        <v>14</v>
      </c>
      <c r="GR172" s="358"/>
      <c r="GS172" s="385">
        <v>1335</v>
      </c>
      <c r="GT172" s="385">
        <f>14</f>
        <v>14</v>
      </c>
      <c r="GU172" s="358"/>
      <c r="GV172" s="385">
        <v>1335</v>
      </c>
      <c r="GW172" s="385">
        <f>14</f>
        <v>14</v>
      </c>
      <c r="GX172" s="358"/>
      <c r="GY172" s="385">
        <v>1335</v>
      </c>
      <c r="GZ172" s="385">
        <f>14</f>
        <v>14</v>
      </c>
      <c r="HA172" s="358"/>
      <c r="HB172" s="385">
        <v>1335</v>
      </c>
      <c r="HC172" s="385">
        <f>14</f>
        <v>14</v>
      </c>
      <c r="HD172" s="358"/>
      <c r="HE172" s="387">
        <v>1335</v>
      </c>
      <c r="HF172" s="386">
        <f>14*6</f>
        <v>84</v>
      </c>
      <c r="HG172" s="358"/>
      <c r="HH172" s="387">
        <v>1335</v>
      </c>
      <c r="HI172" s="358"/>
      <c r="HJ172" s="387">
        <v>1335</v>
      </c>
      <c r="HK172" s="358"/>
      <c r="HL172" s="387">
        <v>1335</v>
      </c>
      <c r="HM172" s="358"/>
      <c r="HN172" s="387">
        <v>1335</v>
      </c>
      <c r="HO172" s="358"/>
      <c r="HP172" s="387">
        <v>1335</v>
      </c>
      <c r="HQ172" s="358"/>
      <c r="HR172" s="387">
        <v>1335</v>
      </c>
      <c r="HS172" s="358"/>
      <c r="HT172" s="387">
        <v>1335</v>
      </c>
      <c r="HU172" s="358"/>
      <c r="HV172" s="388">
        <v>1335</v>
      </c>
      <c r="HW172" s="563"/>
      <c r="HX172" s="564">
        <v>2494.9180327868853</v>
      </c>
      <c r="HY172" s="572"/>
      <c r="HZ172" s="572"/>
      <c r="IA172" s="572"/>
      <c r="IB172" s="572"/>
      <c r="IC172" s="566"/>
      <c r="ID172" s="567"/>
      <c r="IE172" s="567"/>
      <c r="IF172" s="567"/>
      <c r="IG172" s="567"/>
      <c r="IH172" s="568"/>
      <c r="II172" s="569"/>
      <c r="IJ172" s="568"/>
      <c r="IK172" s="569"/>
      <c r="IL172" s="568"/>
      <c r="IM172" s="569"/>
      <c r="IN172" s="568"/>
      <c r="IO172" s="569"/>
      <c r="IP172" s="568"/>
      <c r="IQ172" s="569"/>
      <c r="IR172" s="429" t="s">
        <v>3129</v>
      </c>
      <c r="IS172" s="364" t="s">
        <v>77</v>
      </c>
      <c r="IT172" s="574">
        <v>43682</v>
      </c>
      <c r="IU172" s="393">
        <v>43739</v>
      </c>
      <c r="IV172" s="575"/>
      <c r="IW172" s="372">
        <f t="shared" si="22"/>
        <v>57</v>
      </c>
      <c r="IX172" s="373">
        <f t="shared" si="24"/>
        <v>81.800591238914279</v>
      </c>
      <c r="IY172" s="531">
        <f t="shared" si="20"/>
        <v>4662.6337006181138</v>
      </c>
      <c r="IZ172" s="531"/>
      <c r="JA172" s="531"/>
    </row>
    <row r="173" spans="1:16266" s="367" customFormat="1" ht="16.5" customHeight="1" x14ac:dyDescent="0.3">
      <c r="A173" s="354" t="s">
        <v>2743</v>
      </c>
      <c r="B173" s="415" t="s">
        <v>2751</v>
      </c>
      <c r="C173" s="447" t="s">
        <v>1953</v>
      </c>
      <c r="D173" s="448">
        <v>568</v>
      </c>
      <c r="E173" s="449">
        <v>22</v>
      </c>
      <c r="F173" s="449">
        <v>16</v>
      </c>
      <c r="G173" s="449">
        <v>0</v>
      </c>
      <c r="H173" s="450">
        <v>0</v>
      </c>
      <c r="I173" s="828">
        <v>606.61198185659009</v>
      </c>
      <c r="J173" s="827"/>
      <c r="K173" s="827"/>
      <c r="L173" s="829">
        <v>606.61198185659009</v>
      </c>
      <c r="M173" s="827"/>
      <c r="N173" s="827"/>
      <c r="O173" s="829">
        <v>606.61198185659009</v>
      </c>
      <c r="P173" s="827"/>
      <c r="Q173" s="827"/>
      <c r="R173" s="829">
        <v>606.61198185659009</v>
      </c>
      <c r="S173" s="827"/>
      <c r="T173" s="827"/>
      <c r="U173" s="829">
        <v>606.61198185659009</v>
      </c>
      <c r="V173" s="827"/>
      <c r="W173" s="827"/>
      <c r="X173" s="829">
        <v>606.61198185659009</v>
      </c>
      <c r="Y173" s="827"/>
      <c r="Z173" s="827"/>
      <c r="AA173" s="829">
        <v>606.61198185659009</v>
      </c>
      <c r="AB173" s="827"/>
      <c r="AC173" s="827"/>
      <c r="AD173" s="829">
        <v>606.61198185659009</v>
      </c>
      <c r="AE173" s="827"/>
      <c r="AF173" s="827"/>
      <c r="AG173" s="829">
        <v>606.61198185659009</v>
      </c>
      <c r="AH173" s="827"/>
      <c r="AI173" s="827"/>
      <c r="AJ173" s="829">
        <v>606.61198185659009</v>
      </c>
      <c r="AK173" s="827"/>
      <c r="AL173" s="827"/>
      <c r="AM173" s="829">
        <v>606.61198185659009</v>
      </c>
      <c r="AN173" s="827"/>
      <c r="AO173" s="827"/>
      <c r="AP173" s="829">
        <v>606.61198185659009</v>
      </c>
      <c r="AQ173" s="827"/>
      <c r="AR173" s="827"/>
      <c r="AS173" s="829">
        <v>606.61198185659009</v>
      </c>
      <c r="AT173" s="827"/>
      <c r="AU173" s="827"/>
      <c r="AV173" s="829">
        <v>606.61198185659009</v>
      </c>
      <c r="AW173" s="827"/>
      <c r="AX173" s="827"/>
      <c r="AY173" s="829">
        <v>606.61198185659009</v>
      </c>
      <c r="AZ173" s="827"/>
      <c r="BA173" s="358"/>
      <c r="BB173" s="387">
        <v>606.61198185659009</v>
      </c>
      <c r="BC173" s="358"/>
      <c r="BD173" s="358"/>
      <c r="BE173" s="387">
        <v>606.61198185659009</v>
      </c>
      <c r="BF173" s="358"/>
      <c r="BG173" s="358"/>
      <c r="BH173" s="387">
        <v>606.61198185659009</v>
      </c>
      <c r="BI173" s="387"/>
      <c r="BJ173" s="358"/>
      <c r="BK173" s="387">
        <v>606.61198185659009</v>
      </c>
      <c r="BL173" s="387"/>
      <c r="BM173" s="358"/>
      <c r="BN173" s="387">
        <v>606.61198185659009</v>
      </c>
      <c r="BO173" s="387"/>
      <c r="BP173" s="358"/>
      <c r="BQ173" s="387">
        <v>606.61198185659009</v>
      </c>
      <c r="BR173" s="387"/>
      <c r="BS173" s="358"/>
      <c r="BT173" s="387">
        <v>606.61198185659009</v>
      </c>
      <c r="BU173" s="387"/>
      <c r="BV173" s="358"/>
      <c r="BW173" s="387">
        <v>606.61198185659009</v>
      </c>
      <c r="BX173" s="387"/>
      <c r="BY173" s="358"/>
      <c r="BZ173" s="387">
        <v>606.61198185659009</v>
      </c>
      <c r="CA173" s="387"/>
      <c r="CB173" s="358"/>
      <c r="CC173" s="387">
        <v>606.61198185659009</v>
      </c>
      <c r="CD173" s="387"/>
      <c r="CE173" s="358"/>
      <c r="CF173" s="387">
        <v>606.61198185659009</v>
      </c>
      <c r="CG173" s="387"/>
      <c r="CH173" s="358"/>
      <c r="CI173" s="387">
        <v>606.61198185659009</v>
      </c>
      <c r="CJ173" s="387"/>
      <c r="CK173" s="358"/>
      <c r="CL173" s="387">
        <v>606.61198185659009</v>
      </c>
      <c r="CM173" s="387"/>
      <c r="CN173" s="358"/>
      <c r="CO173" s="387">
        <v>606.61198185659009</v>
      </c>
      <c r="CP173" s="387"/>
      <c r="CQ173" s="358"/>
      <c r="CR173" s="387">
        <v>606.61198185659009</v>
      </c>
      <c r="CS173" s="387"/>
      <c r="CT173" s="358"/>
      <c r="CU173" s="387">
        <v>606.61198185659009</v>
      </c>
      <c r="CV173" s="387"/>
      <c r="CW173" s="358"/>
      <c r="CX173" s="387">
        <v>606.61198185659009</v>
      </c>
      <c r="CY173" s="387"/>
      <c r="CZ173" s="358"/>
      <c r="DA173" s="387">
        <v>606.61198185659009</v>
      </c>
      <c r="DB173" s="387"/>
      <c r="DC173" s="358"/>
      <c r="DD173" s="387">
        <v>606.61198185659009</v>
      </c>
      <c r="DE173" s="387"/>
      <c r="DF173" s="358"/>
      <c r="DG173" s="387">
        <v>606.61198185659009</v>
      </c>
      <c r="DH173" s="387"/>
      <c r="DI173" s="358"/>
      <c r="DJ173" s="387">
        <v>606.61198185659009</v>
      </c>
      <c r="DK173" s="387"/>
      <c r="DL173" s="358"/>
      <c r="DM173" s="387">
        <v>606.61198185659009</v>
      </c>
      <c r="DN173" s="387"/>
      <c r="DO173" s="358"/>
      <c r="DP173" s="387">
        <v>606.61198185659009</v>
      </c>
      <c r="DQ173" s="387"/>
      <c r="DR173" s="358"/>
      <c r="DS173" s="387">
        <v>606.61198185659009</v>
      </c>
      <c r="DT173" s="387"/>
      <c r="DU173" s="358"/>
      <c r="DV173" s="387">
        <v>606.61198185659009</v>
      </c>
      <c r="DW173" s="387"/>
      <c r="DX173" s="358"/>
      <c r="DY173" s="387">
        <v>606.61198185659009</v>
      </c>
      <c r="DZ173" s="387"/>
      <c r="EA173" s="358"/>
      <c r="EB173" s="387">
        <v>606.61198185659009</v>
      </c>
      <c r="EC173" s="387"/>
      <c r="ED173" s="358"/>
      <c r="EE173" s="387">
        <v>606.61198185659009</v>
      </c>
      <c r="EF173" s="387"/>
      <c r="EG173" s="358"/>
      <c r="EH173" s="387">
        <v>606.61198185659009</v>
      </c>
      <c r="EI173" s="387"/>
      <c r="EJ173" s="358"/>
      <c r="EK173" s="387">
        <v>606.61198185659009</v>
      </c>
      <c r="EL173" s="387"/>
      <c r="EM173" s="358"/>
      <c r="EN173" s="387">
        <v>606.61198185659009</v>
      </c>
      <c r="EO173" s="387"/>
      <c r="EP173" s="358"/>
      <c r="EQ173" s="387">
        <v>606.61198185659009</v>
      </c>
      <c r="ER173" s="387"/>
      <c r="ES173" s="358"/>
      <c r="ET173" s="387">
        <v>606.61198185659009</v>
      </c>
      <c r="EU173" s="387"/>
      <c r="EV173" s="358"/>
      <c r="EW173" s="387">
        <v>606.61198185659009</v>
      </c>
      <c r="EX173" s="387"/>
      <c r="EY173" s="358"/>
      <c r="EZ173" s="387">
        <v>606.61198185659009</v>
      </c>
      <c r="FA173" s="387"/>
      <c r="FB173" s="358"/>
      <c r="FC173" s="387">
        <v>606.61198185659009</v>
      </c>
      <c r="FD173" s="387"/>
      <c r="FE173" s="358"/>
      <c r="FF173" s="387">
        <v>606.61198185659009</v>
      </c>
      <c r="FG173" s="387"/>
      <c r="FH173" s="358"/>
      <c r="FI173" s="387">
        <v>606.61198185659009</v>
      </c>
      <c r="FJ173" s="387"/>
      <c r="FK173" s="358"/>
      <c r="FL173" s="387">
        <v>606.61198185659009</v>
      </c>
      <c r="FM173" s="387"/>
      <c r="FN173" s="358"/>
      <c r="FO173" s="387">
        <v>606.61198185659009</v>
      </c>
      <c r="FP173" s="387"/>
      <c r="FQ173" s="358"/>
      <c r="FR173" s="387">
        <v>606.61198185659009</v>
      </c>
      <c r="FS173" s="387"/>
      <c r="FT173" s="358"/>
      <c r="FU173" s="387">
        <v>606.61198185659009</v>
      </c>
      <c r="FV173" s="387"/>
      <c r="FW173" s="358"/>
      <c r="FX173" s="387">
        <v>606.61198185659009</v>
      </c>
      <c r="FY173" s="387"/>
      <c r="FZ173" s="358"/>
      <c r="GA173" s="387">
        <v>606.61198185659009</v>
      </c>
      <c r="GB173" s="387"/>
      <c r="GC173" s="358"/>
      <c r="GD173" s="387">
        <v>606.61198185659009</v>
      </c>
      <c r="GE173" s="387"/>
      <c r="GF173" s="358"/>
      <c r="GG173" s="387">
        <v>606.61198185659009</v>
      </c>
      <c r="GH173" s="387"/>
      <c r="GI173" s="358"/>
      <c r="GJ173" s="387">
        <v>606.61198185659009</v>
      </c>
      <c r="GK173" s="387"/>
      <c r="GL173" s="358"/>
      <c r="GM173" s="387">
        <v>606.61198185659009</v>
      </c>
      <c r="GN173" s="387"/>
      <c r="GO173" s="358"/>
      <c r="GP173" s="387">
        <v>606.61198185659009</v>
      </c>
      <c r="GQ173" s="387"/>
      <c r="GR173" s="358"/>
      <c r="GS173" s="387">
        <v>606.61198185659009</v>
      </c>
      <c r="GT173" s="387"/>
      <c r="GU173" s="358"/>
      <c r="GV173" s="387">
        <v>606.61198185659009</v>
      </c>
      <c r="GW173" s="387"/>
      <c r="GX173" s="358"/>
      <c r="GY173" s="387">
        <v>606.61198185659009</v>
      </c>
      <c r="GZ173" s="387"/>
      <c r="HA173" s="358"/>
      <c r="HB173" s="387">
        <v>606.61198185659009</v>
      </c>
      <c r="HC173" s="387"/>
      <c r="HD173" s="358"/>
      <c r="HE173" s="387">
        <v>606.61198185659009</v>
      </c>
      <c r="HF173" s="387"/>
      <c r="HG173" s="358"/>
      <c r="HH173" s="387">
        <v>606.61198185659009</v>
      </c>
      <c r="HI173" s="358"/>
      <c r="HJ173" s="387">
        <v>606.61198185659009</v>
      </c>
      <c r="HK173" s="358"/>
      <c r="HL173" s="387">
        <v>606.61198185659009</v>
      </c>
      <c r="HM173" s="358"/>
      <c r="HN173" s="387">
        <v>606.61198185659009</v>
      </c>
      <c r="HO173" s="358"/>
      <c r="HP173" s="387">
        <v>606.61198185659009</v>
      </c>
      <c r="HQ173" s="358"/>
      <c r="HR173" s="387">
        <v>606.61198185659009</v>
      </c>
      <c r="HS173" s="358"/>
      <c r="HT173" s="387">
        <v>606.61198185659009</v>
      </c>
      <c r="HU173" s="358"/>
      <c r="HV173" s="564">
        <v>606.61198185659009</v>
      </c>
      <c r="HW173" s="563"/>
      <c r="HX173" s="564">
        <v>974.55695445812842</v>
      </c>
      <c r="HY173" s="572"/>
      <c r="HZ173" s="572"/>
      <c r="IA173" s="572"/>
      <c r="IB173" s="572"/>
      <c r="IC173" s="566"/>
      <c r="ID173" s="567"/>
      <c r="IE173" s="567"/>
      <c r="IF173" s="567"/>
      <c r="IG173" s="567"/>
      <c r="IH173" s="568"/>
      <c r="II173" s="569"/>
      <c r="IJ173" s="568"/>
      <c r="IK173" s="569"/>
      <c r="IL173" s="568"/>
      <c r="IM173" s="569"/>
      <c r="IN173" s="568"/>
      <c r="IO173" s="569"/>
      <c r="IP173" s="568"/>
      <c r="IQ173" s="569"/>
      <c r="IR173" s="429" t="s">
        <v>3047</v>
      </c>
      <c r="IS173" s="364" t="s">
        <v>77</v>
      </c>
      <c r="IT173" s="574">
        <v>43690</v>
      </c>
      <c r="IU173" s="393">
        <v>43739</v>
      </c>
      <c r="IV173" s="575"/>
      <c r="IW173" s="372">
        <f t="shared" si="22"/>
        <v>49</v>
      </c>
      <c r="IX173" s="373">
        <f t="shared" si="24"/>
        <v>31.952687031414047</v>
      </c>
      <c r="IY173" s="531">
        <f t="shared" si="20"/>
        <v>1565.6816645392882</v>
      </c>
      <c r="IZ173" s="531"/>
      <c r="JA173" s="531"/>
    </row>
    <row r="174" spans="1:16266" s="367" customFormat="1" ht="16.5" customHeight="1" x14ac:dyDescent="0.3">
      <c r="A174" s="354" t="s">
        <v>2735</v>
      </c>
      <c r="B174" s="415" t="s">
        <v>2771</v>
      </c>
      <c r="C174" s="447" t="s">
        <v>873</v>
      </c>
      <c r="D174" s="448">
        <v>1995</v>
      </c>
      <c r="E174" s="449">
        <v>239</v>
      </c>
      <c r="F174" s="449">
        <v>16</v>
      </c>
      <c r="G174" s="449">
        <v>108</v>
      </c>
      <c r="H174" s="450">
        <v>66</v>
      </c>
      <c r="I174" s="830">
        <v>2250.2564263010345</v>
      </c>
      <c r="J174" s="831">
        <f>108</f>
        <v>108</v>
      </c>
      <c r="K174" s="831">
        <v>65.615106286748087</v>
      </c>
      <c r="L174" s="831">
        <v>2250.2564263010345</v>
      </c>
      <c r="M174" s="831">
        <f>108</f>
        <v>108</v>
      </c>
      <c r="N174" s="831">
        <v>65.615106286748087</v>
      </c>
      <c r="O174" s="831">
        <v>2250.2564263010345</v>
      </c>
      <c r="P174" s="831">
        <f>108</f>
        <v>108</v>
      </c>
      <c r="Q174" s="831">
        <v>65.615106286748087</v>
      </c>
      <c r="R174" s="831">
        <v>2250.2564263010345</v>
      </c>
      <c r="S174" s="831">
        <f>108</f>
        <v>108</v>
      </c>
      <c r="T174" s="831">
        <v>65.615106286748087</v>
      </c>
      <c r="U174" s="831">
        <v>2250.2564263010345</v>
      </c>
      <c r="V174" s="831">
        <f>108</f>
        <v>108</v>
      </c>
      <c r="W174" s="831">
        <v>65.615106286748087</v>
      </c>
      <c r="X174" s="831">
        <v>2250.2564263010345</v>
      </c>
      <c r="Y174" s="831">
        <f>108</f>
        <v>108</v>
      </c>
      <c r="Z174" s="831">
        <v>65.615106286748087</v>
      </c>
      <c r="AA174" s="831">
        <v>2250.2564263010345</v>
      </c>
      <c r="AB174" s="831">
        <f>108</f>
        <v>108</v>
      </c>
      <c r="AC174" s="831">
        <v>65.615106286748087</v>
      </c>
      <c r="AD174" s="831">
        <v>2250.2564263010345</v>
      </c>
      <c r="AE174" s="831">
        <f>108</f>
        <v>108</v>
      </c>
      <c r="AF174" s="831">
        <v>65.615106286748087</v>
      </c>
      <c r="AG174" s="831">
        <v>2250.2564263010345</v>
      </c>
      <c r="AH174" s="831">
        <f>108</f>
        <v>108</v>
      </c>
      <c r="AI174" s="831">
        <v>65.615106286748087</v>
      </c>
      <c r="AJ174" s="831">
        <v>2250.2564263010345</v>
      </c>
      <c r="AK174" s="831">
        <f>108</f>
        <v>108</v>
      </c>
      <c r="AL174" s="831">
        <v>65.615106286748087</v>
      </c>
      <c r="AM174" s="831">
        <v>2250.2564263010345</v>
      </c>
      <c r="AN174" s="831">
        <f>108</f>
        <v>108</v>
      </c>
      <c r="AO174" s="831">
        <v>65.615106286748087</v>
      </c>
      <c r="AP174" s="831">
        <v>2250.2564263010345</v>
      </c>
      <c r="AQ174" s="831">
        <f>108</f>
        <v>108</v>
      </c>
      <c r="AR174" s="831">
        <v>65.615106286748087</v>
      </c>
      <c r="AS174" s="831">
        <v>2250.2564263010345</v>
      </c>
      <c r="AT174" s="831">
        <f>108</f>
        <v>108</v>
      </c>
      <c r="AU174" s="831">
        <v>65.615106286748087</v>
      </c>
      <c r="AV174" s="831">
        <v>2250.2564263010345</v>
      </c>
      <c r="AW174" s="831">
        <f>108</f>
        <v>108</v>
      </c>
      <c r="AX174" s="831">
        <v>65.615106286748087</v>
      </c>
      <c r="AY174" s="831">
        <v>2250.2564263010345</v>
      </c>
      <c r="AZ174" s="831">
        <f>108</f>
        <v>108</v>
      </c>
      <c r="BA174" s="369">
        <v>65.615106286748087</v>
      </c>
      <c r="BB174" s="385">
        <v>2250.2564263010345</v>
      </c>
      <c r="BC174" s="385">
        <f>108</f>
        <v>108</v>
      </c>
      <c r="BD174" s="369">
        <v>65.615106286748087</v>
      </c>
      <c r="BE174" s="385">
        <v>2250.2564263010345</v>
      </c>
      <c r="BF174" s="385">
        <f>108</f>
        <v>108</v>
      </c>
      <c r="BG174" s="369">
        <v>65.615106286748087</v>
      </c>
      <c r="BH174" s="385">
        <v>2250.2564263010345</v>
      </c>
      <c r="BI174" s="385">
        <f>108</f>
        <v>108</v>
      </c>
      <c r="BJ174" s="369">
        <v>65.615106286748087</v>
      </c>
      <c r="BK174" s="385">
        <v>2250.2564263010345</v>
      </c>
      <c r="BL174" s="385">
        <f>108</f>
        <v>108</v>
      </c>
      <c r="BM174" s="369">
        <v>65.615106286748087</v>
      </c>
      <c r="BN174" s="385">
        <v>2250.2564263010345</v>
      </c>
      <c r="BO174" s="385">
        <f>108</f>
        <v>108</v>
      </c>
      <c r="BP174" s="369">
        <v>65.615106286748087</v>
      </c>
      <c r="BQ174" s="385">
        <v>2250.2564263010345</v>
      </c>
      <c r="BR174" s="385">
        <f>108</f>
        <v>108</v>
      </c>
      <c r="BS174" s="369">
        <v>65.615106286748087</v>
      </c>
      <c r="BT174" s="385">
        <v>2250.2564263010345</v>
      </c>
      <c r="BU174" s="385">
        <f>108</f>
        <v>108</v>
      </c>
      <c r="BV174" s="369">
        <v>65.615106286748087</v>
      </c>
      <c r="BW174" s="385">
        <v>2250.2564263010345</v>
      </c>
      <c r="BX174" s="385">
        <f>108</f>
        <v>108</v>
      </c>
      <c r="BY174" s="369">
        <v>65.615106286748087</v>
      </c>
      <c r="BZ174" s="385">
        <v>2250.2564263010345</v>
      </c>
      <c r="CA174" s="385">
        <f>108</f>
        <v>108</v>
      </c>
      <c r="CB174" s="369">
        <v>65.615106286748087</v>
      </c>
      <c r="CC174" s="385">
        <v>2250.2564263010345</v>
      </c>
      <c r="CD174" s="385">
        <f>108</f>
        <v>108</v>
      </c>
      <c r="CE174" s="369">
        <v>65.615106286748087</v>
      </c>
      <c r="CF174" s="385">
        <v>2250.2564263010345</v>
      </c>
      <c r="CG174" s="385">
        <f>108</f>
        <v>108</v>
      </c>
      <c r="CH174" s="369">
        <v>65.615106286748087</v>
      </c>
      <c r="CI174" s="385">
        <v>2250.2564263010345</v>
      </c>
      <c r="CJ174" s="385">
        <f>108</f>
        <v>108</v>
      </c>
      <c r="CK174" s="369">
        <v>65.615106286748087</v>
      </c>
      <c r="CL174" s="385">
        <v>2250.2564263010345</v>
      </c>
      <c r="CM174" s="385">
        <f>108</f>
        <v>108</v>
      </c>
      <c r="CN174" s="369">
        <v>65.615106286748087</v>
      </c>
      <c r="CO174" s="385">
        <v>2250.2564263010345</v>
      </c>
      <c r="CP174" s="385">
        <f>108</f>
        <v>108</v>
      </c>
      <c r="CQ174" s="369">
        <v>65.615106286748087</v>
      </c>
      <c r="CR174" s="385">
        <v>2250.2564263010345</v>
      </c>
      <c r="CS174" s="385">
        <f>108</f>
        <v>108</v>
      </c>
      <c r="CT174" s="369">
        <v>65.615106286748087</v>
      </c>
      <c r="CU174" s="385">
        <v>2250.2564263010345</v>
      </c>
      <c r="CV174" s="385">
        <f>108</f>
        <v>108</v>
      </c>
      <c r="CW174" s="369">
        <v>65.615106286748087</v>
      </c>
      <c r="CX174" s="385">
        <v>2250.2564263010345</v>
      </c>
      <c r="CY174" s="385">
        <f>108</f>
        <v>108</v>
      </c>
      <c r="CZ174" s="369">
        <v>65.615106286748087</v>
      </c>
      <c r="DA174" s="385">
        <v>2250.2564263010345</v>
      </c>
      <c r="DB174" s="385">
        <f>108</f>
        <v>108</v>
      </c>
      <c r="DC174" s="369">
        <v>65.615106286748087</v>
      </c>
      <c r="DD174" s="385">
        <v>2250.2564263010345</v>
      </c>
      <c r="DE174" s="385">
        <f>108</f>
        <v>108</v>
      </c>
      <c r="DF174" s="369">
        <v>65.615106286748087</v>
      </c>
      <c r="DG174" s="385">
        <v>2250.2564263010345</v>
      </c>
      <c r="DH174" s="385">
        <f>108</f>
        <v>108</v>
      </c>
      <c r="DI174" s="369">
        <v>65.615106286748087</v>
      </c>
      <c r="DJ174" s="385">
        <v>2250.2564263010345</v>
      </c>
      <c r="DK174" s="385">
        <f>108</f>
        <v>108</v>
      </c>
      <c r="DL174" s="369">
        <v>65.615106286748087</v>
      </c>
      <c r="DM174" s="385">
        <v>2250.2564263010345</v>
      </c>
      <c r="DN174" s="385">
        <f>108</f>
        <v>108</v>
      </c>
      <c r="DO174" s="369">
        <v>65.615106286748087</v>
      </c>
      <c r="DP174" s="385">
        <v>2250.2564263010345</v>
      </c>
      <c r="DQ174" s="385">
        <f>108</f>
        <v>108</v>
      </c>
      <c r="DR174" s="369">
        <v>65.615106286748087</v>
      </c>
      <c r="DS174" s="385">
        <v>2250.2564263010345</v>
      </c>
      <c r="DT174" s="385">
        <f>108</f>
        <v>108</v>
      </c>
      <c r="DU174" s="369">
        <v>65.615106286748087</v>
      </c>
      <c r="DV174" s="385">
        <v>2250.2564263010345</v>
      </c>
      <c r="DW174" s="385">
        <f>108</f>
        <v>108</v>
      </c>
      <c r="DX174" s="369">
        <v>65.615106286748087</v>
      </c>
      <c r="DY174" s="385">
        <v>2250.2564263010345</v>
      </c>
      <c r="DZ174" s="385">
        <f>108</f>
        <v>108</v>
      </c>
      <c r="EA174" s="369">
        <v>65.615106286748087</v>
      </c>
      <c r="EB174" s="385">
        <v>2250.2564263010345</v>
      </c>
      <c r="EC174" s="385">
        <f>108</f>
        <v>108</v>
      </c>
      <c r="ED174" s="369">
        <v>65.615106286748087</v>
      </c>
      <c r="EE174" s="385">
        <v>2250.2564263010345</v>
      </c>
      <c r="EF174" s="385">
        <f>108</f>
        <v>108</v>
      </c>
      <c r="EG174" s="369">
        <v>65.615106286748087</v>
      </c>
      <c r="EH174" s="385">
        <v>2250.2564263010345</v>
      </c>
      <c r="EI174" s="385">
        <f>108</f>
        <v>108</v>
      </c>
      <c r="EJ174" s="369">
        <v>65.615106286748087</v>
      </c>
      <c r="EK174" s="385">
        <v>2250.2564263010345</v>
      </c>
      <c r="EL174" s="385">
        <f>108</f>
        <v>108</v>
      </c>
      <c r="EM174" s="369">
        <v>65.615106286748087</v>
      </c>
      <c r="EN174" s="385">
        <v>2250.2564263010345</v>
      </c>
      <c r="EO174" s="385">
        <f>108</f>
        <v>108</v>
      </c>
      <c r="EP174" s="369">
        <v>65.615106286748087</v>
      </c>
      <c r="EQ174" s="385">
        <v>2250.2564263010345</v>
      </c>
      <c r="ER174" s="385">
        <f>108</f>
        <v>108</v>
      </c>
      <c r="ES174" s="369">
        <v>65.615106286748087</v>
      </c>
      <c r="ET174" s="385">
        <v>2250.2564263010345</v>
      </c>
      <c r="EU174" s="385">
        <f>108</f>
        <v>108</v>
      </c>
      <c r="EV174" s="369">
        <v>65.615106286748087</v>
      </c>
      <c r="EW174" s="385">
        <v>2250.2564263010345</v>
      </c>
      <c r="EX174" s="385">
        <f>108</f>
        <v>108</v>
      </c>
      <c r="EY174" s="369">
        <v>65.615106286748087</v>
      </c>
      <c r="EZ174" s="385">
        <v>2250.2564263010345</v>
      </c>
      <c r="FA174" s="385">
        <f>108</f>
        <v>108</v>
      </c>
      <c r="FB174" s="369">
        <v>65.615106286748087</v>
      </c>
      <c r="FC174" s="385">
        <v>2250.2564263010345</v>
      </c>
      <c r="FD174" s="385">
        <f>108</f>
        <v>108</v>
      </c>
      <c r="FE174" s="369">
        <v>65.615106286748087</v>
      </c>
      <c r="FF174" s="385">
        <v>2250.2564263010345</v>
      </c>
      <c r="FG174" s="385">
        <f>108</f>
        <v>108</v>
      </c>
      <c r="FH174" s="369">
        <v>65.615106286748087</v>
      </c>
      <c r="FI174" s="385">
        <v>2250.2564263010345</v>
      </c>
      <c r="FJ174" s="385">
        <f>108</f>
        <v>108</v>
      </c>
      <c r="FK174" s="369">
        <v>65.615106286748087</v>
      </c>
      <c r="FL174" s="385">
        <v>2250.2564263010345</v>
      </c>
      <c r="FM174" s="385">
        <f>108</f>
        <v>108</v>
      </c>
      <c r="FN174" s="369">
        <v>65.615106286748087</v>
      </c>
      <c r="FO174" s="385">
        <v>2250.2564263010345</v>
      </c>
      <c r="FP174" s="385">
        <f>108</f>
        <v>108</v>
      </c>
      <c r="FQ174" s="369">
        <v>65.615106286748087</v>
      </c>
      <c r="FR174" s="385">
        <v>2250.2564263010345</v>
      </c>
      <c r="FS174" s="385">
        <f>108</f>
        <v>108</v>
      </c>
      <c r="FT174" s="369">
        <v>65.615106286748087</v>
      </c>
      <c r="FU174" s="385">
        <v>2250.2564263010345</v>
      </c>
      <c r="FV174" s="385">
        <f>108</f>
        <v>108</v>
      </c>
      <c r="FW174" s="369">
        <v>65.615106286748087</v>
      </c>
      <c r="FX174" s="385">
        <v>2250.2564263010345</v>
      </c>
      <c r="FY174" s="385">
        <f>108</f>
        <v>108</v>
      </c>
      <c r="FZ174" s="369">
        <v>65.615106286748087</v>
      </c>
      <c r="GA174" s="385">
        <v>2250.2564263010345</v>
      </c>
      <c r="GB174" s="385">
        <f>108</f>
        <v>108</v>
      </c>
      <c r="GC174" s="369">
        <v>65.615106286748087</v>
      </c>
      <c r="GD174" s="385">
        <v>2250.2564263010345</v>
      </c>
      <c r="GE174" s="385">
        <f>108</f>
        <v>108</v>
      </c>
      <c r="GF174" s="369">
        <v>65.615106286748087</v>
      </c>
      <c r="GG174" s="385">
        <v>2250.2564263010345</v>
      </c>
      <c r="GH174" s="385">
        <f>108</f>
        <v>108</v>
      </c>
      <c r="GI174" s="369">
        <v>65.615106286748087</v>
      </c>
      <c r="GJ174" s="385">
        <v>2250.2564263010345</v>
      </c>
      <c r="GK174" s="385">
        <f>108</f>
        <v>108</v>
      </c>
      <c r="GL174" s="369">
        <v>65.615106286748087</v>
      </c>
      <c r="GM174" s="385">
        <v>2250.2564263010345</v>
      </c>
      <c r="GN174" s="385">
        <f>108</f>
        <v>108</v>
      </c>
      <c r="GO174" s="369">
        <v>65.615106286748087</v>
      </c>
      <c r="GP174" s="385">
        <v>2250.2564263010345</v>
      </c>
      <c r="GQ174" s="385">
        <f>108</f>
        <v>108</v>
      </c>
      <c r="GR174" s="369">
        <v>65.615106286748087</v>
      </c>
      <c r="GS174" s="385">
        <v>2250.2564263010345</v>
      </c>
      <c r="GT174" s="385">
        <f>108</f>
        <v>108</v>
      </c>
      <c r="GU174" s="369">
        <v>65.615106286748087</v>
      </c>
      <c r="GV174" s="385">
        <v>2250.2564263010345</v>
      </c>
      <c r="GW174" s="385">
        <f>108</f>
        <v>108</v>
      </c>
      <c r="GX174" s="369">
        <v>65.615106286748087</v>
      </c>
      <c r="GY174" s="385">
        <v>2250.2564263010345</v>
      </c>
      <c r="GZ174" s="385">
        <f>108</f>
        <v>108</v>
      </c>
      <c r="HA174" s="369">
        <v>65.615106286748087</v>
      </c>
      <c r="HB174" s="385">
        <v>2250.2564263010345</v>
      </c>
      <c r="HC174" s="385">
        <f>108</f>
        <v>108</v>
      </c>
      <c r="HD174" s="369">
        <v>65.615106286748087</v>
      </c>
      <c r="HE174" s="387">
        <v>2250.2564263010345</v>
      </c>
      <c r="HF174" s="386">
        <f>108*6</f>
        <v>648</v>
      </c>
      <c r="HG174" s="369">
        <v>65.615106286748087</v>
      </c>
      <c r="HH174" s="387">
        <v>2250.2564263010345</v>
      </c>
      <c r="HI174" s="369">
        <v>65.615106286748087</v>
      </c>
      <c r="HJ174" s="387">
        <v>2250.2564263010345</v>
      </c>
      <c r="HK174" s="369">
        <v>65.615106286748087</v>
      </c>
      <c r="HL174" s="387">
        <v>2250.2564263010345</v>
      </c>
      <c r="HM174" s="369">
        <v>65.615106286748087</v>
      </c>
      <c r="HN174" s="387">
        <v>2250.2564263010345</v>
      </c>
      <c r="HO174" s="369">
        <v>65.615106286748087</v>
      </c>
      <c r="HP174" s="387">
        <v>2250.2564263010345</v>
      </c>
      <c r="HQ174" s="369">
        <v>65.615106286748087</v>
      </c>
      <c r="HR174" s="387">
        <v>2250.2564263010345</v>
      </c>
      <c r="HS174" s="369">
        <v>65.615106286748087</v>
      </c>
      <c r="HT174" s="387">
        <v>2250.2564263010345</v>
      </c>
      <c r="HU174" s="369">
        <v>65.615106286748087</v>
      </c>
      <c r="HV174" s="564">
        <v>2250.2564263010345</v>
      </c>
      <c r="HW174" s="570">
        <v>65.615106286748087</v>
      </c>
      <c r="HX174" s="388">
        <v>2360.9247751355115</v>
      </c>
      <c r="HY174" s="592">
        <f>66/30.5*IW174</f>
        <v>69.245901639344268</v>
      </c>
      <c r="HZ174" s="572"/>
      <c r="IA174" s="572"/>
      <c r="IB174" s="572"/>
      <c r="IC174" s="566"/>
      <c r="ID174" s="567"/>
      <c r="IE174" s="567"/>
      <c r="IF174" s="567"/>
      <c r="IG174" s="567"/>
      <c r="IH174" s="568"/>
      <c r="II174" s="569"/>
      <c r="IJ174" s="568"/>
      <c r="IK174" s="569"/>
      <c r="IL174" s="568"/>
      <c r="IM174" s="569"/>
      <c r="IN174" s="568"/>
      <c r="IO174" s="569"/>
      <c r="IP174" s="568"/>
      <c r="IQ174" s="569"/>
      <c r="IR174" s="429" t="s">
        <v>2977</v>
      </c>
      <c r="IS174" s="364" t="s">
        <v>77</v>
      </c>
      <c r="IT174" s="574">
        <v>43707</v>
      </c>
      <c r="IU174" s="393">
        <v>43739</v>
      </c>
      <c r="IV174" s="575"/>
      <c r="IW174" s="372">
        <f t="shared" si="22"/>
        <v>32</v>
      </c>
      <c r="IX174" s="373">
        <f t="shared" si="24"/>
        <v>77.407369676574149</v>
      </c>
      <c r="IY174" s="531">
        <f t="shared" si="20"/>
        <v>2477.0358296503728</v>
      </c>
      <c r="IZ174" s="531"/>
      <c r="JA174" s="460"/>
      <c r="JC174" s="461"/>
    </row>
    <row r="175" spans="1:16266" s="367" customFormat="1" ht="16.5" customHeight="1" x14ac:dyDescent="0.3">
      <c r="A175" s="354" t="s">
        <v>2743</v>
      </c>
      <c r="B175" s="415" t="s">
        <v>2953</v>
      </c>
      <c r="C175" s="447" t="s">
        <v>1984</v>
      </c>
      <c r="D175" s="448">
        <v>2266</v>
      </c>
      <c r="E175" s="449">
        <v>299</v>
      </c>
      <c r="F175" s="449">
        <v>65</v>
      </c>
      <c r="G175" s="449">
        <v>414</v>
      </c>
      <c r="H175" s="450">
        <v>66</v>
      </c>
      <c r="I175" s="830">
        <v>2630</v>
      </c>
      <c r="J175" s="831">
        <v>414</v>
      </c>
      <c r="K175" s="831">
        <v>65.615106286748087</v>
      </c>
      <c r="L175" s="831">
        <v>2630</v>
      </c>
      <c r="M175" s="831">
        <v>414</v>
      </c>
      <c r="N175" s="831">
        <v>65.615106286748087</v>
      </c>
      <c r="O175" s="831">
        <v>2630</v>
      </c>
      <c r="P175" s="831">
        <v>414</v>
      </c>
      <c r="Q175" s="831">
        <v>65.615106286748087</v>
      </c>
      <c r="R175" s="831">
        <v>2630</v>
      </c>
      <c r="S175" s="831">
        <v>414</v>
      </c>
      <c r="T175" s="831">
        <v>65.615106286748087</v>
      </c>
      <c r="U175" s="831">
        <v>2630</v>
      </c>
      <c r="V175" s="831">
        <v>414</v>
      </c>
      <c r="W175" s="831">
        <v>65.615106286748087</v>
      </c>
      <c r="X175" s="831">
        <v>2630</v>
      </c>
      <c r="Y175" s="831">
        <v>414</v>
      </c>
      <c r="Z175" s="831">
        <v>65.615106286748087</v>
      </c>
      <c r="AA175" s="831">
        <v>2630</v>
      </c>
      <c r="AB175" s="831">
        <v>414</v>
      </c>
      <c r="AC175" s="831">
        <v>65.615106286748087</v>
      </c>
      <c r="AD175" s="831">
        <v>2630</v>
      </c>
      <c r="AE175" s="831">
        <v>414</v>
      </c>
      <c r="AF175" s="831">
        <v>65.615106286748087</v>
      </c>
      <c r="AG175" s="831">
        <v>2630</v>
      </c>
      <c r="AH175" s="831">
        <v>414</v>
      </c>
      <c r="AI175" s="831">
        <v>65.615106286748087</v>
      </c>
      <c r="AJ175" s="831">
        <v>2630</v>
      </c>
      <c r="AK175" s="831">
        <v>414</v>
      </c>
      <c r="AL175" s="831">
        <v>65.615106286748087</v>
      </c>
      <c r="AM175" s="831">
        <v>2630</v>
      </c>
      <c r="AN175" s="831">
        <v>414</v>
      </c>
      <c r="AO175" s="831">
        <v>65.615106286748087</v>
      </c>
      <c r="AP175" s="831">
        <v>2630</v>
      </c>
      <c r="AQ175" s="831">
        <v>414</v>
      </c>
      <c r="AR175" s="831">
        <v>65.615106286748087</v>
      </c>
      <c r="AS175" s="831">
        <v>2630</v>
      </c>
      <c r="AT175" s="831">
        <v>414</v>
      </c>
      <c r="AU175" s="831">
        <v>65.615106286748087</v>
      </c>
      <c r="AV175" s="831">
        <v>2630</v>
      </c>
      <c r="AW175" s="831">
        <v>414</v>
      </c>
      <c r="AX175" s="831">
        <v>65.615106286748087</v>
      </c>
      <c r="AY175" s="831">
        <v>2630</v>
      </c>
      <c r="AZ175" s="831">
        <v>414</v>
      </c>
      <c r="BA175" s="369">
        <v>65.615106286748087</v>
      </c>
      <c r="BB175" s="385">
        <v>2630</v>
      </c>
      <c r="BC175" s="385">
        <v>414</v>
      </c>
      <c r="BD175" s="369">
        <v>65.615106286748087</v>
      </c>
      <c r="BE175" s="385">
        <v>2630</v>
      </c>
      <c r="BF175" s="385">
        <v>414</v>
      </c>
      <c r="BG175" s="369">
        <v>65.615106286748087</v>
      </c>
      <c r="BH175" s="385">
        <v>2630</v>
      </c>
      <c r="BI175" s="385">
        <v>414</v>
      </c>
      <c r="BJ175" s="369">
        <v>65.615106286748087</v>
      </c>
      <c r="BK175" s="385">
        <v>2630</v>
      </c>
      <c r="BL175" s="385">
        <v>414</v>
      </c>
      <c r="BM175" s="369">
        <v>65.615106286748087</v>
      </c>
      <c r="BN175" s="385">
        <v>2630</v>
      </c>
      <c r="BO175" s="385">
        <v>414</v>
      </c>
      <c r="BP175" s="369">
        <v>65.615106286748087</v>
      </c>
      <c r="BQ175" s="385">
        <v>2630</v>
      </c>
      <c r="BR175" s="385">
        <v>414</v>
      </c>
      <c r="BS175" s="369">
        <v>65.615106286748087</v>
      </c>
      <c r="BT175" s="385">
        <v>2630</v>
      </c>
      <c r="BU175" s="385">
        <v>414</v>
      </c>
      <c r="BV175" s="369">
        <v>65.615106286748087</v>
      </c>
      <c r="BW175" s="385">
        <v>2630</v>
      </c>
      <c r="BX175" s="385">
        <v>414</v>
      </c>
      <c r="BY175" s="369">
        <v>65.615106286748087</v>
      </c>
      <c r="BZ175" s="385">
        <v>2630</v>
      </c>
      <c r="CA175" s="385">
        <v>414</v>
      </c>
      <c r="CB175" s="369">
        <v>65.615106286748087</v>
      </c>
      <c r="CC175" s="385">
        <v>2630</v>
      </c>
      <c r="CD175" s="385">
        <v>414</v>
      </c>
      <c r="CE175" s="369">
        <v>65.615106286748087</v>
      </c>
      <c r="CF175" s="385">
        <v>2630</v>
      </c>
      <c r="CG175" s="385">
        <v>414</v>
      </c>
      <c r="CH175" s="369">
        <v>65.615106286748087</v>
      </c>
      <c r="CI175" s="385">
        <v>2630</v>
      </c>
      <c r="CJ175" s="385">
        <v>414</v>
      </c>
      <c r="CK175" s="369">
        <v>65.615106286748087</v>
      </c>
      <c r="CL175" s="385">
        <v>2630</v>
      </c>
      <c r="CM175" s="385">
        <v>414</v>
      </c>
      <c r="CN175" s="369">
        <v>65.615106286748087</v>
      </c>
      <c r="CO175" s="385">
        <v>2630</v>
      </c>
      <c r="CP175" s="385">
        <v>414</v>
      </c>
      <c r="CQ175" s="369">
        <v>65.615106286748087</v>
      </c>
      <c r="CR175" s="385">
        <v>2630</v>
      </c>
      <c r="CS175" s="385">
        <v>414</v>
      </c>
      <c r="CT175" s="369">
        <v>65.615106286748087</v>
      </c>
      <c r="CU175" s="385">
        <v>2630</v>
      </c>
      <c r="CV175" s="385">
        <v>414</v>
      </c>
      <c r="CW175" s="369">
        <v>65.615106286748087</v>
      </c>
      <c r="CX175" s="385">
        <v>2630</v>
      </c>
      <c r="CY175" s="385">
        <v>414</v>
      </c>
      <c r="CZ175" s="369">
        <v>65.615106286748087</v>
      </c>
      <c r="DA175" s="385">
        <v>2630</v>
      </c>
      <c r="DB175" s="385">
        <v>414</v>
      </c>
      <c r="DC175" s="369">
        <v>65.615106286748087</v>
      </c>
      <c r="DD175" s="385">
        <v>2630</v>
      </c>
      <c r="DE175" s="385">
        <v>414</v>
      </c>
      <c r="DF175" s="369">
        <v>65.615106286748087</v>
      </c>
      <c r="DG175" s="385">
        <v>2630</v>
      </c>
      <c r="DH175" s="385">
        <v>414</v>
      </c>
      <c r="DI175" s="369">
        <v>65.615106286748087</v>
      </c>
      <c r="DJ175" s="385">
        <v>2630</v>
      </c>
      <c r="DK175" s="385">
        <v>414</v>
      </c>
      <c r="DL175" s="369">
        <v>65.615106286748087</v>
      </c>
      <c r="DM175" s="385">
        <v>2630</v>
      </c>
      <c r="DN175" s="385">
        <v>414</v>
      </c>
      <c r="DO175" s="369">
        <v>65.615106286748087</v>
      </c>
      <c r="DP175" s="385">
        <v>2630</v>
      </c>
      <c r="DQ175" s="385">
        <v>414</v>
      </c>
      <c r="DR175" s="369">
        <v>65.615106286748087</v>
      </c>
      <c r="DS175" s="385">
        <v>2630</v>
      </c>
      <c r="DT175" s="385">
        <v>414</v>
      </c>
      <c r="DU175" s="369">
        <v>65.615106286748087</v>
      </c>
      <c r="DV175" s="385">
        <v>2630</v>
      </c>
      <c r="DW175" s="385">
        <v>414</v>
      </c>
      <c r="DX175" s="369">
        <v>65.615106286748087</v>
      </c>
      <c r="DY175" s="385">
        <v>2630</v>
      </c>
      <c r="DZ175" s="385">
        <v>414</v>
      </c>
      <c r="EA175" s="369">
        <v>65.615106286748087</v>
      </c>
      <c r="EB175" s="385">
        <v>2630</v>
      </c>
      <c r="EC175" s="385">
        <v>414</v>
      </c>
      <c r="ED175" s="369">
        <v>65.615106286748087</v>
      </c>
      <c r="EE175" s="385">
        <v>2630</v>
      </c>
      <c r="EF175" s="385">
        <v>414</v>
      </c>
      <c r="EG175" s="369">
        <v>65.615106286748087</v>
      </c>
      <c r="EH175" s="385">
        <v>2630</v>
      </c>
      <c r="EI175" s="385">
        <v>414</v>
      </c>
      <c r="EJ175" s="369">
        <v>65.615106286748087</v>
      </c>
      <c r="EK175" s="385">
        <v>2630</v>
      </c>
      <c r="EL175" s="385">
        <v>414</v>
      </c>
      <c r="EM175" s="369">
        <v>65.615106286748087</v>
      </c>
      <c r="EN175" s="385">
        <v>2630</v>
      </c>
      <c r="EO175" s="385">
        <v>414</v>
      </c>
      <c r="EP175" s="369">
        <v>65.615106286748087</v>
      </c>
      <c r="EQ175" s="385">
        <v>2630</v>
      </c>
      <c r="ER175" s="385">
        <v>414</v>
      </c>
      <c r="ES175" s="369">
        <v>65.615106286748087</v>
      </c>
      <c r="ET175" s="385">
        <v>2630</v>
      </c>
      <c r="EU175" s="385">
        <v>414</v>
      </c>
      <c r="EV175" s="369">
        <v>65.615106286748087</v>
      </c>
      <c r="EW175" s="385">
        <v>2630</v>
      </c>
      <c r="EX175" s="385">
        <v>414</v>
      </c>
      <c r="EY175" s="369">
        <v>65.615106286748087</v>
      </c>
      <c r="EZ175" s="385">
        <v>2630</v>
      </c>
      <c r="FA175" s="385">
        <v>414</v>
      </c>
      <c r="FB175" s="369">
        <v>65.615106286748087</v>
      </c>
      <c r="FC175" s="385">
        <v>2630</v>
      </c>
      <c r="FD175" s="385">
        <v>414</v>
      </c>
      <c r="FE175" s="369">
        <v>65.615106286748087</v>
      </c>
      <c r="FF175" s="385">
        <v>2630</v>
      </c>
      <c r="FG175" s="385">
        <v>414</v>
      </c>
      <c r="FH175" s="369">
        <v>65.615106286748087</v>
      </c>
      <c r="FI175" s="385">
        <v>2630</v>
      </c>
      <c r="FJ175" s="385">
        <v>414</v>
      </c>
      <c r="FK175" s="369">
        <v>65.615106286748087</v>
      </c>
      <c r="FL175" s="385">
        <v>2630</v>
      </c>
      <c r="FM175" s="385">
        <v>414</v>
      </c>
      <c r="FN175" s="369">
        <v>65.615106286748087</v>
      </c>
      <c r="FO175" s="385">
        <v>2630</v>
      </c>
      <c r="FP175" s="385">
        <v>414</v>
      </c>
      <c r="FQ175" s="369">
        <v>65.615106286748087</v>
      </c>
      <c r="FR175" s="385">
        <v>2630</v>
      </c>
      <c r="FS175" s="385">
        <v>414</v>
      </c>
      <c r="FT175" s="369">
        <v>65.615106286748087</v>
      </c>
      <c r="FU175" s="385">
        <v>2630</v>
      </c>
      <c r="FV175" s="385">
        <v>414</v>
      </c>
      <c r="FW175" s="369">
        <v>65.615106286748087</v>
      </c>
      <c r="FX175" s="385">
        <v>2630</v>
      </c>
      <c r="FY175" s="385">
        <v>414</v>
      </c>
      <c r="FZ175" s="369">
        <v>65.615106286748087</v>
      </c>
      <c r="GA175" s="385">
        <v>2630</v>
      </c>
      <c r="GB175" s="385">
        <v>414</v>
      </c>
      <c r="GC175" s="369">
        <v>65.615106286748087</v>
      </c>
      <c r="GD175" s="385">
        <v>2630</v>
      </c>
      <c r="GE175" s="385">
        <v>414</v>
      </c>
      <c r="GF175" s="369">
        <v>65.615106286748087</v>
      </c>
      <c r="GG175" s="385">
        <v>2630</v>
      </c>
      <c r="GH175" s="385">
        <v>414</v>
      </c>
      <c r="GI175" s="369">
        <v>65.615106286748087</v>
      </c>
      <c r="GJ175" s="386">
        <v>2630</v>
      </c>
      <c r="GK175" s="386">
        <v>414</v>
      </c>
      <c r="GL175" s="370">
        <v>65.615106286748087</v>
      </c>
      <c r="GM175" s="385">
        <v>1920.0564263010347</v>
      </c>
      <c r="GN175" s="385">
        <f>171</f>
        <v>171</v>
      </c>
      <c r="GO175" s="369">
        <v>65.615106286748087</v>
      </c>
      <c r="GP175" s="385">
        <v>1920.0564263010347</v>
      </c>
      <c r="GQ175" s="385">
        <f>171</f>
        <v>171</v>
      </c>
      <c r="GR175" s="369">
        <v>65.615106286748087</v>
      </c>
      <c r="GS175" s="385">
        <v>1920.0564263010347</v>
      </c>
      <c r="GT175" s="385">
        <f>171</f>
        <v>171</v>
      </c>
      <c r="GU175" s="369">
        <v>65.615106286748087</v>
      </c>
      <c r="GV175" s="385">
        <v>1920.0564263010347</v>
      </c>
      <c r="GW175" s="385">
        <f>171</f>
        <v>171</v>
      </c>
      <c r="GX175" s="369">
        <v>65.615106286748087</v>
      </c>
      <c r="GY175" s="385">
        <v>1920.0564263010347</v>
      </c>
      <c r="GZ175" s="385">
        <f>171</f>
        <v>171</v>
      </c>
      <c r="HA175" s="369">
        <v>65.615106286748087</v>
      </c>
      <c r="HB175" s="385">
        <v>1920.0564263010347</v>
      </c>
      <c r="HC175" s="385">
        <f>171</f>
        <v>171</v>
      </c>
      <c r="HD175" s="369">
        <v>65.615106286748087</v>
      </c>
      <c r="HE175" s="387">
        <v>1920.0564263010347</v>
      </c>
      <c r="HF175" s="386">
        <f>171*6</f>
        <v>1026</v>
      </c>
      <c r="HG175" s="369">
        <v>65.615106286748087</v>
      </c>
      <c r="HH175" s="387">
        <v>1920.0564263010347</v>
      </c>
      <c r="HI175" s="369">
        <v>65.615106286748087</v>
      </c>
      <c r="HJ175" s="387">
        <v>1920.0564263010347</v>
      </c>
      <c r="HK175" s="369">
        <v>65.615106286748087</v>
      </c>
      <c r="HL175" s="387">
        <v>1920.0564263010347</v>
      </c>
      <c r="HM175" s="369">
        <v>65.615106286748087</v>
      </c>
      <c r="HN175" s="387">
        <v>1920.0564263010347</v>
      </c>
      <c r="HO175" s="369">
        <v>65.615106286748087</v>
      </c>
      <c r="HP175" s="387">
        <v>1920.0564263010347</v>
      </c>
      <c r="HQ175" s="369">
        <v>65.615106286748087</v>
      </c>
      <c r="HR175" s="387">
        <v>1920.0564263010347</v>
      </c>
      <c r="HS175" s="369">
        <v>65.615106286748087</v>
      </c>
      <c r="HT175" s="387">
        <v>1920.0564263010347</v>
      </c>
      <c r="HU175" s="369">
        <v>65.615106286748087</v>
      </c>
      <c r="HV175" s="564">
        <v>1920.0564263010347</v>
      </c>
      <c r="HW175" s="570">
        <v>65.615106286748087</v>
      </c>
      <c r="HX175" s="564">
        <v>2203.3434400175806</v>
      </c>
      <c r="HY175" s="592">
        <f>66/30.5*IW175</f>
        <v>75.73770491803279</v>
      </c>
      <c r="HZ175" s="572"/>
      <c r="IA175" s="572"/>
      <c r="IB175" s="572"/>
      <c r="IC175" s="566"/>
      <c r="ID175" s="567"/>
      <c r="IE175" s="567"/>
      <c r="IF175" s="567"/>
      <c r="IG175" s="567"/>
      <c r="IH175" s="568"/>
      <c r="II175" s="569"/>
      <c r="IJ175" s="568"/>
      <c r="IK175" s="569"/>
      <c r="IL175" s="568"/>
      <c r="IM175" s="569"/>
      <c r="IN175" s="568"/>
      <c r="IO175" s="569"/>
      <c r="IP175" s="568"/>
      <c r="IQ175" s="569"/>
      <c r="IR175" s="429" t="s">
        <v>2970</v>
      </c>
      <c r="IS175" s="364" t="s">
        <v>77</v>
      </c>
      <c r="IT175" s="574">
        <v>43704</v>
      </c>
      <c r="IU175" s="393">
        <v>43739</v>
      </c>
      <c r="IV175" s="593">
        <v>44197</v>
      </c>
      <c r="IW175" s="372">
        <f t="shared" si="22"/>
        <v>35</v>
      </c>
      <c r="IX175" s="373">
        <f t="shared" si="24"/>
        <v>72.240768525166573</v>
      </c>
      <c r="IY175" s="531">
        <f t="shared" si="20"/>
        <v>2528.4268983808302</v>
      </c>
      <c r="IZ175" s="531"/>
      <c r="JA175" s="531"/>
    </row>
    <row r="176" spans="1:16266" s="367" customFormat="1" ht="16.5" customHeight="1" x14ac:dyDescent="0.3">
      <c r="A176" s="401" t="s">
        <v>3315</v>
      </c>
      <c r="B176" s="402" t="s">
        <v>3315</v>
      </c>
      <c r="C176" s="434" t="s">
        <v>3394</v>
      </c>
      <c r="D176" s="856"/>
      <c r="E176" s="751"/>
      <c r="F176" s="751"/>
      <c r="G176" s="751"/>
      <c r="H176" s="857"/>
      <c r="I176" s="853">
        <v>0</v>
      </c>
      <c r="J176" s="833">
        <v>0</v>
      </c>
      <c r="K176" s="833">
        <v>0</v>
      </c>
      <c r="L176" s="833">
        <v>0</v>
      </c>
      <c r="M176" s="833">
        <v>0</v>
      </c>
      <c r="N176" s="833">
        <v>0</v>
      </c>
      <c r="O176" s="833">
        <v>0</v>
      </c>
      <c r="P176" s="833">
        <v>0</v>
      </c>
      <c r="Q176" s="833">
        <v>0</v>
      </c>
      <c r="R176" s="833">
        <v>0</v>
      </c>
      <c r="S176" s="833">
        <v>0</v>
      </c>
      <c r="T176" s="833">
        <v>0</v>
      </c>
      <c r="U176" s="833">
        <v>0</v>
      </c>
      <c r="V176" s="833">
        <v>0</v>
      </c>
      <c r="W176" s="833">
        <v>0</v>
      </c>
      <c r="X176" s="833">
        <v>0</v>
      </c>
      <c r="Y176" s="833">
        <v>0</v>
      </c>
      <c r="Z176" s="833">
        <v>0</v>
      </c>
      <c r="AA176" s="833">
        <v>0</v>
      </c>
      <c r="AB176" s="833">
        <v>0</v>
      </c>
      <c r="AC176" s="833">
        <v>0</v>
      </c>
      <c r="AD176" s="833">
        <v>0</v>
      </c>
      <c r="AE176" s="833">
        <v>0</v>
      </c>
      <c r="AF176" s="833">
        <v>0</v>
      </c>
      <c r="AG176" s="833">
        <v>0</v>
      </c>
      <c r="AH176" s="833">
        <v>0</v>
      </c>
      <c r="AI176" s="833">
        <v>0</v>
      </c>
      <c r="AJ176" s="833">
        <v>0</v>
      </c>
      <c r="AK176" s="833">
        <v>0</v>
      </c>
      <c r="AL176" s="833">
        <v>0</v>
      </c>
      <c r="AM176" s="833">
        <v>0</v>
      </c>
      <c r="AN176" s="833">
        <v>0</v>
      </c>
      <c r="AO176" s="833">
        <v>0</v>
      </c>
      <c r="AP176" s="833">
        <v>0</v>
      </c>
      <c r="AQ176" s="833">
        <v>0</v>
      </c>
      <c r="AR176" s="833">
        <v>0</v>
      </c>
      <c r="AS176" s="833">
        <v>0</v>
      </c>
      <c r="AT176" s="833">
        <v>0</v>
      </c>
      <c r="AU176" s="833">
        <v>0</v>
      </c>
      <c r="AV176" s="833"/>
      <c r="AW176" s="833"/>
      <c r="AX176" s="833"/>
      <c r="AY176" s="833"/>
      <c r="AZ176" s="833"/>
      <c r="BA176" s="455"/>
      <c r="BB176" s="404"/>
      <c r="BC176" s="404"/>
      <c r="BD176" s="455"/>
      <c r="BE176" s="404"/>
      <c r="BF176" s="404"/>
      <c r="BG176" s="455"/>
      <c r="BH176" s="404"/>
      <c r="BI176" s="404"/>
      <c r="BJ176" s="455"/>
      <c r="BK176" s="404"/>
      <c r="BL176" s="404"/>
      <c r="BM176" s="455"/>
      <c r="BN176" s="404"/>
      <c r="BO176" s="404"/>
      <c r="BP176" s="455"/>
      <c r="BQ176" s="404"/>
      <c r="BR176" s="404"/>
      <c r="BS176" s="455"/>
      <c r="BT176" s="404"/>
      <c r="BU176" s="404"/>
      <c r="BV176" s="455"/>
      <c r="BW176" s="404"/>
      <c r="BX176" s="404"/>
      <c r="BY176" s="455"/>
      <c r="BZ176" s="404"/>
      <c r="CA176" s="404"/>
      <c r="CB176" s="455"/>
      <c r="CC176" s="404"/>
      <c r="CD176" s="404"/>
      <c r="CE176" s="455"/>
      <c r="CF176" s="404"/>
      <c r="CG176" s="404"/>
      <c r="CH176" s="455"/>
      <c r="CI176" s="404"/>
      <c r="CJ176" s="404"/>
      <c r="CK176" s="455"/>
      <c r="CL176" s="404"/>
      <c r="CM176" s="404"/>
      <c r="CN176" s="455"/>
      <c r="CO176" s="404"/>
      <c r="CP176" s="404"/>
      <c r="CQ176" s="455"/>
      <c r="CR176" s="404"/>
      <c r="CS176" s="404"/>
      <c r="CT176" s="455"/>
      <c r="CU176" s="404"/>
      <c r="CV176" s="404"/>
      <c r="CW176" s="455"/>
      <c r="CX176" s="404"/>
      <c r="CY176" s="404"/>
      <c r="CZ176" s="455"/>
      <c r="DA176" s="404"/>
      <c r="DB176" s="404"/>
      <c r="DC176" s="455"/>
      <c r="DD176" s="404"/>
      <c r="DE176" s="404"/>
      <c r="DF176" s="455"/>
      <c r="DG176" s="404"/>
      <c r="DH176" s="404"/>
      <c r="DI176" s="455"/>
      <c r="DJ176" s="404"/>
      <c r="DK176" s="404"/>
      <c r="DL176" s="455"/>
      <c r="DM176" s="404"/>
      <c r="DN176" s="404"/>
      <c r="DO176" s="455"/>
      <c r="DP176" s="404"/>
      <c r="DQ176" s="404"/>
      <c r="DR176" s="455"/>
      <c r="DS176" s="404"/>
      <c r="DT176" s="404"/>
      <c r="DU176" s="455"/>
      <c r="DV176" s="404"/>
      <c r="DW176" s="404"/>
      <c r="DX176" s="455"/>
      <c r="DY176" s="404"/>
      <c r="DZ176" s="404"/>
      <c r="EA176" s="455"/>
      <c r="EB176" s="404"/>
      <c r="EC176" s="404"/>
      <c r="ED176" s="455"/>
      <c r="EE176" s="404"/>
      <c r="EF176" s="404"/>
      <c r="EG176" s="455"/>
      <c r="EH176" s="404"/>
      <c r="EI176" s="404"/>
      <c r="EJ176" s="455"/>
      <c r="EK176" s="404"/>
      <c r="EL176" s="404"/>
      <c r="EM176" s="455"/>
      <c r="EN176" s="404"/>
      <c r="EO176" s="404"/>
      <c r="EP176" s="455"/>
      <c r="EQ176" s="404"/>
      <c r="ER176" s="404"/>
      <c r="ES176" s="455"/>
      <c r="ET176" s="404"/>
      <c r="EU176" s="404"/>
      <c r="EV176" s="455"/>
      <c r="EW176" s="404"/>
      <c r="EX176" s="404"/>
      <c r="EY176" s="455"/>
      <c r="EZ176" s="404"/>
      <c r="FA176" s="404"/>
      <c r="FB176" s="455"/>
      <c r="FC176" s="404"/>
      <c r="FD176" s="404"/>
      <c r="FE176" s="455"/>
      <c r="FF176" s="404"/>
      <c r="FG176" s="404"/>
      <c r="FH176" s="455"/>
      <c r="FI176" s="404"/>
      <c r="FJ176" s="404"/>
      <c r="FK176" s="455"/>
      <c r="FL176" s="385">
        <v>1572.4564263010345</v>
      </c>
      <c r="FM176" s="385">
        <f>36</f>
        <v>36</v>
      </c>
      <c r="FN176" s="358"/>
      <c r="FO176" s="385">
        <v>1572.4564263010345</v>
      </c>
      <c r="FP176" s="385">
        <f>36</f>
        <v>36</v>
      </c>
      <c r="FQ176" s="358"/>
      <c r="FR176" s="385">
        <v>1572.4564263010345</v>
      </c>
      <c r="FS176" s="385">
        <f>36</f>
        <v>36</v>
      </c>
      <c r="FT176" s="358"/>
      <c r="FU176" s="385">
        <v>1572.4564263010345</v>
      </c>
      <c r="FV176" s="385">
        <f>36</f>
        <v>36</v>
      </c>
      <c r="FW176" s="358"/>
      <c r="FX176" s="385">
        <v>1572.4564263010345</v>
      </c>
      <c r="FY176" s="385">
        <f>36</f>
        <v>36</v>
      </c>
      <c r="FZ176" s="358"/>
      <c r="GA176" s="385">
        <v>1572.4564263010345</v>
      </c>
      <c r="GB176" s="385">
        <f>36</f>
        <v>36</v>
      </c>
      <c r="GC176" s="358"/>
      <c r="GD176" s="385">
        <v>1572.4564263010345</v>
      </c>
      <c r="GE176" s="385">
        <f>36</f>
        <v>36</v>
      </c>
      <c r="GF176" s="358"/>
      <c r="GG176" s="385">
        <v>1572.4564263010345</v>
      </c>
      <c r="GH176" s="385">
        <f>36</f>
        <v>36</v>
      </c>
      <c r="GI176" s="358"/>
      <c r="GJ176" s="385">
        <v>1572.4564263010345</v>
      </c>
      <c r="GK176" s="385">
        <f>36</f>
        <v>36</v>
      </c>
      <c r="GL176" s="358"/>
      <c r="GM176" s="385">
        <v>1572.4564263010345</v>
      </c>
      <c r="GN176" s="385">
        <f>36</f>
        <v>36</v>
      </c>
      <c r="GO176" s="358"/>
      <c r="GP176" s="385">
        <v>1572.4564263010345</v>
      </c>
      <c r="GQ176" s="385">
        <f>36</f>
        <v>36</v>
      </c>
      <c r="GR176" s="358"/>
      <c r="GS176" s="385">
        <v>1572.4564263010345</v>
      </c>
      <c r="GT176" s="385">
        <f>36</f>
        <v>36</v>
      </c>
      <c r="GU176" s="358"/>
      <c r="GV176" s="385">
        <v>1572.4564263010345</v>
      </c>
      <c r="GW176" s="385">
        <f>36</f>
        <v>36</v>
      </c>
      <c r="GX176" s="358"/>
      <c r="GY176" s="385">
        <v>1572.4564263010345</v>
      </c>
      <c r="GZ176" s="385">
        <f>36</f>
        <v>36</v>
      </c>
      <c r="HA176" s="358"/>
      <c r="HB176" s="385">
        <v>1572.4564263010345</v>
      </c>
      <c r="HC176" s="385">
        <f>36</f>
        <v>36</v>
      </c>
      <c r="HD176" s="358"/>
      <c r="HE176" s="387">
        <v>1572.4564263010345</v>
      </c>
      <c r="HF176" s="386">
        <f>36*6</f>
        <v>216</v>
      </c>
      <c r="HG176" s="358"/>
      <c r="HH176" s="387">
        <v>1572.4564263010345</v>
      </c>
      <c r="HI176" s="358"/>
      <c r="HJ176" s="387">
        <v>1572.4564263010345</v>
      </c>
      <c r="HK176" s="358"/>
      <c r="HL176" s="387">
        <v>1572.4564263010345</v>
      </c>
      <c r="HM176" s="358"/>
      <c r="HN176" s="387">
        <v>1572.4564263010345</v>
      </c>
      <c r="HO176" s="358"/>
      <c r="HP176" s="387">
        <v>1572.4564263010345</v>
      </c>
      <c r="HQ176" s="358"/>
      <c r="HR176" s="387">
        <v>1572.4564263010345</v>
      </c>
      <c r="HS176" s="358"/>
      <c r="HT176" s="387">
        <v>1572.4564263010345</v>
      </c>
      <c r="HU176" s="358"/>
      <c r="HV176" s="564">
        <v>1572.4564263010345</v>
      </c>
      <c r="HW176" s="563"/>
      <c r="HX176" s="564">
        <v>1752.9022457126287</v>
      </c>
      <c r="HY176" s="572"/>
      <c r="HZ176" s="572"/>
      <c r="IA176" s="572"/>
      <c r="IB176" s="572"/>
      <c r="IC176" s="566"/>
      <c r="ID176" s="567"/>
      <c r="IE176" s="567"/>
      <c r="IF176" s="567"/>
      <c r="IG176" s="567"/>
      <c r="IH176" s="568"/>
      <c r="II176" s="569"/>
      <c r="IJ176" s="568"/>
      <c r="IK176" s="569"/>
      <c r="IL176" s="568"/>
      <c r="IM176" s="569"/>
      <c r="IN176" s="568"/>
      <c r="IO176" s="569"/>
      <c r="IP176" s="568"/>
      <c r="IQ176" s="569"/>
      <c r="IR176" s="429" t="s">
        <v>3395</v>
      </c>
      <c r="IS176" s="364" t="s">
        <v>77</v>
      </c>
      <c r="IT176" s="574">
        <v>43705</v>
      </c>
      <c r="IU176" s="393">
        <v>43739</v>
      </c>
      <c r="IV176" s="575"/>
      <c r="IW176" s="372">
        <f t="shared" si="22"/>
        <v>34</v>
      </c>
      <c r="IX176" s="373">
        <f t="shared" si="24"/>
        <v>57.472204777463233</v>
      </c>
      <c r="IY176" s="531">
        <f t="shared" si="20"/>
        <v>1954.05496243375</v>
      </c>
      <c r="IZ176" s="531"/>
      <c r="JA176" s="531"/>
    </row>
    <row r="177" spans="1:261" s="367" customFormat="1" ht="16.5" customHeight="1" x14ac:dyDescent="0.3">
      <c r="A177" s="354" t="s">
        <v>2743</v>
      </c>
      <c r="B177" s="415" t="s">
        <v>2906</v>
      </c>
      <c r="C177" s="993" t="s">
        <v>2444</v>
      </c>
      <c r="D177" s="467">
        <v>479</v>
      </c>
      <c r="E177" s="468">
        <v>24</v>
      </c>
      <c r="F177" s="468">
        <v>0</v>
      </c>
      <c r="G177" s="468">
        <v>0</v>
      </c>
      <c r="H177" s="469">
        <v>66</v>
      </c>
      <c r="I177" s="841">
        <v>503</v>
      </c>
      <c r="J177" s="831"/>
      <c r="K177" s="831">
        <v>66</v>
      </c>
      <c r="L177" s="835">
        <v>503</v>
      </c>
      <c r="M177" s="831"/>
      <c r="N177" s="831">
        <v>66</v>
      </c>
      <c r="O177" s="835">
        <v>503</v>
      </c>
      <c r="P177" s="831"/>
      <c r="Q177" s="831">
        <v>66</v>
      </c>
      <c r="R177" s="835">
        <v>503</v>
      </c>
      <c r="S177" s="831"/>
      <c r="T177" s="831">
        <v>66</v>
      </c>
      <c r="U177" s="835">
        <v>503</v>
      </c>
      <c r="V177" s="831"/>
      <c r="W177" s="831">
        <v>66</v>
      </c>
      <c r="X177" s="835">
        <v>503</v>
      </c>
      <c r="Y177" s="831"/>
      <c r="Z177" s="831">
        <v>66</v>
      </c>
      <c r="AA177" s="835">
        <v>503</v>
      </c>
      <c r="AB177" s="831"/>
      <c r="AC177" s="831">
        <v>66</v>
      </c>
      <c r="AD177" s="835">
        <v>503</v>
      </c>
      <c r="AE177" s="831"/>
      <c r="AF177" s="831">
        <v>66</v>
      </c>
      <c r="AG177" s="835">
        <v>503</v>
      </c>
      <c r="AH177" s="831"/>
      <c r="AI177" s="831">
        <v>66</v>
      </c>
      <c r="AJ177" s="835">
        <v>503</v>
      </c>
      <c r="AK177" s="831"/>
      <c r="AL177" s="831">
        <v>66</v>
      </c>
      <c r="AM177" s="835">
        <v>503</v>
      </c>
      <c r="AN177" s="831"/>
      <c r="AO177" s="831">
        <v>66</v>
      </c>
      <c r="AP177" s="835">
        <v>503</v>
      </c>
      <c r="AQ177" s="831"/>
      <c r="AR177" s="831">
        <v>66</v>
      </c>
      <c r="AS177" s="881">
        <f>((503-418)/30.5)*31+503</f>
        <v>589.39344262295083</v>
      </c>
      <c r="AT177" s="831"/>
      <c r="AU177" s="831">
        <v>66</v>
      </c>
      <c r="AV177" s="831">
        <v>417.65642630103451</v>
      </c>
      <c r="AW177" s="831"/>
      <c r="AX177" s="831">
        <v>66</v>
      </c>
      <c r="AY177" s="831">
        <v>417.65642630103451</v>
      </c>
      <c r="AZ177" s="831"/>
      <c r="BA177" s="369">
        <v>66</v>
      </c>
      <c r="BB177" s="385">
        <v>417.65642630103451</v>
      </c>
      <c r="BC177" s="385"/>
      <c r="BD177" s="369">
        <v>66</v>
      </c>
      <c r="BE177" s="385">
        <v>417.65642630103451</v>
      </c>
      <c r="BF177" s="385"/>
      <c r="BG177" s="369">
        <v>66</v>
      </c>
      <c r="BH177" s="385">
        <v>417.65642630103451</v>
      </c>
      <c r="BI177" s="385"/>
      <c r="BJ177" s="369">
        <v>66</v>
      </c>
      <c r="BK177" s="385">
        <v>417.65642630103451</v>
      </c>
      <c r="BL177" s="385"/>
      <c r="BM177" s="369">
        <v>66</v>
      </c>
      <c r="BN177" s="385">
        <v>417.65642630103451</v>
      </c>
      <c r="BO177" s="385"/>
      <c r="BP177" s="369">
        <v>66</v>
      </c>
      <c r="BQ177" s="385">
        <v>417.65642630103451</v>
      </c>
      <c r="BR177" s="385"/>
      <c r="BS177" s="369">
        <v>66</v>
      </c>
      <c r="BT177" s="385">
        <v>417.65642630103451</v>
      </c>
      <c r="BU177" s="385"/>
      <c r="BV177" s="369">
        <v>66</v>
      </c>
      <c r="BW177" s="385">
        <v>417.65642630103451</v>
      </c>
      <c r="BX177" s="385"/>
      <c r="BY177" s="369">
        <v>66</v>
      </c>
      <c r="BZ177" s="385">
        <v>417.65642630103451</v>
      </c>
      <c r="CA177" s="385"/>
      <c r="CB177" s="369">
        <v>66</v>
      </c>
      <c r="CC177" s="385">
        <v>417.65642630103451</v>
      </c>
      <c r="CD177" s="385"/>
      <c r="CE177" s="369">
        <v>66</v>
      </c>
      <c r="CF177" s="385">
        <v>417.65642630103451</v>
      </c>
      <c r="CG177" s="385"/>
      <c r="CH177" s="369">
        <v>66</v>
      </c>
      <c r="CI177" s="385">
        <v>417.65642630103451</v>
      </c>
      <c r="CJ177" s="385"/>
      <c r="CK177" s="369">
        <v>66</v>
      </c>
      <c r="CL177" s="385">
        <v>417.65642630103451</v>
      </c>
      <c r="CM177" s="385"/>
      <c r="CN177" s="369">
        <v>66</v>
      </c>
      <c r="CO177" s="385">
        <v>417.65642630103451</v>
      </c>
      <c r="CP177" s="385"/>
      <c r="CQ177" s="369">
        <v>66</v>
      </c>
      <c r="CR177" s="385">
        <v>417.65642630103451</v>
      </c>
      <c r="CS177" s="385"/>
      <c r="CT177" s="369">
        <v>66</v>
      </c>
      <c r="CU177" s="385">
        <v>417.65642630103451</v>
      </c>
      <c r="CV177" s="385"/>
      <c r="CW177" s="369">
        <v>66</v>
      </c>
      <c r="CX177" s="385">
        <v>417.65642630103451</v>
      </c>
      <c r="CY177" s="385"/>
      <c r="CZ177" s="369">
        <v>66</v>
      </c>
      <c r="DA177" s="385">
        <v>417.65642630103451</v>
      </c>
      <c r="DB177" s="385"/>
      <c r="DC177" s="369">
        <v>66</v>
      </c>
      <c r="DD177" s="385">
        <v>417.65642630103451</v>
      </c>
      <c r="DE177" s="385"/>
      <c r="DF177" s="369">
        <v>66</v>
      </c>
      <c r="DG177" s="385">
        <v>417.65642630103451</v>
      </c>
      <c r="DH177" s="385"/>
      <c r="DI177" s="369">
        <v>66</v>
      </c>
      <c r="DJ177" s="385">
        <v>417.65642630103451</v>
      </c>
      <c r="DK177" s="385"/>
      <c r="DL177" s="369">
        <v>66</v>
      </c>
      <c r="DM177" s="385">
        <v>417.65642630103451</v>
      </c>
      <c r="DN177" s="385"/>
      <c r="DO177" s="369">
        <v>66</v>
      </c>
      <c r="DP177" s="385">
        <v>417.65642630103451</v>
      </c>
      <c r="DQ177" s="385"/>
      <c r="DR177" s="369">
        <v>66</v>
      </c>
      <c r="DS177" s="385">
        <v>417.65642630103451</v>
      </c>
      <c r="DT177" s="385"/>
      <c r="DU177" s="369">
        <v>66</v>
      </c>
      <c r="DV177" s="385">
        <v>417.65642630103451</v>
      </c>
      <c r="DW177" s="385"/>
      <c r="DX177" s="369">
        <v>66</v>
      </c>
      <c r="DY177" s="385">
        <v>417.65642630103451</v>
      </c>
      <c r="DZ177" s="385"/>
      <c r="EA177" s="369">
        <v>66</v>
      </c>
      <c r="EB177" s="385">
        <v>417.65642630103451</v>
      </c>
      <c r="EC177" s="385"/>
      <c r="ED177" s="369">
        <v>66</v>
      </c>
      <c r="EE177" s="385">
        <v>417.65642630103451</v>
      </c>
      <c r="EF177" s="385"/>
      <c r="EG177" s="369">
        <v>66</v>
      </c>
      <c r="EH177" s="385">
        <v>417.65642630103451</v>
      </c>
      <c r="EI177" s="385"/>
      <c r="EJ177" s="369">
        <v>66</v>
      </c>
      <c r="EK177" s="385">
        <v>417.65642630103451</v>
      </c>
      <c r="EL177" s="385"/>
      <c r="EM177" s="369">
        <v>66</v>
      </c>
      <c r="EN177" s="385">
        <v>417.65642630103451</v>
      </c>
      <c r="EO177" s="385"/>
      <c r="EP177" s="369">
        <v>66</v>
      </c>
      <c r="EQ177" s="385">
        <v>417.65642630103451</v>
      </c>
      <c r="ER177" s="385"/>
      <c r="ES177" s="369">
        <v>66</v>
      </c>
      <c r="ET177" s="385">
        <v>417.65642630103451</v>
      </c>
      <c r="EU177" s="385"/>
      <c r="EV177" s="369">
        <v>66</v>
      </c>
      <c r="EW177" s="385">
        <v>417.65642630103451</v>
      </c>
      <c r="EX177" s="385"/>
      <c r="EY177" s="369">
        <v>66</v>
      </c>
      <c r="EZ177" s="385">
        <v>417.65642630103451</v>
      </c>
      <c r="FA177" s="385"/>
      <c r="FB177" s="369">
        <v>66</v>
      </c>
      <c r="FC177" s="385">
        <v>417.65642630103451</v>
      </c>
      <c r="FD177" s="385"/>
      <c r="FE177" s="369">
        <v>66</v>
      </c>
      <c r="FF177" s="385">
        <v>417.65642630103451</v>
      </c>
      <c r="FG177" s="385"/>
      <c r="FH177" s="369">
        <v>66</v>
      </c>
      <c r="FI177" s="385">
        <v>417.65642630103451</v>
      </c>
      <c r="FJ177" s="385"/>
      <c r="FK177" s="369">
        <v>66</v>
      </c>
      <c r="FL177" s="385">
        <v>417.65642630103451</v>
      </c>
      <c r="FM177" s="385"/>
      <c r="FN177" s="369">
        <v>66</v>
      </c>
      <c r="FO177" s="385">
        <v>417.65642630103451</v>
      </c>
      <c r="FP177" s="385"/>
      <c r="FQ177" s="369">
        <v>66</v>
      </c>
      <c r="FR177" s="385">
        <v>417.65642630103451</v>
      </c>
      <c r="FS177" s="385"/>
      <c r="FT177" s="369">
        <v>66</v>
      </c>
      <c r="FU177" s="386">
        <v>417.65642630103451</v>
      </c>
      <c r="FV177" s="386"/>
      <c r="FW177" s="370">
        <v>66</v>
      </c>
      <c r="FX177" s="387">
        <v>417.65642630103451</v>
      </c>
      <c r="FY177" s="387"/>
      <c r="FZ177" s="358"/>
      <c r="GA177" s="387">
        <v>417.65642630103451</v>
      </c>
      <c r="GB177" s="387"/>
      <c r="GC177" s="358"/>
      <c r="GD177" s="387">
        <v>417.65642630103451</v>
      </c>
      <c r="GE177" s="387"/>
      <c r="GF177" s="358"/>
      <c r="GG177" s="387">
        <v>417.65642630103451</v>
      </c>
      <c r="GH177" s="387"/>
      <c r="GI177" s="358"/>
      <c r="GJ177" s="387">
        <v>417.65642630103451</v>
      </c>
      <c r="GK177" s="387"/>
      <c r="GL177" s="358"/>
      <c r="GM177" s="387">
        <v>417.65642630103451</v>
      </c>
      <c r="GN177" s="387"/>
      <c r="GO177" s="358"/>
      <c r="GP177" s="387">
        <v>417.65642630103451</v>
      </c>
      <c r="GQ177" s="387"/>
      <c r="GR177" s="358"/>
      <c r="GS177" s="387">
        <v>417.65642630103451</v>
      </c>
      <c r="GT177" s="387"/>
      <c r="GU177" s="358"/>
      <c r="GV177" s="387">
        <v>417.65642630103451</v>
      </c>
      <c r="GW177" s="387"/>
      <c r="GX177" s="358"/>
      <c r="GY177" s="387">
        <v>417.65642630103451</v>
      </c>
      <c r="GZ177" s="387"/>
      <c r="HA177" s="358"/>
      <c r="HB177" s="387">
        <v>417.65642630103451</v>
      </c>
      <c r="HC177" s="387"/>
      <c r="HD177" s="358"/>
      <c r="HE177" s="387">
        <v>417.65642630103451</v>
      </c>
      <c r="HF177" s="387"/>
      <c r="HG177" s="358"/>
      <c r="HH177" s="387">
        <v>417.65642630103451</v>
      </c>
      <c r="HI177" s="358"/>
      <c r="HJ177" s="387">
        <v>417.65642630103451</v>
      </c>
      <c r="HK177" s="358"/>
      <c r="HL177" s="387">
        <v>417.65642630103451</v>
      </c>
      <c r="HM177" s="358"/>
      <c r="HN177" s="387">
        <v>417.65642630103451</v>
      </c>
      <c r="HO177" s="358"/>
      <c r="HP177" s="387">
        <v>417.65642630103451</v>
      </c>
      <c r="HQ177" s="358"/>
      <c r="HR177" s="387">
        <v>417.65642630103451</v>
      </c>
      <c r="HS177" s="358"/>
      <c r="HT177" s="387">
        <v>417.65642630103451</v>
      </c>
      <c r="HU177" s="358"/>
      <c r="HV177" s="564">
        <v>417.65642630103451</v>
      </c>
      <c r="HW177" s="563"/>
      <c r="HX177" s="564">
        <v>821.61919928072371</v>
      </c>
      <c r="HY177" s="572"/>
      <c r="HZ177" s="572"/>
      <c r="IA177" s="572"/>
      <c r="IB177" s="572"/>
      <c r="IC177" s="566"/>
      <c r="ID177" s="567"/>
      <c r="IE177" s="567"/>
      <c r="IF177" s="567"/>
      <c r="IG177" s="567"/>
      <c r="IH177" s="568"/>
      <c r="II177" s="569"/>
      <c r="IJ177" s="568"/>
      <c r="IK177" s="569"/>
      <c r="IL177" s="568"/>
      <c r="IM177" s="569"/>
      <c r="IN177" s="568"/>
      <c r="IO177" s="569"/>
      <c r="IP177" s="568"/>
      <c r="IQ177" s="569"/>
      <c r="IR177" s="429" t="s">
        <v>2905</v>
      </c>
      <c r="IS177" s="364" t="s">
        <v>77</v>
      </c>
      <c r="IT177" s="574">
        <v>43679</v>
      </c>
      <c r="IU177" s="562">
        <v>43739</v>
      </c>
      <c r="IV177" s="591">
        <v>44348</v>
      </c>
      <c r="IW177" s="372">
        <f t="shared" si="22"/>
        <v>60</v>
      </c>
      <c r="IX177" s="373">
        <f t="shared" si="24"/>
        <v>26.938334402646678</v>
      </c>
      <c r="IY177" s="531">
        <f t="shared" si="20"/>
        <v>1616.3000641588008</v>
      </c>
      <c r="IZ177" s="531"/>
      <c r="JA177" s="531"/>
    </row>
    <row r="178" spans="1:261" s="367" customFormat="1" ht="16.5" customHeight="1" x14ac:dyDescent="0.3">
      <c r="A178" s="526" t="s">
        <v>2758</v>
      </c>
      <c r="B178" s="594" t="s">
        <v>2765</v>
      </c>
      <c r="C178" s="595" t="s">
        <v>2177</v>
      </c>
      <c r="D178" s="596">
        <v>1249</v>
      </c>
      <c r="E178" s="597">
        <v>60</v>
      </c>
      <c r="F178" s="597">
        <v>80</v>
      </c>
      <c r="G178" s="597">
        <v>14</v>
      </c>
      <c r="H178" s="598">
        <v>0</v>
      </c>
      <c r="I178" s="830">
        <v>1389</v>
      </c>
      <c r="J178" s="831">
        <v>14</v>
      </c>
      <c r="K178" s="827"/>
      <c r="L178" s="831">
        <v>1389</v>
      </c>
      <c r="M178" s="831">
        <v>14</v>
      </c>
      <c r="N178" s="827"/>
      <c r="O178" s="831">
        <v>1389</v>
      </c>
      <c r="P178" s="831">
        <v>14</v>
      </c>
      <c r="Q178" s="827"/>
      <c r="R178" s="831">
        <v>1389</v>
      </c>
      <c r="S178" s="831">
        <v>14</v>
      </c>
      <c r="T178" s="827"/>
      <c r="U178" s="831">
        <v>1389</v>
      </c>
      <c r="V178" s="831">
        <v>14</v>
      </c>
      <c r="W178" s="827"/>
      <c r="X178" s="831">
        <v>1389</v>
      </c>
      <c r="Y178" s="831">
        <v>14</v>
      </c>
      <c r="Z178" s="827"/>
      <c r="AA178" s="831">
        <v>1389</v>
      </c>
      <c r="AB178" s="831">
        <v>14</v>
      </c>
      <c r="AC178" s="827"/>
      <c r="AD178" s="831">
        <v>1389</v>
      </c>
      <c r="AE178" s="831">
        <v>14</v>
      </c>
      <c r="AF178" s="827"/>
      <c r="AG178" s="831">
        <v>1389</v>
      </c>
      <c r="AH178" s="831">
        <v>14</v>
      </c>
      <c r="AI178" s="827"/>
      <c r="AJ178" s="831">
        <v>1389</v>
      </c>
      <c r="AK178" s="831">
        <v>14</v>
      </c>
      <c r="AL178" s="827"/>
      <c r="AM178" s="831">
        <v>1389</v>
      </c>
      <c r="AN178" s="831">
        <v>14</v>
      </c>
      <c r="AO178" s="827"/>
      <c r="AP178" s="831">
        <v>1389</v>
      </c>
      <c r="AQ178" s="831">
        <v>14</v>
      </c>
      <c r="AR178" s="827"/>
      <c r="AS178" s="831">
        <v>1389</v>
      </c>
      <c r="AT178" s="831">
        <v>14</v>
      </c>
      <c r="AU178" s="827"/>
      <c r="AV178" s="831">
        <v>1389</v>
      </c>
      <c r="AW178" s="831">
        <v>14</v>
      </c>
      <c r="AX178" s="827"/>
      <c r="AY178" s="831">
        <v>1389</v>
      </c>
      <c r="AZ178" s="831">
        <v>14</v>
      </c>
      <c r="BA178" s="358"/>
      <c r="BB178" s="385">
        <v>1389</v>
      </c>
      <c r="BC178" s="385">
        <v>14</v>
      </c>
      <c r="BD178" s="358"/>
      <c r="BE178" s="385">
        <v>1389</v>
      </c>
      <c r="BF178" s="385">
        <v>14</v>
      </c>
      <c r="BG178" s="358"/>
      <c r="BH178" s="385">
        <v>1389</v>
      </c>
      <c r="BI178" s="385">
        <v>14</v>
      </c>
      <c r="BJ178" s="369"/>
      <c r="BK178" s="385">
        <v>1389</v>
      </c>
      <c r="BL178" s="385">
        <v>14</v>
      </c>
      <c r="BM178" s="369"/>
      <c r="BN178" s="385">
        <v>1389</v>
      </c>
      <c r="BO178" s="385">
        <v>14</v>
      </c>
      <c r="BP178" s="369"/>
      <c r="BQ178" s="385">
        <v>1389</v>
      </c>
      <c r="BR178" s="385">
        <v>14</v>
      </c>
      <c r="BS178" s="369"/>
      <c r="BT178" s="385">
        <v>1389</v>
      </c>
      <c r="BU178" s="385">
        <v>14</v>
      </c>
      <c r="BV178" s="369"/>
      <c r="BW178" s="385">
        <v>1389</v>
      </c>
      <c r="BX178" s="385">
        <v>14</v>
      </c>
      <c r="BY178" s="369"/>
      <c r="BZ178" s="385">
        <v>1389</v>
      </c>
      <c r="CA178" s="385">
        <v>14</v>
      </c>
      <c r="CB178" s="369"/>
      <c r="CC178" s="385">
        <v>1389</v>
      </c>
      <c r="CD178" s="385">
        <v>14</v>
      </c>
      <c r="CE178" s="369"/>
      <c r="CF178" s="385">
        <v>1389</v>
      </c>
      <c r="CG178" s="385">
        <v>14</v>
      </c>
      <c r="CH178" s="369"/>
      <c r="CI178" s="385">
        <v>1389</v>
      </c>
      <c r="CJ178" s="385">
        <v>14</v>
      </c>
      <c r="CK178" s="369"/>
      <c r="CL178" s="385">
        <v>1389</v>
      </c>
      <c r="CM178" s="385">
        <v>14</v>
      </c>
      <c r="CN178" s="369"/>
      <c r="CO178" s="385">
        <v>1389</v>
      </c>
      <c r="CP178" s="385">
        <v>14</v>
      </c>
      <c r="CQ178" s="369"/>
      <c r="CR178" s="385">
        <v>1389</v>
      </c>
      <c r="CS178" s="385">
        <v>14</v>
      </c>
      <c r="CT178" s="369"/>
      <c r="CU178" s="385">
        <v>1389</v>
      </c>
      <c r="CV178" s="385">
        <v>14</v>
      </c>
      <c r="CW178" s="369"/>
      <c r="CX178" s="386">
        <f>(1389-1349)+1389</f>
        <v>1429</v>
      </c>
      <c r="CY178" s="386">
        <v>14</v>
      </c>
      <c r="CZ178" s="370"/>
      <c r="DA178" s="385">
        <v>1349</v>
      </c>
      <c r="DB178" s="385">
        <v>14</v>
      </c>
      <c r="DC178" s="369"/>
      <c r="DD178" s="386">
        <f>((1349-1079)/30.5)*11+1349</f>
        <v>1446.377049180328</v>
      </c>
      <c r="DE178" s="386">
        <f>(14/30.5)*11+14</f>
        <v>19.049180327868854</v>
      </c>
      <c r="DF178" s="370"/>
      <c r="DG178" s="387">
        <v>1079.0564263010344</v>
      </c>
      <c r="DH178" s="387"/>
      <c r="DI178" s="358"/>
      <c r="DJ178" s="387">
        <v>1079.0564263010344</v>
      </c>
      <c r="DK178" s="387"/>
      <c r="DL178" s="358"/>
      <c r="DM178" s="387">
        <v>1079.0564263010344</v>
      </c>
      <c r="DN178" s="387"/>
      <c r="DO178" s="358"/>
      <c r="DP178" s="387">
        <v>1079.0564263010344</v>
      </c>
      <c r="DQ178" s="387"/>
      <c r="DR178" s="358"/>
      <c r="DS178" s="387">
        <v>1079.0564263010344</v>
      </c>
      <c r="DT178" s="387"/>
      <c r="DU178" s="358"/>
      <c r="DV178" s="387">
        <v>1079.0564263010344</v>
      </c>
      <c r="DW178" s="387"/>
      <c r="DX178" s="358"/>
      <c r="DY178" s="387">
        <v>1079.0564263010344</v>
      </c>
      <c r="DZ178" s="387"/>
      <c r="EA178" s="358"/>
      <c r="EB178" s="387">
        <v>1079.0564263010344</v>
      </c>
      <c r="EC178" s="387"/>
      <c r="ED178" s="358"/>
      <c r="EE178" s="387">
        <v>1079.0564263010344</v>
      </c>
      <c r="EF178" s="387"/>
      <c r="EG178" s="358"/>
      <c r="EH178" s="387">
        <v>1079.0564263010344</v>
      </c>
      <c r="EI178" s="387"/>
      <c r="EJ178" s="358"/>
      <c r="EK178" s="387">
        <v>1079.0564263010344</v>
      </c>
      <c r="EL178" s="387"/>
      <c r="EM178" s="358"/>
      <c r="EN178" s="387">
        <v>1079.0564263010344</v>
      </c>
      <c r="EO178" s="387"/>
      <c r="EP178" s="358"/>
      <c r="EQ178" s="387">
        <v>1079.0564263010344</v>
      </c>
      <c r="ER178" s="387"/>
      <c r="ES178" s="358"/>
      <c r="ET178" s="387">
        <v>1079.0564263010344</v>
      </c>
      <c r="EU178" s="387"/>
      <c r="EV178" s="358"/>
      <c r="EW178" s="387">
        <v>1079.0564263010344</v>
      </c>
      <c r="EX178" s="387"/>
      <c r="EY178" s="358"/>
      <c r="EZ178" s="387">
        <v>1079.0564263010344</v>
      </c>
      <c r="FA178" s="387"/>
      <c r="FB178" s="358"/>
      <c r="FC178" s="387">
        <v>1079.0564263010344</v>
      </c>
      <c r="FD178" s="387"/>
      <c r="FE178" s="358"/>
      <c r="FF178" s="387">
        <v>1079.0564263010344</v>
      </c>
      <c r="FG178" s="387"/>
      <c r="FH178" s="358"/>
      <c r="FI178" s="387">
        <v>1079.0564263010344</v>
      </c>
      <c r="FJ178" s="387"/>
      <c r="FK178" s="358"/>
      <c r="FL178" s="387">
        <v>1079.0564263010344</v>
      </c>
      <c r="FM178" s="387"/>
      <c r="FN178" s="358"/>
      <c r="FO178" s="387">
        <v>1079.0564263010344</v>
      </c>
      <c r="FP178" s="387"/>
      <c r="FQ178" s="358"/>
      <c r="FR178" s="387">
        <v>1079.0564263010344</v>
      </c>
      <c r="FS178" s="387"/>
      <c r="FT178" s="358"/>
      <c r="FU178" s="387">
        <v>1079.0564263010344</v>
      </c>
      <c r="FV178" s="387"/>
      <c r="FW178" s="358"/>
      <c r="FX178" s="387">
        <v>1079.0564263010344</v>
      </c>
      <c r="FY178" s="387"/>
      <c r="FZ178" s="358"/>
      <c r="GA178" s="387">
        <v>1079.0564263010344</v>
      </c>
      <c r="GB178" s="387"/>
      <c r="GC178" s="358"/>
      <c r="GD178" s="387">
        <v>1079.0564263010344</v>
      </c>
      <c r="GE178" s="387"/>
      <c r="GF178" s="358"/>
      <c r="GG178" s="387">
        <v>1079.0564263010344</v>
      </c>
      <c r="GH178" s="387"/>
      <c r="GI178" s="358"/>
      <c r="GJ178" s="387">
        <v>1079.0564263010344</v>
      </c>
      <c r="GK178" s="387"/>
      <c r="GL178" s="358"/>
      <c r="GM178" s="387">
        <v>1079.0564263010344</v>
      </c>
      <c r="GN178" s="387"/>
      <c r="GO178" s="358"/>
      <c r="GP178" s="387">
        <v>1079.0564263010344</v>
      </c>
      <c r="GQ178" s="387"/>
      <c r="GR178" s="358"/>
      <c r="GS178" s="387">
        <v>1079.0564263010344</v>
      </c>
      <c r="GT178" s="387"/>
      <c r="GU178" s="358"/>
      <c r="GV178" s="387">
        <v>1079.0564263010344</v>
      </c>
      <c r="GW178" s="387"/>
      <c r="GX178" s="358"/>
      <c r="GY178" s="387">
        <v>1079.0564263010344</v>
      </c>
      <c r="GZ178" s="387"/>
      <c r="HA178" s="358"/>
      <c r="HB178" s="387">
        <v>1079.0564263010344</v>
      </c>
      <c r="HC178" s="387"/>
      <c r="HD178" s="358"/>
      <c r="HE178" s="387">
        <v>1079.0564263010344</v>
      </c>
      <c r="HF178" s="387"/>
      <c r="HG178" s="358"/>
      <c r="HH178" s="387">
        <v>1079.0564263010344</v>
      </c>
      <c r="HI178" s="358"/>
      <c r="HJ178" s="387">
        <v>1079.0564263010344</v>
      </c>
      <c r="HK178" s="358"/>
      <c r="HL178" s="387">
        <v>1079.0564263010344</v>
      </c>
      <c r="HM178" s="358"/>
      <c r="HN178" s="387">
        <v>1079.0564263010344</v>
      </c>
      <c r="HO178" s="358"/>
      <c r="HP178" s="387">
        <v>1079.0564263010344</v>
      </c>
      <c r="HQ178" s="358"/>
      <c r="HR178" s="387">
        <v>1079.0564263010344</v>
      </c>
      <c r="HS178" s="358"/>
      <c r="HT178" s="387">
        <v>1079.0564263010344</v>
      </c>
      <c r="HU178" s="358"/>
      <c r="HV178" s="599">
        <v>1238.2614728044657</v>
      </c>
      <c r="HW178" s="600"/>
      <c r="HX178" s="567"/>
      <c r="HY178" s="567"/>
      <c r="HZ178" s="567"/>
      <c r="IA178" s="567"/>
      <c r="IB178" s="567"/>
      <c r="IC178" s="567"/>
      <c r="ID178" s="567"/>
      <c r="IE178" s="567"/>
      <c r="IF178" s="567"/>
      <c r="IG178" s="567"/>
      <c r="IH178" s="568"/>
      <c r="II178" s="569"/>
      <c r="IJ178" s="568"/>
      <c r="IK178" s="569"/>
      <c r="IL178" s="568"/>
      <c r="IM178" s="569"/>
      <c r="IN178" s="568"/>
      <c r="IO178" s="569"/>
      <c r="IP178" s="568"/>
      <c r="IQ178" s="569"/>
      <c r="IR178" s="601" t="s">
        <v>3142</v>
      </c>
      <c r="IS178" s="587" t="s">
        <v>77</v>
      </c>
      <c r="IT178" s="602">
        <v>43735</v>
      </c>
      <c r="IU178" s="464">
        <v>43770</v>
      </c>
      <c r="IW178" s="372">
        <f t="shared" si="22"/>
        <v>35</v>
      </c>
      <c r="IX178" s="373">
        <f t="shared" ref="IX178:IX189" si="25">HV178/30.5</f>
        <v>40.598736813261169</v>
      </c>
      <c r="IY178" s="531">
        <v>1238.2614728044657</v>
      </c>
      <c r="IZ178" s="531"/>
      <c r="JA178" s="531"/>
    </row>
    <row r="179" spans="1:261" s="367" customFormat="1" ht="16.5" customHeight="1" x14ac:dyDescent="0.3">
      <c r="A179" s="526" t="s">
        <v>2758</v>
      </c>
      <c r="B179" s="603" t="s">
        <v>2867</v>
      </c>
      <c r="C179" s="604" t="s">
        <v>2656</v>
      </c>
      <c r="D179" s="605">
        <v>290</v>
      </c>
      <c r="E179" s="606">
        <v>12</v>
      </c>
      <c r="F179" s="606">
        <v>0</v>
      </c>
      <c r="G179" s="606">
        <v>0</v>
      </c>
      <c r="H179" s="607">
        <v>0</v>
      </c>
      <c r="I179" s="841">
        <v>302</v>
      </c>
      <c r="J179" s="827"/>
      <c r="K179" s="827"/>
      <c r="L179" s="835">
        <v>302</v>
      </c>
      <c r="M179" s="827"/>
      <c r="N179" s="827"/>
      <c r="O179" s="835">
        <v>302</v>
      </c>
      <c r="P179" s="827"/>
      <c r="Q179" s="827"/>
      <c r="R179" s="835">
        <v>302</v>
      </c>
      <c r="S179" s="827"/>
      <c r="T179" s="827"/>
      <c r="U179" s="835">
        <v>302</v>
      </c>
      <c r="V179" s="827"/>
      <c r="W179" s="827"/>
      <c r="X179" s="835">
        <v>302</v>
      </c>
      <c r="Y179" s="827"/>
      <c r="Z179" s="827"/>
      <c r="AA179" s="835">
        <v>302</v>
      </c>
      <c r="AB179" s="827"/>
      <c r="AC179" s="827"/>
      <c r="AD179" s="835">
        <v>302</v>
      </c>
      <c r="AE179" s="827"/>
      <c r="AF179" s="827"/>
      <c r="AG179" s="835">
        <v>302</v>
      </c>
      <c r="AH179" s="827"/>
      <c r="AI179" s="827"/>
      <c r="AJ179" s="835">
        <v>302</v>
      </c>
      <c r="AK179" s="827"/>
      <c r="AL179" s="827"/>
      <c r="AM179" s="835">
        <v>302</v>
      </c>
      <c r="AN179" s="827"/>
      <c r="AO179" s="827"/>
      <c r="AP179" s="835">
        <v>302</v>
      </c>
      <c r="AQ179" s="827"/>
      <c r="AR179" s="827"/>
      <c r="AS179" s="881">
        <f>((302-254)/30.5)*31+302</f>
        <v>350.78688524590166</v>
      </c>
      <c r="AT179" s="827"/>
      <c r="AU179" s="827"/>
      <c r="AV179" s="829">
        <v>254.41198185659007</v>
      </c>
      <c r="AW179" s="827"/>
      <c r="AX179" s="827"/>
      <c r="AY179" s="829">
        <v>254.41198185659007</v>
      </c>
      <c r="AZ179" s="827"/>
      <c r="BA179" s="358"/>
      <c r="BB179" s="387">
        <v>254.41198185659007</v>
      </c>
      <c r="BC179" s="358"/>
      <c r="BD179" s="358"/>
      <c r="BE179" s="387">
        <v>254.41198185659007</v>
      </c>
      <c r="BF179" s="358"/>
      <c r="BG179" s="358"/>
      <c r="BH179" s="387">
        <v>254.41198185659007</v>
      </c>
      <c r="BI179" s="387"/>
      <c r="BJ179" s="358"/>
      <c r="BK179" s="387">
        <v>254.41198185659007</v>
      </c>
      <c r="BL179" s="387"/>
      <c r="BM179" s="358"/>
      <c r="BN179" s="387">
        <v>254.41198185659007</v>
      </c>
      <c r="BO179" s="387"/>
      <c r="BP179" s="358"/>
      <c r="BQ179" s="387">
        <v>254.41198185659007</v>
      </c>
      <c r="BR179" s="387"/>
      <c r="BS179" s="358"/>
      <c r="BT179" s="387">
        <v>254.41198185659007</v>
      </c>
      <c r="BU179" s="387"/>
      <c r="BV179" s="358"/>
      <c r="BW179" s="387">
        <v>254.41198185659007</v>
      </c>
      <c r="BX179" s="387"/>
      <c r="BY179" s="358"/>
      <c r="BZ179" s="387">
        <v>254.41198185659007</v>
      </c>
      <c r="CA179" s="387"/>
      <c r="CB179" s="358"/>
      <c r="CC179" s="387">
        <v>254.41198185659007</v>
      </c>
      <c r="CD179" s="387"/>
      <c r="CE179" s="358"/>
      <c r="CF179" s="387">
        <v>254.41198185659007</v>
      </c>
      <c r="CG179" s="387"/>
      <c r="CH179" s="358"/>
      <c r="CI179" s="387">
        <v>254.41198185659007</v>
      </c>
      <c r="CJ179" s="387"/>
      <c r="CK179" s="358"/>
      <c r="CL179" s="387">
        <v>254.41198185659007</v>
      </c>
      <c r="CM179" s="387"/>
      <c r="CN179" s="358"/>
      <c r="CO179" s="387">
        <v>254.41198185659007</v>
      </c>
      <c r="CP179" s="387"/>
      <c r="CQ179" s="358"/>
      <c r="CR179" s="387">
        <v>254.41198185659007</v>
      </c>
      <c r="CS179" s="387"/>
      <c r="CT179" s="358"/>
      <c r="CU179" s="387">
        <v>254.41198185659007</v>
      </c>
      <c r="CV179" s="387"/>
      <c r="CW179" s="358"/>
      <c r="CX179" s="387">
        <v>254.41198185659007</v>
      </c>
      <c r="CY179" s="387"/>
      <c r="CZ179" s="358"/>
      <c r="DA179" s="387">
        <v>254.41198185659007</v>
      </c>
      <c r="DB179" s="387"/>
      <c r="DC179" s="358"/>
      <c r="DD179" s="387">
        <v>254.41198185659007</v>
      </c>
      <c r="DE179" s="387"/>
      <c r="DF179" s="358"/>
      <c r="DG179" s="387">
        <v>254.41198185659007</v>
      </c>
      <c r="DH179" s="387"/>
      <c r="DI179" s="358"/>
      <c r="DJ179" s="387">
        <v>254.41198185659007</v>
      </c>
      <c r="DK179" s="387"/>
      <c r="DL179" s="358"/>
      <c r="DM179" s="387">
        <v>254.41198185659007</v>
      </c>
      <c r="DN179" s="387"/>
      <c r="DO179" s="358"/>
      <c r="DP179" s="387">
        <v>254.41198185659007</v>
      </c>
      <c r="DQ179" s="387"/>
      <c r="DR179" s="358"/>
      <c r="DS179" s="387">
        <v>254.41198185659007</v>
      </c>
      <c r="DT179" s="387"/>
      <c r="DU179" s="358"/>
      <c r="DV179" s="387">
        <v>254.41198185659007</v>
      </c>
      <c r="DW179" s="387"/>
      <c r="DX179" s="358"/>
      <c r="DY179" s="387">
        <v>254.41198185659007</v>
      </c>
      <c r="DZ179" s="387"/>
      <c r="EA179" s="358"/>
      <c r="EB179" s="387">
        <v>254.41198185659007</v>
      </c>
      <c r="EC179" s="387"/>
      <c r="ED179" s="358"/>
      <c r="EE179" s="387">
        <v>254.41198185659007</v>
      </c>
      <c r="EF179" s="387"/>
      <c r="EG179" s="358"/>
      <c r="EH179" s="387">
        <v>254.41198185659007</v>
      </c>
      <c r="EI179" s="387"/>
      <c r="EJ179" s="358"/>
      <c r="EK179" s="387">
        <v>254.41198185659007</v>
      </c>
      <c r="EL179" s="387"/>
      <c r="EM179" s="358"/>
      <c r="EN179" s="387">
        <v>254.41198185659007</v>
      </c>
      <c r="EO179" s="387"/>
      <c r="EP179" s="358"/>
      <c r="EQ179" s="387">
        <v>254.41198185659007</v>
      </c>
      <c r="ER179" s="387"/>
      <c r="ES179" s="358"/>
      <c r="ET179" s="387">
        <v>254.41198185659007</v>
      </c>
      <c r="EU179" s="387"/>
      <c r="EV179" s="358"/>
      <c r="EW179" s="387">
        <v>254.41198185659007</v>
      </c>
      <c r="EX179" s="387"/>
      <c r="EY179" s="358"/>
      <c r="EZ179" s="387">
        <v>254.41198185659007</v>
      </c>
      <c r="FA179" s="387"/>
      <c r="FB179" s="358"/>
      <c r="FC179" s="387">
        <v>254.41198185659007</v>
      </c>
      <c r="FD179" s="387"/>
      <c r="FE179" s="358"/>
      <c r="FF179" s="387">
        <v>254.41198185659007</v>
      </c>
      <c r="FG179" s="387"/>
      <c r="FH179" s="358"/>
      <c r="FI179" s="387">
        <v>254.41198185659007</v>
      </c>
      <c r="FJ179" s="387"/>
      <c r="FK179" s="358"/>
      <c r="FL179" s="387">
        <v>254.41198185659007</v>
      </c>
      <c r="FM179" s="387"/>
      <c r="FN179" s="358"/>
      <c r="FO179" s="387">
        <v>254.41198185659007</v>
      </c>
      <c r="FP179" s="387"/>
      <c r="FQ179" s="358"/>
      <c r="FR179" s="387">
        <v>254.41198185659007</v>
      </c>
      <c r="FS179" s="387"/>
      <c r="FT179" s="358"/>
      <c r="FU179" s="387">
        <v>254.41198185659007</v>
      </c>
      <c r="FV179" s="387"/>
      <c r="FW179" s="358"/>
      <c r="FX179" s="387">
        <v>254.41198185659007</v>
      </c>
      <c r="FY179" s="387"/>
      <c r="FZ179" s="358"/>
      <c r="GA179" s="387">
        <v>254.41198185659007</v>
      </c>
      <c r="GB179" s="387"/>
      <c r="GC179" s="358"/>
      <c r="GD179" s="387">
        <v>254.41198185659007</v>
      </c>
      <c r="GE179" s="387"/>
      <c r="GF179" s="358"/>
      <c r="GG179" s="387">
        <v>254.41198185659007</v>
      </c>
      <c r="GH179" s="387"/>
      <c r="GI179" s="358"/>
      <c r="GJ179" s="387">
        <v>254.41198185659007</v>
      </c>
      <c r="GK179" s="387"/>
      <c r="GL179" s="358"/>
      <c r="GM179" s="387">
        <v>254.41198185659007</v>
      </c>
      <c r="GN179" s="387"/>
      <c r="GO179" s="358"/>
      <c r="GP179" s="387">
        <v>254.41198185659007</v>
      </c>
      <c r="GQ179" s="387"/>
      <c r="GR179" s="358"/>
      <c r="GS179" s="387">
        <v>254.41198185659007</v>
      </c>
      <c r="GT179" s="387"/>
      <c r="GU179" s="358"/>
      <c r="GV179" s="387">
        <v>254.41198185659007</v>
      </c>
      <c r="GW179" s="387"/>
      <c r="GX179" s="358"/>
      <c r="GY179" s="387">
        <v>254.41198185659007</v>
      </c>
      <c r="GZ179" s="387"/>
      <c r="HA179" s="358"/>
      <c r="HB179" s="387">
        <v>254.41198185659007</v>
      </c>
      <c r="HC179" s="387"/>
      <c r="HD179" s="358"/>
      <c r="HE179" s="387">
        <v>254.41198185659007</v>
      </c>
      <c r="HF179" s="387"/>
      <c r="HG179" s="358"/>
      <c r="HH179" s="387">
        <v>254.41198185659007</v>
      </c>
      <c r="HI179" s="358"/>
      <c r="HJ179" s="387">
        <v>254.41198185659007</v>
      </c>
      <c r="HK179" s="358"/>
      <c r="HL179" s="387">
        <v>254.41198185659007</v>
      </c>
      <c r="HM179" s="358"/>
      <c r="HN179" s="387">
        <v>254.41198185659007</v>
      </c>
      <c r="HO179" s="358"/>
      <c r="HP179" s="387">
        <v>254.41198185659007</v>
      </c>
      <c r="HQ179" s="358"/>
      <c r="HR179" s="387">
        <v>254.41198185659007</v>
      </c>
      <c r="HS179" s="358"/>
      <c r="HT179" s="387">
        <v>254.41198185659007</v>
      </c>
      <c r="HU179" s="358"/>
      <c r="HV179" s="599">
        <v>375.36194044414924</v>
      </c>
      <c r="HW179" s="600"/>
      <c r="HX179" s="567"/>
      <c r="HY179" s="567"/>
      <c r="HZ179" s="567"/>
      <c r="IA179" s="567"/>
      <c r="IB179" s="567"/>
      <c r="IC179" s="567"/>
      <c r="ID179" s="567"/>
      <c r="IE179" s="567"/>
      <c r="IF179" s="567"/>
      <c r="IG179" s="567"/>
      <c r="IH179" s="568"/>
      <c r="II179" s="569"/>
      <c r="IJ179" s="568"/>
      <c r="IK179" s="569"/>
      <c r="IL179" s="568"/>
      <c r="IM179" s="569"/>
      <c r="IN179" s="568"/>
      <c r="IO179" s="569"/>
      <c r="IP179" s="568"/>
      <c r="IQ179" s="569"/>
      <c r="IR179" s="601" t="s">
        <v>3396</v>
      </c>
      <c r="IS179" s="587" t="s">
        <v>77</v>
      </c>
      <c r="IT179" s="602">
        <v>43725</v>
      </c>
      <c r="IU179" s="464">
        <v>43770</v>
      </c>
      <c r="IW179" s="372">
        <f t="shared" si="22"/>
        <v>45</v>
      </c>
      <c r="IX179" s="373">
        <f t="shared" si="25"/>
        <v>12.306948867021287</v>
      </c>
      <c r="IY179" s="531">
        <v>375.36194044414924</v>
      </c>
      <c r="IZ179" s="531"/>
    </row>
    <row r="180" spans="1:261" s="367" customFormat="1" ht="16.5" customHeight="1" x14ac:dyDescent="0.3">
      <c r="A180" s="526" t="s">
        <v>2735</v>
      </c>
      <c r="B180" s="594" t="s">
        <v>2784</v>
      </c>
      <c r="C180" s="595" t="s">
        <v>806</v>
      </c>
      <c r="D180" s="596">
        <v>1454</v>
      </c>
      <c r="E180" s="597">
        <v>84</v>
      </c>
      <c r="F180" s="597">
        <v>0</v>
      </c>
      <c r="G180" s="597">
        <v>36</v>
      </c>
      <c r="H180" s="598">
        <v>0</v>
      </c>
      <c r="I180" s="841">
        <v>1538</v>
      </c>
      <c r="J180" s="835">
        <v>36</v>
      </c>
      <c r="K180" s="827"/>
      <c r="L180" s="835">
        <v>1538</v>
      </c>
      <c r="M180" s="835">
        <v>36</v>
      </c>
      <c r="N180" s="827"/>
      <c r="O180" s="835">
        <v>1538</v>
      </c>
      <c r="P180" s="835">
        <v>36</v>
      </c>
      <c r="Q180" s="827"/>
      <c r="R180" s="835">
        <v>1538</v>
      </c>
      <c r="S180" s="835">
        <v>36</v>
      </c>
      <c r="T180" s="827"/>
      <c r="U180" s="835">
        <v>1538</v>
      </c>
      <c r="V180" s="835">
        <v>36</v>
      </c>
      <c r="W180" s="827"/>
      <c r="X180" s="835">
        <v>1538</v>
      </c>
      <c r="Y180" s="835">
        <v>36</v>
      </c>
      <c r="Z180" s="827"/>
      <c r="AA180" s="835">
        <v>1538</v>
      </c>
      <c r="AB180" s="835">
        <v>36</v>
      </c>
      <c r="AC180" s="827"/>
      <c r="AD180" s="835">
        <v>1538</v>
      </c>
      <c r="AE180" s="835">
        <v>36</v>
      </c>
      <c r="AF180" s="827"/>
      <c r="AG180" s="835">
        <v>1538</v>
      </c>
      <c r="AH180" s="835">
        <v>36</v>
      </c>
      <c r="AI180" s="827"/>
      <c r="AJ180" s="835">
        <v>1538</v>
      </c>
      <c r="AK180" s="835">
        <v>36</v>
      </c>
      <c r="AL180" s="827"/>
      <c r="AM180" s="835">
        <v>1538</v>
      </c>
      <c r="AN180" s="835">
        <v>36</v>
      </c>
      <c r="AO180" s="827"/>
      <c r="AP180" s="835">
        <v>1538</v>
      </c>
      <c r="AQ180" s="835">
        <v>36</v>
      </c>
      <c r="AR180" s="827"/>
      <c r="AS180" s="835">
        <v>1538</v>
      </c>
      <c r="AT180" s="835">
        <v>36</v>
      </c>
      <c r="AU180" s="827"/>
      <c r="AV180" s="835">
        <v>1538</v>
      </c>
      <c r="AW180" s="835">
        <v>36</v>
      </c>
      <c r="AX180" s="827"/>
      <c r="AY180" s="835">
        <v>1538</v>
      </c>
      <c r="AZ180" s="835">
        <v>36</v>
      </c>
      <c r="BA180" s="358"/>
      <c r="BB180" s="384">
        <v>1538</v>
      </c>
      <c r="BC180" s="384">
        <v>36</v>
      </c>
      <c r="BD180" s="358"/>
      <c r="BE180" s="386">
        <f>((1538-1341)/30.5)*27+1538</f>
        <v>1712.3934426229507</v>
      </c>
      <c r="BF180" s="386">
        <f>((36-14)/30.5)*27+36</f>
        <v>55.475409836065573</v>
      </c>
      <c r="BG180" s="358"/>
      <c r="BH180" s="385">
        <v>1341</v>
      </c>
      <c r="BI180" s="385">
        <v>14</v>
      </c>
      <c r="BJ180" s="369"/>
      <c r="BK180" s="385">
        <v>1341</v>
      </c>
      <c r="BL180" s="385">
        <v>14</v>
      </c>
      <c r="BM180" s="369"/>
      <c r="BN180" s="385">
        <v>1341</v>
      </c>
      <c r="BO180" s="385">
        <v>14</v>
      </c>
      <c r="BP180" s="369"/>
      <c r="BQ180" s="385">
        <v>1341</v>
      </c>
      <c r="BR180" s="385">
        <v>14</v>
      </c>
      <c r="BS180" s="369"/>
      <c r="BT180" s="385">
        <v>1341</v>
      </c>
      <c r="BU180" s="385">
        <v>14</v>
      </c>
      <c r="BV180" s="369"/>
      <c r="BW180" s="385">
        <v>1341</v>
      </c>
      <c r="BX180" s="385">
        <v>14</v>
      </c>
      <c r="BY180" s="369"/>
      <c r="BZ180" s="385">
        <v>1341</v>
      </c>
      <c r="CA180" s="385">
        <v>14</v>
      </c>
      <c r="CB180" s="369"/>
      <c r="CC180" s="385">
        <v>1341</v>
      </c>
      <c r="CD180" s="385">
        <v>14</v>
      </c>
      <c r="CE180" s="369"/>
      <c r="CF180" s="385">
        <v>1341</v>
      </c>
      <c r="CG180" s="385">
        <v>14</v>
      </c>
      <c r="CH180" s="369"/>
      <c r="CI180" s="385">
        <v>1341</v>
      </c>
      <c r="CJ180" s="385">
        <v>14</v>
      </c>
      <c r="CK180" s="369"/>
      <c r="CL180" s="385">
        <v>1341</v>
      </c>
      <c r="CM180" s="385">
        <v>14</v>
      </c>
      <c r="CN180" s="369"/>
      <c r="CO180" s="385">
        <v>1341</v>
      </c>
      <c r="CP180" s="385">
        <v>14</v>
      </c>
      <c r="CQ180" s="369"/>
      <c r="CR180" s="385">
        <v>1341</v>
      </c>
      <c r="CS180" s="385">
        <v>14</v>
      </c>
      <c r="CT180" s="369"/>
      <c r="CU180" s="385">
        <v>1341</v>
      </c>
      <c r="CV180" s="385">
        <v>14</v>
      </c>
      <c r="CW180" s="369"/>
      <c r="CX180" s="385">
        <v>1341</v>
      </c>
      <c r="CY180" s="385">
        <v>14</v>
      </c>
      <c r="CZ180" s="369"/>
      <c r="DA180" s="385">
        <v>1341</v>
      </c>
      <c r="DB180" s="385">
        <v>14</v>
      </c>
      <c r="DC180" s="369"/>
      <c r="DD180" s="386">
        <f>((1341-1225)/30.5)*14+1341</f>
        <v>1394.2459016393443</v>
      </c>
      <c r="DE180" s="386">
        <f>((14-5)/30.5)*14+14</f>
        <v>18.131147540983605</v>
      </c>
      <c r="DF180" s="370"/>
      <c r="DG180" s="385">
        <v>1225.2564263010347</v>
      </c>
      <c r="DH180" s="385">
        <f>5</f>
        <v>5</v>
      </c>
      <c r="DI180" s="358"/>
      <c r="DJ180" s="385">
        <v>1225.2564263010347</v>
      </c>
      <c r="DK180" s="385">
        <f>5</f>
        <v>5</v>
      </c>
      <c r="DL180" s="358"/>
      <c r="DM180" s="385">
        <v>1225.2564263010347</v>
      </c>
      <c r="DN180" s="385">
        <f>5</f>
        <v>5</v>
      </c>
      <c r="DO180" s="358"/>
      <c r="DP180" s="385">
        <v>1225.2564263010347</v>
      </c>
      <c r="DQ180" s="385">
        <f>5</f>
        <v>5</v>
      </c>
      <c r="DR180" s="358"/>
      <c r="DS180" s="385">
        <v>1225.2564263010347</v>
      </c>
      <c r="DT180" s="385">
        <f>5</f>
        <v>5</v>
      </c>
      <c r="DU180" s="358"/>
      <c r="DV180" s="385">
        <v>1225.2564263010347</v>
      </c>
      <c r="DW180" s="385">
        <f>5</f>
        <v>5</v>
      </c>
      <c r="DX180" s="358"/>
      <c r="DY180" s="385">
        <v>1225.2564263010347</v>
      </c>
      <c r="DZ180" s="385">
        <f>5</f>
        <v>5</v>
      </c>
      <c r="EA180" s="358"/>
      <c r="EB180" s="385">
        <v>1225.2564263010347</v>
      </c>
      <c r="EC180" s="385">
        <f>5</f>
        <v>5</v>
      </c>
      <c r="ED180" s="358"/>
      <c r="EE180" s="385">
        <v>1225.2564263010347</v>
      </c>
      <c r="EF180" s="385">
        <f>5</f>
        <v>5</v>
      </c>
      <c r="EG180" s="358"/>
      <c r="EH180" s="385">
        <v>1225.2564263010347</v>
      </c>
      <c r="EI180" s="385">
        <f>5</f>
        <v>5</v>
      </c>
      <c r="EJ180" s="358"/>
      <c r="EK180" s="385">
        <v>1225.2564263010347</v>
      </c>
      <c r="EL180" s="385">
        <f>5</f>
        <v>5</v>
      </c>
      <c r="EM180" s="358"/>
      <c r="EN180" s="385">
        <v>1225.2564263010347</v>
      </c>
      <c r="EO180" s="385">
        <f>5</f>
        <v>5</v>
      </c>
      <c r="EP180" s="358"/>
      <c r="EQ180" s="385">
        <v>1225.2564263010347</v>
      </c>
      <c r="ER180" s="385">
        <f>5</f>
        <v>5</v>
      </c>
      <c r="ES180" s="358"/>
      <c r="ET180" s="385">
        <v>1225.2564263010347</v>
      </c>
      <c r="EU180" s="385">
        <f>5</f>
        <v>5</v>
      </c>
      <c r="EV180" s="358"/>
      <c r="EW180" s="385">
        <v>1225.2564263010347</v>
      </c>
      <c r="EX180" s="385">
        <f>5</f>
        <v>5</v>
      </c>
      <c r="EY180" s="358"/>
      <c r="EZ180" s="385">
        <v>1225.2564263010347</v>
      </c>
      <c r="FA180" s="385">
        <f>5</f>
        <v>5</v>
      </c>
      <c r="FB180" s="358"/>
      <c r="FC180" s="385">
        <v>1225.2564263010347</v>
      </c>
      <c r="FD180" s="385">
        <f>5</f>
        <v>5</v>
      </c>
      <c r="FE180" s="358"/>
      <c r="FF180" s="385">
        <v>1225.2564263010347</v>
      </c>
      <c r="FG180" s="385">
        <f>5</f>
        <v>5</v>
      </c>
      <c r="FH180" s="358"/>
      <c r="FI180" s="385">
        <v>1225.2564263010347</v>
      </c>
      <c r="FJ180" s="385">
        <f>5</f>
        <v>5</v>
      </c>
      <c r="FK180" s="358"/>
      <c r="FL180" s="385">
        <v>1225.2564263010347</v>
      </c>
      <c r="FM180" s="385">
        <f>5</f>
        <v>5</v>
      </c>
      <c r="FN180" s="358"/>
      <c r="FO180" s="385">
        <v>1225.2564263010347</v>
      </c>
      <c r="FP180" s="385">
        <f>5</f>
        <v>5</v>
      </c>
      <c r="FQ180" s="358"/>
      <c r="FR180" s="385">
        <v>1225.2564263010347</v>
      </c>
      <c r="FS180" s="385">
        <f>5</f>
        <v>5</v>
      </c>
      <c r="FT180" s="358"/>
      <c r="FU180" s="385">
        <v>1225.2564263010347</v>
      </c>
      <c r="FV180" s="385">
        <f>5</f>
        <v>5</v>
      </c>
      <c r="FW180" s="358"/>
      <c r="FX180" s="385">
        <v>1225.2564263010347</v>
      </c>
      <c r="FY180" s="385">
        <f>5</f>
        <v>5</v>
      </c>
      <c r="FZ180" s="358"/>
      <c r="GA180" s="385">
        <v>1225.2564263010347</v>
      </c>
      <c r="GB180" s="385">
        <f>5</f>
        <v>5</v>
      </c>
      <c r="GC180" s="358"/>
      <c r="GD180" s="385">
        <v>1225.2564263010347</v>
      </c>
      <c r="GE180" s="385">
        <f>5</f>
        <v>5</v>
      </c>
      <c r="GF180" s="358"/>
      <c r="GG180" s="385">
        <v>1225.2564263010347</v>
      </c>
      <c r="GH180" s="385">
        <f>5</f>
        <v>5</v>
      </c>
      <c r="GI180" s="358"/>
      <c r="GJ180" s="385">
        <v>1225.2564263010347</v>
      </c>
      <c r="GK180" s="385">
        <f>5</f>
        <v>5</v>
      </c>
      <c r="GL180" s="358"/>
      <c r="GM180" s="385">
        <v>1225.2564263010347</v>
      </c>
      <c r="GN180" s="385">
        <f>5</f>
        <v>5</v>
      </c>
      <c r="GO180" s="358"/>
      <c r="GP180" s="385">
        <v>1225.2564263010347</v>
      </c>
      <c r="GQ180" s="385">
        <f>5</f>
        <v>5</v>
      </c>
      <c r="GR180" s="358"/>
      <c r="GS180" s="385">
        <v>1225.2564263010347</v>
      </c>
      <c r="GT180" s="385">
        <f>5</f>
        <v>5</v>
      </c>
      <c r="GU180" s="358"/>
      <c r="GV180" s="385">
        <v>1225.2564263010347</v>
      </c>
      <c r="GW180" s="385">
        <f>5</f>
        <v>5</v>
      </c>
      <c r="GX180" s="358"/>
      <c r="GY180" s="385">
        <v>1225.2564263010347</v>
      </c>
      <c r="GZ180" s="385">
        <f>5</f>
        <v>5</v>
      </c>
      <c r="HA180" s="358"/>
      <c r="HB180" s="385">
        <v>1225.2564263010347</v>
      </c>
      <c r="HC180" s="385">
        <f>5</f>
        <v>5</v>
      </c>
      <c r="HD180" s="358"/>
      <c r="HE180" s="387">
        <v>1225.2564263010347</v>
      </c>
      <c r="HF180" s="386">
        <f>5*6</f>
        <v>30</v>
      </c>
      <c r="HG180" s="358"/>
      <c r="HH180" s="387">
        <v>1225.2564263010347</v>
      </c>
      <c r="HI180" s="358"/>
      <c r="HJ180" s="387">
        <v>1225.2564263010347</v>
      </c>
      <c r="HK180" s="358"/>
      <c r="HL180" s="387">
        <v>1225.2564263010347</v>
      </c>
      <c r="HM180" s="358"/>
      <c r="HN180" s="387">
        <v>1225.2564263010347</v>
      </c>
      <c r="HO180" s="358"/>
      <c r="HP180" s="387">
        <v>1225.2564263010347</v>
      </c>
      <c r="HQ180" s="358"/>
      <c r="HR180" s="387">
        <v>1225.2564263010347</v>
      </c>
      <c r="HS180" s="358"/>
      <c r="HT180" s="387">
        <v>1225.2564263010347</v>
      </c>
      <c r="HU180" s="358"/>
      <c r="HV180" s="599">
        <v>1486.3766482996159</v>
      </c>
      <c r="HW180" s="600"/>
      <c r="HX180" s="567"/>
      <c r="HY180" s="567"/>
      <c r="HZ180" s="567"/>
      <c r="IA180" s="567"/>
      <c r="IB180" s="567"/>
      <c r="IC180" s="567"/>
      <c r="ID180" s="567"/>
      <c r="IE180" s="567"/>
      <c r="IF180" s="567"/>
      <c r="IG180" s="567"/>
      <c r="IH180" s="568"/>
      <c r="II180" s="569"/>
      <c r="IJ180" s="568"/>
      <c r="IK180" s="569"/>
      <c r="IL180" s="568"/>
      <c r="IM180" s="569"/>
      <c r="IN180" s="568"/>
      <c r="IO180" s="569"/>
      <c r="IP180" s="568"/>
      <c r="IQ180" s="569"/>
      <c r="IR180" s="601" t="s">
        <v>3397</v>
      </c>
      <c r="IS180" s="587" t="s">
        <v>77</v>
      </c>
      <c r="IT180" s="602">
        <v>43733</v>
      </c>
      <c r="IU180" s="464">
        <v>43770</v>
      </c>
      <c r="IW180" s="372">
        <f t="shared" si="22"/>
        <v>37</v>
      </c>
      <c r="IX180" s="373">
        <f t="shared" si="25"/>
        <v>48.73366059998741</v>
      </c>
      <c r="IY180" s="531">
        <v>1486.3766482996159</v>
      </c>
      <c r="IZ180" s="531"/>
    </row>
    <row r="181" spans="1:261" s="367" customFormat="1" ht="16.5" customHeight="1" x14ac:dyDescent="0.3">
      <c r="A181" s="401" t="s">
        <v>3315</v>
      </c>
      <c r="B181" s="402" t="s">
        <v>3315</v>
      </c>
      <c r="C181" s="608" t="s">
        <v>3398</v>
      </c>
      <c r="D181" s="634"/>
      <c r="E181" s="635"/>
      <c r="F181" s="635"/>
      <c r="G181" s="635"/>
      <c r="H181" s="636"/>
      <c r="I181" s="853">
        <v>0</v>
      </c>
      <c r="J181" s="833">
        <v>0</v>
      </c>
      <c r="K181" s="833">
        <v>0</v>
      </c>
      <c r="L181" s="833">
        <v>0</v>
      </c>
      <c r="M181" s="833">
        <v>0</v>
      </c>
      <c r="N181" s="833">
        <v>0</v>
      </c>
      <c r="O181" s="833">
        <v>0</v>
      </c>
      <c r="P181" s="833">
        <v>0</v>
      </c>
      <c r="Q181" s="833">
        <v>0</v>
      </c>
      <c r="R181" s="833">
        <v>0</v>
      </c>
      <c r="S181" s="833">
        <v>0</v>
      </c>
      <c r="T181" s="833">
        <v>0</v>
      </c>
      <c r="U181" s="833">
        <v>0</v>
      </c>
      <c r="V181" s="833">
        <v>0</v>
      </c>
      <c r="W181" s="833">
        <v>0</v>
      </c>
      <c r="X181" s="833">
        <v>0</v>
      </c>
      <c r="Y181" s="833">
        <v>0</v>
      </c>
      <c r="Z181" s="833">
        <v>0</v>
      </c>
      <c r="AA181" s="833">
        <v>0</v>
      </c>
      <c r="AB181" s="833">
        <v>0</v>
      </c>
      <c r="AC181" s="833">
        <v>0</v>
      </c>
      <c r="AD181" s="833">
        <v>0</v>
      </c>
      <c r="AE181" s="833">
        <v>0</v>
      </c>
      <c r="AF181" s="833">
        <v>0</v>
      </c>
      <c r="AG181" s="833">
        <v>0</v>
      </c>
      <c r="AH181" s="833">
        <v>0</v>
      </c>
      <c r="AI181" s="833">
        <v>0</v>
      </c>
      <c r="AJ181" s="833">
        <v>0</v>
      </c>
      <c r="AK181" s="833">
        <v>0</v>
      </c>
      <c r="AL181" s="833">
        <v>0</v>
      </c>
      <c r="AM181" s="833">
        <v>0</v>
      </c>
      <c r="AN181" s="833">
        <v>0</v>
      </c>
      <c r="AO181" s="833">
        <v>0</v>
      </c>
      <c r="AP181" s="833">
        <v>0</v>
      </c>
      <c r="AQ181" s="833">
        <v>0</v>
      </c>
      <c r="AR181" s="833">
        <v>0</v>
      </c>
      <c r="AS181" s="833">
        <v>0</v>
      </c>
      <c r="AT181" s="833">
        <v>0</v>
      </c>
      <c r="AU181" s="833">
        <v>0</v>
      </c>
      <c r="AV181" s="833"/>
      <c r="AW181" s="833"/>
      <c r="AX181" s="833"/>
      <c r="AY181" s="833"/>
      <c r="AZ181" s="833"/>
      <c r="BA181" s="455"/>
      <c r="BB181" s="404"/>
      <c r="BC181" s="404"/>
      <c r="BD181" s="455"/>
      <c r="BE181" s="404"/>
      <c r="BF181" s="404"/>
      <c r="BG181" s="455"/>
      <c r="BH181" s="404"/>
      <c r="BI181" s="404"/>
      <c r="BJ181" s="455"/>
      <c r="BK181" s="404"/>
      <c r="BL181" s="404"/>
      <c r="BM181" s="455"/>
      <c r="BN181" s="404"/>
      <c r="BO181" s="404"/>
      <c r="BP181" s="455"/>
      <c r="BQ181" s="404"/>
      <c r="BR181" s="404"/>
      <c r="BS181" s="455"/>
      <c r="BT181" s="404"/>
      <c r="BU181" s="404"/>
      <c r="BV181" s="455"/>
      <c r="BW181" s="404"/>
      <c r="BX181" s="404"/>
      <c r="BY181" s="455"/>
      <c r="BZ181" s="404"/>
      <c r="CA181" s="404"/>
      <c r="CB181" s="455"/>
      <c r="CC181" s="404"/>
      <c r="CD181" s="404"/>
      <c r="CE181" s="455"/>
      <c r="CF181" s="404"/>
      <c r="CG181" s="404"/>
      <c r="CH181" s="455"/>
      <c r="CI181" s="404"/>
      <c r="CJ181" s="404"/>
      <c r="CK181" s="455"/>
      <c r="CL181" s="404"/>
      <c r="CM181" s="404"/>
      <c r="CN181" s="455"/>
      <c r="CO181" s="404"/>
      <c r="CP181" s="404"/>
      <c r="CQ181" s="455"/>
      <c r="CR181" s="404"/>
      <c r="CS181" s="404"/>
      <c r="CT181" s="455"/>
      <c r="CU181" s="404"/>
      <c r="CV181" s="404"/>
      <c r="CW181" s="455"/>
      <c r="CX181" s="404"/>
      <c r="CY181" s="404"/>
      <c r="CZ181" s="455"/>
      <c r="DA181" s="404"/>
      <c r="DB181" s="404"/>
      <c r="DC181" s="455"/>
      <c r="DD181" s="404"/>
      <c r="DE181" s="404"/>
      <c r="DF181" s="455"/>
      <c r="DG181" s="404"/>
      <c r="DH181" s="404"/>
      <c r="DI181" s="455"/>
      <c r="DJ181" s="404"/>
      <c r="DK181" s="404"/>
      <c r="DL181" s="455"/>
      <c r="DM181" s="404"/>
      <c r="DN181" s="404"/>
      <c r="DO181" s="455"/>
      <c r="DP181" s="404"/>
      <c r="DQ181" s="404"/>
      <c r="DR181" s="455"/>
      <c r="DS181" s="404"/>
      <c r="DT181" s="404"/>
      <c r="DU181" s="455"/>
      <c r="DV181" s="404"/>
      <c r="DW181" s="404"/>
      <c r="DX181" s="455"/>
      <c r="DY181" s="404"/>
      <c r="DZ181" s="404"/>
      <c r="EA181" s="455"/>
      <c r="EB181" s="404"/>
      <c r="EC181" s="404"/>
      <c r="ED181" s="455"/>
      <c r="EE181" s="404"/>
      <c r="EF181" s="404"/>
      <c r="EG181" s="455"/>
      <c r="EH181" s="404"/>
      <c r="EI181" s="404"/>
      <c r="EJ181" s="455"/>
      <c r="EK181" s="404"/>
      <c r="EL181" s="404"/>
      <c r="EM181" s="455"/>
      <c r="EN181" s="404"/>
      <c r="EO181" s="404"/>
      <c r="EP181" s="455"/>
      <c r="EQ181" s="404"/>
      <c r="ER181" s="404"/>
      <c r="ES181" s="455"/>
      <c r="ET181" s="404"/>
      <c r="EU181" s="404"/>
      <c r="EV181" s="455"/>
      <c r="EW181" s="404"/>
      <c r="EX181" s="404"/>
      <c r="EY181" s="455"/>
      <c r="EZ181" s="404"/>
      <c r="FA181" s="404"/>
      <c r="FB181" s="455"/>
      <c r="FC181" s="404"/>
      <c r="FD181" s="404"/>
      <c r="FE181" s="455"/>
      <c r="FF181" s="404"/>
      <c r="FG181" s="404"/>
      <c r="FH181" s="455"/>
      <c r="FI181" s="387">
        <v>1081.2564263010345</v>
      </c>
      <c r="FJ181" s="387"/>
      <c r="FK181" s="358"/>
      <c r="FL181" s="387">
        <v>1081.2564263010345</v>
      </c>
      <c r="FM181" s="387"/>
      <c r="FN181" s="358"/>
      <c r="FO181" s="387">
        <v>1081.2564263010345</v>
      </c>
      <c r="FP181" s="387"/>
      <c r="FQ181" s="358"/>
      <c r="FR181" s="387">
        <v>1081.2564263010345</v>
      </c>
      <c r="FS181" s="387"/>
      <c r="FT181" s="358"/>
      <c r="FU181" s="387">
        <v>1081.2564263010345</v>
      </c>
      <c r="FV181" s="387"/>
      <c r="FW181" s="358"/>
      <c r="FX181" s="387">
        <v>1081.2564263010345</v>
      </c>
      <c r="FY181" s="387"/>
      <c r="FZ181" s="358"/>
      <c r="GA181" s="387">
        <v>1081.2564263010345</v>
      </c>
      <c r="GB181" s="387"/>
      <c r="GC181" s="358"/>
      <c r="GD181" s="387">
        <v>1081.2564263010345</v>
      </c>
      <c r="GE181" s="387"/>
      <c r="GF181" s="358"/>
      <c r="GG181" s="387">
        <v>1081.2564263010345</v>
      </c>
      <c r="GH181" s="387"/>
      <c r="GI181" s="358"/>
      <c r="GJ181" s="387">
        <v>1081.2564263010345</v>
      </c>
      <c r="GK181" s="387"/>
      <c r="GL181" s="358"/>
      <c r="GM181" s="387">
        <v>1081.2564263010345</v>
      </c>
      <c r="GN181" s="387"/>
      <c r="GO181" s="358"/>
      <c r="GP181" s="387">
        <v>1081.2564263010345</v>
      </c>
      <c r="GQ181" s="387"/>
      <c r="GR181" s="358"/>
      <c r="GS181" s="387">
        <v>1081.2564263010345</v>
      </c>
      <c r="GT181" s="387"/>
      <c r="GU181" s="358"/>
      <c r="GV181" s="387">
        <v>1081.2564263010345</v>
      </c>
      <c r="GW181" s="387"/>
      <c r="GX181" s="358"/>
      <c r="GY181" s="387">
        <v>1081.2564263010345</v>
      </c>
      <c r="GZ181" s="387"/>
      <c r="HA181" s="358"/>
      <c r="HB181" s="387">
        <v>1081.2564263010345</v>
      </c>
      <c r="HC181" s="387"/>
      <c r="HD181" s="358"/>
      <c r="HE181" s="387">
        <v>1081.2564263010345</v>
      </c>
      <c r="HF181" s="387"/>
      <c r="HG181" s="358"/>
      <c r="HH181" s="387">
        <v>1081.2564263010345</v>
      </c>
      <c r="HI181" s="358"/>
      <c r="HJ181" s="387">
        <v>1081.2564263010345</v>
      </c>
      <c r="HK181" s="358"/>
      <c r="HL181" s="387">
        <v>1081.2564263010345</v>
      </c>
      <c r="HM181" s="358"/>
      <c r="HN181" s="387">
        <v>1081.2564263010345</v>
      </c>
      <c r="HO181" s="358"/>
      <c r="HP181" s="387">
        <v>1081.2564263010345</v>
      </c>
      <c r="HQ181" s="358"/>
      <c r="HR181" s="387">
        <v>1081.2564263010345</v>
      </c>
      <c r="HS181" s="358"/>
      <c r="HT181" s="387">
        <v>1081.2564263010345</v>
      </c>
      <c r="HU181" s="358"/>
      <c r="HV181" s="599">
        <v>1843.4535792673375</v>
      </c>
      <c r="HW181" s="600"/>
      <c r="HX181" s="567"/>
      <c r="HY181" s="567"/>
      <c r="HZ181" s="567"/>
      <c r="IA181" s="567"/>
      <c r="IB181" s="567"/>
      <c r="IC181" s="567"/>
      <c r="ID181" s="567"/>
      <c r="IE181" s="567"/>
      <c r="IF181" s="567"/>
      <c r="IG181" s="567"/>
      <c r="IH181" s="568"/>
      <c r="II181" s="569"/>
      <c r="IJ181" s="568"/>
      <c r="IK181" s="569"/>
      <c r="IL181" s="568"/>
      <c r="IM181" s="569"/>
      <c r="IN181" s="568"/>
      <c r="IO181" s="569"/>
      <c r="IP181" s="568"/>
      <c r="IQ181" s="569"/>
      <c r="IR181" s="601" t="s">
        <v>3399</v>
      </c>
      <c r="IS181" s="587" t="s">
        <v>77</v>
      </c>
      <c r="IT181" s="602">
        <v>43718</v>
      </c>
      <c r="IU181" s="464">
        <v>43770</v>
      </c>
      <c r="IW181" s="372">
        <f t="shared" si="22"/>
        <v>52</v>
      </c>
      <c r="IX181" s="373">
        <f t="shared" si="25"/>
        <v>60.441100959584837</v>
      </c>
      <c r="IY181" s="531">
        <v>1843.4535792673375</v>
      </c>
      <c r="IZ181" s="531"/>
    </row>
    <row r="182" spans="1:261" s="367" customFormat="1" ht="16.5" customHeight="1" x14ac:dyDescent="0.3">
      <c r="A182" s="526" t="s">
        <v>2735</v>
      </c>
      <c r="B182" s="603" t="s">
        <v>2745</v>
      </c>
      <c r="C182" s="996" t="s">
        <v>566</v>
      </c>
      <c r="D182" s="605">
        <v>1628</v>
      </c>
      <c r="E182" s="606">
        <v>165</v>
      </c>
      <c r="F182" s="606">
        <v>56</v>
      </c>
      <c r="G182" s="606">
        <v>108</v>
      </c>
      <c r="H182" s="607">
        <v>0</v>
      </c>
      <c r="I182" s="889">
        <f>((1849-1659)/30.5)*15+1849</f>
        <v>1942.4426229508197</v>
      </c>
      <c r="J182" s="842">
        <f>((108-54)/30.5)*15+108</f>
        <v>134.55737704918033</v>
      </c>
      <c r="K182" s="827"/>
      <c r="L182" s="835">
        <v>1658.8564263010346</v>
      </c>
      <c r="M182" s="835">
        <f>54</f>
        <v>54</v>
      </c>
      <c r="N182" s="827"/>
      <c r="O182" s="835">
        <v>1658.8564263010346</v>
      </c>
      <c r="P182" s="835">
        <f>54</f>
        <v>54</v>
      </c>
      <c r="Q182" s="827"/>
      <c r="R182" s="835">
        <v>1658.8564263010346</v>
      </c>
      <c r="S182" s="835">
        <f>54</f>
        <v>54</v>
      </c>
      <c r="T182" s="827"/>
      <c r="U182" s="835">
        <v>1658.8564263010346</v>
      </c>
      <c r="V182" s="835">
        <f>54</f>
        <v>54</v>
      </c>
      <c r="W182" s="827"/>
      <c r="X182" s="835">
        <v>1658.8564263010346</v>
      </c>
      <c r="Y182" s="835">
        <f>54</f>
        <v>54</v>
      </c>
      <c r="Z182" s="827"/>
      <c r="AA182" s="835">
        <v>1658.8564263010346</v>
      </c>
      <c r="AB182" s="835">
        <f>54</f>
        <v>54</v>
      </c>
      <c r="AC182" s="827"/>
      <c r="AD182" s="835">
        <v>1658.8564263010346</v>
      </c>
      <c r="AE182" s="835">
        <f>54</f>
        <v>54</v>
      </c>
      <c r="AF182" s="827"/>
      <c r="AG182" s="835">
        <v>1658.8564263010346</v>
      </c>
      <c r="AH182" s="835">
        <f>54</f>
        <v>54</v>
      </c>
      <c r="AI182" s="827"/>
      <c r="AJ182" s="835">
        <v>1658.8564263010346</v>
      </c>
      <c r="AK182" s="835">
        <f>54</f>
        <v>54</v>
      </c>
      <c r="AL182" s="827"/>
      <c r="AM182" s="835">
        <v>1658.8564263010346</v>
      </c>
      <c r="AN182" s="835">
        <f>54</f>
        <v>54</v>
      </c>
      <c r="AO182" s="827"/>
      <c r="AP182" s="835">
        <v>1658.8564263010346</v>
      </c>
      <c r="AQ182" s="835">
        <f>54</f>
        <v>54</v>
      </c>
      <c r="AR182" s="827"/>
      <c r="AS182" s="835">
        <v>1658.8564263010346</v>
      </c>
      <c r="AT182" s="835">
        <f>54</f>
        <v>54</v>
      </c>
      <c r="AU182" s="827"/>
      <c r="AV182" s="835">
        <v>1658.8564263010346</v>
      </c>
      <c r="AW182" s="835">
        <f>54</f>
        <v>54</v>
      </c>
      <c r="AX182" s="827"/>
      <c r="AY182" s="842">
        <v>1658.8564263010346</v>
      </c>
      <c r="AZ182" s="842">
        <f>54</f>
        <v>54</v>
      </c>
      <c r="BA182" s="358"/>
      <c r="BB182" s="385">
        <v>1658.8564263010346</v>
      </c>
      <c r="BC182" s="385">
        <f>54</f>
        <v>54</v>
      </c>
      <c r="BD182" s="358"/>
      <c r="BE182" s="385">
        <v>1658.8564263010346</v>
      </c>
      <c r="BF182" s="385">
        <f>54</f>
        <v>54</v>
      </c>
      <c r="BG182" s="358"/>
      <c r="BH182" s="385">
        <v>1658.8564263010346</v>
      </c>
      <c r="BI182" s="385">
        <f>54</f>
        <v>54</v>
      </c>
      <c r="BJ182" s="358"/>
      <c r="BK182" s="385">
        <v>1658.8564263010346</v>
      </c>
      <c r="BL182" s="385">
        <f>54</f>
        <v>54</v>
      </c>
      <c r="BM182" s="358"/>
      <c r="BN182" s="385">
        <v>1658.8564263010346</v>
      </c>
      <c r="BO182" s="385">
        <f>54</f>
        <v>54</v>
      </c>
      <c r="BP182" s="358"/>
      <c r="BQ182" s="385">
        <v>1658.8564263010346</v>
      </c>
      <c r="BR182" s="385">
        <f>54</f>
        <v>54</v>
      </c>
      <c r="BS182" s="358"/>
      <c r="BT182" s="385">
        <v>1658.8564263010346</v>
      </c>
      <c r="BU182" s="385">
        <f>54</f>
        <v>54</v>
      </c>
      <c r="BV182" s="358"/>
      <c r="BW182" s="385">
        <v>1658.8564263010346</v>
      </c>
      <c r="BX182" s="385">
        <f>54</f>
        <v>54</v>
      </c>
      <c r="BY182" s="358"/>
      <c r="BZ182" s="385">
        <v>1658.8564263010346</v>
      </c>
      <c r="CA182" s="385">
        <f>54</f>
        <v>54</v>
      </c>
      <c r="CB182" s="358"/>
      <c r="CC182" s="385">
        <v>1658.8564263010346</v>
      </c>
      <c r="CD182" s="385">
        <f>54</f>
        <v>54</v>
      </c>
      <c r="CE182" s="358"/>
      <c r="CF182" s="385">
        <v>1658.8564263010346</v>
      </c>
      <c r="CG182" s="385">
        <f>54</f>
        <v>54</v>
      </c>
      <c r="CH182" s="358"/>
      <c r="CI182" s="385">
        <v>1658.8564263010346</v>
      </c>
      <c r="CJ182" s="385">
        <f>54</f>
        <v>54</v>
      </c>
      <c r="CK182" s="358"/>
      <c r="CL182" s="385">
        <v>1658.8564263010346</v>
      </c>
      <c r="CM182" s="385">
        <f>54</f>
        <v>54</v>
      </c>
      <c r="CN182" s="358"/>
      <c r="CO182" s="385">
        <v>1658.8564263010346</v>
      </c>
      <c r="CP182" s="385">
        <f>54</f>
        <v>54</v>
      </c>
      <c r="CQ182" s="358"/>
      <c r="CR182" s="385">
        <v>1658.8564263010346</v>
      </c>
      <c r="CS182" s="385">
        <f>54</f>
        <v>54</v>
      </c>
      <c r="CT182" s="358"/>
      <c r="CU182" s="385">
        <v>1658.8564263010346</v>
      </c>
      <c r="CV182" s="385">
        <f>54</f>
        <v>54</v>
      </c>
      <c r="CW182" s="358"/>
      <c r="CX182" s="385">
        <v>1658.8564263010346</v>
      </c>
      <c r="CY182" s="385">
        <f>54</f>
        <v>54</v>
      </c>
      <c r="CZ182" s="358"/>
      <c r="DA182" s="385">
        <v>1658.8564263010346</v>
      </c>
      <c r="DB182" s="385">
        <f>54</f>
        <v>54</v>
      </c>
      <c r="DC182" s="358"/>
      <c r="DD182" s="385">
        <v>1658.8564263010346</v>
      </c>
      <c r="DE182" s="385">
        <f>54</f>
        <v>54</v>
      </c>
      <c r="DF182" s="358"/>
      <c r="DG182" s="385">
        <v>1658.8564263010346</v>
      </c>
      <c r="DH182" s="385">
        <f>54</f>
        <v>54</v>
      </c>
      <c r="DI182" s="358"/>
      <c r="DJ182" s="385">
        <v>1658.8564263010346</v>
      </c>
      <c r="DK182" s="385">
        <f>54</f>
        <v>54</v>
      </c>
      <c r="DL182" s="358"/>
      <c r="DM182" s="385">
        <v>1658.8564263010346</v>
      </c>
      <c r="DN182" s="385">
        <f>54</f>
        <v>54</v>
      </c>
      <c r="DO182" s="358"/>
      <c r="DP182" s="385">
        <v>1658.8564263010346</v>
      </c>
      <c r="DQ182" s="385">
        <f>54</f>
        <v>54</v>
      </c>
      <c r="DR182" s="358"/>
      <c r="DS182" s="385">
        <v>1658.8564263010346</v>
      </c>
      <c r="DT182" s="385">
        <f>54</f>
        <v>54</v>
      </c>
      <c r="DU182" s="358"/>
      <c r="DV182" s="385">
        <v>1658.8564263010346</v>
      </c>
      <c r="DW182" s="385">
        <f>54</f>
        <v>54</v>
      </c>
      <c r="DX182" s="358"/>
      <c r="DY182" s="385">
        <v>1658.8564263010346</v>
      </c>
      <c r="DZ182" s="385">
        <f>54</f>
        <v>54</v>
      </c>
      <c r="EA182" s="358"/>
      <c r="EB182" s="385">
        <v>1658.8564263010346</v>
      </c>
      <c r="EC182" s="385">
        <f>54</f>
        <v>54</v>
      </c>
      <c r="ED182" s="358"/>
      <c r="EE182" s="385">
        <v>1658.8564263010346</v>
      </c>
      <c r="EF182" s="385">
        <f>54</f>
        <v>54</v>
      </c>
      <c r="EG182" s="358"/>
      <c r="EH182" s="385">
        <v>1658.8564263010346</v>
      </c>
      <c r="EI182" s="385">
        <f>54</f>
        <v>54</v>
      </c>
      <c r="EJ182" s="358"/>
      <c r="EK182" s="385">
        <v>1658.8564263010346</v>
      </c>
      <c r="EL182" s="385">
        <f>54</f>
        <v>54</v>
      </c>
      <c r="EM182" s="358"/>
      <c r="EN182" s="385">
        <v>1658.8564263010346</v>
      </c>
      <c r="EO182" s="385">
        <f>54</f>
        <v>54</v>
      </c>
      <c r="EP182" s="358"/>
      <c r="EQ182" s="385">
        <v>1658.8564263010346</v>
      </c>
      <c r="ER182" s="385">
        <f>54</f>
        <v>54</v>
      </c>
      <c r="ES182" s="358"/>
      <c r="ET182" s="385">
        <v>1658.8564263010346</v>
      </c>
      <c r="EU182" s="385">
        <f>54</f>
        <v>54</v>
      </c>
      <c r="EV182" s="358"/>
      <c r="EW182" s="385">
        <v>1658.8564263010346</v>
      </c>
      <c r="EX182" s="385">
        <f>54</f>
        <v>54</v>
      </c>
      <c r="EY182" s="358"/>
      <c r="EZ182" s="385">
        <v>1658.8564263010346</v>
      </c>
      <c r="FA182" s="385">
        <f>54</f>
        <v>54</v>
      </c>
      <c r="FB182" s="358"/>
      <c r="FC182" s="385">
        <v>1658.8564263010346</v>
      </c>
      <c r="FD182" s="385">
        <f>54</f>
        <v>54</v>
      </c>
      <c r="FE182" s="358"/>
      <c r="FF182" s="385">
        <v>1658.8564263010346</v>
      </c>
      <c r="FG182" s="385">
        <f>54</f>
        <v>54</v>
      </c>
      <c r="FH182" s="358"/>
      <c r="FI182" s="385">
        <v>1658.8564263010346</v>
      </c>
      <c r="FJ182" s="385">
        <f>54</f>
        <v>54</v>
      </c>
      <c r="FK182" s="358"/>
      <c r="FL182" s="385">
        <v>1658.8564263010346</v>
      </c>
      <c r="FM182" s="385">
        <f>54</f>
        <v>54</v>
      </c>
      <c r="FN182" s="358"/>
      <c r="FO182" s="385">
        <v>1658.8564263010346</v>
      </c>
      <c r="FP182" s="385">
        <f>54</f>
        <v>54</v>
      </c>
      <c r="FQ182" s="358"/>
      <c r="FR182" s="385">
        <v>1658.8564263010346</v>
      </c>
      <c r="FS182" s="385">
        <f>54</f>
        <v>54</v>
      </c>
      <c r="FT182" s="358"/>
      <c r="FU182" s="385">
        <v>1658.8564263010346</v>
      </c>
      <c r="FV182" s="385">
        <f>54</f>
        <v>54</v>
      </c>
      <c r="FW182" s="358"/>
      <c r="FX182" s="385">
        <v>1658.8564263010346</v>
      </c>
      <c r="FY182" s="385">
        <f>54</f>
        <v>54</v>
      </c>
      <c r="FZ182" s="358"/>
      <c r="GA182" s="385">
        <v>1658.8564263010346</v>
      </c>
      <c r="GB182" s="385">
        <f>54</f>
        <v>54</v>
      </c>
      <c r="GC182" s="358"/>
      <c r="GD182" s="385">
        <v>1658.8564263010346</v>
      </c>
      <c r="GE182" s="385">
        <f>54</f>
        <v>54</v>
      </c>
      <c r="GF182" s="358"/>
      <c r="GG182" s="385">
        <v>1658.8564263010346</v>
      </c>
      <c r="GH182" s="385">
        <f>54</f>
        <v>54</v>
      </c>
      <c r="GI182" s="358"/>
      <c r="GJ182" s="385">
        <v>1658.8564263010346</v>
      </c>
      <c r="GK182" s="385">
        <f>54</f>
        <v>54</v>
      </c>
      <c r="GL182" s="358"/>
      <c r="GM182" s="385">
        <v>1658.8564263010346</v>
      </c>
      <c r="GN182" s="385">
        <f>54</f>
        <v>54</v>
      </c>
      <c r="GO182" s="358"/>
      <c r="GP182" s="385">
        <v>1658.8564263010346</v>
      </c>
      <c r="GQ182" s="385">
        <f>54</f>
        <v>54</v>
      </c>
      <c r="GR182" s="358"/>
      <c r="GS182" s="385">
        <v>1658.8564263010346</v>
      </c>
      <c r="GT182" s="385">
        <f>54</f>
        <v>54</v>
      </c>
      <c r="GU182" s="358"/>
      <c r="GV182" s="385">
        <v>1658.8564263010346</v>
      </c>
      <c r="GW182" s="385">
        <f>54</f>
        <v>54</v>
      </c>
      <c r="GX182" s="358"/>
      <c r="GY182" s="385">
        <v>1658.8564263010346</v>
      </c>
      <c r="GZ182" s="385">
        <f>54</f>
        <v>54</v>
      </c>
      <c r="HA182" s="358"/>
      <c r="HB182" s="385">
        <v>1658.8564263010346</v>
      </c>
      <c r="HC182" s="385">
        <f>54</f>
        <v>54</v>
      </c>
      <c r="HD182" s="358"/>
      <c r="HE182" s="387">
        <v>1658.8564263010346</v>
      </c>
      <c r="HF182" s="386">
        <f>54*6</f>
        <v>324</v>
      </c>
      <c r="HG182" s="358"/>
      <c r="HH182" s="387">
        <v>1658.8564263010346</v>
      </c>
      <c r="HI182" s="358"/>
      <c r="HJ182" s="387">
        <v>1658.8564263010346</v>
      </c>
      <c r="HK182" s="358"/>
      <c r="HL182" s="387">
        <v>1658.8564263010346</v>
      </c>
      <c r="HM182" s="358"/>
      <c r="HN182" s="387">
        <v>1658.8564263010346</v>
      </c>
      <c r="HO182" s="358"/>
      <c r="HP182" s="387">
        <v>1658.8564263010346</v>
      </c>
      <c r="HQ182" s="358"/>
      <c r="HR182" s="387">
        <v>1658.8564263010346</v>
      </c>
      <c r="HS182" s="358"/>
      <c r="HT182" s="387">
        <v>1658.8564263010346</v>
      </c>
      <c r="HU182" s="358"/>
      <c r="HV182" s="599">
        <v>2447.4930879851331</v>
      </c>
      <c r="HW182" s="600"/>
      <c r="HX182" s="567"/>
      <c r="HY182" s="567"/>
      <c r="HZ182" s="567"/>
      <c r="IA182" s="567"/>
      <c r="IB182" s="567"/>
      <c r="IC182" s="567"/>
      <c r="ID182" s="567"/>
      <c r="IE182" s="567"/>
      <c r="IF182" s="567"/>
      <c r="IG182" s="567"/>
      <c r="IH182" s="568"/>
      <c r="II182" s="569"/>
      <c r="IJ182" s="568"/>
      <c r="IK182" s="569"/>
      <c r="IL182" s="568"/>
      <c r="IM182" s="569"/>
      <c r="IN182" s="568"/>
      <c r="IO182" s="569"/>
      <c r="IP182" s="568"/>
      <c r="IQ182" s="569"/>
      <c r="IR182" s="601" t="s">
        <v>3400</v>
      </c>
      <c r="IS182" s="587" t="s">
        <v>77</v>
      </c>
      <c r="IT182" s="602">
        <v>43725</v>
      </c>
      <c r="IU182" s="464">
        <v>43770</v>
      </c>
      <c r="IW182" s="372">
        <f t="shared" si="22"/>
        <v>45</v>
      </c>
      <c r="IX182" s="373">
        <f t="shared" si="25"/>
        <v>80.245675015906002</v>
      </c>
      <c r="IY182" s="531">
        <v>2447.4930879851331</v>
      </c>
      <c r="IZ182" s="531"/>
    </row>
    <row r="183" spans="1:261" s="367" customFormat="1" ht="16.5" customHeight="1" x14ac:dyDescent="0.3">
      <c r="A183" s="526" t="s">
        <v>2743</v>
      </c>
      <c r="B183" s="594" t="s">
        <v>2784</v>
      </c>
      <c r="C183" s="595" t="s">
        <v>1089</v>
      </c>
      <c r="D183" s="596">
        <v>1454</v>
      </c>
      <c r="E183" s="597">
        <v>95</v>
      </c>
      <c r="F183" s="597">
        <v>32</v>
      </c>
      <c r="G183" s="597">
        <v>36</v>
      </c>
      <c r="H183" s="598">
        <v>0</v>
      </c>
      <c r="I183" s="855">
        <v>1580</v>
      </c>
      <c r="J183" s="597">
        <v>36</v>
      </c>
      <c r="K183" s="827"/>
      <c r="L183" s="597">
        <v>1580</v>
      </c>
      <c r="M183" s="597">
        <v>36</v>
      </c>
      <c r="N183" s="827"/>
      <c r="O183" s="597">
        <v>1580</v>
      </c>
      <c r="P183" s="597">
        <v>36</v>
      </c>
      <c r="Q183" s="827"/>
      <c r="R183" s="597">
        <v>1580</v>
      </c>
      <c r="S183" s="597">
        <v>36</v>
      </c>
      <c r="T183" s="827"/>
      <c r="U183" s="597">
        <v>1580</v>
      </c>
      <c r="V183" s="597">
        <v>36</v>
      </c>
      <c r="W183" s="827"/>
      <c r="X183" s="597">
        <v>1580</v>
      </c>
      <c r="Y183" s="597">
        <v>36</v>
      </c>
      <c r="Z183" s="827"/>
      <c r="AA183" s="597">
        <v>1580</v>
      </c>
      <c r="AB183" s="597">
        <v>36</v>
      </c>
      <c r="AC183" s="827"/>
      <c r="AD183" s="597">
        <v>1580</v>
      </c>
      <c r="AE183" s="597">
        <v>36</v>
      </c>
      <c r="AF183" s="827"/>
      <c r="AG183" s="597">
        <v>1580</v>
      </c>
      <c r="AH183" s="597">
        <v>36</v>
      </c>
      <c r="AI183" s="827"/>
      <c r="AJ183" s="597">
        <v>1580</v>
      </c>
      <c r="AK183" s="597">
        <v>36</v>
      </c>
      <c r="AL183" s="827"/>
      <c r="AM183" s="597">
        <v>1580</v>
      </c>
      <c r="AN183" s="597">
        <v>36</v>
      </c>
      <c r="AO183" s="827"/>
      <c r="AP183" s="597">
        <v>1580</v>
      </c>
      <c r="AQ183" s="597">
        <v>36</v>
      </c>
      <c r="AR183" s="827"/>
      <c r="AS183" s="597">
        <v>1580</v>
      </c>
      <c r="AT183" s="597">
        <v>36</v>
      </c>
      <c r="AU183" s="827"/>
      <c r="AV183" s="597">
        <v>1580</v>
      </c>
      <c r="AW183" s="597">
        <v>36</v>
      </c>
      <c r="AX183" s="827"/>
      <c r="AY183" s="597">
        <v>1580</v>
      </c>
      <c r="AZ183" s="597">
        <v>36</v>
      </c>
      <c r="BA183" s="358"/>
      <c r="BB183" s="421">
        <v>1580</v>
      </c>
      <c r="BC183" s="421">
        <v>36</v>
      </c>
      <c r="BD183" s="358"/>
      <c r="BE183" s="421">
        <v>1580</v>
      </c>
      <c r="BF183" s="421">
        <v>36</v>
      </c>
      <c r="BG183" s="358"/>
      <c r="BH183" s="421">
        <v>1580</v>
      </c>
      <c r="BI183" s="421">
        <v>36</v>
      </c>
      <c r="BJ183" s="369"/>
      <c r="BK183" s="421">
        <v>1580</v>
      </c>
      <c r="BL183" s="421">
        <v>36</v>
      </c>
      <c r="BM183" s="369"/>
      <c r="BN183" s="421">
        <v>1580</v>
      </c>
      <c r="BO183" s="421">
        <v>36</v>
      </c>
      <c r="BP183" s="369"/>
      <c r="BQ183" s="421">
        <v>1580</v>
      </c>
      <c r="BR183" s="421">
        <v>36</v>
      </c>
      <c r="BS183" s="369"/>
      <c r="BT183" s="421">
        <v>1580</v>
      </c>
      <c r="BU183" s="421">
        <v>36</v>
      </c>
      <c r="BV183" s="369"/>
      <c r="BW183" s="421">
        <v>1580</v>
      </c>
      <c r="BX183" s="421">
        <v>36</v>
      </c>
      <c r="BY183" s="369"/>
      <c r="BZ183" s="421">
        <v>1580</v>
      </c>
      <c r="CA183" s="421">
        <v>36</v>
      </c>
      <c r="CB183" s="369"/>
      <c r="CC183" s="421">
        <v>1580</v>
      </c>
      <c r="CD183" s="421">
        <v>36</v>
      </c>
      <c r="CE183" s="369"/>
      <c r="CF183" s="421">
        <v>1580</v>
      </c>
      <c r="CG183" s="421">
        <v>36</v>
      </c>
      <c r="CH183" s="369"/>
      <c r="CI183" s="422">
        <f>((1580-1351)/30.5)*28+1580</f>
        <v>1790.2295081967213</v>
      </c>
      <c r="CJ183" s="422">
        <f>((36-14)/30.5)*28+36</f>
        <v>56.196721311475414</v>
      </c>
      <c r="CK183" s="370"/>
      <c r="CL183" s="421">
        <v>1351</v>
      </c>
      <c r="CM183" s="421">
        <v>14</v>
      </c>
      <c r="CN183" s="369"/>
      <c r="CO183" s="421">
        <v>1351</v>
      </c>
      <c r="CP183" s="421">
        <v>14</v>
      </c>
      <c r="CQ183" s="369"/>
      <c r="CR183" s="421">
        <v>1351</v>
      </c>
      <c r="CS183" s="421">
        <v>14</v>
      </c>
      <c r="CT183" s="369"/>
      <c r="CU183" s="421">
        <v>1351</v>
      </c>
      <c r="CV183" s="421">
        <v>14</v>
      </c>
      <c r="CW183" s="369"/>
      <c r="CX183" s="421">
        <v>1351</v>
      </c>
      <c r="CY183" s="421">
        <v>14</v>
      </c>
      <c r="CZ183" s="369"/>
      <c r="DA183" s="421">
        <v>1351</v>
      </c>
      <c r="DB183" s="421">
        <v>14</v>
      </c>
      <c r="DC183" s="369"/>
      <c r="DD183" s="421">
        <v>1351</v>
      </c>
      <c r="DE183" s="421">
        <v>14</v>
      </c>
      <c r="DF183" s="369"/>
      <c r="DG183" s="422">
        <f>((1351-1719)/30.5)*9+1351</f>
        <v>1242.4098360655737</v>
      </c>
      <c r="DH183" s="422">
        <v>14</v>
      </c>
      <c r="DI183" s="370"/>
      <c r="DJ183" s="421">
        <v>1719</v>
      </c>
      <c r="DK183" s="421">
        <v>14</v>
      </c>
      <c r="DL183" s="369"/>
      <c r="DM183" s="421">
        <v>1719</v>
      </c>
      <c r="DN183" s="421">
        <v>14</v>
      </c>
      <c r="DO183" s="369"/>
      <c r="DP183" s="422">
        <f>((1719-1948)/30.5)*18+1719</f>
        <v>1583.8524590163934</v>
      </c>
      <c r="DQ183" s="422">
        <f>((14-36)/30.5)*18+14</f>
        <v>1.0163934426229506</v>
      </c>
      <c r="DR183" s="370"/>
      <c r="DS183" s="385">
        <v>1947.6564263010346</v>
      </c>
      <c r="DT183" s="385">
        <f>36</f>
        <v>36</v>
      </c>
      <c r="DU183" s="358"/>
      <c r="DV183" s="385">
        <v>1947.6564263010346</v>
      </c>
      <c r="DW183" s="385">
        <f>36</f>
        <v>36</v>
      </c>
      <c r="DX183" s="358"/>
      <c r="DY183" s="385">
        <v>1947.6564263010346</v>
      </c>
      <c r="DZ183" s="385">
        <f>36</f>
        <v>36</v>
      </c>
      <c r="EA183" s="358"/>
      <c r="EB183" s="385">
        <v>1947.6564263010346</v>
      </c>
      <c r="EC183" s="385">
        <f>36</f>
        <v>36</v>
      </c>
      <c r="ED183" s="358"/>
      <c r="EE183" s="385">
        <v>1947.6564263010346</v>
      </c>
      <c r="EF183" s="385">
        <f>36</f>
        <v>36</v>
      </c>
      <c r="EG183" s="358"/>
      <c r="EH183" s="385">
        <v>1947.6564263010346</v>
      </c>
      <c r="EI183" s="385">
        <f>36</f>
        <v>36</v>
      </c>
      <c r="EJ183" s="358"/>
      <c r="EK183" s="385">
        <v>1947.6564263010346</v>
      </c>
      <c r="EL183" s="385">
        <f>36</f>
        <v>36</v>
      </c>
      <c r="EM183" s="358"/>
      <c r="EN183" s="385">
        <v>1947.6564263010346</v>
      </c>
      <c r="EO183" s="385">
        <f>36</f>
        <v>36</v>
      </c>
      <c r="EP183" s="358"/>
      <c r="EQ183" s="385">
        <v>1947.6564263010346</v>
      </c>
      <c r="ER183" s="385">
        <f>36</f>
        <v>36</v>
      </c>
      <c r="ES183" s="358"/>
      <c r="ET183" s="385">
        <v>1947.6564263010346</v>
      </c>
      <c r="EU183" s="385">
        <f>36</f>
        <v>36</v>
      </c>
      <c r="EV183" s="358"/>
      <c r="EW183" s="385">
        <v>1947.6564263010346</v>
      </c>
      <c r="EX183" s="385">
        <f>36</f>
        <v>36</v>
      </c>
      <c r="EY183" s="358"/>
      <c r="EZ183" s="385">
        <v>1947.6564263010346</v>
      </c>
      <c r="FA183" s="385">
        <f>36</f>
        <v>36</v>
      </c>
      <c r="FB183" s="358"/>
      <c r="FC183" s="385">
        <v>1947.6564263010346</v>
      </c>
      <c r="FD183" s="385">
        <f>36</f>
        <v>36</v>
      </c>
      <c r="FE183" s="358"/>
      <c r="FF183" s="385">
        <v>1947.6564263010346</v>
      </c>
      <c r="FG183" s="385">
        <f>36</f>
        <v>36</v>
      </c>
      <c r="FH183" s="358"/>
      <c r="FI183" s="385">
        <v>1947.6564263010346</v>
      </c>
      <c r="FJ183" s="385">
        <f>36</f>
        <v>36</v>
      </c>
      <c r="FK183" s="358"/>
      <c r="FL183" s="385">
        <v>1947.6564263010346</v>
      </c>
      <c r="FM183" s="385">
        <f>36</f>
        <v>36</v>
      </c>
      <c r="FN183" s="358"/>
      <c r="FO183" s="385">
        <v>1947.6564263010346</v>
      </c>
      <c r="FP183" s="385">
        <f>36</f>
        <v>36</v>
      </c>
      <c r="FQ183" s="358"/>
      <c r="FR183" s="385">
        <v>1947.6564263010346</v>
      </c>
      <c r="FS183" s="385">
        <f>36</f>
        <v>36</v>
      </c>
      <c r="FT183" s="358"/>
      <c r="FU183" s="385">
        <v>1947.6564263010346</v>
      </c>
      <c r="FV183" s="385">
        <f>36</f>
        <v>36</v>
      </c>
      <c r="FW183" s="358"/>
      <c r="FX183" s="385">
        <v>1947.6564263010346</v>
      </c>
      <c r="FY183" s="385">
        <f>36</f>
        <v>36</v>
      </c>
      <c r="FZ183" s="358"/>
      <c r="GA183" s="385">
        <v>1947.6564263010346</v>
      </c>
      <c r="GB183" s="385">
        <f>36</f>
        <v>36</v>
      </c>
      <c r="GC183" s="358"/>
      <c r="GD183" s="385">
        <v>1947.6564263010346</v>
      </c>
      <c r="GE183" s="385">
        <f>36</f>
        <v>36</v>
      </c>
      <c r="GF183" s="358"/>
      <c r="GG183" s="385">
        <v>1947.6564263010346</v>
      </c>
      <c r="GH183" s="385">
        <f>36</f>
        <v>36</v>
      </c>
      <c r="GI183" s="358"/>
      <c r="GJ183" s="385">
        <v>1947.6564263010346</v>
      </c>
      <c r="GK183" s="385">
        <f>36</f>
        <v>36</v>
      </c>
      <c r="GL183" s="358"/>
      <c r="GM183" s="385">
        <v>1947.6564263010346</v>
      </c>
      <c r="GN183" s="385">
        <f>36</f>
        <v>36</v>
      </c>
      <c r="GO183" s="358"/>
      <c r="GP183" s="385">
        <v>1947.6564263010346</v>
      </c>
      <c r="GQ183" s="385">
        <f>36</f>
        <v>36</v>
      </c>
      <c r="GR183" s="358"/>
      <c r="GS183" s="385">
        <v>1947.6564263010346</v>
      </c>
      <c r="GT183" s="385">
        <f>36</f>
        <v>36</v>
      </c>
      <c r="GU183" s="358"/>
      <c r="GV183" s="385">
        <v>1947.6564263010346</v>
      </c>
      <c r="GW183" s="385">
        <f>36</f>
        <v>36</v>
      </c>
      <c r="GX183" s="358"/>
      <c r="GY183" s="385">
        <v>1947.6564263010346</v>
      </c>
      <c r="GZ183" s="385">
        <f>36</f>
        <v>36</v>
      </c>
      <c r="HA183" s="358"/>
      <c r="HB183" s="385">
        <v>1947.6564263010346</v>
      </c>
      <c r="HC183" s="385">
        <f>36</f>
        <v>36</v>
      </c>
      <c r="HD183" s="358"/>
      <c r="HE183" s="387">
        <v>1947.6564263010346</v>
      </c>
      <c r="HF183" s="386">
        <f>36*6</f>
        <v>216</v>
      </c>
      <c r="HG183" s="370">
        <v>0</v>
      </c>
      <c r="HH183" s="387">
        <v>1947.6564263010346</v>
      </c>
      <c r="HI183" s="369">
        <v>65.615106286748087</v>
      </c>
      <c r="HJ183" s="387">
        <v>1947.6564263010346</v>
      </c>
      <c r="HK183" s="369">
        <v>65.615106286748087</v>
      </c>
      <c r="HL183" s="387">
        <v>1947.6564263010346</v>
      </c>
      <c r="HM183" s="369">
        <v>65.615106286748087</v>
      </c>
      <c r="HN183" s="387">
        <v>1947.6564263010346</v>
      </c>
      <c r="HO183" s="369">
        <v>65.615106286748087</v>
      </c>
      <c r="HP183" s="387">
        <v>1947.6564263010346</v>
      </c>
      <c r="HQ183" s="369">
        <v>65.615106286748087</v>
      </c>
      <c r="HR183" s="387">
        <v>1947.6564263010346</v>
      </c>
      <c r="HS183" s="369">
        <v>65.615106286748087</v>
      </c>
      <c r="HT183" s="387">
        <v>1947.6564263010346</v>
      </c>
      <c r="HU183" s="369">
        <v>65.615106286748087</v>
      </c>
      <c r="HV183" s="599">
        <v>2873.5914486408706</v>
      </c>
      <c r="HW183" s="609">
        <v>96.816393442622953</v>
      </c>
      <c r="HX183" s="567"/>
      <c r="HY183" s="567"/>
      <c r="HZ183" s="567"/>
      <c r="IA183" s="567"/>
      <c r="IB183" s="567"/>
      <c r="IC183" s="567"/>
      <c r="ID183" s="567"/>
      <c r="IE183" s="567"/>
      <c r="IF183" s="567"/>
      <c r="IG183" s="567"/>
      <c r="IH183" s="568"/>
      <c r="II183" s="569"/>
      <c r="IJ183" s="568"/>
      <c r="IK183" s="569"/>
      <c r="IL183" s="568"/>
      <c r="IM183" s="569"/>
      <c r="IN183" s="568"/>
      <c r="IO183" s="569"/>
      <c r="IP183" s="568"/>
      <c r="IQ183" s="569"/>
      <c r="IR183" s="601" t="s">
        <v>3401</v>
      </c>
      <c r="IS183" s="587" t="s">
        <v>77</v>
      </c>
      <c r="IT183" s="602">
        <v>43725</v>
      </c>
      <c r="IU183" s="464">
        <v>43770</v>
      </c>
      <c r="IW183" s="372">
        <f t="shared" si="22"/>
        <v>45</v>
      </c>
      <c r="IX183" s="373">
        <f t="shared" si="25"/>
        <v>94.216113070192478</v>
      </c>
      <c r="IY183" s="531">
        <v>2873.5914486408706</v>
      </c>
      <c r="IZ183" s="531"/>
    </row>
    <row r="184" spans="1:261" s="367" customFormat="1" ht="16.5" customHeight="1" x14ac:dyDescent="0.3">
      <c r="A184" s="401" t="s">
        <v>3315</v>
      </c>
      <c r="B184" s="402" t="s">
        <v>3315</v>
      </c>
      <c r="C184" s="608" t="s">
        <v>2756</v>
      </c>
      <c r="D184" s="634"/>
      <c r="E184" s="635"/>
      <c r="F184" s="635"/>
      <c r="G184" s="635"/>
      <c r="H184" s="636"/>
      <c r="I184" s="853">
        <v>0</v>
      </c>
      <c r="J184" s="833">
        <v>0</v>
      </c>
      <c r="K184" s="833">
        <v>0</v>
      </c>
      <c r="L184" s="833">
        <v>0</v>
      </c>
      <c r="M184" s="833">
        <v>0</v>
      </c>
      <c r="N184" s="833">
        <v>0</v>
      </c>
      <c r="O184" s="833">
        <v>0</v>
      </c>
      <c r="P184" s="833">
        <v>0</v>
      </c>
      <c r="Q184" s="833">
        <v>0</v>
      </c>
      <c r="R184" s="833">
        <v>0</v>
      </c>
      <c r="S184" s="833">
        <v>0</v>
      </c>
      <c r="T184" s="833">
        <v>0</v>
      </c>
      <c r="U184" s="833">
        <v>0</v>
      </c>
      <c r="V184" s="833">
        <v>0</v>
      </c>
      <c r="W184" s="833">
        <v>0</v>
      </c>
      <c r="X184" s="833">
        <v>0</v>
      </c>
      <c r="Y184" s="833">
        <v>0</v>
      </c>
      <c r="Z184" s="833"/>
      <c r="AA184" s="833">
        <v>0</v>
      </c>
      <c r="AB184" s="833">
        <v>0</v>
      </c>
      <c r="AC184" s="833"/>
      <c r="AD184" s="833">
        <v>0</v>
      </c>
      <c r="AE184" s="833">
        <v>0</v>
      </c>
      <c r="AF184" s="833"/>
      <c r="AG184" s="833">
        <v>0</v>
      </c>
      <c r="AH184" s="833">
        <v>0</v>
      </c>
      <c r="AI184" s="833"/>
      <c r="AJ184" s="833">
        <v>0</v>
      </c>
      <c r="AK184" s="833">
        <v>0</v>
      </c>
      <c r="AL184" s="833"/>
      <c r="AM184" s="833">
        <v>0</v>
      </c>
      <c r="AN184" s="833">
        <v>0</v>
      </c>
      <c r="AO184" s="833"/>
      <c r="AP184" s="833"/>
      <c r="AQ184" s="833"/>
      <c r="AR184" s="833"/>
      <c r="AS184" s="833">
        <v>368.21198185659011</v>
      </c>
      <c r="AT184" s="833"/>
      <c r="AU184" s="833"/>
      <c r="AV184" s="829">
        <v>368.21198185659011</v>
      </c>
      <c r="AW184" s="827"/>
      <c r="AX184" s="827"/>
      <c r="AY184" s="829">
        <v>368.21198185659011</v>
      </c>
      <c r="AZ184" s="827"/>
      <c r="BA184" s="358"/>
      <c r="BB184" s="387">
        <v>368.21198185659011</v>
      </c>
      <c r="BC184" s="358"/>
      <c r="BD184" s="358"/>
      <c r="BE184" s="387">
        <v>368.21198185659011</v>
      </c>
      <c r="BF184" s="358"/>
      <c r="BG184" s="358"/>
      <c r="BH184" s="387">
        <v>368.21198185659011</v>
      </c>
      <c r="BI184" s="387"/>
      <c r="BJ184" s="358"/>
      <c r="BK184" s="387">
        <v>368.21198185659011</v>
      </c>
      <c r="BL184" s="387"/>
      <c r="BM184" s="358"/>
      <c r="BN184" s="387">
        <v>368.21198185659011</v>
      </c>
      <c r="BO184" s="387"/>
      <c r="BP184" s="358"/>
      <c r="BQ184" s="387">
        <v>368.21198185659011</v>
      </c>
      <c r="BR184" s="387"/>
      <c r="BS184" s="358"/>
      <c r="BT184" s="387">
        <v>368.21198185659011</v>
      </c>
      <c r="BU184" s="387"/>
      <c r="BV184" s="358"/>
      <c r="BW184" s="387">
        <v>368.21198185659011</v>
      </c>
      <c r="BX184" s="387"/>
      <c r="BY184" s="358"/>
      <c r="BZ184" s="387">
        <v>368.21198185659011</v>
      </c>
      <c r="CA184" s="387"/>
      <c r="CB184" s="358"/>
      <c r="CC184" s="387">
        <v>368.21198185659011</v>
      </c>
      <c r="CD184" s="387"/>
      <c r="CE184" s="358"/>
      <c r="CF184" s="387">
        <v>368.21198185659011</v>
      </c>
      <c r="CG184" s="387"/>
      <c r="CH184" s="358"/>
      <c r="CI184" s="387">
        <v>368.21198185659011</v>
      </c>
      <c r="CJ184" s="387"/>
      <c r="CK184" s="358"/>
      <c r="CL184" s="387">
        <v>368.21198185659011</v>
      </c>
      <c r="CM184" s="387"/>
      <c r="CN184" s="358"/>
      <c r="CO184" s="387">
        <v>368.21198185659011</v>
      </c>
      <c r="CP184" s="387"/>
      <c r="CQ184" s="358"/>
      <c r="CR184" s="387">
        <v>368.21198185659011</v>
      </c>
      <c r="CS184" s="387"/>
      <c r="CT184" s="358"/>
      <c r="CU184" s="387">
        <v>368.21198185659011</v>
      </c>
      <c r="CV184" s="387"/>
      <c r="CW184" s="358"/>
      <c r="CX184" s="387">
        <v>368.21198185659011</v>
      </c>
      <c r="CY184" s="387"/>
      <c r="CZ184" s="358"/>
      <c r="DA184" s="387">
        <v>368.21198185659011</v>
      </c>
      <c r="DB184" s="387"/>
      <c r="DC184" s="358"/>
      <c r="DD184" s="387">
        <v>368.21198185659011</v>
      </c>
      <c r="DE184" s="387"/>
      <c r="DF184" s="358"/>
      <c r="DG184" s="387">
        <v>368.21198185659011</v>
      </c>
      <c r="DH184" s="387"/>
      <c r="DI184" s="358"/>
      <c r="DJ184" s="387">
        <v>368.21198185659011</v>
      </c>
      <c r="DK184" s="387"/>
      <c r="DL184" s="358"/>
      <c r="DM184" s="387">
        <v>368.21198185659011</v>
      </c>
      <c r="DN184" s="387"/>
      <c r="DO184" s="358"/>
      <c r="DP184" s="387">
        <v>368.21198185659011</v>
      </c>
      <c r="DQ184" s="387"/>
      <c r="DR184" s="358"/>
      <c r="DS184" s="387">
        <v>368.21198185659011</v>
      </c>
      <c r="DT184" s="387"/>
      <c r="DU184" s="358"/>
      <c r="DV184" s="387">
        <v>368.21198185659011</v>
      </c>
      <c r="DW184" s="387"/>
      <c r="DX184" s="358"/>
      <c r="DY184" s="387">
        <v>368.21198185659011</v>
      </c>
      <c r="DZ184" s="387"/>
      <c r="EA184" s="358"/>
      <c r="EB184" s="387">
        <v>368.21198185659011</v>
      </c>
      <c r="EC184" s="387"/>
      <c r="ED184" s="358"/>
      <c r="EE184" s="387">
        <v>368.21198185659011</v>
      </c>
      <c r="EF184" s="387"/>
      <c r="EG184" s="358"/>
      <c r="EH184" s="387">
        <v>368.21198185659011</v>
      </c>
      <c r="EI184" s="387"/>
      <c r="EJ184" s="358"/>
      <c r="EK184" s="387">
        <v>368.21198185659011</v>
      </c>
      <c r="EL184" s="387"/>
      <c r="EM184" s="358"/>
      <c r="EN184" s="387">
        <v>368.21198185659011</v>
      </c>
      <c r="EO184" s="387"/>
      <c r="EP184" s="358"/>
      <c r="EQ184" s="387">
        <v>368.21198185659011</v>
      </c>
      <c r="ER184" s="387"/>
      <c r="ES184" s="358"/>
      <c r="ET184" s="387">
        <v>368.21198185659011</v>
      </c>
      <c r="EU184" s="387"/>
      <c r="EV184" s="358"/>
      <c r="EW184" s="387">
        <v>368.21198185659011</v>
      </c>
      <c r="EX184" s="387"/>
      <c r="EY184" s="358"/>
      <c r="EZ184" s="387">
        <v>368.21198185659011</v>
      </c>
      <c r="FA184" s="387"/>
      <c r="FB184" s="358"/>
      <c r="FC184" s="387">
        <v>368.21198185659011</v>
      </c>
      <c r="FD184" s="387"/>
      <c r="FE184" s="358"/>
      <c r="FF184" s="387">
        <v>368.21198185659011</v>
      </c>
      <c r="FG184" s="387"/>
      <c r="FH184" s="358"/>
      <c r="FI184" s="387">
        <v>368.21198185659011</v>
      </c>
      <c r="FJ184" s="387"/>
      <c r="FK184" s="358"/>
      <c r="FL184" s="387">
        <v>368.21198185659011</v>
      </c>
      <c r="FM184" s="387"/>
      <c r="FN184" s="358"/>
      <c r="FO184" s="387">
        <v>368.21198185659011</v>
      </c>
      <c r="FP184" s="387"/>
      <c r="FQ184" s="358"/>
      <c r="FR184" s="387">
        <v>368.21198185659011</v>
      </c>
      <c r="FS184" s="387"/>
      <c r="FT184" s="358"/>
      <c r="FU184" s="387">
        <v>368.21198185659011</v>
      </c>
      <c r="FV184" s="387"/>
      <c r="FW184" s="358"/>
      <c r="FX184" s="387">
        <v>368.21198185659011</v>
      </c>
      <c r="FY184" s="387"/>
      <c r="FZ184" s="358"/>
      <c r="GA184" s="387">
        <v>368.21198185659011</v>
      </c>
      <c r="GB184" s="387"/>
      <c r="GC184" s="358"/>
      <c r="GD184" s="387">
        <v>368.21198185659011</v>
      </c>
      <c r="GE184" s="387"/>
      <c r="GF184" s="358"/>
      <c r="GG184" s="387">
        <v>368.21198185659011</v>
      </c>
      <c r="GH184" s="387"/>
      <c r="GI184" s="358"/>
      <c r="GJ184" s="387">
        <v>368.21198185659011</v>
      </c>
      <c r="GK184" s="387"/>
      <c r="GL184" s="358"/>
      <c r="GM184" s="387">
        <v>368.21198185659011</v>
      </c>
      <c r="GN184" s="387"/>
      <c r="GO184" s="358"/>
      <c r="GP184" s="387">
        <v>368.21198185659011</v>
      </c>
      <c r="GQ184" s="387"/>
      <c r="GR184" s="358"/>
      <c r="GS184" s="387">
        <v>368.21198185659011</v>
      </c>
      <c r="GT184" s="387"/>
      <c r="GU184" s="358"/>
      <c r="GV184" s="387">
        <v>368.21198185659011</v>
      </c>
      <c r="GW184" s="387"/>
      <c r="GX184" s="358"/>
      <c r="GY184" s="387">
        <v>368.21198185659011</v>
      </c>
      <c r="GZ184" s="387"/>
      <c r="HA184" s="358"/>
      <c r="HB184" s="387">
        <v>368.21198185659011</v>
      </c>
      <c r="HC184" s="387"/>
      <c r="HD184" s="358"/>
      <c r="HE184" s="387">
        <v>368.21198185659011</v>
      </c>
      <c r="HF184" s="387"/>
      <c r="HG184" s="358"/>
      <c r="HH184" s="387">
        <v>368.21198185659011</v>
      </c>
      <c r="HI184" s="358"/>
      <c r="HJ184" s="387">
        <v>368.21198185659011</v>
      </c>
      <c r="HK184" s="358"/>
      <c r="HL184" s="387">
        <v>368.21198185659011</v>
      </c>
      <c r="HM184" s="358"/>
      <c r="HN184" s="387">
        <v>368.21198185659011</v>
      </c>
      <c r="HO184" s="358"/>
      <c r="HP184" s="387">
        <v>368.21198185659011</v>
      </c>
      <c r="HQ184" s="358"/>
      <c r="HR184" s="387">
        <v>368.21198185659011</v>
      </c>
      <c r="HS184" s="358"/>
      <c r="HT184" s="387">
        <v>368.21198185659011</v>
      </c>
      <c r="HU184" s="358"/>
      <c r="HV184" s="599">
        <v>603.6261997649018</v>
      </c>
      <c r="HW184" s="600"/>
      <c r="HX184" s="567"/>
      <c r="HY184" s="567"/>
      <c r="HZ184" s="567"/>
      <c r="IA184" s="567"/>
      <c r="IB184" s="567"/>
      <c r="IC184" s="567"/>
      <c r="ID184" s="567"/>
      <c r="IE184" s="567"/>
      <c r="IF184" s="567"/>
      <c r="IG184" s="567"/>
      <c r="IH184" s="568"/>
      <c r="II184" s="569"/>
      <c r="IJ184" s="568"/>
      <c r="IK184" s="569"/>
      <c r="IL184" s="568"/>
      <c r="IM184" s="569"/>
      <c r="IN184" s="568"/>
      <c r="IO184" s="569"/>
      <c r="IP184" s="568"/>
      <c r="IQ184" s="569"/>
      <c r="IR184" s="601" t="s">
        <v>3402</v>
      </c>
      <c r="IS184" s="587" t="s">
        <v>77</v>
      </c>
      <c r="IT184" s="602">
        <v>43720</v>
      </c>
      <c r="IU184" s="464">
        <v>43770</v>
      </c>
      <c r="IW184" s="372">
        <f t="shared" si="22"/>
        <v>50</v>
      </c>
      <c r="IX184" s="373">
        <f t="shared" si="25"/>
        <v>19.791022943111535</v>
      </c>
      <c r="IY184" s="531">
        <v>603.6261997649018</v>
      </c>
      <c r="IZ184" s="531"/>
    </row>
    <row r="185" spans="1:261" s="367" customFormat="1" ht="16.5" customHeight="1" x14ac:dyDescent="0.3">
      <c r="A185" s="401" t="s">
        <v>3315</v>
      </c>
      <c r="B185" s="402" t="s">
        <v>3315</v>
      </c>
      <c r="C185" s="608" t="s">
        <v>3403</v>
      </c>
      <c r="D185" s="634"/>
      <c r="E185" s="635"/>
      <c r="F185" s="635"/>
      <c r="G185" s="635"/>
      <c r="H185" s="636"/>
      <c r="I185" s="853">
        <v>0</v>
      </c>
      <c r="J185" s="833">
        <v>0</v>
      </c>
      <c r="K185" s="833">
        <v>0</v>
      </c>
      <c r="L185" s="833">
        <v>0</v>
      </c>
      <c r="M185" s="833">
        <v>0</v>
      </c>
      <c r="N185" s="833">
        <v>0</v>
      </c>
      <c r="O185" s="833">
        <v>0</v>
      </c>
      <c r="P185" s="833">
        <v>0</v>
      </c>
      <c r="Q185" s="833">
        <v>0</v>
      </c>
      <c r="R185" s="833">
        <v>0</v>
      </c>
      <c r="S185" s="833">
        <v>0</v>
      </c>
      <c r="T185" s="833">
        <v>0</v>
      </c>
      <c r="U185" s="833">
        <v>0</v>
      </c>
      <c r="V185" s="833">
        <v>0</v>
      </c>
      <c r="W185" s="833">
        <v>0</v>
      </c>
      <c r="X185" s="833">
        <v>0</v>
      </c>
      <c r="Y185" s="833">
        <v>0</v>
      </c>
      <c r="Z185" s="833">
        <v>0</v>
      </c>
      <c r="AA185" s="833">
        <v>0</v>
      </c>
      <c r="AB185" s="833">
        <v>0</v>
      </c>
      <c r="AC185" s="833">
        <v>0</v>
      </c>
      <c r="AD185" s="833">
        <v>0</v>
      </c>
      <c r="AE185" s="833">
        <v>0</v>
      </c>
      <c r="AF185" s="833">
        <v>0</v>
      </c>
      <c r="AG185" s="833">
        <v>0</v>
      </c>
      <c r="AH185" s="833">
        <v>0</v>
      </c>
      <c r="AI185" s="833">
        <v>0</v>
      </c>
      <c r="AJ185" s="833">
        <v>0</v>
      </c>
      <c r="AK185" s="833">
        <v>0</v>
      </c>
      <c r="AL185" s="833">
        <v>0</v>
      </c>
      <c r="AM185" s="833">
        <v>0</v>
      </c>
      <c r="AN185" s="833">
        <v>0</v>
      </c>
      <c r="AO185" s="833">
        <v>0</v>
      </c>
      <c r="AP185" s="833">
        <v>0</v>
      </c>
      <c r="AQ185" s="833">
        <v>0</v>
      </c>
      <c r="AR185" s="833">
        <v>0</v>
      </c>
      <c r="AS185" s="833">
        <v>0</v>
      </c>
      <c r="AT185" s="833">
        <v>0</v>
      </c>
      <c r="AU185" s="833">
        <v>0</v>
      </c>
      <c r="AV185" s="833"/>
      <c r="AW185" s="833"/>
      <c r="AX185" s="833"/>
      <c r="AY185" s="833"/>
      <c r="AZ185" s="833"/>
      <c r="BA185" s="455"/>
      <c r="BB185" s="610"/>
      <c r="BC185" s="404"/>
      <c r="BD185" s="455"/>
      <c r="BE185" s="610"/>
      <c r="BF185" s="404"/>
      <c r="BG185" s="455"/>
      <c r="BH185" s="610"/>
      <c r="BI185" s="404"/>
      <c r="BJ185" s="455"/>
      <c r="BK185" s="610"/>
      <c r="BL185" s="404"/>
      <c r="BM185" s="455"/>
      <c r="BN185" s="610"/>
      <c r="BO185" s="404"/>
      <c r="BP185" s="455"/>
      <c r="BQ185" s="610"/>
      <c r="BR185" s="404"/>
      <c r="BS185" s="455"/>
      <c r="BT185" s="610"/>
      <c r="BU185" s="404"/>
      <c r="BV185" s="455"/>
      <c r="BW185" s="610"/>
      <c r="BX185" s="404"/>
      <c r="BY185" s="455"/>
      <c r="BZ185" s="610"/>
      <c r="CA185" s="404"/>
      <c r="CB185" s="455"/>
      <c r="CC185" s="610"/>
      <c r="CD185" s="404"/>
      <c r="CE185" s="455"/>
      <c r="CF185" s="610"/>
      <c r="CG185" s="404"/>
      <c r="CH185" s="455"/>
      <c r="CI185" s="610"/>
      <c r="CJ185" s="404"/>
      <c r="CK185" s="455"/>
      <c r="CL185" s="610"/>
      <c r="CM185" s="404"/>
      <c r="CN185" s="455"/>
      <c r="CO185" s="610"/>
      <c r="CP185" s="404"/>
      <c r="CQ185" s="455"/>
      <c r="CR185" s="610"/>
      <c r="CS185" s="404"/>
      <c r="CT185" s="455"/>
      <c r="CU185" s="610"/>
      <c r="CV185" s="404"/>
      <c r="CW185" s="455"/>
      <c r="CX185" s="610"/>
      <c r="CY185" s="404"/>
      <c r="CZ185" s="455"/>
      <c r="DA185" s="610"/>
      <c r="DB185" s="404"/>
      <c r="DC185" s="455"/>
      <c r="DD185" s="610"/>
      <c r="DE185" s="404"/>
      <c r="DF185" s="455"/>
      <c r="DG185" s="610"/>
      <c r="DH185" s="404"/>
      <c r="DI185" s="455"/>
      <c r="DJ185" s="610"/>
      <c r="DK185" s="404"/>
      <c r="DL185" s="455"/>
      <c r="DM185" s="610"/>
      <c r="DN185" s="404"/>
      <c r="DO185" s="455"/>
      <c r="DP185" s="610"/>
      <c r="DQ185" s="404"/>
      <c r="DR185" s="455"/>
      <c r="DS185" s="610"/>
      <c r="DT185" s="404"/>
      <c r="DU185" s="455"/>
      <c r="DV185" s="610"/>
      <c r="DW185" s="404"/>
      <c r="DX185" s="455"/>
      <c r="DY185" s="610"/>
      <c r="DZ185" s="404"/>
      <c r="EA185" s="455"/>
      <c r="EB185" s="610"/>
      <c r="EC185" s="404"/>
      <c r="ED185" s="455"/>
      <c r="EE185" s="610"/>
      <c r="EF185" s="404"/>
      <c r="EG185" s="455"/>
      <c r="EH185" s="610"/>
      <c r="EI185" s="404"/>
      <c r="EJ185" s="455"/>
      <c r="EK185" s="610"/>
      <c r="EL185" s="404"/>
      <c r="EM185" s="455"/>
      <c r="EN185" s="610"/>
      <c r="EO185" s="404"/>
      <c r="EP185" s="455"/>
      <c r="EQ185" s="610"/>
      <c r="ER185" s="404"/>
      <c r="ES185" s="455"/>
      <c r="ET185" s="610"/>
      <c r="EU185" s="404"/>
      <c r="EV185" s="455"/>
      <c r="EW185" s="610"/>
      <c r="EX185" s="404"/>
      <c r="EY185" s="455"/>
      <c r="EZ185" s="610"/>
      <c r="FA185" s="404"/>
      <c r="FB185" s="455"/>
      <c r="FC185" s="610"/>
      <c r="FD185" s="404"/>
      <c r="FE185" s="455"/>
      <c r="FF185" s="610"/>
      <c r="FG185" s="404"/>
      <c r="FH185" s="455"/>
      <c r="FI185" s="610"/>
      <c r="FJ185" s="404"/>
      <c r="FK185" s="455"/>
      <c r="FL185" s="610"/>
      <c r="FM185" s="404"/>
      <c r="FN185" s="455"/>
      <c r="FO185" s="610"/>
      <c r="FP185" s="404"/>
      <c r="FQ185" s="455"/>
      <c r="FR185" s="610"/>
      <c r="FS185" s="404"/>
      <c r="FT185" s="455"/>
      <c r="FU185" s="610"/>
      <c r="FV185" s="404"/>
      <c r="FW185" s="455"/>
      <c r="FX185" s="610"/>
      <c r="FY185" s="404"/>
      <c r="FZ185" s="455"/>
      <c r="GA185" s="610"/>
      <c r="GB185" s="404"/>
      <c r="GC185" s="455"/>
      <c r="GD185" s="610"/>
      <c r="GE185" s="404"/>
      <c r="GF185" s="455"/>
      <c r="GG185" s="610"/>
      <c r="GH185" s="404"/>
      <c r="GI185" s="455"/>
      <c r="GJ185" s="610"/>
      <c r="GK185" s="404"/>
      <c r="GL185" s="455"/>
      <c r="GM185" s="610"/>
      <c r="GN185" s="404"/>
      <c r="GO185" s="455"/>
      <c r="GP185" s="610"/>
      <c r="GQ185" s="404"/>
      <c r="GR185" s="455"/>
      <c r="GS185" s="610"/>
      <c r="GT185" s="404"/>
      <c r="GU185" s="455"/>
      <c r="GV185" s="610"/>
      <c r="GW185" s="404"/>
      <c r="GX185" s="358"/>
      <c r="GY185" s="610"/>
      <c r="GZ185" s="404"/>
      <c r="HA185" s="358"/>
      <c r="HB185" s="387">
        <v>254</v>
      </c>
      <c r="HC185" s="387"/>
      <c r="HD185" s="358"/>
      <c r="HE185" s="387">
        <v>254</v>
      </c>
      <c r="HF185" s="387"/>
      <c r="HG185" s="358"/>
      <c r="HH185" s="387">
        <v>254</v>
      </c>
      <c r="HI185" s="358"/>
      <c r="HJ185" s="387">
        <v>254</v>
      </c>
      <c r="HK185" s="358"/>
      <c r="HL185" s="387">
        <v>254</v>
      </c>
      <c r="HM185" s="358"/>
      <c r="HN185" s="387">
        <v>254</v>
      </c>
      <c r="HO185" s="358"/>
      <c r="HP185" s="387">
        <v>254</v>
      </c>
      <c r="HQ185" s="358"/>
      <c r="HR185" s="387">
        <v>254</v>
      </c>
      <c r="HS185" s="358"/>
      <c r="HT185" s="387">
        <v>254</v>
      </c>
      <c r="HU185" s="358"/>
      <c r="HV185" s="599">
        <v>358.09836065573768</v>
      </c>
      <c r="HW185" s="600"/>
      <c r="HX185" s="567"/>
      <c r="HY185" s="567"/>
      <c r="HZ185" s="567"/>
      <c r="IA185" s="567"/>
      <c r="IB185" s="567"/>
      <c r="IC185" s="567"/>
      <c r="ID185" s="567"/>
      <c r="IE185" s="567"/>
      <c r="IF185" s="567"/>
      <c r="IG185" s="567"/>
      <c r="IH185" s="568"/>
      <c r="II185" s="569"/>
      <c r="IJ185" s="568"/>
      <c r="IK185" s="569"/>
      <c r="IL185" s="568"/>
      <c r="IM185" s="569"/>
      <c r="IN185" s="568"/>
      <c r="IO185" s="569"/>
      <c r="IP185" s="568"/>
      <c r="IQ185" s="569"/>
      <c r="IR185" s="601" t="s">
        <v>3404</v>
      </c>
      <c r="IS185" s="587" t="s">
        <v>77</v>
      </c>
      <c r="IT185" s="602">
        <v>43727</v>
      </c>
      <c r="IU185" s="464">
        <v>43770</v>
      </c>
      <c r="IW185" s="372">
        <f t="shared" si="22"/>
        <v>43</v>
      </c>
      <c r="IX185" s="373">
        <f t="shared" si="25"/>
        <v>11.74092985756517</v>
      </c>
      <c r="IY185" s="531">
        <v>358.09836065573768</v>
      </c>
      <c r="IZ185" s="531"/>
    </row>
    <row r="186" spans="1:261" s="367" customFormat="1" ht="16.5" customHeight="1" x14ac:dyDescent="0.3">
      <c r="A186" s="526" t="s">
        <v>2758</v>
      </c>
      <c r="B186" s="594" t="s">
        <v>2909</v>
      </c>
      <c r="C186" s="595" t="s">
        <v>2262</v>
      </c>
      <c r="D186" s="596">
        <v>1229</v>
      </c>
      <c r="E186" s="597">
        <v>44</v>
      </c>
      <c r="F186" s="597">
        <v>40</v>
      </c>
      <c r="G186" s="597">
        <v>5</v>
      </c>
      <c r="H186" s="598">
        <v>66</v>
      </c>
      <c r="I186" s="830">
        <v>1313</v>
      </c>
      <c r="J186" s="831">
        <v>5</v>
      </c>
      <c r="K186" s="831">
        <v>66</v>
      </c>
      <c r="L186" s="831">
        <v>1313</v>
      </c>
      <c r="M186" s="831">
        <v>5</v>
      </c>
      <c r="N186" s="831">
        <v>66</v>
      </c>
      <c r="O186" s="831">
        <v>1313</v>
      </c>
      <c r="P186" s="831">
        <v>5</v>
      </c>
      <c r="Q186" s="831">
        <v>66</v>
      </c>
      <c r="R186" s="831">
        <v>1313</v>
      </c>
      <c r="S186" s="831">
        <v>5</v>
      </c>
      <c r="T186" s="831">
        <v>66</v>
      </c>
      <c r="U186" s="831">
        <v>1313</v>
      </c>
      <c r="V186" s="831">
        <v>5</v>
      </c>
      <c r="W186" s="831">
        <v>66</v>
      </c>
      <c r="X186" s="831">
        <v>1313</v>
      </c>
      <c r="Y186" s="831">
        <v>5</v>
      </c>
      <c r="Z186" s="831">
        <v>66</v>
      </c>
      <c r="AA186" s="831">
        <v>1313</v>
      </c>
      <c r="AB186" s="831">
        <v>5</v>
      </c>
      <c r="AC186" s="831">
        <v>66</v>
      </c>
      <c r="AD186" s="831">
        <v>1313</v>
      </c>
      <c r="AE186" s="831">
        <v>5</v>
      </c>
      <c r="AF186" s="831">
        <v>66</v>
      </c>
      <c r="AG186" s="831">
        <v>1313</v>
      </c>
      <c r="AH186" s="831">
        <v>5</v>
      </c>
      <c r="AI186" s="831">
        <v>66</v>
      </c>
      <c r="AJ186" s="831">
        <v>1313</v>
      </c>
      <c r="AK186" s="831">
        <v>5</v>
      </c>
      <c r="AL186" s="831">
        <v>66</v>
      </c>
      <c r="AM186" s="831">
        <v>1313</v>
      </c>
      <c r="AN186" s="831">
        <v>5</v>
      </c>
      <c r="AO186" s="831">
        <v>66</v>
      </c>
      <c r="AP186" s="831">
        <v>1313</v>
      </c>
      <c r="AQ186" s="831">
        <v>5</v>
      </c>
      <c r="AR186" s="831">
        <v>66</v>
      </c>
      <c r="AS186" s="831">
        <v>1313</v>
      </c>
      <c r="AT186" s="831">
        <v>5</v>
      </c>
      <c r="AU186" s="831">
        <v>66</v>
      </c>
      <c r="AV186" s="831">
        <v>1313</v>
      </c>
      <c r="AW186" s="831">
        <v>5</v>
      </c>
      <c r="AX186" s="831">
        <v>66</v>
      </c>
      <c r="AY186" s="831">
        <v>1313</v>
      </c>
      <c r="AZ186" s="831">
        <v>5</v>
      </c>
      <c r="BA186" s="369">
        <v>66</v>
      </c>
      <c r="BB186" s="385">
        <v>1313</v>
      </c>
      <c r="BC186" s="385">
        <v>5</v>
      </c>
      <c r="BD186" s="369">
        <v>66</v>
      </c>
      <c r="BE186" s="385">
        <v>1313</v>
      </c>
      <c r="BF186" s="385">
        <v>5</v>
      </c>
      <c r="BG186" s="369">
        <v>66</v>
      </c>
      <c r="BH186" s="385">
        <v>1313</v>
      </c>
      <c r="BI186" s="385">
        <v>5</v>
      </c>
      <c r="BJ186" s="369">
        <v>66</v>
      </c>
      <c r="BK186" s="385">
        <v>1313</v>
      </c>
      <c r="BL186" s="385">
        <v>5</v>
      </c>
      <c r="BM186" s="369">
        <v>66</v>
      </c>
      <c r="BN186" s="385">
        <v>1313</v>
      </c>
      <c r="BO186" s="385">
        <v>5</v>
      </c>
      <c r="BP186" s="369">
        <v>66</v>
      </c>
      <c r="BQ186" s="385">
        <v>1313</v>
      </c>
      <c r="BR186" s="385">
        <v>5</v>
      </c>
      <c r="BS186" s="369">
        <v>66</v>
      </c>
      <c r="BT186" s="385">
        <v>1313</v>
      </c>
      <c r="BU186" s="385">
        <v>5</v>
      </c>
      <c r="BV186" s="369">
        <v>66</v>
      </c>
      <c r="BW186" s="385">
        <v>1313</v>
      </c>
      <c r="BX186" s="385">
        <v>5</v>
      </c>
      <c r="BY186" s="369">
        <v>66</v>
      </c>
      <c r="BZ186" s="385">
        <v>1313</v>
      </c>
      <c r="CA186" s="385">
        <v>5</v>
      </c>
      <c r="CB186" s="369">
        <v>66</v>
      </c>
      <c r="CC186" s="385">
        <v>1313</v>
      </c>
      <c r="CD186" s="385">
        <v>5</v>
      </c>
      <c r="CE186" s="369">
        <v>66</v>
      </c>
      <c r="CF186" s="385">
        <v>1313</v>
      </c>
      <c r="CG186" s="385">
        <v>5</v>
      </c>
      <c r="CH186" s="369">
        <v>66</v>
      </c>
      <c r="CI186" s="385">
        <v>1313</v>
      </c>
      <c r="CJ186" s="385">
        <v>5</v>
      </c>
      <c r="CK186" s="369">
        <v>66</v>
      </c>
      <c r="CL186" s="385">
        <v>1313</v>
      </c>
      <c r="CM186" s="385">
        <v>5</v>
      </c>
      <c r="CN186" s="369">
        <v>66</v>
      </c>
      <c r="CO186" s="385">
        <v>1313</v>
      </c>
      <c r="CP186" s="385">
        <v>5</v>
      </c>
      <c r="CQ186" s="369">
        <v>66</v>
      </c>
      <c r="CR186" s="385">
        <v>1313</v>
      </c>
      <c r="CS186" s="385">
        <v>5</v>
      </c>
      <c r="CT186" s="369">
        <v>66</v>
      </c>
      <c r="CU186" s="385">
        <v>1313</v>
      </c>
      <c r="CV186" s="385">
        <v>5</v>
      </c>
      <c r="CW186" s="369">
        <v>66</v>
      </c>
      <c r="CX186" s="385">
        <v>1313</v>
      </c>
      <c r="CY186" s="385">
        <v>5</v>
      </c>
      <c r="CZ186" s="369">
        <v>66</v>
      </c>
      <c r="DA186" s="385">
        <v>1313</v>
      </c>
      <c r="DB186" s="385">
        <v>5</v>
      </c>
      <c r="DC186" s="369">
        <v>66</v>
      </c>
      <c r="DD186" s="385">
        <v>1313</v>
      </c>
      <c r="DE186" s="385">
        <v>5</v>
      </c>
      <c r="DF186" s="369">
        <v>66</v>
      </c>
      <c r="DG186" s="385">
        <v>1313</v>
      </c>
      <c r="DH186" s="385">
        <v>5</v>
      </c>
      <c r="DI186" s="369">
        <v>66</v>
      </c>
      <c r="DJ186" s="385">
        <v>1313</v>
      </c>
      <c r="DK186" s="385">
        <v>5</v>
      </c>
      <c r="DL186" s="369">
        <v>66</v>
      </c>
      <c r="DM186" s="385">
        <v>1313</v>
      </c>
      <c r="DN186" s="385">
        <v>5</v>
      </c>
      <c r="DO186" s="369">
        <v>66</v>
      </c>
      <c r="DP186" s="385">
        <v>1313</v>
      </c>
      <c r="DQ186" s="385">
        <v>5</v>
      </c>
      <c r="DR186" s="369">
        <v>66</v>
      </c>
      <c r="DS186" s="386">
        <f>((1313-254)/30.5*13+1313)</f>
        <v>1764.377049180328</v>
      </c>
      <c r="DT186" s="386">
        <f>(5/30.5*13)+5</f>
        <v>7.1311475409836067</v>
      </c>
      <c r="DU186" s="370">
        <v>66</v>
      </c>
      <c r="DV186" s="385">
        <v>254.41198185659007</v>
      </c>
      <c r="DW186" s="385"/>
      <c r="DX186" s="369">
        <v>66</v>
      </c>
      <c r="DY186" s="385">
        <v>254.41198185659007</v>
      </c>
      <c r="DZ186" s="385"/>
      <c r="EA186" s="369">
        <v>66</v>
      </c>
      <c r="EB186" s="385">
        <v>254.41198185659007</v>
      </c>
      <c r="EC186" s="385"/>
      <c r="ED186" s="369">
        <v>66</v>
      </c>
      <c r="EE186" s="385">
        <v>254.41198185659007</v>
      </c>
      <c r="EF186" s="385"/>
      <c r="EG186" s="369">
        <v>66</v>
      </c>
      <c r="EH186" s="385">
        <v>254.41198185659007</v>
      </c>
      <c r="EI186" s="385"/>
      <c r="EJ186" s="369">
        <v>66</v>
      </c>
      <c r="EK186" s="385">
        <v>254.41198185659007</v>
      </c>
      <c r="EL186" s="385"/>
      <c r="EM186" s="369">
        <v>66</v>
      </c>
      <c r="EN186" s="385">
        <v>254.41198185659007</v>
      </c>
      <c r="EO186" s="385"/>
      <c r="EP186" s="369">
        <v>66</v>
      </c>
      <c r="EQ186" s="385">
        <v>254.41198185659007</v>
      </c>
      <c r="ER186" s="385"/>
      <c r="ES186" s="369">
        <v>66</v>
      </c>
      <c r="ET186" s="385">
        <v>254.41198185659007</v>
      </c>
      <c r="EU186" s="385"/>
      <c r="EV186" s="369">
        <v>66</v>
      </c>
      <c r="EW186" s="385">
        <v>254.41198185659007</v>
      </c>
      <c r="EX186" s="385"/>
      <c r="EY186" s="369">
        <v>66</v>
      </c>
      <c r="EZ186" s="385">
        <v>254.41198185659007</v>
      </c>
      <c r="FA186" s="385"/>
      <c r="FB186" s="369">
        <v>66</v>
      </c>
      <c r="FC186" s="385">
        <v>254.41198185659007</v>
      </c>
      <c r="FD186" s="385"/>
      <c r="FE186" s="369">
        <v>66</v>
      </c>
      <c r="FF186" s="385">
        <v>254.41198185659007</v>
      </c>
      <c r="FG186" s="385"/>
      <c r="FH186" s="369">
        <v>66</v>
      </c>
      <c r="FI186" s="385">
        <v>254.41198185659007</v>
      </c>
      <c r="FJ186" s="385"/>
      <c r="FK186" s="369">
        <v>66</v>
      </c>
      <c r="FL186" s="385">
        <v>254.41198185659007</v>
      </c>
      <c r="FM186" s="385"/>
      <c r="FN186" s="369">
        <v>66</v>
      </c>
      <c r="FO186" s="385">
        <v>254.41198185659007</v>
      </c>
      <c r="FP186" s="385"/>
      <c r="FQ186" s="369">
        <v>66</v>
      </c>
      <c r="FR186" s="386">
        <v>254.41198185659007</v>
      </c>
      <c r="FS186" s="386"/>
      <c r="FT186" s="370">
        <v>66</v>
      </c>
      <c r="FU186" s="387">
        <v>254.41198185659007</v>
      </c>
      <c r="FV186" s="387"/>
      <c r="FW186" s="358"/>
      <c r="FX186" s="387">
        <v>254.41198185659007</v>
      </c>
      <c r="FY186" s="387"/>
      <c r="FZ186" s="358"/>
      <c r="GA186" s="387">
        <v>254.41198185659007</v>
      </c>
      <c r="GB186" s="387"/>
      <c r="GC186" s="358"/>
      <c r="GD186" s="387">
        <v>254.41198185659007</v>
      </c>
      <c r="GE186" s="387"/>
      <c r="GF186" s="358"/>
      <c r="GG186" s="387">
        <v>254.41198185659007</v>
      </c>
      <c r="GH186" s="387"/>
      <c r="GI186" s="358"/>
      <c r="GJ186" s="387">
        <v>254.41198185659007</v>
      </c>
      <c r="GK186" s="387"/>
      <c r="GL186" s="358"/>
      <c r="GM186" s="387">
        <v>254.41198185659007</v>
      </c>
      <c r="GN186" s="387"/>
      <c r="GO186" s="358"/>
      <c r="GP186" s="387">
        <v>254.41198185659007</v>
      </c>
      <c r="GQ186" s="387"/>
      <c r="GR186" s="358"/>
      <c r="GS186" s="387">
        <v>254.41198185659007</v>
      </c>
      <c r="GT186" s="387"/>
      <c r="GU186" s="358"/>
      <c r="GV186" s="387">
        <v>254.41198185659007</v>
      </c>
      <c r="GW186" s="387"/>
      <c r="GX186" s="358"/>
      <c r="GY186" s="387">
        <v>254.41198185659007</v>
      </c>
      <c r="GZ186" s="387"/>
      <c r="HA186" s="358"/>
      <c r="HB186" s="387">
        <v>254.41198185659007</v>
      </c>
      <c r="HC186" s="387"/>
      <c r="HD186" s="358"/>
      <c r="HE186" s="387">
        <v>254.41198185659007</v>
      </c>
      <c r="HF186" s="387"/>
      <c r="HG186" s="358"/>
      <c r="HH186" s="387">
        <v>254.41198185659007</v>
      </c>
      <c r="HI186" s="358"/>
      <c r="HJ186" s="387">
        <v>254.41198185659007</v>
      </c>
      <c r="HK186" s="358"/>
      <c r="HL186" s="387">
        <v>254.41198185659007</v>
      </c>
      <c r="HM186" s="358"/>
      <c r="HN186" s="387">
        <v>254.41198185659007</v>
      </c>
      <c r="HO186" s="358"/>
      <c r="HP186" s="387">
        <v>254.41198185659007</v>
      </c>
      <c r="HQ186" s="358"/>
      <c r="HR186" s="387">
        <v>254.41198185659007</v>
      </c>
      <c r="HS186" s="358"/>
      <c r="HT186" s="387">
        <v>254.41198185659007</v>
      </c>
      <c r="HU186" s="358"/>
      <c r="HV186" s="599">
        <v>308.63092880963382</v>
      </c>
      <c r="HW186" s="600"/>
      <c r="HX186" s="567"/>
      <c r="HY186" s="567"/>
      <c r="HZ186" s="567"/>
      <c r="IA186" s="567"/>
      <c r="IB186" s="567"/>
      <c r="IC186" s="567"/>
      <c r="ID186" s="567"/>
      <c r="IE186" s="567"/>
      <c r="IF186" s="567"/>
      <c r="IG186" s="567"/>
      <c r="IH186" s="568"/>
      <c r="II186" s="569"/>
      <c r="IJ186" s="568"/>
      <c r="IK186" s="569"/>
      <c r="IL186" s="568"/>
      <c r="IM186" s="569"/>
      <c r="IN186" s="568"/>
      <c r="IO186" s="569"/>
      <c r="IP186" s="568"/>
      <c r="IQ186" s="569"/>
      <c r="IR186" s="601" t="s">
        <v>2908</v>
      </c>
      <c r="IS186" s="587" t="s">
        <v>77</v>
      </c>
      <c r="IT186" s="602">
        <v>43733</v>
      </c>
      <c r="IU186" s="464">
        <v>43770</v>
      </c>
      <c r="IV186" s="518">
        <v>44883</v>
      </c>
      <c r="IW186" s="526">
        <f t="shared" si="22"/>
        <v>37</v>
      </c>
      <c r="IX186" s="527">
        <f t="shared" si="25"/>
        <v>10.119046846217502</v>
      </c>
      <c r="IY186" s="553">
        <v>308.63092880963382</v>
      </c>
      <c r="IZ186" s="531"/>
    </row>
    <row r="187" spans="1:261" s="367" customFormat="1" ht="16.5" customHeight="1" x14ac:dyDescent="0.3">
      <c r="A187" s="526" t="s">
        <v>2743</v>
      </c>
      <c r="B187" s="603" t="s">
        <v>2748</v>
      </c>
      <c r="C187" s="604" t="s">
        <v>2013</v>
      </c>
      <c r="D187" s="605">
        <v>1149</v>
      </c>
      <c r="E187" s="606">
        <v>44</v>
      </c>
      <c r="F187" s="606">
        <v>32</v>
      </c>
      <c r="G187" s="606">
        <v>0</v>
      </c>
      <c r="H187" s="607">
        <v>0</v>
      </c>
      <c r="I187" s="828">
        <v>1225.2564263010347</v>
      </c>
      <c r="J187" s="827"/>
      <c r="K187" s="827"/>
      <c r="L187" s="829">
        <v>1225.2564263010347</v>
      </c>
      <c r="M187" s="827"/>
      <c r="N187" s="827"/>
      <c r="O187" s="829">
        <v>1225.2564263010347</v>
      </c>
      <c r="P187" s="827"/>
      <c r="Q187" s="827"/>
      <c r="R187" s="829">
        <v>1225.2564263010347</v>
      </c>
      <c r="S187" s="827"/>
      <c r="T187" s="827"/>
      <c r="U187" s="829">
        <v>1225.2564263010347</v>
      </c>
      <c r="V187" s="827"/>
      <c r="W187" s="827"/>
      <c r="X187" s="829">
        <v>1225.2564263010347</v>
      </c>
      <c r="Y187" s="827"/>
      <c r="Z187" s="827"/>
      <c r="AA187" s="829">
        <v>1225.2564263010347</v>
      </c>
      <c r="AB187" s="827"/>
      <c r="AC187" s="827"/>
      <c r="AD187" s="829">
        <v>1225.2564263010347</v>
      </c>
      <c r="AE187" s="827"/>
      <c r="AF187" s="827"/>
      <c r="AG187" s="829">
        <v>1225.2564263010347</v>
      </c>
      <c r="AH187" s="827"/>
      <c r="AI187" s="827"/>
      <c r="AJ187" s="829">
        <v>1225.2564263010347</v>
      </c>
      <c r="AK187" s="827"/>
      <c r="AL187" s="827"/>
      <c r="AM187" s="829">
        <v>1225.2564263010347</v>
      </c>
      <c r="AN187" s="827"/>
      <c r="AO187" s="827"/>
      <c r="AP187" s="829">
        <v>1225.2564263010347</v>
      </c>
      <c r="AQ187" s="827"/>
      <c r="AR187" s="827"/>
      <c r="AS187" s="829">
        <v>1225.2564263010347</v>
      </c>
      <c r="AT187" s="827"/>
      <c r="AU187" s="827"/>
      <c r="AV187" s="829">
        <v>1225.2564263010347</v>
      </c>
      <c r="AW187" s="827"/>
      <c r="AX187" s="827"/>
      <c r="AY187" s="829">
        <v>1225.2564263010347</v>
      </c>
      <c r="AZ187" s="827"/>
      <c r="BA187" s="358"/>
      <c r="BB187" s="387">
        <v>1225.2564263010347</v>
      </c>
      <c r="BC187" s="358"/>
      <c r="BD187" s="358"/>
      <c r="BE187" s="387">
        <v>1225.2564263010347</v>
      </c>
      <c r="BF187" s="358"/>
      <c r="BG187" s="358"/>
      <c r="BH187" s="387">
        <v>1225.2564263010347</v>
      </c>
      <c r="BI187" s="387"/>
      <c r="BJ187" s="358"/>
      <c r="BK187" s="387">
        <v>1225.2564263010347</v>
      </c>
      <c r="BL187" s="387"/>
      <c r="BM187" s="358"/>
      <c r="BN187" s="387">
        <v>1225.2564263010347</v>
      </c>
      <c r="BO187" s="387"/>
      <c r="BP187" s="358"/>
      <c r="BQ187" s="387">
        <v>1225.2564263010347</v>
      </c>
      <c r="BR187" s="387"/>
      <c r="BS187" s="358"/>
      <c r="BT187" s="387">
        <v>1225.2564263010347</v>
      </c>
      <c r="BU187" s="387"/>
      <c r="BV187" s="358"/>
      <c r="BW187" s="387">
        <v>1225.2564263010347</v>
      </c>
      <c r="BX187" s="387"/>
      <c r="BY187" s="358"/>
      <c r="BZ187" s="387">
        <v>1225.2564263010347</v>
      </c>
      <c r="CA187" s="387"/>
      <c r="CB187" s="358"/>
      <c r="CC187" s="387">
        <v>1225.2564263010347</v>
      </c>
      <c r="CD187" s="387"/>
      <c r="CE187" s="358"/>
      <c r="CF187" s="387">
        <v>1225.2564263010347</v>
      </c>
      <c r="CG187" s="387"/>
      <c r="CH187" s="358"/>
      <c r="CI187" s="387">
        <v>1225.2564263010347</v>
      </c>
      <c r="CJ187" s="387"/>
      <c r="CK187" s="358"/>
      <c r="CL187" s="387">
        <v>1225.2564263010347</v>
      </c>
      <c r="CM187" s="387"/>
      <c r="CN187" s="358"/>
      <c r="CO187" s="387">
        <v>1225.2564263010347</v>
      </c>
      <c r="CP187" s="387"/>
      <c r="CQ187" s="358"/>
      <c r="CR187" s="387">
        <v>1225.2564263010347</v>
      </c>
      <c r="CS187" s="387"/>
      <c r="CT187" s="358"/>
      <c r="CU187" s="387">
        <v>1225.2564263010347</v>
      </c>
      <c r="CV187" s="387"/>
      <c r="CW187" s="358"/>
      <c r="CX187" s="387">
        <v>1225.2564263010347</v>
      </c>
      <c r="CY187" s="387"/>
      <c r="CZ187" s="358"/>
      <c r="DA187" s="387">
        <v>1225.2564263010347</v>
      </c>
      <c r="DB187" s="387"/>
      <c r="DC187" s="358"/>
      <c r="DD187" s="387">
        <v>1225.2564263010347</v>
      </c>
      <c r="DE187" s="387"/>
      <c r="DF187" s="358"/>
      <c r="DG187" s="387">
        <v>1225.2564263010347</v>
      </c>
      <c r="DH187" s="387"/>
      <c r="DI187" s="358"/>
      <c r="DJ187" s="387">
        <v>1225.2564263010347</v>
      </c>
      <c r="DK187" s="387"/>
      <c r="DL187" s="358"/>
      <c r="DM187" s="387">
        <v>1225.2564263010347</v>
      </c>
      <c r="DN187" s="387"/>
      <c r="DO187" s="358"/>
      <c r="DP187" s="387">
        <v>1225.2564263010347</v>
      </c>
      <c r="DQ187" s="387"/>
      <c r="DR187" s="358"/>
      <c r="DS187" s="387">
        <v>1225.2564263010347</v>
      </c>
      <c r="DT187" s="387"/>
      <c r="DU187" s="358"/>
      <c r="DV187" s="387">
        <v>1225.2564263010347</v>
      </c>
      <c r="DW187" s="387"/>
      <c r="DX187" s="358"/>
      <c r="DY187" s="387">
        <v>1225.2564263010347</v>
      </c>
      <c r="DZ187" s="387"/>
      <c r="EA187" s="358"/>
      <c r="EB187" s="387">
        <v>1225.2564263010347</v>
      </c>
      <c r="EC187" s="387"/>
      <c r="ED187" s="358"/>
      <c r="EE187" s="387">
        <v>1225.2564263010347</v>
      </c>
      <c r="EF187" s="387"/>
      <c r="EG187" s="358"/>
      <c r="EH187" s="387">
        <v>1225.2564263010347</v>
      </c>
      <c r="EI187" s="387"/>
      <c r="EJ187" s="358"/>
      <c r="EK187" s="387">
        <v>1225.2564263010347</v>
      </c>
      <c r="EL187" s="387"/>
      <c r="EM187" s="358"/>
      <c r="EN187" s="387">
        <v>1225.2564263010347</v>
      </c>
      <c r="EO187" s="387"/>
      <c r="EP187" s="358"/>
      <c r="EQ187" s="387">
        <v>1225.2564263010347</v>
      </c>
      <c r="ER187" s="387"/>
      <c r="ES187" s="358"/>
      <c r="ET187" s="387">
        <v>1225.2564263010347</v>
      </c>
      <c r="EU187" s="387"/>
      <c r="EV187" s="358"/>
      <c r="EW187" s="387">
        <v>1225.2564263010347</v>
      </c>
      <c r="EX187" s="387"/>
      <c r="EY187" s="358"/>
      <c r="EZ187" s="387">
        <v>1225.2564263010347</v>
      </c>
      <c r="FA187" s="387"/>
      <c r="FB187" s="358"/>
      <c r="FC187" s="387">
        <v>1225.2564263010347</v>
      </c>
      <c r="FD187" s="387"/>
      <c r="FE187" s="358"/>
      <c r="FF187" s="387">
        <v>1225.2564263010347</v>
      </c>
      <c r="FG187" s="387"/>
      <c r="FH187" s="358"/>
      <c r="FI187" s="387">
        <v>1225.2564263010347</v>
      </c>
      <c r="FJ187" s="387"/>
      <c r="FK187" s="358"/>
      <c r="FL187" s="387">
        <v>1225.2564263010347</v>
      </c>
      <c r="FM187" s="387"/>
      <c r="FN187" s="358"/>
      <c r="FO187" s="387">
        <v>1225.2564263010347</v>
      </c>
      <c r="FP187" s="387"/>
      <c r="FQ187" s="358"/>
      <c r="FR187" s="387">
        <v>1225.2564263010347</v>
      </c>
      <c r="FS187" s="387"/>
      <c r="FT187" s="358"/>
      <c r="FU187" s="387">
        <v>1225.2564263010347</v>
      </c>
      <c r="FV187" s="387"/>
      <c r="FW187" s="358"/>
      <c r="FX187" s="387">
        <v>1225.2564263010347</v>
      </c>
      <c r="FY187" s="387"/>
      <c r="FZ187" s="358"/>
      <c r="GA187" s="387">
        <v>1225.2564263010347</v>
      </c>
      <c r="GB187" s="387"/>
      <c r="GC187" s="358"/>
      <c r="GD187" s="387">
        <v>1225.2564263010347</v>
      </c>
      <c r="GE187" s="387"/>
      <c r="GF187" s="358"/>
      <c r="GG187" s="387">
        <v>1225.2564263010347</v>
      </c>
      <c r="GH187" s="387"/>
      <c r="GI187" s="358"/>
      <c r="GJ187" s="387">
        <v>1225.2564263010347</v>
      </c>
      <c r="GK187" s="387"/>
      <c r="GL187" s="358"/>
      <c r="GM187" s="387">
        <v>1225.2564263010347</v>
      </c>
      <c r="GN187" s="387"/>
      <c r="GO187" s="358"/>
      <c r="GP187" s="387">
        <v>1225.2564263010347</v>
      </c>
      <c r="GQ187" s="387"/>
      <c r="GR187" s="358"/>
      <c r="GS187" s="387">
        <v>1225.2564263010347</v>
      </c>
      <c r="GT187" s="387"/>
      <c r="GU187" s="358"/>
      <c r="GV187" s="387">
        <v>1225.2564263010347</v>
      </c>
      <c r="GW187" s="387"/>
      <c r="GX187" s="358"/>
      <c r="GY187" s="387">
        <v>1225.2564263010347</v>
      </c>
      <c r="GZ187" s="387"/>
      <c r="HA187" s="358"/>
      <c r="HB187" s="387">
        <v>1225.2564263010347</v>
      </c>
      <c r="HC187" s="387"/>
      <c r="HD187" s="358"/>
      <c r="HE187" s="387">
        <v>1225.2564263010347</v>
      </c>
      <c r="HF187" s="387"/>
      <c r="HG187" s="358"/>
      <c r="HH187" s="387">
        <v>1225.2564263010347</v>
      </c>
      <c r="HI187" s="358"/>
      <c r="HJ187" s="387">
        <v>1225.2564263010347</v>
      </c>
      <c r="HK187" s="358"/>
      <c r="HL187" s="387">
        <v>1225.2564263010347</v>
      </c>
      <c r="HM187" s="358"/>
      <c r="HN187" s="387">
        <v>1225.2564263010347</v>
      </c>
      <c r="HO187" s="358"/>
      <c r="HP187" s="387">
        <v>1225.2564263010347</v>
      </c>
      <c r="HQ187" s="358"/>
      <c r="HR187" s="387">
        <v>1225.2564263010347</v>
      </c>
      <c r="HS187" s="358"/>
      <c r="HT187" s="387">
        <v>1225.2564263010347</v>
      </c>
      <c r="HU187" s="358"/>
      <c r="HV187" s="599">
        <v>2410.3405107561339</v>
      </c>
      <c r="HW187" s="567"/>
      <c r="HX187" s="567"/>
      <c r="HY187" s="567"/>
      <c r="HZ187" s="567"/>
      <c r="IA187" s="567"/>
      <c r="IB187" s="567"/>
      <c r="IC187" s="567"/>
      <c r="ID187" s="567"/>
      <c r="IE187" s="567"/>
      <c r="IF187" s="567"/>
      <c r="IG187" s="567"/>
      <c r="IH187" s="568"/>
      <c r="II187" s="569"/>
      <c r="IJ187" s="568"/>
      <c r="IK187" s="569"/>
      <c r="IL187" s="568"/>
      <c r="IM187" s="569"/>
      <c r="IN187" s="568"/>
      <c r="IO187" s="569"/>
      <c r="IP187" s="568"/>
      <c r="IQ187" s="569"/>
      <c r="IR187" s="552" t="s">
        <v>3405</v>
      </c>
      <c r="IS187" s="587" t="s">
        <v>77</v>
      </c>
      <c r="IT187" s="611">
        <v>43710</v>
      </c>
      <c r="IU187" s="464">
        <v>43770</v>
      </c>
      <c r="IW187" s="372">
        <f t="shared" si="22"/>
        <v>60</v>
      </c>
      <c r="IX187" s="373">
        <f t="shared" si="25"/>
        <v>79.027557729709301</v>
      </c>
      <c r="IY187" s="531">
        <v>2410.3405107561339</v>
      </c>
      <c r="IZ187" s="531"/>
    </row>
    <row r="188" spans="1:261" s="367" customFormat="1" ht="16.5" customHeight="1" x14ac:dyDescent="0.3">
      <c r="A188" s="526" t="s">
        <v>2735</v>
      </c>
      <c r="B188" s="594" t="s">
        <v>2784</v>
      </c>
      <c r="C188" s="595" t="s">
        <v>386</v>
      </c>
      <c r="D188" s="596">
        <v>1454</v>
      </c>
      <c r="E188" s="597">
        <v>165</v>
      </c>
      <c r="F188" s="597">
        <v>32</v>
      </c>
      <c r="G188" s="597">
        <v>36</v>
      </c>
      <c r="H188" s="598"/>
      <c r="I188" s="830">
        <v>1650.8564263010346</v>
      </c>
      <c r="J188" s="831">
        <f>36</f>
        <v>36</v>
      </c>
      <c r="K188" s="827"/>
      <c r="L188" s="831">
        <v>1650.8564263010346</v>
      </c>
      <c r="M188" s="831">
        <f>36</f>
        <v>36</v>
      </c>
      <c r="N188" s="827"/>
      <c r="O188" s="831">
        <v>1650.8564263010346</v>
      </c>
      <c r="P188" s="831">
        <f>36</f>
        <v>36</v>
      </c>
      <c r="Q188" s="827"/>
      <c r="R188" s="831">
        <v>1650.8564263010346</v>
      </c>
      <c r="S188" s="831">
        <f>36</f>
        <v>36</v>
      </c>
      <c r="T188" s="827"/>
      <c r="U188" s="831">
        <v>1650.8564263010346</v>
      </c>
      <c r="V188" s="831">
        <f>36</f>
        <v>36</v>
      </c>
      <c r="W188" s="827"/>
      <c r="X188" s="831">
        <v>1650.8564263010346</v>
      </c>
      <c r="Y188" s="831">
        <f>36</f>
        <v>36</v>
      </c>
      <c r="Z188" s="827"/>
      <c r="AA188" s="831">
        <v>1650.8564263010346</v>
      </c>
      <c r="AB188" s="831">
        <f>36</f>
        <v>36</v>
      </c>
      <c r="AC188" s="827"/>
      <c r="AD188" s="831">
        <v>1650.8564263010346</v>
      </c>
      <c r="AE188" s="831">
        <f>36</f>
        <v>36</v>
      </c>
      <c r="AF188" s="827"/>
      <c r="AG188" s="831">
        <v>1650.8564263010346</v>
      </c>
      <c r="AH188" s="831">
        <f>36</f>
        <v>36</v>
      </c>
      <c r="AI188" s="827"/>
      <c r="AJ188" s="831">
        <v>1650.8564263010346</v>
      </c>
      <c r="AK188" s="831">
        <f>36</f>
        <v>36</v>
      </c>
      <c r="AL188" s="827"/>
      <c r="AM188" s="831">
        <v>1650.8564263010346</v>
      </c>
      <c r="AN188" s="831">
        <f>36</f>
        <v>36</v>
      </c>
      <c r="AO188" s="827"/>
      <c r="AP188" s="831">
        <v>1650.8564263010346</v>
      </c>
      <c r="AQ188" s="831">
        <f>36</f>
        <v>36</v>
      </c>
      <c r="AR188" s="827"/>
      <c r="AS188" s="831">
        <v>1650.8564263010346</v>
      </c>
      <c r="AT188" s="831">
        <f>36</f>
        <v>36</v>
      </c>
      <c r="AU188" s="827"/>
      <c r="AV188" s="831">
        <v>1650.8564263010346</v>
      </c>
      <c r="AW188" s="831">
        <f>36</f>
        <v>36</v>
      </c>
      <c r="AX188" s="827"/>
      <c r="AY188" s="831">
        <v>1650.8564263010346</v>
      </c>
      <c r="AZ188" s="831">
        <f>36</f>
        <v>36</v>
      </c>
      <c r="BA188" s="358"/>
      <c r="BB188" s="385">
        <v>1650.8564263010346</v>
      </c>
      <c r="BC188" s="385">
        <f>36</f>
        <v>36</v>
      </c>
      <c r="BD188" s="358"/>
      <c r="BE188" s="385">
        <v>1650.8564263010346</v>
      </c>
      <c r="BF188" s="385">
        <f>36</f>
        <v>36</v>
      </c>
      <c r="BG188" s="358"/>
      <c r="BH188" s="385">
        <v>1650.8564263010346</v>
      </c>
      <c r="BI188" s="385">
        <f>36</f>
        <v>36</v>
      </c>
      <c r="BJ188" s="358"/>
      <c r="BK188" s="385">
        <v>1650.8564263010346</v>
      </c>
      <c r="BL188" s="385">
        <f>36</f>
        <v>36</v>
      </c>
      <c r="BM188" s="358"/>
      <c r="BN188" s="385">
        <v>1650.8564263010346</v>
      </c>
      <c r="BO188" s="385">
        <f>36</f>
        <v>36</v>
      </c>
      <c r="BP188" s="358"/>
      <c r="BQ188" s="385">
        <v>1650.8564263010346</v>
      </c>
      <c r="BR188" s="385">
        <f>36</f>
        <v>36</v>
      </c>
      <c r="BS188" s="358"/>
      <c r="BT188" s="385">
        <v>1650.8564263010346</v>
      </c>
      <c r="BU188" s="385">
        <f>36</f>
        <v>36</v>
      </c>
      <c r="BV188" s="358"/>
      <c r="BW188" s="385">
        <v>1650.8564263010346</v>
      </c>
      <c r="BX188" s="385">
        <f>36</f>
        <v>36</v>
      </c>
      <c r="BY188" s="358"/>
      <c r="BZ188" s="385">
        <v>1650.8564263010346</v>
      </c>
      <c r="CA188" s="385">
        <f>36</f>
        <v>36</v>
      </c>
      <c r="CB188" s="358"/>
      <c r="CC188" s="385">
        <v>1650.8564263010346</v>
      </c>
      <c r="CD188" s="385">
        <f>36</f>
        <v>36</v>
      </c>
      <c r="CE188" s="358"/>
      <c r="CF188" s="385">
        <v>1650.8564263010346</v>
      </c>
      <c r="CG188" s="385">
        <f>36</f>
        <v>36</v>
      </c>
      <c r="CH188" s="358"/>
      <c r="CI188" s="385">
        <v>1650.8564263010346</v>
      </c>
      <c r="CJ188" s="385">
        <f>36</f>
        <v>36</v>
      </c>
      <c r="CK188" s="358"/>
      <c r="CL188" s="385">
        <v>1650.8564263010346</v>
      </c>
      <c r="CM188" s="385">
        <f>36</f>
        <v>36</v>
      </c>
      <c r="CN188" s="358"/>
      <c r="CO188" s="385">
        <v>1650.8564263010346</v>
      </c>
      <c r="CP188" s="385">
        <f>36</f>
        <v>36</v>
      </c>
      <c r="CQ188" s="358"/>
      <c r="CR188" s="385">
        <v>1650.8564263010346</v>
      </c>
      <c r="CS188" s="385">
        <f>36</f>
        <v>36</v>
      </c>
      <c r="CT188" s="358"/>
      <c r="CU188" s="385">
        <v>1650.8564263010346</v>
      </c>
      <c r="CV188" s="385">
        <f>36</f>
        <v>36</v>
      </c>
      <c r="CW188" s="358"/>
      <c r="CX188" s="385">
        <v>1650.8564263010346</v>
      </c>
      <c r="CY188" s="385">
        <f>36</f>
        <v>36</v>
      </c>
      <c r="CZ188" s="358"/>
      <c r="DA188" s="385">
        <v>1650.8564263010346</v>
      </c>
      <c r="DB188" s="385">
        <f>36</f>
        <v>36</v>
      </c>
      <c r="DC188" s="358"/>
      <c r="DD188" s="385">
        <v>1650.8564263010346</v>
      </c>
      <c r="DE188" s="385">
        <f>36</f>
        <v>36</v>
      </c>
      <c r="DF188" s="358"/>
      <c r="DG188" s="385">
        <v>1650.8564263010346</v>
      </c>
      <c r="DH188" s="385">
        <f>36</f>
        <v>36</v>
      </c>
      <c r="DI188" s="358"/>
      <c r="DJ188" s="385">
        <v>1650.8564263010346</v>
      </c>
      <c r="DK188" s="385">
        <f>36</f>
        <v>36</v>
      </c>
      <c r="DL188" s="358"/>
      <c r="DM188" s="385">
        <v>1650.8564263010346</v>
      </c>
      <c r="DN188" s="385">
        <f>36</f>
        <v>36</v>
      </c>
      <c r="DO188" s="358"/>
      <c r="DP188" s="385">
        <v>1650.8564263010346</v>
      </c>
      <c r="DQ188" s="385">
        <f>36</f>
        <v>36</v>
      </c>
      <c r="DR188" s="358"/>
      <c r="DS188" s="385">
        <v>1650.8564263010346</v>
      </c>
      <c r="DT188" s="385">
        <f>36</f>
        <v>36</v>
      </c>
      <c r="DU188" s="358"/>
      <c r="DV188" s="385">
        <v>1650.8564263010346</v>
      </c>
      <c r="DW188" s="385">
        <f>36</f>
        <v>36</v>
      </c>
      <c r="DX188" s="358"/>
      <c r="DY188" s="385">
        <v>1650.8564263010346</v>
      </c>
      <c r="DZ188" s="385">
        <f>36</f>
        <v>36</v>
      </c>
      <c r="EA188" s="358"/>
      <c r="EB188" s="385">
        <v>1650.8564263010346</v>
      </c>
      <c r="EC188" s="385">
        <f>36</f>
        <v>36</v>
      </c>
      <c r="ED188" s="358"/>
      <c r="EE188" s="385">
        <v>1650.8564263010346</v>
      </c>
      <c r="EF188" s="385">
        <f>36</f>
        <v>36</v>
      </c>
      <c r="EG188" s="358"/>
      <c r="EH188" s="385">
        <v>1650.8564263010346</v>
      </c>
      <c r="EI188" s="385">
        <f>36</f>
        <v>36</v>
      </c>
      <c r="EJ188" s="358"/>
      <c r="EK188" s="385">
        <v>1650.8564263010346</v>
      </c>
      <c r="EL188" s="385">
        <f>36</f>
        <v>36</v>
      </c>
      <c r="EM188" s="358"/>
      <c r="EN188" s="385">
        <v>1650.8564263010346</v>
      </c>
      <c r="EO188" s="385">
        <f>36</f>
        <v>36</v>
      </c>
      <c r="EP188" s="358"/>
      <c r="EQ188" s="385">
        <v>1650.8564263010346</v>
      </c>
      <c r="ER188" s="385">
        <f>36</f>
        <v>36</v>
      </c>
      <c r="ES188" s="358"/>
      <c r="ET188" s="385">
        <v>1650.8564263010346</v>
      </c>
      <c r="EU188" s="385">
        <f>36</f>
        <v>36</v>
      </c>
      <c r="EV188" s="358"/>
      <c r="EW188" s="385">
        <v>1650.8564263010346</v>
      </c>
      <c r="EX188" s="385">
        <f>36</f>
        <v>36</v>
      </c>
      <c r="EY188" s="358"/>
      <c r="EZ188" s="385">
        <v>1650.8564263010346</v>
      </c>
      <c r="FA188" s="385">
        <f>36</f>
        <v>36</v>
      </c>
      <c r="FB188" s="358"/>
      <c r="FC188" s="385">
        <v>1650.8564263010346</v>
      </c>
      <c r="FD188" s="385">
        <f>36</f>
        <v>36</v>
      </c>
      <c r="FE188" s="358"/>
      <c r="FF188" s="385">
        <v>1650.8564263010346</v>
      </c>
      <c r="FG188" s="385">
        <f>36</f>
        <v>36</v>
      </c>
      <c r="FH188" s="358"/>
      <c r="FI188" s="385">
        <v>1650.8564263010346</v>
      </c>
      <c r="FJ188" s="385">
        <f>36</f>
        <v>36</v>
      </c>
      <c r="FK188" s="358"/>
      <c r="FL188" s="385">
        <v>1650.8564263010346</v>
      </c>
      <c r="FM188" s="385">
        <f>36</f>
        <v>36</v>
      </c>
      <c r="FN188" s="358"/>
      <c r="FO188" s="385">
        <v>1650.8564263010346</v>
      </c>
      <c r="FP188" s="385">
        <f>36</f>
        <v>36</v>
      </c>
      <c r="FQ188" s="358"/>
      <c r="FR188" s="385">
        <v>1650.8564263010346</v>
      </c>
      <c r="FS188" s="385">
        <f>36</f>
        <v>36</v>
      </c>
      <c r="FT188" s="358"/>
      <c r="FU188" s="385">
        <v>1650.8564263010346</v>
      </c>
      <c r="FV188" s="385">
        <f>36</f>
        <v>36</v>
      </c>
      <c r="FW188" s="358"/>
      <c r="FX188" s="385">
        <v>1650.8564263010346</v>
      </c>
      <c r="FY188" s="385">
        <f>36</f>
        <v>36</v>
      </c>
      <c r="FZ188" s="358"/>
      <c r="GA188" s="385">
        <v>1650.8564263010346</v>
      </c>
      <c r="GB188" s="385">
        <f>36</f>
        <v>36</v>
      </c>
      <c r="GC188" s="358"/>
      <c r="GD188" s="385">
        <v>1650.8564263010346</v>
      </c>
      <c r="GE188" s="385">
        <f>36</f>
        <v>36</v>
      </c>
      <c r="GF188" s="358"/>
      <c r="GG188" s="385">
        <v>1650.8564263010346</v>
      </c>
      <c r="GH188" s="385">
        <f>36</f>
        <v>36</v>
      </c>
      <c r="GI188" s="358"/>
      <c r="GJ188" s="385">
        <v>1650.8564263010346</v>
      </c>
      <c r="GK188" s="385">
        <f>36</f>
        <v>36</v>
      </c>
      <c r="GL188" s="358"/>
      <c r="GM188" s="385">
        <v>1650.8564263010346</v>
      </c>
      <c r="GN188" s="385">
        <f>36</f>
        <v>36</v>
      </c>
      <c r="GO188" s="358"/>
      <c r="GP188" s="385">
        <v>1650.8564263010346</v>
      </c>
      <c r="GQ188" s="385">
        <f>36</f>
        <v>36</v>
      </c>
      <c r="GR188" s="358"/>
      <c r="GS188" s="385">
        <v>1650.8564263010346</v>
      </c>
      <c r="GT188" s="385">
        <f>36</f>
        <v>36</v>
      </c>
      <c r="GU188" s="358"/>
      <c r="GV188" s="385">
        <v>1650.8564263010346</v>
      </c>
      <c r="GW188" s="385">
        <f>36</f>
        <v>36</v>
      </c>
      <c r="GX188" s="358"/>
      <c r="GY188" s="385">
        <v>1650.8564263010346</v>
      </c>
      <c r="GZ188" s="385">
        <f>36</f>
        <v>36</v>
      </c>
      <c r="HA188" s="358"/>
      <c r="HB188" s="385">
        <v>1650.8564263010346</v>
      </c>
      <c r="HC188" s="385">
        <f>36</f>
        <v>36</v>
      </c>
      <c r="HD188" s="358"/>
      <c r="HE188" s="387">
        <v>1650.8564263010346</v>
      </c>
      <c r="HF188" s="386">
        <f>36*6</f>
        <v>216</v>
      </c>
      <c r="HG188" s="370">
        <v>0</v>
      </c>
      <c r="HH188" s="387">
        <v>1650.8564263010346</v>
      </c>
      <c r="HI188" s="369">
        <v>65.615106286748087</v>
      </c>
      <c r="HJ188" s="387">
        <v>1650.8564263010346</v>
      </c>
      <c r="HK188" s="369">
        <v>65.615106286748087</v>
      </c>
      <c r="HL188" s="387">
        <v>1650.8564263010346</v>
      </c>
      <c r="HM188" s="369">
        <v>65.615106286748087</v>
      </c>
      <c r="HN188" s="387">
        <v>1650.8564263010346</v>
      </c>
      <c r="HO188" s="369">
        <v>65.615106286748087</v>
      </c>
      <c r="HP188" s="387">
        <v>1650.8564263010346</v>
      </c>
      <c r="HQ188" s="369">
        <v>65.615106286748087</v>
      </c>
      <c r="HR188" s="387">
        <v>1650.8564263010346</v>
      </c>
      <c r="HS188" s="369">
        <v>65.615106286748087</v>
      </c>
      <c r="HT188" s="387">
        <v>1650.8564263010346</v>
      </c>
      <c r="HU188" s="369">
        <v>65.615106286748087</v>
      </c>
      <c r="HV188" s="599">
        <v>3193.4599721888867</v>
      </c>
      <c r="HW188" s="609">
        <v>126.93704918032786</v>
      </c>
      <c r="HX188" s="567"/>
      <c r="HY188" s="567"/>
      <c r="HZ188" s="567"/>
      <c r="IA188" s="567"/>
      <c r="IB188" s="567"/>
      <c r="IC188" s="567"/>
      <c r="ID188" s="567"/>
      <c r="IE188" s="567"/>
      <c r="IF188" s="567"/>
      <c r="IG188" s="567"/>
      <c r="IH188" s="568"/>
      <c r="II188" s="569"/>
      <c r="IJ188" s="568"/>
      <c r="IK188" s="569"/>
      <c r="IL188" s="568"/>
      <c r="IM188" s="569"/>
      <c r="IN188" s="568"/>
      <c r="IO188" s="569"/>
      <c r="IP188" s="568"/>
      <c r="IQ188" s="569"/>
      <c r="IR188" s="552" t="s">
        <v>3406</v>
      </c>
      <c r="IS188" s="587" t="s">
        <v>77</v>
      </c>
      <c r="IT188" s="611">
        <v>43711</v>
      </c>
      <c r="IU188" s="464">
        <v>43770</v>
      </c>
      <c r="IW188" s="372">
        <f t="shared" si="22"/>
        <v>59</v>
      </c>
      <c r="IX188" s="373">
        <f t="shared" si="25"/>
        <v>104.70360564553727</v>
      </c>
      <c r="IY188" s="531">
        <v>3193.4599721888867</v>
      </c>
      <c r="IZ188" s="531"/>
    </row>
    <row r="189" spans="1:261" s="367" customFormat="1" ht="16.5" customHeight="1" x14ac:dyDescent="0.3">
      <c r="A189" s="401" t="s">
        <v>3315</v>
      </c>
      <c r="B189" s="402" t="s">
        <v>3315</v>
      </c>
      <c r="C189" s="608" t="s">
        <v>3407</v>
      </c>
      <c r="D189" s="634"/>
      <c r="E189" s="635"/>
      <c r="F189" s="635"/>
      <c r="G189" s="635"/>
      <c r="H189" s="636"/>
      <c r="I189" s="853">
        <v>0</v>
      </c>
      <c r="J189" s="833">
        <v>0</v>
      </c>
      <c r="K189" s="833">
        <v>0</v>
      </c>
      <c r="L189" s="833">
        <v>0</v>
      </c>
      <c r="M189" s="833">
        <v>0</v>
      </c>
      <c r="N189" s="833">
        <v>0</v>
      </c>
      <c r="O189" s="833">
        <v>0</v>
      </c>
      <c r="P189" s="833">
        <v>0</v>
      </c>
      <c r="Q189" s="833">
        <v>0</v>
      </c>
      <c r="R189" s="833">
        <v>0</v>
      </c>
      <c r="S189" s="833">
        <v>0</v>
      </c>
      <c r="T189" s="833">
        <v>0</v>
      </c>
      <c r="U189" s="833">
        <v>0</v>
      </c>
      <c r="V189" s="833">
        <v>0</v>
      </c>
      <c r="W189" s="833">
        <v>0</v>
      </c>
      <c r="X189" s="833">
        <v>0</v>
      </c>
      <c r="Y189" s="833">
        <v>0</v>
      </c>
      <c r="Z189" s="833">
        <v>0</v>
      </c>
      <c r="AA189" s="833">
        <v>0</v>
      </c>
      <c r="AB189" s="833">
        <v>0</v>
      </c>
      <c r="AC189" s="833">
        <v>0</v>
      </c>
      <c r="AD189" s="833">
        <v>0</v>
      </c>
      <c r="AE189" s="833">
        <v>0</v>
      </c>
      <c r="AF189" s="833">
        <v>0</v>
      </c>
      <c r="AG189" s="833">
        <v>0</v>
      </c>
      <c r="AH189" s="833">
        <v>0</v>
      </c>
      <c r="AI189" s="833">
        <v>0</v>
      </c>
      <c r="AJ189" s="833">
        <v>0</v>
      </c>
      <c r="AK189" s="833">
        <v>0</v>
      </c>
      <c r="AL189" s="833">
        <v>0</v>
      </c>
      <c r="AM189" s="833">
        <v>0</v>
      </c>
      <c r="AN189" s="833">
        <v>0</v>
      </c>
      <c r="AO189" s="833">
        <v>0</v>
      </c>
      <c r="AP189" s="833">
        <v>0</v>
      </c>
      <c r="AQ189" s="833">
        <v>0</v>
      </c>
      <c r="AR189" s="833">
        <v>0</v>
      </c>
      <c r="AS189" s="833">
        <v>0</v>
      </c>
      <c r="AT189" s="833">
        <v>0</v>
      </c>
      <c r="AU189" s="833">
        <v>0</v>
      </c>
      <c r="AV189" s="833"/>
      <c r="AW189" s="833"/>
      <c r="AX189" s="833"/>
      <c r="AY189" s="833"/>
      <c r="AZ189" s="833"/>
      <c r="BA189" s="455"/>
      <c r="BB189" s="404"/>
      <c r="BC189" s="404"/>
      <c r="BD189" s="455"/>
      <c r="BE189" s="404"/>
      <c r="BF189" s="404"/>
      <c r="BG189" s="455"/>
      <c r="BH189" s="404"/>
      <c r="BI189" s="404"/>
      <c r="BJ189" s="455"/>
      <c r="BK189" s="404"/>
      <c r="BL189" s="404"/>
      <c r="BM189" s="455"/>
      <c r="BN189" s="404"/>
      <c r="BO189" s="404"/>
      <c r="BP189" s="455"/>
      <c r="BQ189" s="404"/>
      <c r="BR189" s="404"/>
      <c r="BS189" s="455"/>
      <c r="BT189" s="404"/>
      <c r="BU189" s="404"/>
      <c r="BV189" s="455"/>
      <c r="BW189" s="404"/>
      <c r="BX189" s="404"/>
      <c r="BY189" s="455"/>
      <c r="BZ189" s="404"/>
      <c r="CA189" s="404"/>
      <c r="CB189" s="455"/>
      <c r="CC189" s="404"/>
      <c r="CD189" s="404"/>
      <c r="CE189" s="455"/>
      <c r="CF189" s="404"/>
      <c r="CG189" s="404"/>
      <c r="CH189" s="455"/>
      <c r="CI189" s="404"/>
      <c r="CJ189" s="404"/>
      <c r="CK189" s="455"/>
      <c r="CL189" s="404"/>
      <c r="CM189" s="404"/>
      <c r="CN189" s="455"/>
      <c r="CO189" s="404"/>
      <c r="CP189" s="404"/>
      <c r="CQ189" s="455"/>
      <c r="CR189" s="404"/>
      <c r="CS189" s="404"/>
      <c r="CT189" s="455"/>
      <c r="CU189" s="404"/>
      <c r="CV189" s="404"/>
      <c r="CW189" s="455"/>
      <c r="CX189" s="404"/>
      <c r="CY189" s="404"/>
      <c r="CZ189" s="455"/>
      <c r="DA189" s="404"/>
      <c r="DB189" s="404"/>
      <c r="DC189" s="455"/>
      <c r="DD189" s="404"/>
      <c r="DE189" s="404"/>
      <c r="DF189" s="455"/>
      <c r="DG189" s="404"/>
      <c r="DH189" s="404"/>
      <c r="DI189" s="455"/>
      <c r="DJ189" s="404"/>
      <c r="DK189" s="404"/>
      <c r="DL189" s="455"/>
      <c r="DM189" s="404"/>
      <c r="DN189" s="404"/>
      <c r="DO189" s="455"/>
      <c r="DP189" s="404"/>
      <c r="DQ189" s="404"/>
      <c r="DR189" s="455"/>
      <c r="DS189" s="385">
        <v>1335.4564263010345</v>
      </c>
      <c r="DT189" s="385">
        <f>14</f>
        <v>14</v>
      </c>
      <c r="DU189" s="358"/>
      <c r="DV189" s="385">
        <v>1335.4564263010345</v>
      </c>
      <c r="DW189" s="385">
        <f>14</f>
        <v>14</v>
      </c>
      <c r="DX189" s="358"/>
      <c r="DY189" s="385">
        <v>1335.4564263010345</v>
      </c>
      <c r="DZ189" s="385">
        <f>14</f>
        <v>14</v>
      </c>
      <c r="EA189" s="358"/>
      <c r="EB189" s="385">
        <v>1335.4564263010345</v>
      </c>
      <c r="EC189" s="385">
        <f>14</f>
        <v>14</v>
      </c>
      <c r="ED189" s="358"/>
      <c r="EE189" s="385">
        <v>1335.4564263010345</v>
      </c>
      <c r="EF189" s="385">
        <f>14</f>
        <v>14</v>
      </c>
      <c r="EG189" s="358"/>
      <c r="EH189" s="385">
        <v>1335.4564263010345</v>
      </c>
      <c r="EI189" s="385">
        <f>14</f>
        <v>14</v>
      </c>
      <c r="EJ189" s="358"/>
      <c r="EK189" s="385">
        <v>1335.4564263010345</v>
      </c>
      <c r="EL189" s="385">
        <f>14</f>
        <v>14</v>
      </c>
      <c r="EM189" s="358"/>
      <c r="EN189" s="385">
        <v>1335.4564263010345</v>
      </c>
      <c r="EO189" s="385">
        <f>14</f>
        <v>14</v>
      </c>
      <c r="EP189" s="358"/>
      <c r="EQ189" s="385">
        <v>1335.4564263010345</v>
      </c>
      <c r="ER189" s="385">
        <f>14</f>
        <v>14</v>
      </c>
      <c r="ES189" s="358"/>
      <c r="ET189" s="385">
        <v>1335.4564263010345</v>
      </c>
      <c r="EU189" s="385">
        <f>14</f>
        <v>14</v>
      </c>
      <c r="EV189" s="358"/>
      <c r="EW189" s="385">
        <v>1335.4564263010345</v>
      </c>
      <c r="EX189" s="385">
        <f>14</f>
        <v>14</v>
      </c>
      <c r="EY189" s="358"/>
      <c r="EZ189" s="385">
        <v>1335.4564263010345</v>
      </c>
      <c r="FA189" s="385">
        <f>14</f>
        <v>14</v>
      </c>
      <c r="FB189" s="358"/>
      <c r="FC189" s="385">
        <v>1335.4564263010345</v>
      </c>
      <c r="FD189" s="385">
        <f>14</f>
        <v>14</v>
      </c>
      <c r="FE189" s="358"/>
      <c r="FF189" s="385">
        <v>1335.4564263010345</v>
      </c>
      <c r="FG189" s="385">
        <f>14</f>
        <v>14</v>
      </c>
      <c r="FH189" s="358"/>
      <c r="FI189" s="385">
        <v>1335.4564263010345</v>
      </c>
      <c r="FJ189" s="385">
        <f>14</f>
        <v>14</v>
      </c>
      <c r="FK189" s="358"/>
      <c r="FL189" s="385">
        <v>1335.4564263010345</v>
      </c>
      <c r="FM189" s="385">
        <f>14</f>
        <v>14</v>
      </c>
      <c r="FN189" s="358"/>
      <c r="FO189" s="385">
        <v>1335.4564263010345</v>
      </c>
      <c r="FP189" s="385">
        <f>14</f>
        <v>14</v>
      </c>
      <c r="FQ189" s="358"/>
      <c r="FR189" s="385">
        <v>1335.4564263010345</v>
      </c>
      <c r="FS189" s="385">
        <f>14</f>
        <v>14</v>
      </c>
      <c r="FT189" s="358"/>
      <c r="FU189" s="385">
        <v>1335.4564263010345</v>
      </c>
      <c r="FV189" s="385">
        <f>14</f>
        <v>14</v>
      </c>
      <c r="FW189" s="358"/>
      <c r="FX189" s="385">
        <v>1335.4564263010345</v>
      </c>
      <c r="FY189" s="385">
        <f>14</f>
        <v>14</v>
      </c>
      <c r="FZ189" s="358"/>
      <c r="GA189" s="385">
        <v>1335.4564263010345</v>
      </c>
      <c r="GB189" s="385">
        <f>14</f>
        <v>14</v>
      </c>
      <c r="GC189" s="358"/>
      <c r="GD189" s="385">
        <v>1335.4564263010345</v>
      </c>
      <c r="GE189" s="385">
        <f>14</f>
        <v>14</v>
      </c>
      <c r="GF189" s="358"/>
      <c r="GG189" s="385">
        <v>1335.4564263010345</v>
      </c>
      <c r="GH189" s="385">
        <f>14</f>
        <v>14</v>
      </c>
      <c r="GI189" s="358"/>
      <c r="GJ189" s="385">
        <v>1335.4564263010345</v>
      </c>
      <c r="GK189" s="385">
        <f>14</f>
        <v>14</v>
      </c>
      <c r="GL189" s="358"/>
      <c r="GM189" s="385">
        <v>1335.4564263010345</v>
      </c>
      <c r="GN189" s="385">
        <f>14</f>
        <v>14</v>
      </c>
      <c r="GO189" s="358"/>
      <c r="GP189" s="385">
        <v>1335.4564263010345</v>
      </c>
      <c r="GQ189" s="385">
        <f>14</f>
        <v>14</v>
      </c>
      <c r="GR189" s="358"/>
      <c r="GS189" s="385">
        <v>1335.4564263010345</v>
      </c>
      <c r="GT189" s="385">
        <f>14</f>
        <v>14</v>
      </c>
      <c r="GU189" s="358"/>
      <c r="GV189" s="385">
        <v>1335.4564263010345</v>
      </c>
      <c r="GW189" s="385">
        <f>14</f>
        <v>14</v>
      </c>
      <c r="GX189" s="358"/>
      <c r="GY189" s="385">
        <v>1335.4564263010345</v>
      </c>
      <c r="GZ189" s="385">
        <f>14</f>
        <v>14</v>
      </c>
      <c r="HA189" s="358"/>
      <c r="HB189" s="385">
        <v>1335.4564263010345</v>
      </c>
      <c r="HC189" s="385">
        <f>14</f>
        <v>14</v>
      </c>
      <c r="HD189" s="358"/>
      <c r="HE189" s="387">
        <v>1335.4564263010345</v>
      </c>
      <c r="HF189" s="386">
        <f>14*6</f>
        <v>84</v>
      </c>
      <c r="HG189" s="358"/>
      <c r="HH189" s="387">
        <v>1335.4564263010345</v>
      </c>
      <c r="HI189" s="358"/>
      <c r="HJ189" s="387">
        <v>1335.4564263010345</v>
      </c>
      <c r="HK189" s="358"/>
      <c r="HL189" s="387">
        <v>1335.4564263010345</v>
      </c>
      <c r="HM189" s="358"/>
      <c r="HN189" s="387">
        <v>1335.4564263010345</v>
      </c>
      <c r="HO189" s="358"/>
      <c r="HP189" s="387">
        <v>1335.4564263010345</v>
      </c>
      <c r="HQ189" s="358"/>
      <c r="HR189" s="387">
        <v>1335.4564263010345</v>
      </c>
      <c r="HS189" s="358"/>
      <c r="HT189" s="387">
        <v>1335.4564263010345</v>
      </c>
      <c r="HU189" s="358"/>
      <c r="HV189" s="612">
        <v>2539.5564828019674</v>
      </c>
      <c r="HW189" s="613"/>
      <c r="HX189" s="613"/>
      <c r="HY189" s="613"/>
      <c r="HZ189" s="613"/>
      <c r="IA189" s="613"/>
      <c r="IB189" s="613"/>
      <c r="IC189" s="613"/>
      <c r="ID189" s="613"/>
      <c r="IE189" s="613"/>
      <c r="IF189" s="613"/>
      <c r="IG189" s="613"/>
      <c r="IH189" s="614"/>
      <c r="II189" s="615"/>
      <c r="IJ189" s="614"/>
      <c r="IK189" s="615"/>
      <c r="IL189" s="614"/>
      <c r="IM189" s="615"/>
      <c r="IN189" s="614"/>
      <c r="IO189" s="615"/>
      <c r="IP189" s="614"/>
      <c r="IQ189" s="615"/>
      <c r="IR189" s="616" t="s">
        <v>3408</v>
      </c>
      <c r="IS189" s="617" t="s">
        <v>77</v>
      </c>
      <c r="IT189" s="618">
        <v>43712</v>
      </c>
      <c r="IU189" s="464">
        <v>43770</v>
      </c>
      <c r="IW189" s="372">
        <f t="shared" si="22"/>
        <v>58</v>
      </c>
      <c r="IX189" s="373">
        <f t="shared" si="25"/>
        <v>83.264146977113683</v>
      </c>
      <c r="IY189" s="531">
        <v>2539.5564828019674</v>
      </c>
      <c r="IZ189" s="531"/>
    </row>
    <row r="190" spans="1:261" s="367" customFormat="1" ht="16.5" customHeight="1" x14ac:dyDescent="0.3">
      <c r="A190" s="401" t="s">
        <v>3315</v>
      </c>
      <c r="B190" s="402" t="s">
        <v>3315</v>
      </c>
      <c r="C190" s="619" t="s">
        <v>3409</v>
      </c>
      <c r="D190" s="901"/>
      <c r="E190" s="902"/>
      <c r="F190" s="902"/>
      <c r="G190" s="902"/>
      <c r="H190" s="903"/>
      <c r="I190" s="853">
        <v>0</v>
      </c>
      <c r="J190" s="833">
        <v>0</v>
      </c>
      <c r="K190" s="833">
        <v>0</v>
      </c>
      <c r="L190" s="833">
        <v>0</v>
      </c>
      <c r="M190" s="833">
        <v>0</v>
      </c>
      <c r="N190" s="833">
        <v>0</v>
      </c>
      <c r="O190" s="833">
        <v>0</v>
      </c>
      <c r="P190" s="833">
        <v>0</v>
      </c>
      <c r="Q190" s="833">
        <v>0</v>
      </c>
      <c r="R190" s="833">
        <v>0</v>
      </c>
      <c r="S190" s="833">
        <v>0</v>
      </c>
      <c r="T190" s="833">
        <v>0</v>
      </c>
      <c r="U190" s="833">
        <v>0</v>
      </c>
      <c r="V190" s="833">
        <v>0</v>
      </c>
      <c r="W190" s="833">
        <v>0</v>
      </c>
      <c r="X190" s="833">
        <v>0</v>
      </c>
      <c r="Y190" s="833">
        <v>0</v>
      </c>
      <c r="Z190" s="833">
        <v>0</v>
      </c>
      <c r="AA190" s="833">
        <v>0</v>
      </c>
      <c r="AB190" s="833">
        <v>0</v>
      </c>
      <c r="AC190" s="833">
        <v>0</v>
      </c>
      <c r="AD190" s="833">
        <v>0</v>
      </c>
      <c r="AE190" s="833">
        <v>0</v>
      </c>
      <c r="AF190" s="833">
        <v>0</v>
      </c>
      <c r="AG190" s="833">
        <v>0</v>
      </c>
      <c r="AH190" s="833">
        <v>0</v>
      </c>
      <c r="AI190" s="833">
        <v>0</v>
      </c>
      <c r="AJ190" s="833">
        <v>0</v>
      </c>
      <c r="AK190" s="833">
        <v>0</v>
      </c>
      <c r="AL190" s="833">
        <v>0</v>
      </c>
      <c r="AM190" s="833">
        <v>0</v>
      </c>
      <c r="AN190" s="833">
        <v>0</v>
      </c>
      <c r="AO190" s="833">
        <v>0</v>
      </c>
      <c r="AP190" s="833">
        <v>0</v>
      </c>
      <c r="AQ190" s="833">
        <v>0</v>
      </c>
      <c r="AR190" s="833">
        <v>0</v>
      </c>
      <c r="AS190" s="833">
        <v>0</v>
      </c>
      <c r="AT190" s="833">
        <v>0</v>
      </c>
      <c r="AU190" s="833">
        <v>0</v>
      </c>
      <c r="AV190" s="833"/>
      <c r="AW190" s="833"/>
      <c r="AX190" s="833"/>
      <c r="AY190" s="833"/>
      <c r="AZ190" s="833"/>
      <c r="BA190" s="455"/>
      <c r="BB190" s="404"/>
      <c r="BC190" s="404"/>
      <c r="BD190" s="455"/>
      <c r="BE190" s="404"/>
      <c r="BF190" s="404"/>
      <c r="BG190" s="455"/>
      <c r="BH190" s="404"/>
      <c r="BI190" s="404"/>
      <c r="BJ190" s="455"/>
      <c r="BK190" s="404"/>
      <c r="BL190" s="404"/>
      <c r="BM190" s="455"/>
      <c r="BN190" s="404"/>
      <c r="BO190" s="404"/>
      <c r="BP190" s="455"/>
      <c r="BQ190" s="404"/>
      <c r="BR190" s="404"/>
      <c r="BS190" s="455"/>
      <c r="BT190" s="404"/>
      <c r="BU190" s="404"/>
      <c r="BV190" s="455"/>
      <c r="BW190" s="404"/>
      <c r="BX190" s="404"/>
      <c r="BY190" s="455"/>
      <c r="BZ190" s="404"/>
      <c r="CA190" s="404"/>
      <c r="CB190" s="455"/>
      <c r="CC190" s="404"/>
      <c r="CD190" s="404"/>
      <c r="CE190" s="455"/>
      <c r="CF190" s="404"/>
      <c r="CG190" s="404"/>
      <c r="CH190" s="455"/>
      <c r="CI190" s="404"/>
      <c r="CJ190" s="404"/>
      <c r="CK190" s="455"/>
      <c r="CL190" s="404"/>
      <c r="CM190" s="404"/>
      <c r="CN190" s="455"/>
      <c r="CO190" s="404"/>
      <c r="CP190" s="404"/>
      <c r="CQ190" s="455"/>
      <c r="CR190" s="404"/>
      <c r="CS190" s="404"/>
      <c r="CT190" s="455"/>
      <c r="CU190" s="404"/>
      <c r="CV190" s="404"/>
      <c r="CW190" s="455"/>
      <c r="CX190" s="404"/>
      <c r="CY190" s="404"/>
      <c r="CZ190" s="455"/>
      <c r="DA190" s="404"/>
      <c r="DB190" s="404"/>
      <c r="DC190" s="455"/>
      <c r="DD190" s="404"/>
      <c r="DE190" s="404"/>
      <c r="DF190" s="455"/>
      <c r="DG190" s="404"/>
      <c r="DH190" s="404"/>
      <c r="DI190" s="455"/>
      <c r="DJ190" s="404"/>
      <c r="DK190" s="404"/>
      <c r="DL190" s="455"/>
      <c r="DM190" s="404"/>
      <c r="DN190" s="404"/>
      <c r="DO190" s="455"/>
      <c r="DP190" s="404"/>
      <c r="DQ190" s="404"/>
      <c r="DR190" s="455"/>
      <c r="DS190" s="404"/>
      <c r="DT190" s="404"/>
      <c r="DU190" s="455"/>
      <c r="DV190" s="404"/>
      <c r="DW190" s="404"/>
      <c r="DX190" s="455"/>
      <c r="DY190" s="404"/>
      <c r="DZ190" s="404"/>
      <c r="EA190" s="455"/>
      <c r="EB190" s="404"/>
      <c r="EC190" s="404"/>
      <c r="ED190" s="455"/>
      <c r="EE190" s="404"/>
      <c r="EF190" s="404"/>
      <c r="EG190" s="455"/>
      <c r="EH190" s="404"/>
      <c r="EI190" s="404"/>
      <c r="EJ190" s="455"/>
      <c r="EK190" s="404"/>
      <c r="EL190" s="404"/>
      <c r="EM190" s="455"/>
      <c r="EN190" s="404"/>
      <c r="EO190" s="404"/>
      <c r="EP190" s="455"/>
      <c r="EQ190" s="404"/>
      <c r="ER190" s="404"/>
      <c r="ES190" s="455"/>
      <c r="ET190" s="404"/>
      <c r="EU190" s="404"/>
      <c r="EV190" s="455"/>
      <c r="EW190" s="404"/>
      <c r="EX190" s="404"/>
      <c r="EY190" s="455"/>
      <c r="EZ190" s="404"/>
      <c r="FA190" s="404"/>
      <c r="FB190" s="455"/>
      <c r="FC190" s="404"/>
      <c r="FD190" s="404"/>
      <c r="FE190" s="455"/>
      <c r="FF190" s="404"/>
      <c r="FG190" s="404"/>
      <c r="FH190" s="455"/>
      <c r="FI190" s="404"/>
      <c r="FJ190" s="404"/>
      <c r="FK190" s="455"/>
      <c r="FL190" s="404"/>
      <c r="FM190" s="404"/>
      <c r="FN190" s="455"/>
      <c r="FO190" s="404"/>
      <c r="FP190" s="404"/>
      <c r="FQ190" s="455"/>
      <c r="FR190" s="404"/>
      <c r="FS190" s="404"/>
      <c r="FT190" s="455"/>
      <c r="FU190" s="404"/>
      <c r="FV190" s="404"/>
      <c r="FW190" s="455"/>
      <c r="FX190" s="404"/>
      <c r="FY190" s="404"/>
      <c r="FZ190" s="455"/>
      <c r="GA190" s="404"/>
      <c r="GB190" s="404"/>
      <c r="GC190" s="455"/>
      <c r="GD190" s="385">
        <v>254</v>
      </c>
      <c r="GE190" s="385"/>
      <c r="GF190" s="358"/>
      <c r="GG190" s="385">
        <v>254</v>
      </c>
      <c r="GH190" s="385"/>
      <c r="GI190" s="358"/>
      <c r="GJ190" s="385">
        <v>254</v>
      </c>
      <c r="GK190" s="385"/>
      <c r="GL190" s="358"/>
      <c r="GM190" s="385">
        <v>254</v>
      </c>
      <c r="GN190" s="385"/>
      <c r="GO190" s="358"/>
      <c r="GP190" s="385">
        <v>254</v>
      </c>
      <c r="GQ190" s="385"/>
      <c r="GR190" s="358"/>
      <c r="GS190" s="385">
        <v>254</v>
      </c>
      <c r="GT190" s="385"/>
      <c r="GU190" s="358"/>
      <c r="GV190" s="385">
        <v>254</v>
      </c>
      <c r="GW190" s="385"/>
      <c r="GX190" s="358"/>
      <c r="GY190" s="385">
        <v>254</v>
      </c>
      <c r="GZ190" s="385"/>
      <c r="HA190" s="358"/>
      <c r="HB190" s="385">
        <v>254</v>
      </c>
      <c r="HC190" s="385"/>
      <c r="HD190" s="358"/>
      <c r="HE190" s="385">
        <v>254</v>
      </c>
      <c r="HF190" s="385"/>
      <c r="HG190" s="358"/>
      <c r="HH190" s="385">
        <v>254</v>
      </c>
      <c r="HI190" s="358"/>
      <c r="HJ190" s="385">
        <v>254</v>
      </c>
      <c r="HK190" s="358"/>
      <c r="HL190" s="385">
        <v>254</v>
      </c>
      <c r="HM190" s="358"/>
      <c r="HN190" s="385">
        <v>254</v>
      </c>
      <c r="HO190" s="358"/>
      <c r="HP190" s="385">
        <v>254</v>
      </c>
      <c r="HQ190" s="358"/>
      <c r="HR190" s="385">
        <v>254</v>
      </c>
      <c r="HS190" s="358"/>
      <c r="HT190" s="386">
        <v>508.82396371318009</v>
      </c>
      <c r="HU190" s="358"/>
      <c r="HV190" s="567"/>
      <c r="HW190" s="567"/>
      <c r="HX190" s="567"/>
      <c r="HY190" s="567"/>
      <c r="HZ190" s="567"/>
      <c r="IA190" s="567"/>
      <c r="IB190" s="567"/>
      <c r="IC190" s="567"/>
      <c r="ID190" s="567"/>
      <c r="IE190" s="567"/>
      <c r="IF190" s="567"/>
      <c r="IG190" s="567"/>
      <c r="IH190" s="568"/>
      <c r="II190" s="569"/>
      <c r="IJ190" s="568"/>
      <c r="IK190" s="569"/>
      <c r="IL190" s="568"/>
      <c r="IM190" s="569"/>
      <c r="IN190" s="568"/>
      <c r="IO190" s="569"/>
      <c r="IP190" s="568"/>
      <c r="IQ190" s="569"/>
      <c r="IR190" s="620" t="s">
        <v>3410</v>
      </c>
      <c r="IS190" s="587" t="s">
        <v>77</v>
      </c>
      <c r="IT190" s="611">
        <v>43739</v>
      </c>
      <c r="IU190" s="518">
        <v>43800</v>
      </c>
      <c r="IV190" s="552"/>
      <c r="IW190" s="526">
        <f t="shared" si="22"/>
        <v>61</v>
      </c>
      <c r="IX190" s="621">
        <f t="shared" ref="IX190:IX201" si="26">HT190/30.5</f>
        <v>16.682752908628856</v>
      </c>
      <c r="IY190" s="621">
        <v>508.82396371318009</v>
      </c>
      <c r="IZ190" s="374"/>
    </row>
    <row r="191" spans="1:261" s="367" customFormat="1" ht="16.5" customHeight="1" x14ac:dyDescent="0.3">
      <c r="A191" s="526" t="s">
        <v>2735</v>
      </c>
      <c r="B191" s="603" t="s">
        <v>3036</v>
      </c>
      <c r="C191" s="604" t="s">
        <v>395</v>
      </c>
      <c r="D191" s="605">
        <v>2032</v>
      </c>
      <c r="E191" s="606">
        <v>239</v>
      </c>
      <c r="F191" s="606">
        <v>48</v>
      </c>
      <c r="G191" s="606">
        <v>171</v>
      </c>
      <c r="H191" s="607">
        <v>66</v>
      </c>
      <c r="I191" s="841">
        <v>2319</v>
      </c>
      <c r="J191" s="835">
        <v>171</v>
      </c>
      <c r="K191" s="835">
        <v>66</v>
      </c>
      <c r="L191" s="835">
        <v>2319</v>
      </c>
      <c r="M191" s="835">
        <v>171</v>
      </c>
      <c r="N191" s="835">
        <v>66</v>
      </c>
      <c r="O191" s="835">
        <v>2319</v>
      </c>
      <c r="P191" s="835">
        <v>171</v>
      </c>
      <c r="Q191" s="835">
        <v>66</v>
      </c>
      <c r="R191" s="835">
        <v>2319</v>
      </c>
      <c r="S191" s="835">
        <v>171</v>
      </c>
      <c r="T191" s="835">
        <v>66</v>
      </c>
      <c r="U191" s="835">
        <v>2319</v>
      </c>
      <c r="V191" s="835">
        <v>171</v>
      </c>
      <c r="W191" s="835">
        <v>66</v>
      </c>
      <c r="X191" s="835">
        <v>2319</v>
      </c>
      <c r="Y191" s="835">
        <v>171</v>
      </c>
      <c r="Z191" s="835">
        <v>66</v>
      </c>
      <c r="AA191" s="835">
        <v>2319</v>
      </c>
      <c r="AB191" s="835">
        <v>171</v>
      </c>
      <c r="AC191" s="835">
        <v>66</v>
      </c>
      <c r="AD191" s="835">
        <v>2319</v>
      </c>
      <c r="AE191" s="835">
        <v>171</v>
      </c>
      <c r="AF191" s="835">
        <v>66</v>
      </c>
      <c r="AG191" s="835">
        <v>2319</v>
      </c>
      <c r="AH191" s="835">
        <v>171</v>
      </c>
      <c r="AI191" s="835">
        <v>66</v>
      </c>
      <c r="AJ191" s="835">
        <v>2319</v>
      </c>
      <c r="AK191" s="835">
        <v>171</v>
      </c>
      <c r="AL191" s="835">
        <v>66</v>
      </c>
      <c r="AM191" s="835">
        <v>2319</v>
      </c>
      <c r="AN191" s="835">
        <v>171</v>
      </c>
      <c r="AO191" s="835">
        <v>66</v>
      </c>
      <c r="AP191" s="835">
        <v>2319</v>
      </c>
      <c r="AQ191" s="835">
        <v>171</v>
      </c>
      <c r="AR191" s="835">
        <v>66</v>
      </c>
      <c r="AS191" s="835">
        <v>2319</v>
      </c>
      <c r="AT191" s="835">
        <v>171</v>
      </c>
      <c r="AU191" s="835">
        <v>66</v>
      </c>
      <c r="AV191" s="835">
        <v>2319</v>
      </c>
      <c r="AW191" s="835">
        <v>171</v>
      </c>
      <c r="AX191" s="835">
        <v>66</v>
      </c>
      <c r="AY191" s="835">
        <v>2319</v>
      </c>
      <c r="AZ191" s="835">
        <v>171</v>
      </c>
      <c r="BA191" s="472">
        <v>66</v>
      </c>
      <c r="BB191" s="384">
        <v>2319</v>
      </c>
      <c r="BC191" s="384">
        <v>171</v>
      </c>
      <c r="BD191" s="472">
        <v>66</v>
      </c>
      <c r="BE191" s="384">
        <v>2319</v>
      </c>
      <c r="BF191" s="384">
        <v>171</v>
      </c>
      <c r="BG191" s="472">
        <v>66</v>
      </c>
      <c r="BH191" s="384">
        <v>2319</v>
      </c>
      <c r="BI191" s="384">
        <v>171</v>
      </c>
      <c r="BJ191" s="472">
        <v>66</v>
      </c>
      <c r="BK191" s="386">
        <f>((2319-2282)/30.5)*3+2319</f>
        <v>2322.6393442622953</v>
      </c>
      <c r="BL191" s="386">
        <f>((171-108)/30.5)*3+171</f>
        <v>177.19672131147541</v>
      </c>
      <c r="BM191" s="370">
        <v>66</v>
      </c>
      <c r="BN191" s="386">
        <v>2319</v>
      </c>
      <c r="BO191" s="386">
        <v>171</v>
      </c>
      <c r="BP191" s="370">
        <v>66</v>
      </c>
      <c r="BQ191" s="384">
        <v>2282</v>
      </c>
      <c r="BR191" s="384">
        <f>108</f>
        <v>108</v>
      </c>
      <c r="BS191" s="472">
        <v>66</v>
      </c>
      <c r="BT191" s="384">
        <v>2282</v>
      </c>
      <c r="BU191" s="384">
        <f>108</f>
        <v>108</v>
      </c>
      <c r="BV191" s="472">
        <v>66</v>
      </c>
      <c r="BW191" s="384">
        <v>2282</v>
      </c>
      <c r="BX191" s="384">
        <f>108</f>
        <v>108</v>
      </c>
      <c r="BY191" s="472">
        <v>66</v>
      </c>
      <c r="BZ191" s="384">
        <v>2282</v>
      </c>
      <c r="CA191" s="384">
        <f>108</f>
        <v>108</v>
      </c>
      <c r="CB191" s="472">
        <v>66</v>
      </c>
      <c r="CC191" s="384">
        <v>2282</v>
      </c>
      <c r="CD191" s="384">
        <f>108</f>
        <v>108</v>
      </c>
      <c r="CE191" s="472">
        <v>66</v>
      </c>
      <c r="CF191" s="384">
        <v>2282</v>
      </c>
      <c r="CG191" s="384">
        <f>108</f>
        <v>108</v>
      </c>
      <c r="CH191" s="472">
        <v>66</v>
      </c>
      <c r="CI191" s="384">
        <v>2282</v>
      </c>
      <c r="CJ191" s="384">
        <f>108</f>
        <v>108</v>
      </c>
      <c r="CK191" s="472">
        <v>66</v>
      </c>
      <c r="CL191" s="384">
        <v>2282</v>
      </c>
      <c r="CM191" s="384">
        <f>108</f>
        <v>108</v>
      </c>
      <c r="CN191" s="472">
        <v>66</v>
      </c>
      <c r="CO191" s="384">
        <v>2282</v>
      </c>
      <c r="CP191" s="384">
        <f>108</f>
        <v>108</v>
      </c>
      <c r="CQ191" s="472">
        <v>66</v>
      </c>
      <c r="CR191" s="384">
        <v>2282</v>
      </c>
      <c r="CS191" s="384">
        <f>108</f>
        <v>108</v>
      </c>
      <c r="CT191" s="472">
        <v>66</v>
      </c>
      <c r="CU191" s="384">
        <v>2282</v>
      </c>
      <c r="CV191" s="384">
        <f>108</f>
        <v>108</v>
      </c>
      <c r="CW191" s="472">
        <v>66</v>
      </c>
      <c r="CX191" s="384">
        <v>2282</v>
      </c>
      <c r="CY191" s="384">
        <f>108</f>
        <v>108</v>
      </c>
      <c r="CZ191" s="472">
        <v>66</v>
      </c>
      <c r="DA191" s="384">
        <v>2282</v>
      </c>
      <c r="DB191" s="384">
        <f>108</f>
        <v>108</v>
      </c>
      <c r="DC191" s="472">
        <v>66</v>
      </c>
      <c r="DD191" s="384">
        <v>2282</v>
      </c>
      <c r="DE191" s="384">
        <f>108</f>
        <v>108</v>
      </c>
      <c r="DF191" s="472">
        <v>66</v>
      </c>
      <c r="DG191" s="384">
        <v>2282</v>
      </c>
      <c r="DH191" s="384">
        <f>108</f>
        <v>108</v>
      </c>
      <c r="DI191" s="472">
        <v>66</v>
      </c>
      <c r="DJ191" s="384">
        <v>2282</v>
      </c>
      <c r="DK191" s="384">
        <f>108</f>
        <v>108</v>
      </c>
      <c r="DL191" s="472">
        <v>66</v>
      </c>
      <c r="DM191" s="384">
        <v>2282</v>
      </c>
      <c r="DN191" s="384">
        <f>108</f>
        <v>108</v>
      </c>
      <c r="DO191" s="472">
        <v>66</v>
      </c>
      <c r="DP191" s="384">
        <v>2282</v>
      </c>
      <c r="DQ191" s="384">
        <f>108</f>
        <v>108</v>
      </c>
      <c r="DR191" s="472">
        <v>66</v>
      </c>
      <c r="DS191" s="384">
        <v>2282</v>
      </c>
      <c r="DT191" s="384">
        <f>108</f>
        <v>108</v>
      </c>
      <c r="DU191" s="472">
        <v>66</v>
      </c>
      <c r="DV191" s="384">
        <v>2282</v>
      </c>
      <c r="DW191" s="384">
        <f>108</f>
        <v>108</v>
      </c>
      <c r="DX191" s="472">
        <v>66</v>
      </c>
      <c r="DY191" s="384">
        <v>2282</v>
      </c>
      <c r="DZ191" s="384">
        <f>108</f>
        <v>108</v>
      </c>
      <c r="EA191" s="472">
        <v>66</v>
      </c>
      <c r="EB191" s="384">
        <v>2282</v>
      </c>
      <c r="EC191" s="384">
        <f>108</f>
        <v>108</v>
      </c>
      <c r="ED191" s="472">
        <v>66</v>
      </c>
      <c r="EE191" s="384">
        <v>2282</v>
      </c>
      <c r="EF191" s="384">
        <f>108</f>
        <v>108</v>
      </c>
      <c r="EG191" s="472">
        <v>66</v>
      </c>
      <c r="EH191" s="384">
        <v>2282</v>
      </c>
      <c r="EI191" s="384">
        <f>108</f>
        <v>108</v>
      </c>
      <c r="EJ191" s="472">
        <v>66</v>
      </c>
      <c r="EK191" s="384">
        <v>2282</v>
      </c>
      <c r="EL191" s="384">
        <f>108</f>
        <v>108</v>
      </c>
      <c r="EM191" s="472">
        <v>66</v>
      </c>
      <c r="EN191" s="384">
        <v>2282</v>
      </c>
      <c r="EO191" s="384">
        <f>108</f>
        <v>108</v>
      </c>
      <c r="EP191" s="472">
        <v>66</v>
      </c>
      <c r="EQ191" s="384">
        <v>2282</v>
      </c>
      <c r="ER191" s="384">
        <f>108</f>
        <v>108</v>
      </c>
      <c r="ES191" s="472">
        <v>66</v>
      </c>
      <c r="ET191" s="384">
        <v>2282</v>
      </c>
      <c r="EU191" s="384">
        <f>108</f>
        <v>108</v>
      </c>
      <c r="EV191" s="472">
        <v>66</v>
      </c>
      <c r="EW191" s="384">
        <v>2282</v>
      </c>
      <c r="EX191" s="384">
        <f>108</f>
        <v>108</v>
      </c>
      <c r="EY191" s="472">
        <v>66</v>
      </c>
      <c r="EZ191" s="384">
        <v>2282</v>
      </c>
      <c r="FA191" s="384">
        <f>108</f>
        <v>108</v>
      </c>
      <c r="FB191" s="472">
        <v>66</v>
      </c>
      <c r="FC191" s="384">
        <v>2282</v>
      </c>
      <c r="FD191" s="384">
        <f>108</f>
        <v>108</v>
      </c>
      <c r="FE191" s="472">
        <v>66</v>
      </c>
      <c r="FF191" s="384">
        <v>2282</v>
      </c>
      <c r="FG191" s="384">
        <f>108</f>
        <v>108</v>
      </c>
      <c r="FH191" s="472">
        <v>66</v>
      </c>
      <c r="FI191" s="384">
        <v>2282</v>
      </c>
      <c r="FJ191" s="384">
        <f>108</f>
        <v>108</v>
      </c>
      <c r="FK191" s="472">
        <v>66</v>
      </c>
      <c r="FL191" s="384">
        <v>2282</v>
      </c>
      <c r="FM191" s="384">
        <f>108</f>
        <v>108</v>
      </c>
      <c r="FN191" s="472">
        <v>66</v>
      </c>
      <c r="FO191" s="384">
        <v>2282</v>
      </c>
      <c r="FP191" s="384">
        <f>108</f>
        <v>108</v>
      </c>
      <c r="FQ191" s="472">
        <v>66</v>
      </c>
      <c r="FR191" s="384">
        <v>2282</v>
      </c>
      <c r="FS191" s="384">
        <f>108</f>
        <v>108</v>
      </c>
      <c r="FT191" s="472">
        <v>66</v>
      </c>
      <c r="FU191" s="385">
        <v>2282</v>
      </c>
      <c r="FV191" s="385">
        <f>108</f>
        <v>108</v>
      </c>
      <c r="FW191" s="369">
        <v>66</v>
      </c>
      <c r="FX191" s="385">
        <v>2282</v>
      </c>
      <c r="FY191" s="385">
        <f>108</f>
        <v>108</v>
      </c>
      <c r="FZ191" s="369">
        <v>66</v>
      </c>
      <c r="GA191" s="385">
        <v>2282</v>
      </c>
      <c r="GB191" s="385">
        <f>108</f>
        <v>108</v>
      </c>
      <c r="GC191" s="369">
        <v>66</v>
      </c>
      <c r="GD191" s="385">
        <v>2282</v>
      </c>
      <c r="GE191" s="385">
        <f>108</f>
        <v>108</v>
      </c>
      <c r="GF191" s="369">
        <v>66</v>
      </c>
      <c r="GG191" s="385">
        <v>2282</v>
      </c>
      <c r="GH191" s="385">
        <f>108</f>
        <v>108</v>
      </c>
      <c r="GI191" s="369">
        <v>66</v>
      </c>
      <c r="GJ191" s="385">
        <v>2282</v>
      </c>
      <c r="GK191" s="385">
        <f>108</f>
        <v>108</v>
      </c>
      <c r="GL191" s="369">
        <v>66</v>
      </c>
      <c r="GM191" s="385">
        <v>2282</v>
      </c>
      <c r="GN191" s="385">
        <f>108</f>
        <v>108</v>
      </c>
      <c r="GO191" s="369">
        <v>66</v>
      </c>
      <c r="GP191" s="386">
        <v>2295.1147540983607</v>
      </c>
      <c r="GQ191" s="386">
        <f>108</f>
        <v>108</v>
      </c>
      <c r="GR191" s="370">
        <v>66</v>
      </c>
      <c r="GS191" s="385">
        <v>2242</v>
      </c>
      <c r="GT191" s="385">
        <f>108</f>
        <v>108</v>
      </c>
      <c r="GU191" s="369">
        <v>66</v>
      </c>
      <c r="GV191" s="385">
        <v>2242</v>
      </c>
      <c r="GW191" s="385">
        <f>108</f>
        <v>108</v>
      </c>
      <c r="GX191" s="369">
        <v>66</v>
      </c>
      <c r="GY191" s="385">
        <v>2242</v>
      </c>
      <c r="GZ191" s="385">
        <f>108</f>
        <v>108</v>
      </c>
      <c r="HA191" s="369">
        <v>66</v>
      </c>
      <c r="HB191" s="385">
        <v>2242</v>
      </c>
      <c r="HC191" s="385">
        <f>108</f>
        <v>108</v>
      </c>
      <c r="HD191" s="369">
        <v>66</v>
      </c>
      <c r="HE191" s="385">
        <v>2242</v>
      </c>
      <c r="HF191" s="386">
        <f>108*6</f>
        <v>648</v>
      </c>
      <c r="HG191" s="369">
        <v>66</v>
      </c>
      <c r="HH191" s="385">
        <v>2242</v>
      </c>
      <c r="HI191" s="369">
        <v>66</v>
      </c>
      <c r="HJ191" s="385">
        <v>2242</v>
      </c>
      <c r="HK191" s="369">
        <v>66</v>
      </c>
      <c r="HL191" s="385">
        <v>2242</v>
      </c>
      <c r="HM191" s="369">
        <v>66</v>
      </c>
      <c r="HN191" s="385">
        <v>2242</v>
      </c>
      <c r="HO191" s="369">
        <v>66</v>
      </c>
      <c r="HP191" s="385">
        <v>2242</v>
      </c>
      <c r="HQ191" s="369">
        <v>66</v>
      </c>
      <c r="HR191" s="385">
        <v>2242</v>
      </c>
      <c r="HS191" s="369">
        <v>66</v>
      </c>
      <c r="HT191" s="386">
        <v>4484.512852602069</v>
      </c>
      <c r="HU191" s="370">
        <v>131.22</v>
      </c>
      <c r="HV191" s="567"/>
      <c r="HW191" s="567"/>
      <c r="HX191" s="567"/>
      <c r="HY191" s="567"/>
      <c r="HZ191" s="567"/>
      <c r="IA191" s="567"/>
      <c r="IB191" s="567"/>
      <c r="IC191" s="567"/>
      <c r="ID191" s="567"/>
      <c r="IE191" s="567"/>
      <c r="IF191" s="567"/>
      <c r="IG191" s="567"/>
      <c r="IH191" s="568"/>
      <c r="II191" s="569"/>
      <c r="IJ191" s="568"/>
      <c r="IK191" s="569"/>
      <c r="IL191" s="568"/>
      <c r="IM191" s="569"/>
      <c r="IN191" s="568"/>
      <c r="IO191" s="569"/>
      <c r="IP191" s="568"/>
      <c r="IQ191" s="569"/>
      <c r="IR191" s="620" t="s">
        <v>3411</v>
      </c>
      <c r="IS191" s="587" t="s">
        <v>77</v>
      </c>
      <c r="IT191" s="611">
        <v>43739</v>
      </c>
      <c r="IU191" s="518">
        <v>43800</v>
      </c>
      <c r="IV191" s="518">
        <v>44126</v>
      </c>
      <c r="IW191" s="526">
        <f t="shared" si="22"/>
        <v>61</v>
      </c>
      <c r="IX191" s="621">
        <f t="shared" si="26"/>
        <v>147.03320828203505</v>
      </c>
      <c r="IY191" s="621">
        <v>4484.512852602069</v>
      </c>
      <c r="IZ191" s="374"/>
    </row>
    <row r="192" spans="1:261" s="367" customFormat="1" ht="16.5" customHeight="1" x14ac:dyDescent="0.3">
      <c r="A192" s="526" t="s">
        <v>2735</v>
      </c>
      <c r="B192" s="622" t="s">
        <v>2801</v>
      </c>
      <c r="C192" s="994" t="s">
        <v>653</v>
      </c>
      <c r="D192" s="624">
        <v>899</v>
      </c>
      <c r="E192" s="625">
        <v>24</v>
      </c>
      <c r="F192" s="625">
        <v>0</v>
      </c>
      <c r="G192" s="625">
        <v>36</v>
      </c>
      <c r="H192" s="626">
        <v>66</v>
      </c>
      <c r="I192" s="858">
        <f>(923+4104)</f>
        <v>5027</v>
      </c>
      <c r="J192" s="859">
        <f>(36+420)</f>
        <v>456</v>
      </c>
      <c r="K192" s="831">
        <v>66</v>
      </c>
      <c r="L192" s="831">
        <v>581</v>
      </c>
      <c r="M192" s="831">
        <f>1</f>
        <v>1</v>
      </c>
      <c r="N192" s="831">
        <v>66</v>
      </c>
      <c r="O192" s="831">
        <v>581</v>
      </c>
      <c r="P192" s="831">
        <f>1</f>
        <v>1</v>
      </c>
      <c r="Q192" s="831">
        <v>66</v>
      </c>
      <c r="R192" s="831">
        <v>581</v>
      </c>
      <c r="S192" s="831">
        <f>1</f>
        <v>1</v>
      </c>
      <c r="T192" s="831">
        <v>66</v>
      </c>
      <c r="U192" s="831">
        <v>581</v>
      </c>
      <c r="V192" s="831">
        <f>1</f>
        <v>1</v>
      </c>
      <c r="W192" s="831">
        <v>66</v>
      </c>
      <c r="X192" s="831">
        <v>581</v>
      </c>
      <c r="Y192" s="831">
        <f>1</f>
        <v>1</v>
      </c>
      <c r="Z192" s="831">
        <v>66</v>
      </c>
      <c r="AA192" s="831">
        <v>581</v>
      </c>
      <c r="AB192" s="831">
        <f>1</f>
        <v>1</v>
      </c>
      <c r="AC192" s="831">
        <v>66</v>
      </c>
      <c r="AD192" s="831">
        <v>581</v>
      </c>
      <c r="AE192" s="831">
        <f>1</f>
        <v>1</v>
      </c>
      <c r="AF192" s="831">
        <v>66</v>
      </c>
      <c r="AG192" s="831">
        <v>581</v>
      </c>
      <c r="AH192" s="831">
        <f>1</f>
        <v>1</v>
      </c>
      <c r="AI192" s="831">
        <v>66</v>
      </c>
      <c r="AJ192" s="831">
        <v>581</v>
      </c>
      <c r="AK192" s="831">
        <f>1</f>
        <v>1</v>
      </c>
      <c r="AL192" s="831">
        <v>66</v>
      </c>
      <c r="AM192" s="831">
        <v>581</v>
      </c>
      <c r="AN192" s="831">
        <f>1</f>
        <v>1</v>
      </c>
      <c r="AO192" s="831">
        <v>66</v>
      </c>
      <c r="AP192" s="831">
        <v>581</v>
      </c>
      <c r="AQ192" s="831">
        <f>1</f>
        <v>1</v>
      </c>
      <c r="AR192" s="831">
        <v>66</v>
      </c>
      <c r="AS192" s="831">
        <v>581</v>
      </c>
      <c r="AT192" s="831">
        <f>1</f>
        <v>1</v>
      </c>
      <c r="AU192" s="831">
        <v>66</v>
      </c>
      <c r="AV192" s="831">
        <v>581</v>
      </c>
      <c r="AW192" s="831">
        <f>1</f>
        <v>1</v>
      </c>
      <c r="AX192" s="831">
        <v>66</v>
      </c>
      <c r="AY192" s="831">
        <v>581</v>
      </c>
      <c r="AZ192" s="831">
        <f>1</f>
        <v>1</v>
      </c>
      <c r="BA192" s="369">
        <v>66</v>
      </c>
      <c r="BB192" s="385">
        <v>581</v>
      </c>
      <c r="BC192" s="385">
        <f>1</f>
        <v>1</v>
      </c>
      <c r="BD192" s="369">
        <v>66</v>
      </c>
      <c r="BE192" s="385">
        <v>581</v>
      </c>
      <c r="BF192" s="385">
        <f>1</f>
        <v>1</v>
      </c>
      <c r="BG192" s="369">
        <v>66</v>
      </c>
      <c r="BH192" s="385">
        <v>581</v>
      </c>
      <c r="BI192" s="385">
        <f>1</f>
        <v>1</v>
      </c>
      <c r="BJ192" s="369">
        <v>66</v>
      </c>
      <c r="BK192" s="385">
        <v>581</v>
      </c>
      <c r="BL192" s="385">
        <f>1</f>
        <v>1</v>
      </c>
      <c r="BM192" s="369">
        <v>66</v>
      </c>
      <c r="BN192" s="385">
        <v>581</v>
      </c>
      <c r="BO192" s="385">
        <f>1</f>
        <v>1</v>
      </c>
      <c r="BP192" s="369">
        <v>66</v>
      </c>
      <c r="BQ192" s="385">
        <v>581</v>
      </c>
      <c r="BR192" s="385">
        <f>1</f>
        <v>1</v>
      </c>
      <c r="BS192" s="369">
        <v>66</v>
      </c>
      <c r="BT192" s="385">
        <v>581</v>
      </c>
      <c r="BU192" s="385">
        <f>1</f>
        <v>1</v>
      </c>
      <c r="BV192" s="369">
        <v>66</v>
      </c>
      <c r="BW192" s="385">
        <v>581</v>
      </c>
      <c r="BX192" s="385">
        <f>1</f>
        <v>1</v>
      </c>
      <c r="BY192" s="369">
        <v>66</v>
      </c>
      <c r="BZ192" s="385">
        <v>581</v>
      </c>
      <c r="CA192" s="385">
        <f>1</f>
        <v>1</v>
      </c>
      <c r="CB192" s="369">
        <v>66</v>
      </c>
      <c r="CC192" s="385">
        <v>581</v>
      </c>
      <c r="CD192" s="385">
        <f>1</f>
        <v>1</v>
      </c>
      <c r="CE192" s="369">
        <v>66</v>
      </c>
      <c r="CF192" s="385">
        <v>581</v>
      </c>
      <c r="CG192" s="385">
        <f>1</f>
        <v>1</v>
      </c>
      <c r="CH192" s="369">
        <v>66</v>
      </c>
      <c r="CI192" s="385">
        <v>581</v>
      </c>
      <c r="CJ192" s="385">
        <f>1</f>
        <v>1</v>
      </c>
      <c r="CK192" s="369">
        <v>66</v>
      </c>
      <c r="CL192" s="385">
        <v>581</v>
      </c>
      <c r="CM192" s="385">
        <f>1</f>
        <v>1</v>
      </c>
      <c r="CN192" s="369">
        <v>66</v>
      </c>
      <c r="CO192" s="385">
        <v>581</v>
      </c>
      <c r="CP192" s="385">
        <f>1</f>
        <v>1</v>
      </c>
      <c r="CQ192" s="369">
        <v>66</v>
      </c>
      <c r="CR192" s="385">
        <v>581</v>
      </c>
      <c r="CS192" s="385">
        <f>1</f>
        <v>1</v>
      </c>
      <c r="CT192" s="369">
        <v>66</v>
      </c>
      <c r="CU192" s="385">
        <v>581</v>
      </c>
      <c r="CV192" s="385">
        <f>1</f>
        <v>1</v>
      </c>
      <c r="CW192" s="369">
        <v>66</v>
      </c>
      <c r="CX192" s="385">
        <v>581</v>
      </c>
      <c r="CY192" s="385">
        <f>1</f>
        <v>1</v>
      </c>
      <c r="CZ192" s="369">
        <v>66</v>
      </c>
      <c r="DA192" s="385">
        <v>581</v>
      </c>
      <c r="DB192" s="385">
        <f>1</f>
        <v>1</v>
      </c>
      <c r="DC192" s="369">
        <v>66</v>
      </c>
      <c r="DD192" s="385">
        <v>581</v>
      </c>
      <c r="DE192" s="385">
        <f>1</f>
        <v>1</v>
      </c>
      <c r="DF192" s="369">
        <v>66</v>
      </c>
      <c r="DG192" s="385">
        <v>581</v>
      </c>
      <c r="DH192" s="385">
        <f>1</f>
        <v>1</v>
      </c>
      <c r="DI192" s="369">
        <v>66</v>
      </c>
      <c r="DJ192" s="385">
        <v>581</v>
      </c>
      <c r="DK192" s="385">
        <f>1</f>
        <v>1</v>
      </c>
      <c r="DL192" s="369">
        <v>66</v>
      </c>
      <c r="DM192" s="385">
        <v>581</v>
      </c>
      <c r="DN192" s="385">
        <f>1</f>
        <v>1</v>
      </c>
      <c r="DO192" s="369">
        <v>66</v>
      </c>
      <c r="DP192" s="385">
        <v>581</v>
      </c>
      <c r="DQ192" s="385">
        <f>1</f>
        <v>1</v>
      </c>
      <c r="DR192" s="369">
        <v>66</v>
      </c>
      <c r="DS192" s="385">
        <v>581</v>
      </c>
      <c r="DT192" s="385">
        <f>1</f>
        <v>1</v>
      </c>
      <c r="DU192" s="369">
        <v>66</v>
      </c>
      <c r="DV192" s="385">
        <v>581</v>
      </c>
      <c r="DW192" s="385">
        <f>1</f>
        <v>1</v>
      </c>
      <c r="DX192" s="369">
        <v>66</v>
      </c>
      <c r="DY192" s="385">
        <v>581</v>
      </c>
      <c r="DZ192" s="385">
        <f>1</f>
        <v>1</v>
      </c>
      <c r="EA192" s="369">
        <v>66</v>
      </c>
      <c r="EB192" s="385">
        <v>581</v>
      </c>
      <c r="EC192" s="385">
        <f>1</f>
        <v>1</v>
      </c>
      <c r="ED192" s="369">
        <v>66</v>
      </c>
      <c r="EE192" s="385">
        <v>581</v>
      </c>
      <c r="EF192" s="385">
        <f>1</f>
        <v>1</v>
      </c>
      <c r="EG192" s="369">
        <v>66</v>
      </c>
      <c r="EH192" s="385">
        <v>581</v>
      </c>
      <c r="EI192" s="385">
        <f>1</f>
        <v>1</v>
      </c>
      <c r="EJ192" s="369">
        <v>66</v>
      </c>
      <c r="EK192" s="385">
        <v>581</v>
      </c>
      <c r="EL192" s="385">
        <f>1</f>
        <v>1</v>
      </c>
      <c r="EM192" s="369">
        <v>66</v>
      </c>
      <c r="EN192" s="385">
        <v>581</v>
      </c>
      <c r="EO192" s="385">
        <f>1</f>
        <v>1</v>
      </c>
      <c r="EP192" s="369">
        <v>66</v>
      </c>
      <c r="EQ192" s="385">
        <v>581</v>
      </c>
      <c r="ER192" s="385">
        <f>1</f>
        <v>1</v>
      </c>
      <c r="ES192" s="369">
        <v>66</v>
      </c>
      <c r="ET192" s="385">
        <v>581</v>
      </c>
      <c r="EU192" s="385">
        <f>1</f>
        <v>1</v>
      </c>
      <c r="EV192" s="369">
        <v>66</v>
      </c>
      <c r="EW192" s="385">
        <v>581</v>
      </c>
      <c r="EX192" s="385">
        <f>1</f>
        <v>1</v>
      </c>
      <c r="EY192" s="369">
        <v>66</v>
      </c>
      <c r="EZ192" s="385">
        <v>581</v>
      </c>
      <c r="FA192" s="385">
        <f>1</f>
        <v>1</v>
      </c>
      <c r="FB192" s="369">
        <v>66</v>
      </c>
      <c r="FC192" s="385">
        <v>581</v>
      </c>
      <c r="FD192" s="385">
        <f>1</f>
        <v>1</v>
      </c>
      <c r="FE192" s="369">
        <v>66</v>
      </c>
      <c r="FF192" s="385">
        <v>581</v>
      </c>
      <c r="FG192" s="385">
        <f>1</f>
        <v>1</v>
      </c>
      <c r="FH192" s="369">
        <v>66</v>
      </c>
      <c r="FI192" s="385">
        <v>581</v>
      </c>
      <c r="FJ192" s="385">
        <f>1</f>
        <v>1</v>
      </c>
      <c r="FK192" s="369">
        <v>66</v>
      </c>
      <c r="FL192" s="385">
        <v>581</v>
      </c>
      <c r="FM192" s="385">
        <f>1</f>
        <v>1</v>
      </c>
      <c r="FN192" s="369">
        <v>66</v>
      </c>
      <c r="FO192" s="385">
        <v>581</v>
      </c>
      <c r="FP192" s="385">
        <f>1</f>
        <v>1</v>
      </c>
      <c r="FQ192" s="369">
        <v>66</v>
      </c>
      <c r="FR192" s="385">
        <v>581</v>
      </c>
      <c r="FS192" s="385">
        <f>1</f>
        <v>1</v>
      </c>
      <c r="FT192" s="369">
        <v>66</v>
      </c>
      <c r="FU192" s="386">
        <v>581</v>
      </c>
      <c r="FV192" s="386">
        <f>1</f>
        <v>1</v>
      </c>
      <c r="FW192" s="370">
        <v>66</v>
      </c>
      <c r="FX192" s="385">
        <v>581</v>
      </c>
      <c r="FY192" s="385">
        <f>1</f>
        <v>1</v>
      </c>
      <c r="FZ192" s="358"/>
      <c r="GA192" s="385">
        <v>581</v>
      </c>
      <c r="GB192" s="385">
        <f>1</f>
        <v>1</v>
      </c>
      <c r="GC192" s="358"/>
      <c r="GD192" s="385">
        <v>581</v>
      </c>
      <c r="GE192" s="385">
        <f>1</f>
        <v>1</v>
      </c>
      <c r="GF192" s="358"/>
      <c r="GG192" s="385">
        <v>581</v>
      </c>
      <c r="GH192" s="385">
        <f>1</f>
        <v>1</v>
      </c>
      <c r="GI192" s="358"/>
      <c r="GJ192" s="385">
        <v>581</v>
      </c>
      <c r="GK192" s="385">
        <f>1</f>
        <v>1</v>
      </c>
      <c r="GL192" s="358"/>
      <c r="GM192" s="385">
        <v>581</v>
      </c>
      <c r="GN192" s="385">
        <f>1</f>
        <v>1</v>
      </c>
      <c r="GO192" s="358"/>
      <c r="GP192" s="385">
        <v>581</v>
      </c>
      <c r="GQ192" s="385">
        <f>1</f>
        <v>1</v>
      </c>
      <c r="GR192" s="358"/>
      <c r="GS192" s="385">
        <v>581</v>
      </c>
      <c r="GT192" s="385">
        <f>1</f>
        <v>1</v>
      </c>
      <c r="GU192" s="358"/>
      <c r="GV192" s="385">
        <v>581</v>
      </c>
      <c r="GW192" s="385">
        <f>1</f>
        <v>1</v>
      </c>
      <c r="GX192" s="358"/>
      <c r="GY192" s="385">
        <v>581</v>
      </c>
      <c r="GZ192" s="385">
        <f>1</f>
        <v>1</v>
      </c>
      <c r="HA192" s="358"/>
      <c r="HB192" s="385">
        <v>581</v>
      </c>
      <c r="HC192" s="385">
        <f>1</f>
        <v>1</v>
      </c>
      <c r="HD192" s="358"/>
      <c r="HE192" s="385">
        <v>581</v>
      </c>
      <c r="HF192" s="386">
        <f>1*6</f>
        <v>6</v>
      </c>
      <c r="HG192" s="358"/>
      <c r="HH192" s="385">
        <v>581</v>
      </c>
      <c r="HI192" s="358"/>
      <c r="HJ192" s="385">
        <v>581</v>
      </c>
      <c r="HK192" s="358"/>
      <c r="HL192" s="385">
        <v>581</v>
      </c>
      <c r="HM192" s="358"/>
      <c r="HN192" s="385">
        <v>581</v>
      </c>
      <c r="HO192" s="358"/>
      <c r="HP192" s="385">
        <v>581</v>
      </c>
      <c r="HQ192" s="358"/>
      <c r="HR192" s="385">
        <v>581</v>
      </c>
      <c r="HS192" s="358"/>
      <c r="HT192" s="386">
        <v>1124.784562352821</v>
      </c>
      <c r="HU192" s="358"/>
      <c r="HV192" s="567"/>
      <c r="HW192" s="567"/>
      <c r="HX192" s="567"/>
      <c r="HY192" s="567"/>
      <c r="HZ192" s="567"/>
      <c r="IA192" s="567"/>
      <c r="IB192" s="567"/>
      <c r="IC192" s="567"/>
      <c r="ID192" s="567"/>
      <c r="IE192" s="567"/>
      <c r="IF192" s="567"/>
      <c r="IG192" s="567"/>
      <c r="IH192" s="568"/>
      <c r="II192" s="569"/>
      <c r="IJ192" s="568"/>
      <c r="IK192" s="569"/>
      <c r="IL192" s="568"/>
      <c r="IM192" s="569"/>
      <c r="IN192" s="568"/>
      <c r="IO192" s="569"/>
      <c r="IP192" s="568"/>
      <c r="IQ192" s="569"/>
      <c r="IR192" s="620" t="s">
        <v>3412</v>
      </c>
      <c r="IS192" s="587" t="s">
        <v>77</v>
      </c>
      <c r="IT192" s="611">
        <v>43741</v>
      </c>
      <c r="IU192" s="518">
        <v>43800</v>
      </c>
      <c r="IV192" s="518">
        <v>44348</v>
      </c>
      <c r="IW192" s="526">
        <f t="shared" si="22"/>
        <v>59</v>
      </c>
      <c r="IX192" s="621">
        <f t="shared" si="26"/>
        <v>36.878182372223641</v>
      </c>
      <c r="IY192" s="621">
        <v>1124.784562352821</v>
      </c>
      <c r="IZ192" s="374"/>
    </row>
    <row r="193" spans="1:261" s="367" customFormat="1" ht="16.5" customHeight="1" x14ac:dyDescent="0.3">
      <c r="A193" s="526" t="s">
        <v>2735</v>
      </c>
      <c r="B193" s="603" t="s">
        <v>2768</v>
      </c>
      <c r="C193" s="604" t="s">
        <v>662</v>
      </c>
      <c r="D193" s="605">
        <v>1229</v>
      </c>
      <c r="E193" s="606">
        <v>44</v>
      </c>
      <c r="F193" s="606">
        <v>40</v>
      </c>
      <c r="G193" s="606">
        <v>5</v>
      </c>
      <c r="H193" s="607">
        <v>66</v>
      </c>
      <c r="I193" s="847">
        <v>1313</v>
      </c>
      <c r="J193" s="837">
        <v>5</v>
      </c>
      <c r="K193" s="837">
        <v>66</v>
      </c>
      <c r="L193" s="837">
        <v>1313</v>
      </c>
      <c r="M193" s="837">
        <v>5</v>
      </c>
      <c r="N193" s="837">
        <v>66</v>
      </c>
      <c r="O193" s="837">
        <v>1313</v>
      </c>
      <c r="P193" s="837">
        <v>5</v>
      </c>
      <c r="Q193" s="837">
        <v>66</v>
      </c>
      <c r="R193" s="837">
        <v>1313</v>
      </c>
      <c r="S193" s="837">
        <v>5</v>
      </c>
      <c r="T193" s="837">
        <v>66</v>
      </c>
      <c r="U193" s="837">
        <v>1313</v>
      </c>
      <c r="V193" s="837">
        <v>5</v>
      </c>
      <c r="W193" s="837">
        <v>66</v>
      </c>
      <c r="X193" s="837">
        <v>1313</v>
      </c>
      <c r="Y193" s="837">
        <v>5</v>
      </c>
      <c r="Z193" s="837">
        <v>66</v>
      </c>
      <c r="AA193" s="837">
        <v>1313</v>
      </c>
      <c r="AB193" s="837">
        <v>5</v>
      </c>
      <c r="AC193" s="837">
        <v>66</v>
      </c>
      <c r="AD193" s="837">
        <v>1313</v>
      </c>
      <c r="AE193" s="837">
        <v>5</v>
      </c>
      <c r="AF193" s="837">
        <v>66</v>
      </c>
      <c r="AG193" s="837">
        <v>1313</v>
      </c>
      <c r="AH193" s="837">
        <v>5</v>
      </c>
      <c r="AI193" s="837">
        <v>66</v>
      </c>
      <c r="AJ193" s="837">
        <v>1313</v>
      </c>
      <c r="AK193" s="837">
        <v>5</v>
      </c>
      <c r="AL193" s="837">
        <v>66</v>
      </c>
      <c r="AM193" s="837">
        <v>1313</v>
      </c>
      <c r="AN193" s="837">
        <v>5</v>
      </c>
      <c r="AO193" s="837">
        <v>66</v>
      </c>
      <c r="AP193" s="837">
        <v>1313</v>
      </c>
      <c r="AQ193" s="837">
        <v>5</v>
      </c>
      <c r="AR193" s="837">
        <v>66</v>
      </c>
      <c r="AS193" s="837">
        <v>1313</v>
      </c>
      <c r="AT193" s="837">
        <v>5</v>
      </c>
      <c r="AU193" s="837">
        <v>66</v>
      </c>
      <c r="AV193" s="837">
        <v>1313</v>
      </c>
      <c r="AW193" s="837">
        <v>5</v>
      </c>
      <c r="AX193" s="837">
        <v>66</v>
      </c>
      <c r="AY193" s="837">
        <v>1313</v>
      </c>
      <c r="AZ193" s="837">
        <v>5</v>
      </c>
      <c r="BA193" s="486">
        <v>66</v>
      </c>
      <c r="BB193" s="383">
        <f>((1313-611)/30.5)*21+1313</f>
        <v>1796.344262295082</v>
      </c>
      <c r="BC193" s="383">
        <f>((5-1)/30.5*3)+5</f>
        <v>5.3934426229508201</v>
      </c>
      <c r="BD193" s="486">
        <v>66</v>
      </c>
      <c r="BE193" s="383">
        <v>611</v>
      </c>
      <c r="BF193" s="397">
        <f>1</f>
        <v>1</v>
      </c>
      <c r="BG193" s="627">
        <v>66</v>
      </c>
      <c r="BH193" s="397">
        <v>611</v>
      </c>
      <c r="BI193" s="397">
        <f>1</f>
        <v>1</v>
      </c>
      <c r="BJ193" s="627">
        <v>66</v>
      </c>
      <c r="BK193" s="397">
        <v>611</v>
      </c>
      <c r="BL193" s="397">
        <f>1</f>
        <v>1</v>
      </c>
      <c r="BM193" s="627">
        <v>66</v>
      </c>
      <c r="BN193" s="397">
        <v>611</v>
      </c>
      <c r="BO193" s="397">
        <f>1</f>
        <v>1</v>
      </c>
      <c r="BP193" s="627">
        <v>66</v>
      </c>
      <c r="BQ193" s="397">
        <v>611</v>
      </c>
      <c r="BR193" s="397">
        <f>1</f>
        <v>1</v>
      </c>
      <c r="BS193" s="627">
        <v>66</v>
      </c>
      <c r="BT193" s="413">
        <v>611</v>
      </c>
      <c r="BU193" s="385">
        <f>1</f>
        <v>1</v>
      </c>
      <c r="BV193" s="369">
        <v>66</v>
      </c>
      <c r="BW193" s="385">
        <v>611</v>
      </c>
      <c r="BX193" s="385">
        <f>1</f>
        <v>1</v>
      </c>
      <c r="BY193" s="369">
        <v>66</v>
      </c>
      <c r="BZ193" s="385">
        <v>611</v>
      </c>
      <c r="CA193" s="385">
        <f>1</f>
        <v>1</v>
      </c>
      <c r="CB193" s="369">
        <v>66</v>
      </c>
      <c r="CC193" s="385">
        <v>611</v>
      </c>
      <c r="CD193" s="385">
        <f>1</f>
        <v>1</v>
      </c>
      <c r="CE193" s="369">
        <v>66</v>
      </c>
      <c r="CF193" s="385">
        <v>611</v>
      </c>
      <c r="CG193" s="385">
        <f>1</f>
        <v>1</v>
      </c>
      <c r="CH193" s="369">
        <v>66</v>
      </c>
      <c r="CI193" s="385">
        <v>611</v>
      </c>
      <c r="CJ193" s="385">
        <f>1</f>
        <v>1</v>
      </c>
      <c r="CK193" s="369">
        <v>66</v>
      </c>
      <c r="CL193" s="385">
        <v>611</v>
      </c>
      <c r="CM193" s="385">
        <f>1</f>
        <v>1</v>
      </c>
      <c r="CN193" s="369">
        <v>66</v>
      </c>
      <c r="CO193" s="385">
        <v>611</v>
      </c>
      <c r="CP193" s="385">
        <f>1</f>
        <v>1</v>
      </c>
      <c r="CQ193" s="369">
        <v>66</v>
      </c>
      <c r="CR193" s="385">
        <v>611</v>
      </c>
      <c r="CS193" s="385">
        <f>1</f>
        <v>1</v>
      </c>
      <c r="CT193" s="369">
        <v>66</v>
      </c>
      <c r="CU193" s="385">
        <v>611</v>
      </c>
      <c r="CV193" s="385">
        <f>1</f>
        <v>1</v>
      </c>
      <c r="CW193" s="369">
        <v>66</v>
      </c>
      <c r="CX193" s="385">
        <v>611</v>
      </c>
      <c r="CY193" s="385">
        <f>1</f>
        <v>1</v>
      </c>
      <c r="CZ193" s="369">
        <v>66</v>
      </c>
      <c r="DA193" s="385">
        <v>611</v>
      </c>
      <c r="DB193" s="385">
        <f>1</f>
        <v>1</v>
      </c>
      <c r="DC193" s="369">
        <v>66</v>
      </c>
      <c r="DD193" s="385">
        <v>611</v>
      </c>
      <c r="DE193" s="385">
        <f>1</f>
        <v>1</v>
      </c>
      <c r="DF193" s="369">
        <v>66</v>
      </c>
      <c r="DG193" s="385">
        <v>611</v>
      </c>
      <c r="DH193" s="385">
        <f>1</f>
        <v>1</v>
      </c>
      <c r="DI193" s="369">
        <v>66</v>
      </c>
      <c r="DJ193" s="385">
        <v>611</v>
      </c>
      <c r="DK193" s="385">
        <f>1</f>
        <v>1</v>
      </c>
      <c r="DL193" s="369">
        <v>66</v>
      </c>
      <c r="DM193" s="385">
        <v>611</v>
      </c>
      <c r="DN193" s="385">
        <f>1</f>
        <v>1</v>
      </c>
      <c r="DO193" s="369">
        <v>66</v>
      </c>
      <c r="DP193" s="385">
        <v>611</v>
      </c>
      <c r="DQ193" s="385">
        <f>1</f>
        <v>1</v>
      </c>
      <c r="DR193" s="369">
        <v>66</v>
      </c>
      <c r="DS193" s="385">
        <v>611</v>
      </c>
      <c r="DT193" s="385">
        <f>1</f>
        <v>1</v>
      </c>
      <c r="DU193" s="369">
        <v>66</v>
      </c>
      <c r="DV193" s="385">
        <v>611</v>
      </c>
      <c r="DW193" s="385">
        <f>1</f>
        <v>1</v>
      </c>
      <c r="DX193" s="369">
        <v>66</v>
      </c>
      <c r="DY193" s="385">
        <v>611</v>
      </c>
      <c r="DZ193" s="385">
        <f>1</f>
        <v>1</v>
      </c>
      <c r="EA193" s="369">
        <v>66</v>
      </c>
      <c r="EB193" s="385">
        <v>611</v>
      </c>
      <c r="EC193" s="385">
        <f>1</f>
        <v>1</v>
      </c>
      <c r="ED193" s="369">
        <v>66</v>
      </c>
      <c r="EE193" s="385">
        <v>611</v>
      </c>
      <c r="EF193" s="385">
        <f>1</f>
        <v>1</v>
      </c>
      <c r="EG193" s="369">
        <v>66</v>
      </c>
      <c r="EH193" s="385">
        <v>611</v>
      </c>
      <c r="EI193" s="385">
        <f>1</f>
        <v>1</v>
      </c>
      <c r="EJ193" s="369">
        <v>66</v>
      </c>
      <c r="EK193" s="385">
        <v>611</v>
      </c>
      <c r="EL193" s="385">
        <f>1</f>
        <v>1</v>
      </c>
      <c r="EM193" s="369">
        <v>66</v>
      </c>
      <c r="EN193" s="385">
        <v>611</v>
      </c>
      <c r="EO193" s="385">
        <f>1</f>
        <v>1</v>
      </c>
      <c r="EP193" s="369">
        <v>66</v>
      </c>
      <c r="EQ193" s="385">
        <v>611</v>
      </c>
      <c r="ER193" s="385">
        <f>1</f>
        <v>1</v>
      </c>
      <c r="ES193" s="369">
        <v>66</v>
      </c>
      <c r="ET193" s="385">
        <v>611</v>
      </c>
      <c r="EU193" s="385">
        <f>1</f>
        <v>1</v>
      </c>
      <c r="EV193" s="369">
        <v>66</v>
      </c>
      <c r="EW193" s="385">
        <v>611</v>
      </c>
      <c r="EX193" s="385">
        <f>1</f>
        <v>1</v>
      </c>
      <c r="EY193" s="369">
        <v>66</v>
      </c>
      <c r="EZ193" s="385">
        <v>611</v>
      </c>
      <c r="FA193" s="385">
        <f>1</f>
        <v>1</v>
      </c>
      <c r="FB193" s="369">
        <v>66</v>
      </c>
      <c r="FC193" s="385">
        <v>611</v>
      </c>
      <c r="FD193" s="385">
        <f>1</f>
        <v>1</v>
      </c>
      <c r="FE193" s="369">
        <v>66</v>
      </c>
      <c r="FF193" s="385">
        <v>611</v>
      </c>
      <c r="FG193" s="385">
        <f>1</f>
        <v>1</v>
      </c>
      <c r="FH193" s="369">
        <v>66</v>
      </c>
      <c r="FI193" s="385">
        <v>611</v>
      </c>
      <c r="FJ193" s="385">
        <f>1</f>
        <v>1</v>
      </c>
      <c r="FK193" s="369">
        <v>66</v>
      </c>
      <c r="FL193" s="385">
        <v>611</v>
      </c>
      <c r="FM193" s="385">
        <f>1</f>
        <v>1</v>
      </c>
      <c r="FN193" s="369">
        <v>66</v>
      </c>
      <c r="FO193" s="385">
        <v>611</v>
      </c>
      <c r="FP193" s="385">
        <f>1</f>
        <v>1</v>
      </c>
      <c r="FQ193" s="369">
        <v>66</v>
      </c>
      <c r="FR193" s="385">
        <v>611</v>
      </c>
      <c r="FS193" s="385">
        <f>1</f>
        <v>1</v>
      </c>
      <c r="FT193" s="369">
        <v>66</v>
      </c>
      <c r="FU193" s="386">
        <v>611</v>
      </c>
      <c r="FV193" s="386">
        <f>1</f>
        <v>1</v>
      </c>
      <c r="FW193" s="370">
        <v>66</v>
      </c>
      <c r="FX193" s="385">
        <v>611</v>
      </c>
      <c r="FY193" s="385">
        <f>1</f>
        <v>1</v>
      </c>
      <c r="FZ193" s="358"/>
      <c r="GA193" s="385">
        <v>611</v>
      </c>
      <c r="GB193" s="385">
        <f>1</f>
        <v>1</v>
      </c>
      <c r="GC193" s="358"/>
      <c r="GD193" s="385">
        <v>611</v>
      </c>
      <c r="GE193" s="385">
        <f>1</f>
        <v>1</v>
      </c>
      <c r="GF193" s="358"/>
      <c r="GG193" s="385">
        <v>611</v>
      </c>
      <c r="GH193" s="385">
        <f>1</f>
        <v>1</v>
      </c>
      <c r="GI193" s="358"/>
      <c r="GJ193" s="385">
        <v>611</v>
      </c>
      <c r="GK193" s="385">
        <f>1</f>
        <v>1</v>
      </c>
      <c r="GL193" s="358"/>
      <c r="GM193" s="385">
        <v>611</v>
      </c>
      <c r="GN193" s="385">
        <f>1</f>
        <v>1</v>
      </c>
      <c r="GO193" s="358"/>
      <c r="GP193" s="385">
        <v>611</v>
      </c>
      <c r="GQ193" s="385">
        <f>1</f>
        <v>1</v>
      </c>
      <c r="GR193" s="358"/>
      <c r="GS193" s="385">
        <v>611</v>
      </c>
      <c r="GT193" s="385">
        <f>1</f>
        <v>1</v>
      </c>
      <c r="GU193" s="358"/>
      <c r="GV193" s="385">
        <v>611</v>
      </c>
      <c r="GW193" s="385">
        <f>1</f>
        <v>1</v>
      </c>
      <c r="GX193" s="358"/>
      <c r="GY193" s="385">
        <v>611</v>
      </c>
      <c r="GZ193" s="385">
        <f>1</f>
        <v>1</v>
      </c>
      <c r="HA193" s="358"/>
      <c r="HB193" s="385">
        <v>611</v>
      </c>
      <c r="HC193" s="385">
        <f>1</f>
        <v>1</v>
      </c>
      <c r="HD193" s="358"/>
      <c r="HE193" s="385">
        <v>611</v>
      </c>
      <c r="HF193" s="386">
        <f>1*6</f>
        <v>6</v>
      </c>
      <c r="HG193" s="358"/>
      <c r="HH193" s="385">
        <v>611</v>
      </c>
      <c r="HI193" s="358"/>
      <c r="HJ193" s="385">
        <v>611</v>
      </c>
      <c r="HK193" s="358"/>
      <c r="HL193" s="385">
        <v>611</v>
      </c>
      <c r="HM193" s="358"/>
      <c r="HN193" s="385">
        <v>611</v>
      </c>
      <c r="HO193" s="358"/>
      <c r="HP193" s="385">
        <v>611</v>
      </c>
      <c r="HQ193" s="358"/>
      <c r="HR193" s="385">
        <v>611</v>
      </c>
      <c r="HS193" s="358"/>
      <c r="HT193" s="386">
        <v>1182.8173492380668</v>
      </c>
      <c r="HU193" s="358"/>
      <c r="HV193" s="567"/>
      <c r="HW193" s="567"/>
      <c r="HX193" s="567"/>
      <c r="HY193" s="567"/>
      <c r="HZ193" s="567"/>
      <c r="IA193" s="567"/>
      <c r="IB193" s="567"/>
      <c r="IC193" s="567"/>
      <c r="ID193" s="567"/>
      <c r="IE193" s="567"/>
      <c r="IF193" s="567"/>
      <c r="IG193" s="567"/>
      <c r="IH193" s="568"/>
      <c r="II193" s="569"/>
      <c r="IJ193" s="568"/>
      <c r="IK193" s="569"/>
      <c r="IL193" s="568"/>
      <c r="IM193" s="569"/>
      <c r="IN193" s="568"/>
      <c r="IO193" s="569"/>
      <c r="IP193" s="568"/>
      <c r="IQ193" s="569"/>
      <c r="IR193" s="620" t="s">
        <v>3413</v>
      </c>
      <c r="IS193" s="587" t="s">
        <v>77</v>
      </c>
      <c r="IT193" s="611">
        <v>43741</v>
      </c>
      <c r="IU193" s="518">
        <v>43800</v>
      </c>
      <c r="IV193" s="518">
        <v>44348</v>
      </c>
      <c r="IW193" s="526">
        <f t="shared" si="22"/>
        <v>59</v>
      </c>
      <c r="IX193" s="621">
        <f t="shared" si="26"/>
        <v>38.780896696330061</v>
      </c>
      <c r="IY193" s="621">
        <v>1182.8173492380668</v>
      </c>
      <c r="IZ193" s="374"/>
    </row>
    <row r="194" spans="1:261" s="367" customFormat="1" ht="16.5" customHeight="1" x14ac:dyDescent="0.3">
      <c r="A194" s="526" t="s">
        <v>2743</v>
      </c>
      <c r="B194" s="628" t="s">
        <v>2926</v>
      </c>
      <c r="C194" s="629" t="s">
        <v>961</v>
      </c>
      <c r="D194" s="630">
        <v>1665</v>
      </c>
      <c r="E194" s="631">
        <v>239</v>
      </c>
      <c r="F194" s="631">
        <v>16</v>
      </c>
      <c r="G194" s="631">
        <v>171</v>
      </c>
      <c r="H194" s="632">
        <v>66</v>
      </c>
      <c r="I194" s="830">
        <v>1920</v>
      </c>
      <c r="J194" s="831">
        <f>171</f>
        <v>171</v>
      </c>
      <c r="K194" s="831">
        <v>66</v>
      </c>
      <c r="L194" s="831">
        <v>1920</v>
      </c>
      <c r="M194" s="831">
        <f>171</f>
        <v>171</v>
      </c>
      <c r="N194" s="831">
        <v>66</v>
      </c>
      <c r="O194" s="831">
        <v>1920</v>
      </c>
      <c r="P194" s="831">
        <f>171</f>
        <v>171</v>
      </c>
      <c r="Q194" s="831">
        <v>66</v>
      </c>
      <c r="R194" s="831">
        <v>1920</v>
      </c>
      <c r="S194" s="831">
        <f>171</f>
        <v>171</v>
      </c>
      <c r="T194" s="831">
        <v>66</v>
      </c>
      <c r="U194" s="831">
        <v>1920</v>
      </c>
      <c r="V194" s="831">
        <f>171</f>
        <v>171</v>
      </c>
      <c r="W194" s="831">
        <v>66</v>
      </c>
      <c r="X194" s="831">
        <v>1920</v>
      </c>
      <c r="Y194" s="831">
        <f>171</f>
        <v>171</v>
      </c>
      <c r="Z194" s="831">
        <v>66</v>
      </c>
      <c r="AA194" s="831">
        <v>1920</v>
      </c>
      <c r="AB194" s="831">
        <f>171</f>
        <v>171</v>
      </c>
      <c r="AC194" s="831">
        <v>66</v>
      </c>
      <c r="AD194" s="831">
        <v>1920</v>
      </c>
      <c r="AE194" s="831">
        <f>171</f>
        <v>171</v>
      </c>
      <c r="AF194" s="831">
        <v>66</v>
      </c>
      <c r="AG194" s="831">
        <v>1920</v>
      </c>
      <c r="AH194" s="831">
        <f>171</f>
        <v>171</v>
      </c>
      <c r="AI194" s="831">
        <v>66</v>
      </c>
      <c r="AJ194" s="831">
        <v>1920</v>
      </c>
      <c r="AK194" s="831">
        <f>171</f>
        <v>171</v>
      </c>
      <c r="AL194" s="831">
        <v>66</v>
      </c>
      <c r="AM194" s="831">
        <v>1920</v>
      </c>
      <c r="AN194" s="831">
        <f>171</f>
        <v>171</v>
      </c>
      <c r="AO194" s="831">
        <v>66</v>
      </c>
      <c r="AP194" s="831">
        <v>1920</v>
      </c>
      <c r="AQ194" s="831">
        <f>171</f>
        <v>171</v>
      </c>
      <c r="AR194" s="831">
        <v>66</v>
      </c>
      <c r="AS194" s="831">
        <v>1920</v>
      </c>
      <c r="AT194" s="831">
        <f>171</f>
        <v>171</v>
      </c>
      <c r="AU194" s="831">
        <v>66</v>
      </c>
      <c r="AV194" s="831">
        <v>1920</v>
      </c>
      <c r="AW194" s="831">
        <f>171</f>
        <v>171</v>
      </c>
      <c r="AX194" s="831">
        <v>66</v>
      </c>
      <c r="AY194" s="831">
        <v>1920</v>
      </c>
      <c r="AZ194" s="831">
        <f>171</f>
        <v>171</v>
      </c>
      <c r="BA194" s="369">
        <v>66</v>
      </c>
      <c r="BB194" s="385">
        <v>1920</v>
      </c>
      <c r="BC194" s="385">
        <f>171</f>
        <v>171</v>
      </c>
      <c r="BD194" s="369">
        <v>66</v>
      </c>
      <c r="BE194" s="385">
        <v>1920</v>
      </c>
      <c r="BF194" s="385">
        <f>171</f>
        <v>171</v>
      </c>
      <c r="BG194" s="369">
        <v>66</v>
      </c>
      <c r="BH194" s="385">
        <v>1920</v>
      </c>
      <c r="BI194" s="385">
        <f>171</f>
        <v>171</v>
      </c>
      <c r="BJ194" s="369">
        <v>66</v>
      </c>
      <c r="BK194" s="385">
        <v>1920</v>
      </c>
      <c r="BL194" s="385">
        <f>171</f>
        <v>171</v>
      </c>
      <c r="BM194" s="369">
        <v>66</v>
      </c>
      <c r="BN194" s="385">
        <v>1920</v>
      </c>
      <c r="BO194" s="385">
        <f>171</f>
        <v>171</v>
      </c>
      <c r="BP194" s="369">
        <v>66</v>
      </c>
      <c r="BQ194" s="385">
        <v>1920</v>
      </c>
      <c r="BR194" s="385">
        <f>171</f>
        <v>171</v>
      </c>
      <c r="BS194" s="369">
        <v>66</v>
      </c>
      <c r="BT194" s="385">
        <v>1920</v>
      </c>
      <c r="BU194" s="385">
        <f>171</f>
        <v>171</v>
      </c>
      <c r="BV194" s="369">
        <v>66</v>
      </c>
      <c r="BW194" s="385">
        <v>1920</v>
      </c>
      <c r="BX194" s="385">
        <f>171</f>
        <v>171</v>
      </c>
      <c r="BY194" s="369">
        <v>66</v>
      </c>
      <c r="BZ194" s="385">
        <v>1920</v>
      </c>
      <c r="CA194" s="385">
        <f>171</f>
        <v>171</v>
      </c>
      <c r="CB194" s="369">
        <v>66</v>
      </c>
      <c r="CC194" s="385">
        <v>1920</v>
      </c>
      <c r="CD194" s="385">
        <f>171</f>
        <v>171</v>
      </c>
      <c r="CE194" s="369">
        <v>66</v>
      </c>
      <c r="CF194" s="385">
        <v>1920</v>
      </c>
      <c r="CG194" s="385">
        <f>171</f>
        <v>171</v>
      </c>
      <c r="CH194" s="369">
        <v>66</v>
      </c>
      <c r="CI194" s="385">
        <v>1920</v>
      </c>
      <c r="CJ194" s="385">
        <f>171</f>
        <v>171</v>
      </c>
      <c r="CK194" s="369">
        <v>66</v>
      </c>
      <c r="CL194" s="385">
        <v>1920</v>
      </c>
      <c r="CM194" s="385">
        <f>171</f>
        <v>171</v>
      </c>
      <c r="CN194" s="369">
        <v>66</v>
      </c>
      <c r="CO194" s="385">
        <v>1920</v>
      </c>
      <c r="CP194" s="385">
        <f>171</f>
        <v>171</v>
      </c>
      <c r="CQ194" s="369">
        <v>66</v>
      </c>
      <c r="CR194" s="385">
        <v>1920</v>
      </c>
      <c r="CS194" s="385">
        <f>171</f>
        <v>171</v>
      </c>
      <c r="CT194" s="369">
        <v>66</v>
      </c>
      <c r="CU194" s="385">
        <v>1920</v>
      </c>
      <c r="CV194" s="385">
        <f>171</f>
        <v>171</v>
      </c>
      <c r="CW194" s="369">
        <v>66</v>
      </c>
      <c r="CX194" s="385">
        <v>1920</v>
      </c>
      <c r="CY194" s="385">
        <f>171</f>
        <v>171</v>
      </c>
      <c r="CZ194" s="369">
        <v>66</v>
      </c>
      <c r="DA194" s="385">
        <v>1920</v>
      </c>
      <c r="DB194" s="385">
        <f>171</f>
        <v>171</v>
      </c>
      <c r="DC194" s="369">
        <v>66</v>
      </c>
      <c r="DD194" s="385">
        <v>1920</v>
      </c>
      <c r="DE194" s="385">
        <f>171</f>
        <v>171</v>
      </c>
      <c r="DF194" s="369">
        <v>66</v>
      </c>
      <c r="DG194" s="385">
        <v>1920</v>
      </c>
      <c r="DH194" s="385">
        <f>171</f>
        <v>171</v>
      </c>
      <c r="DI194" s="369">
        <v>66</v>
      </c>
      <c r="DJ194" s="385">
        <v>1920</v>
      </c>
      <c r="DK194" s="385">
        <f>171</f>
        <v>171</v>
      </c>
      <c r="DL194" s="369">
        <v>66</v>
      </c>
      <c r="DM194" s="385">
        <v>1920</v>
      </c>
      <c r="DN194" s="385">
        <f>171</f>
        <v>171</v>
      </c>
      <c r="DO194" s="369">
        <v>66</v>
      </c>
      <c r="DP194" s="385">
        <v>1920</v>
      </c>
      <c r="DQ194" s="385">
        <f>171</f>
        <v>171</v>
      </c>
      <c r="DR194" s="369">
        <v>66</v>
      </c>
      <c r="DS194" s="385">
        <v>1920</v>
      </c>
      <c r="DT194" s="385">
        <f>171</f>
        <v>171</v>
      </c>
      <c r="DU194" s="369">
        <v>66</v>
      </c>
      <c r="DV194" s="385">
        <v>1920</v>
      </c>
      <c r="DW194" s="385">
        <f>171</f>
        <v>171</v>
      </c>
      <c r="DX194" s="369">
        <v>66</v>
      </c>
      <c r="DY194" s="385">
        <v>1920</v>
      </c>
      <c r="DZ194" s="385">
        <f>171</f>
        <v>171</v>
      </c>
      <c r="EA194" s="369">
        <v>66</v>
      </c>
      <c r="EB194" s="385">
        <v>1920</v>
      </c>
      <c r="EC194" s="385">
        <f>171</f>
        <v>171</v>
      </c>
      <c r="ED194" s="369">
        <v>66</v>
      </c>
      <c r="EE194" s="385">
        <v>1920</v>
      </c>
      <c r="EF194" s="385">
        <f>171</f>
        <v>171</v>
      </c>
      <c r="EG194" s="369">
        <v>66</v>
      </c>
      <c r="EH194" s="385">
        <v>1920</v>
      </c>
      <c r="EI194" s="385">
        <f>171</f>
        <v>171</v>
      </c>
      <c r="EJ194" s="369">
        <v>66</v>
      </c>
      <c r="EK194" s="385">
        <v>1920</v>
      </c>
      <c r="EL194" s="385">
        <f>171</f>
        <v>171</v>
      </c>
      <c r="EM194" s="369">
        <v>66</v>
      </c>
      <c r="EN194" s="385">
        <v>1920</v>
      </c>
      <c r="EO194" s="385">
        <f>171</f>
        <v>171</v>
      </c>
      <c r="EP194" s="369">
        <v>66</v>
      </c>
      <c r="EQ194" s="385">
        <v>1920</v>
      </c>
      <c r="ER194" s="385">
        <f>171</f>
        <v>171</v>
      </c>
      <c r="ES194" s="369">
        <v>66</v>
      </c>
      <c r="ET194" s="385">
        <v>1920</v>
      </c>
      <c r="EU194" s="385">
        <f>171</f>
        <v>171</v>
      </c>
      <c r="EV194" s="369">
        <v>66</v>
      </c>
      <c r="EW194" s="385">
        <v>1920</v>
      </c>
      <c r="EX194" s="385">
        <f>171</f>
        <v>171</v>
      </c>
      <c r="EY194" s="369">
        <v>66</v>
      </c>
      <c r="EZ194" s="385">
        <v>1920</v>
      </c>
      <c r="FA194" s="385">
        <f>171</f>
        <v>171</v>
      </c>
      <c r="FB194" s="369">
        <v>66</v>
      </c>
      <c r="FC194" s="385">
        <v>1920</v>
      </c>
      <c r="FD194" s="385">
        <f>171</f>
        <v>171</v>
      </c>
      <c r="FE194" s="369">
        <v>66</v>
      </c>
      <c r="FF194" s="385">
        <v>1920</v>
      </c>
      <c r="FG194" s="385">
        <f>171</f>
        <v>171</v>
      </c>
      <c r="FH194" s="369">
        <v>66</v>
      </c>
      <c r="FI194" s="385">
        <v>1920</v>
      </c>
      <c r="FJ194" s="385">
        <f>171</f>
        <v>171</v>
      </c>
      <c r="FK194" s="369">
        <v>66</v>
      </c>
      <c r="FL194" s="385">
        <v>1920</v>
      </c>
      <c r="FM194" s="385">
        <f>171</f>
        <v>171</v>
      </c>
      <c r="FN194" s="369">
        <v>66</v>
      </c>
      <c r="FO194" s="385">
        <v>1920</v>
      </c>
      <c r="FP194" s="385">
        <f>171</f>
        <v>171</v>
      </c>
      <c r="FQ194" s="369">
        <v>66</v>
      </c>
      <c r="FR194" s="385">
        <v>1920</v>
      </c>
      <c r="FS194" s="385">
        <f>171</f>
        <v>171</v>
      </c>
      <c r="FT194" s="369">
        <v>66</v>
      </c>
      <c r="FU194" s="385">
        <v>1920</v>
      </c>
      <c r="FV194" s="385">
        <f>171</f>
        <v>171</v>
      </c>
      <c r="FW194" s="369">
        <v>66</v>
      </c>
      <c r="FX194" s="385">
        <v>1920</v>
      </c>
      <c r="FY194" s="385">
        <f>171</f>
        <v>171</v>
      </c>
      <c r="FZ194" s="369">
        <v>66</v>
      </c>
      <c r="GA194" s="385">
        <v>1920</v>
      </c>
      <c r="GB194" s="385">
        <f>171</f>
        <v>171</v>
      </c>
      <c r="GC194" s="369">
        <v>66</v>
      </c>
      <c r="GD194" s="385">
        <v>1920</v>
      </c>
      <c r="GE194" s="385">
        <f>171</f>
        <v>171</v>
      </c>
      <c r="GF194" s="369">
        <v>66</v>
      </c>
      <c r="GG194" s="385">
        <v>1920</v>
      </c>
      <c r="GH194" s="385">
        <f>171</f>
        <v>171</v>
      </c>
      <c r="GI194" s="369">
        <v>66</v>
      </c>
      <c r="GJ194" s="385">
        <v>1920</v>
      </c>
      <c r="GK194" s="385">
        <f>171</f>
        <v>171</v>
      </c>
      <c r="GL194" s="369">
        <v>66</v>
      </c>
      <c r="GM194" s="385">
        <v>1920</v>
      </c>
      <c r="GN194" s="385">
        <f>171</f>
        <v>171</v>
      </c>
      <c r="GO194" s="369">
        <v>66</v>
      </c>
      <c r="GP194" s="385">
        <v>1920</v>
      </c>
      <c r="GQ194" s="385">
        <f>171</f>
        <v>171</v>
      </c>
      <c r="GR194" s="369">
        <v>66</v>
      </c>
      <c r="GS194" s="385">
        <v>1920</v>
      </c>
      <c r="GT194" s="385">
        <f>171</f>
        <v>171</v>
      </c>
      <c r="GU194" s="369">
        <v>66</v>
      </c>
      <c r="GV194" s="385">
        <v>1920</v>
      </c>
      <c r="GW194" s="385">
        <f>171</f>
        <v>171</v>
      </c>
      <c r="GX194" s="369">
        <v>66</v>
      </c>
      <c r="GY194" s="385">
        <v>1920</v>
      </c>
      <c r="GZ194" s="385">
        <f>171</f>
        <v>171</v>
      </c>
      <c r="HA194" s="369">
        <v>66</v>
      </c>
      <c r="HB194" s="385">
        <v>1920</v>
      </c>
      <c r="HC194" s="385">
        <f>171</f>
        <v>171</v>
      </c>
      <c r="HD194" s="369">
        <v>66</v>
      </c>
      <c r="HE194" s="385">
        <v>1920</v>
      </c>
      <c r="HF194" s="386">
        <f>171*6</f>
        <v>1026</v>
      </c>
      <c r="HG194" s="369">
        <v>66</v>
      </c>
      <c r="HH194" s="385">
        <v>1920</v>
      </c>
      <c r="HI194" s="369">
        <v>66</v>
      </c>
      <c r="HJ194" s="385">
        <v>1920</v>
      </c>
      <c r="HK194" s="369">
        <v>66</v>
      </c>
      <c r="HL194" s="385">
        <v>1920</v>
      </c>
      <c r="HM194" s="369">
        <v>66</v>
      </c>
      <c r="HN194" s="385">
        <v>1920</v>
      </c>
      <c r="HO194" s="369">
        <v>66</v>
      </c>
      <c r="HP194" s="385">
        <v>1920</v>
      </c>
      <c r="HQ194" s="369">
        <v>66</v>
      </c>
      <c r="HR194" s="385">
        <v>1920</v>
      </c>
      <c r="HS194" s="369">
        <v>66</v>
      </c>
      <c r="HT194" s="386">
        <v>3462.3968343133411</v>
      </c>
      <c r="HU194" s="370">
        <v>118.31311475409836</v>
      </c>
      <c r="HV194" s="567"/>
      <c r="HW194" s="567"/>
      <c r="HX194" s="567"/>
      <c r="HY194" s="567"/>
      <c r="HZ194" s="567"/>
      <c r="IA194" s="567"/>
      <c r="IB194" s="567"/>
      <c r="IC194" s="567"/>
      <c r="ID194" s="567"/>
      <c r="IE194" s="567"/>
      <c r="IF194" s="567"/>
      <c r="IG194" s="567"/>
      <c r="IH194" s="568"/>
      <c r="II194" s="569"/>
      <c r="IJ194" s="568"/>
      <c r="IK194" s="569"/>
      <c r="IL194" s="568"/>
      <c r="IM194" s="569"/>
      <c r="IN194" s="568"/>
      <c r="IO194" s="569"/>
      <c r="IP194" s="568"/>
      <c r="IQ194" s="569"/>
      <c r="IR194" s="620" t="s">
        <v>3414</v>
      </c>
      <c r="IS194" s="587" t="s">
        <v>77</v>
      </c>
      <c r="IT194" s="611">
        <v>43745</v>
      </c>
      <c r="IU194" s="518">
        <v>43800</v>
      </c>
      <c r="IV194" s="552"/>
      <c r="IW194" s="526">
        <f t="shared" si="22"/>
        <v>55</v>
      </c>
      <c r="IX194" s="621">
        <f t="shared" si="26"/>
        <v>113.52120768240462</v>
      </c>
      <c r="IY194" s="621">
        <v>3462.3968343133411</v>
      </c>
      <c r="IZ194" s="374"/>
    </row>
    <row r="195" spans="1:261" s="367" customFormat="1" ht="16.5" customHeight="1" x14ac:dyDescent="0.3">
      <c r="A195" s="633" t="s">
        <v>2735</v>
      </c>
      <c r="B195" s="402" t="s">
        <v>3833</v>
      </c>
      <c r="C195" s="608" t="s">
        <v>635</v>
      </c>
      <c r="D195" s="634">
        <v>5101</v>
      </c>
      <c r="E195" s="635">
        <v>95</v>
      </c>
      <c r="F195" s="635">
        <v>36</v>
      </c>
      <c r="G195" s="635">
        <v>108</v>
      </c>
      <c r="H195" s="636">
        <v>36</v>
      </c>
      <c r="I195" s="904">
        <v>5231</v>
      </c>
      <c r="J195" s="880">
        <v>108</v>
      </c>
      <c r="K195" s="880">
        <v>36</v>
      </c>
      <c r="L195" s="905">
        <f>(5231+(3707*12))</f>
        <v>49715</v>
      </c>
      <c r="M195" s="906">
        <f>108+(72*12)</f>
        <v>972</v>
      </c>
      <c r="N195" s="906">
        <f>(36*12)</f>
        <v>432</v>
      </c>
      <c r="O195" s="831">
        <v>1524</v>
      </c>
      <c r="P195" s="831">
        <v>36</v>
      </c>
      <c r="Q195" s="831">
        <v>0</v>
      </c>
      <c r="R195" s="831">
        <v>1524</v>
      </c>
      <c r="S195" s="831">
        <v>36</v>
      </c>
      <c r="T195" s="831">
        <v>0</v>
      </c>
      <c r="U195" s="831">
        <v>1524</v>
      </c>
      <c r="V195" s="831">
        <v>36</v>
      </c>
      <c r="W195" s="831">
        <v>0</v>
      </c>
      <c r="X195" s="831">
        <v>1524</v>
      </c>
      <c r="Y195" s="831">
        <v>36</v>
      </c>
      <c r="Z195" s="831">
        <v>0</v>
      </c>
      <c r="AA195" s="831">
        <v>1524</v>
      </c>
      <c r="AB195" s="831">
        <v>36</v>
      </c>
      <c r="AC195" s="831">
        <v>0</v>
      </c>
      <c r="AD195" s="831">
        <v>1524</v>
      </c>
      <c r="AE195" s="831">
        <v>36</v>
      </c>
      <c r="AF195" s="831">
        <v>0</v>
      </c>
      <c r="AG195" s="831">
        <v>1524</v>
      </c>
      <c r="AH195" s="831">
        <v>36</v>
      </c>
      <c r="AI195" s="831">
        <v>0</v>
      </c>
      <c r="AJ195" s="831">
        <v>1524</v>
      </c>
      <c r="AK195" s="831">
        <v>36</v>
      </c>
      <c r="AL195" s="831">
        <v>0</v>
      </c>
      <c r="AM195" s="831">
        <v>1524</v>
      </c>
      <c r="AN195" s="831">
        <v>36</v>
      </c>
      <c r="AO195" s="831">
        <v>0</v>
      </c>
      <c r="AP195" s="831">
        <v>1524</v>
      </c>
      <c r="AQ195" s="831">
        <v>36</v>
      </c>
      <c r="AR195" s="831">
        <v>0</v>
      </c>
      <c r="AS195" s="831">
        <v>1524</v>
      </c>
      <c r="AT195" s="831">
        <v>36</v>
      </c>
      <c r="AU195" s="831">
        <v>0</v>
      </c>
      <c r="AV195" s="831">
        <v>1524</v>
      </c>
      <c r="AW195" s="831">
        <v>36</v>
      </c>
      <c r="AX195" s="831">
        <v>0</v>
      </c>
      <c r="AY195" s="831">
        <v>1524</v>
      </c>
      <c r="AZ195" s="831">
        <v>36</v>
      </c>
      <c r="BA195" s="369">
        <v>0</v>
      </c>
      <c r="BB195" s="385">
        <v>1524</v>
      </c>
      <c r="BC195" s="385">
        <v>36</v>
      </c>
      <c r="BD195" s="369">
        <v>0</v>
      </c>
      <c r="BE195" s="385">
        <v>1524</v>
      </c>
      <c r="BF195" s="385">
        <v>36</v>
      </c>
      <c r="BG195" s="369">
        <v>0</v>
      </c>
      <c r="BH195" s="385">
        <v>1524</v>
      </c>
      <c r="BI195" s="385">
        <v>36</v>
      </c>
      <c r="BJ195" s="369">
        <v>0</v>
      </c>
      <c r="BK195" s="385">
        <v>1524</v>
      </c>
      <c r="BL195" s="385">
        <v>36</v>
      </c>
      <c r="BM195" s="369">
        <v>0</v>
      </c>
      <c r="BN195" s="385">
        <v>1524</v>
      </c>
      <c r="BO195" s="385">
        <v>36</v>
      </c>
      <c r="BP195" s="369">
        <v>0</v>
      </c>
      <c r="BQ195" s="385">
        <v>1524</v>
      </c>
      <c r="BR195" s="385">
        <v>36</v>
      </c>
      <c r="BS195" s="369">
        <v>0</v>
      </c>
      <c r="BT195" s="385">
        <v>1524</v>
      </c>
      <c r="BU195" s="385">
        <v>36</v>
      </c>
      <c r="BV195" s="369">
        <v>0</v>
      </c>
      <c r="BW195" s="385">
        <v>1524</v>
      </c>
      <c r="BX195" s="385">
        <v>36</v>
      </c>
      <c r="BY195" s="369">
        <v>0</v>
      </c>
      <c r="BZ195" s="385">
        <v>1524</v>
      </c>
      <c r="CA195" s="385">
        <v>36</v>
      </c>
      <c r="CB195" s="369">
        <v>0</v>
      </c>
      <c r="CC195" s="385">
        <v>1524</v>
      </c>
      <c r="CD195" s="385">
        <v>36</v>
      </c>
      <c r="CE195" s="369">
        <v>0</v>
      </c>
      <c r="CF195" s="385">
        <v>1524</v>
      </c>
      <c r="CG195" s="385">
        <v>36</v>
      </c>
      <c r="CH195" s="369">
        <v>0</v>
      </c>
      <c r="CI195" s="385">
        <v>1524</v>
      </c>
      <c r="CJ195" s="385">
        <v>36</v>
      </c>
      <c r="CK195" s="369">
        <v>0</v>
      </c>
      <c r="CL195" s="385">
        <v>1524</v>
      </c>
      <c r="CM195" s="385">
        <v>36</v>
      </c>
      <c r="CN195" s="369">
        <v>0</v>
      </c>
      <c r="CO195" s="385">
        <v>1524</v>
      </c>
      <c r="CP195" s="385">
        <v>36</v>
      </c>
      <c r="CQ195" s="369">
        <v>0</v>
      </c>
      <c r="CR195" s="385">
        <v>1524</v>
      </c>
      <c r="CS195" s="385">
        <v>36</v>
      </c>
      <c r="CT195" s="369">
        <v>0</v>
      </c>
      <c r="CU195" s="385">
        <v>1524</v>
      </c>
      <c r="CV195" s="385">
        <v>36</v>
      </c>
      <c r="CW195" s="369">
        <v>0</v>
      </c>
      <c r="CX195" s="385">
        <v>1524</v>
      </c>
      <c r="CY195" s="385">
        <v>36</v>
      </c>
      <c r="CZ195" s="369">
        <v>0</v>
      </c>
      <c r="DA195" s="385">
        <v>1524</v>
      </c>
      <c r="DB195" s="385">
        <v>36</v>
      </c>
      <c r="DC195" s="369">
        <v>0</v>
      </c>
      <c r="DD195" s="385">
        <v>1524</v>
      </c>
      <c r="DE195" s="385">
        <v>36</v>
      </c>
      <c r="DF195" s="369">
        <v>0</v>
      </c>
      <c r="DG195" s="385">
        <v>1524</v>
      </c>
      <c r="DH195" s="385">
        <v>36</v>
      </c>
      <c r="DI195" s="369">
        <v>0</v>
      </c>
      <c r="DJ195" s="385">
        <v>1524</v>
      </c>
      <c r="DK195" s="385">
        <v>36</v>
      </c>
      <c r="DL195" s="369">
        <v>0</v>
      </c>
      <c r="DM195" s="385">
        <v>1524</v>
      </c>
      <c r="DN195" s="385">
        <v>36</v>
      </c>
      <c r="DO195" s="369">
        <v>0</v>
      </c>
      <c r="DP195" s="385">
        <v>1524</v>
      </c>
      <c r="DQ195" s="385">
        <v>36</v>
      </c>
      <c r="DR195" s="369">
        <v>0</v>
      </c>
      <c r="DS195" s="385">
        <v>1524</v>
      </c>
      <c r="DT195" s="385">
        <v>36</v>
      </c>
      <c r="DU195" s="369">
        <v>0</v>
      </c>
      <c r="DV195" s="385">
        <v>1524</v>
      </c>
      <c r="DW195" s="385">
        <v>36</v>
      </c>
      <c r="DX195" s="369">
        <v>0</v>
      </c>
      <c r="DY195" s="385">
        <v>1524</v>
      </c>
      <c r="DZ195" s="385">
        <v>36</v>
      </c>
      <c r="EA195" s="369">
        <v>0</v>
      </c>
      <c r="EB195" s="385">
        <v>1524</v>
      </c>
      <c r="EC195" s="385">
        <v>36</v>
      </c>
      <c r="ED195" s="369">
        <v>0</v>
      </c>
      <c r="EE195" s="385">
        <v>1524</v>
      </c>
      <c r="EF195" s="385">
        <v>36</v>
      </c>
      <c r="EG195" s="369">
        <v>0</v>
      </c>
      <c r="EH195" s="385">
        <v>1524</v>
      </c>
      <c r="EI195" s="385">
        <v>36</v>
      </c>
      <c r="EJ195" s="369">
        <v>0</v>
      </c>
      <c r="EK195" s="385">
        <v>1524</v>
      </c>
      <c r="EL195" s="385">
        <v>36</v>
      </c>
      <c r="EM195" s="369">
        <v>0</v>
      </c>
      <c r="EN195" s="385">
        <v>1524</v>
      </c>
      <c r="EO195" s="385">
        <v>36</v>
      </c>
      <c r="EP195" s="369">
        <v>0</v>
      </c>
      <c r="EQ195" s="385">
        <v>1524</v>
      </c>
      <c r="ER195" s="385">
        <v>36</v>
      </c>
      <c r="ES195" s="369">
        <v>0</v>
      </c>
      <c r="ET195" s="385">
        <v>1524</v>
      </c>
      <c r="EU195" s="385">
        <v>36</v>
      </c>
      <c r="EV195" s="369">
        <v>0</v>
      </c>
      <c r="EW195" s="385">
        <v>1524</v>
      </c>
      <c r="EX195" s="385">
        <v>36</v>
      </c>
      <c r="EY195" s="369">
        <v>0</v>
      </c>
      <c r="EZ195" s="385">
        <v>1524</v>
      </c>
      <c r="FA195" s="385">
        <v>36</v>
      </c>
      <c r="FB195" s="369">
        <v>0</v>
      </c>
      <c r="FC195" s="385">
        <v>1524</v>
      </c>
      <c r="FD195" s="385">
        <v>36</v>
      </c>
      <c r="FE195" s="369">
        <v>0</v>
      </c>
      <c r="FF195" s="385">
        <v>1524</v>
      </c>
      <c r="FG195" s="385">
        <v>36</v>
      </c>
      <c r="FH195" s="369">
        <v>0</v>
      </c>
      <c r="FI195" s="385">
        <v>1524</v>
      </c>
      <c r="FJ195" s="385">
        <v>36</v>
      </c>
      <c r="FK195" s="369">
        <v>0</v>
      </c>
      <c r="FL195" s="385">
        <v>1524</v>
      </c>
      <c r="FM195" s="385">
        <v>36</v>
      </c>
      <c r="FN195" s="369">
        <v>0</v>
      </c>
      <c r="FO195" s="385">
        <v>1524</v>
      </c>
      <c r="FP195" s="385">
        <v>36</v>
      </c>
      <c r="FQ195" s="369">
        <v>0</v>
      </c>
      <c r="FR195" s="385">
        <v>1524</v>
      </c>
      <c r="FS195" s="385">
        <v>36</v>
      </c>
      <c r="FT195" s="369">
        <v>0</v>
      </c>
      <c r="FU195" s="385">
        <v>1524</v>
      </c>
      <c r="FV195" s="385">
        <v>36</v>
      </c>
      <c r="FW195" s="369"/>
      <c r="FX195" s="385">
        <v>1524</v>
      </c>
      <c r="FY195" s="385">
        <v>36</v>
      </c>
      <c r="FZ195" s="369"/>
      <c r="GA195" s="385">
        <v>1524</v>
      </c>
      <c r="GB195" s="385">
        <v>36</v>
      </c>
      <c r="GC195" s="369"/>
      <c r="GD195" s="386">
        <f>(((1524-1488)/30.5)*46)+1524</f>
        <v>1578.295081967213</v>
      </c>
      <c r="GE195" s="386">
        <f>(((36-5)/30.5)*46)+36</f>
        <v>82.754098360655746</v>
      </c>
      <c r="GF195" s="370"/>
      <c r="GG195" s="385">
        <v>1488</v>
      </c>
      <c r="GH195" s="385">
        <f>5</f>
        <v>5</v>
      </c>
      <c r="GI195" s="369"/>
      <c r="GJ195" s="385">
        <v>1488</v>
      </c>
      <c r="GK195" s="385">
        <f>5</f>
        <v>5</v>
      </c>
      <c r="GL195" s="358"/>
      <c r="GM195" s="385">
        <v>1488</v>
      </c>
      <c r="GN195" s="385">
        <f>5</f>
        <v>5</v>
      </c>
      <c r="GO195" s="358"/>
      <c r="GP195" s="385">
        <v>1488</v>
      </c>
      <c r="GQ195" s="385">
        <f>5</f>
        <v>5</v>
      </c>
      <c r="GR195" s="358"/>
      <c r="GS195" s="385">
        <v>1488</v>
      </c>
      <c r="GT195" s="385">
        <f>5</f>
        <v>5</v>
      </c>
      <c r="GU195" s="358"/>
      <c r="GV195" s="385">
        <v>1488</v>
      </c>
      <c r="GW195" s="385">
        <f>5</f>
        <v>5</v>
      </c>
      <c r="GX195" s="358"/>
      <c r="GY195" s="385">
        <v>1488</v>
      </c>
      <c r="GZ195" s="385">
        <f>5</f>
        <v>5</v>
      </c>
      <c r="HA195" s="358"/>
      <c r="HB195" s="385">
        <v>1488</v>
      </c>
      <c r="HC195" s="385">
        <f>5</f>
        <v>5</v>
      </c>
      <c r="HD195" s="358"/>
      <c r="HE195" s="385">
        <v>1488</v>
      </c>
      <c r="HF195" s="386">
        <f>5*6</f>
        <v>30</v>
      </c>
      <c r="HG195" s="358"/>
      <c r="HH195" s="385">
        <v>1488</v>
      </c>
      <c r="HI195" s="358"/>
      <c r="HJ195" s="385">
        <v>1488</v>
      </c>
      <c r="HK195" s="358"/>
      <c r="HL195" s="385">
        <v>1488</v>
      </c>
      <c r="HM195" s="358"/>
      <c r="HN195" s="385">
        <v>1488</v>
      </c>
      <c r="HO195" s="358"/>
      <c r="HP195" s="385">
        <v>1488</v>
      </c>
      <c r="HQ195" s="358"/>
      <c r="HR195" s="385">
        <v>1488</v>
      </c>
      <c r="HS195" s="358"/>
      <c r="HT195" s="386">
        <v>2634.6900662378971</v>
      </c>
      <c r="HU195" s="358"/>
      <c r="HV195" s="567"/>
      <c r="HW195" s="567"/>
      <c r="HX195" s="567"/>
      <c r="HY195" s="567"/>
      <c r="HZ195" s="567"/>
      <c r="IA195" s="567"/>
      <c r="IB195" s="567"/>
      <c r="IC195" s="567"/>
      <c r="ID195" s="567"/>
      <c r="IE195" s="567"/>
      <c r="IF195" s="567"/>
      <c r="IG195" s="567"/>
      <c r="IH195" s="568"/>
      <c r="II195" s="569"/>
      <c r="IJ195" s="568"/>
      <c r="IK195" s="569"/>
      <c r="IL195" s="568"/>
      <c r="IM195" s="569"/>
      <c r="IN195" s="568"/>
      <c r="IO195" s="569"/>
      <c r="IP195" s="568"/>
      <c r="IQ195" s="569"/>
      <c r="IR195" s="620" t="s">
        <v>3415</v>
      </c>
      <c r="IS195" s="587" t="s">
        <v>77</v>
      </c>
      <c r="IT195" s="611">
        <v>43746</v>
      </c>
      <c r="IU195" s="518">
        <v>43800</v>
      </c>
      <c r="IV195" s="518">
        <v>44210</v>
      </c>
      <c r="IW195" s="526">
        <f t="shared" si="22"/>
        <v>54</v>
      </c>
      <c r="IX195" s="621">
        <f t="shared" si="26"/>
        <v>86.383280860258921</v>
      </c>
      <c r="IY195" s="621">
        <v>2634.6900662378971</v>
      </c>
      <c r="IZ195" s="374"/>
    </row>
    <row r="196" spans="1:261" s="367" customFormat="1" ht="16.5" customHeight="1" x14ac:dyDescent="0.3">
      <c r="A196" s="526" t="s">
        <v>2735</v>
      </c>
      <c r="B196" s="637" t="s">
        <v>3833</v>
      </c>
      <c r="C196" s="638" t="s">
        <v>591</v>
      </c>
      <c r="D196" s="639">
        <v>5101</v>
      </c>
      <c r="E196" s="640">
        <v>95</v>
      </c>
      <c r="F196" s="640">
        <v>36</v>
      </c>
      <c r="G196" s="640">
        <v>108</v>
      </c>
      <c r="H196" s="641">
        <v>36</v>
      </c>
      <c r="I196" s="904">
        <v>5231</v>
      </c>
      <c r="J196" s="880">
        <v>108</v>
      </c>
      <c r="K196" s="880">
        <v>36</v>
      </c>
      <c r="L196" s="905">
        <f>(5231+(3707*12))</f>
        <v>49715</v>
      </c>
      <c r="M196" s="906">
        <f>108+(72*12)</f>
        <v>972</v>
      </c>
      <c r="N196" s="906">
        <f>(36*12)</f>
        <v>432</v>
      </c>
      <c r="O196" s="831">
        <v>1524</v>
      </c>
      <c r="P196" s="831">
        <v>36</v>
      </c>
      <c r="Q196" s="831">
        <v>0</v>
      </c>
      <c r="R196" s="831">
        <v>1524</v>
      </c>
      <c r="S196" s="831">
        <v>36</v>
      </c>
      <c r="T196" s="831">
        <v>0</v>
      </c>
      <c r="U196" s="831">
        <v>1524</v>
      </c>
      <c r="V196" s="831">
        <v>36</v>
      </c>
      <c r="W196" s="831">
        <v>0</v>
      </c>
      <c r="X196" s="831">
        <v>1524</v>
      </c>
      <c r="Y196" s="831">
        <v>36</v>
      </c>
      <c r="Z196" s="831">
        <v>0</v>
      </c>
      <c r="AA196" s="831">
        <v>1524</v>
      </c>
      <c r="AB196" s="831">
        <v>36</v>
      </c>
      <c r="AC196" s="831">
        <v>0</v>
      </c>
      <c r="AD196" s="831">
        <v>1524</v>
      </c>
      <c r="AE196" s="831">
        <v>36</v>
      </c>
      <c r="AF196" s="831">
        <v>0</v>
      </c>
      <c r="AG196" s="831">
        <v>1524</v>
      </c>
      <c r="AH196" s="831">
        <v>36</v>
      </c>
      <c r="AI196" s="831">
        <v>0</v>
      </c>
      <c r="AJ196" s="831">
        <v>1524</v>
      </c>
      <c r="AK196" s="831">
        <v>36</v>
      </c>
      <c r="AL196" s="831">
        <v>0</v>
      </c>
      <c r="AM196" s="831">
        <v>1524</v>
      </c>
      <c r="AN196" s="831">
        <v>36</v>
      </c>
      <c r="AO196" s="831">
        <v>0</v>
      </c>
      <c r="AP196" s="831">
        <v>1524</v>
      </c>
      <c r="AQ196" s="831">
        <v>36</v>
      </c>
      <c r="AR196" s="831">
        <v>0</v>
      </c>
      <c r="AS196" s="831">
        <v>1524</v>
      </c>
      <c r="AT196" s="831">
        <v>36</v>
      </c>
      <c r="AU196" s="831">
        <v>0</v>
      </c>
      <c r="AV196" s="831">
        <v>1524</v>
      </c>
      <c r="AW196" s="831">
        <v>36</v>
      </c>
      <c r="AX196" s="831">
        <v>0</v>
      </c>
      <c r="AY196" s="831">
        <v>1524</v>
      </c>
      <c r="AZ196" s="831">
        <v>36</v>
      </c>
      <c r="BA196" s="369">
        <v>0</v>
      </c>
      <c r="BB196" s="385">
        <v>1524</v>
      </c>
      <c r="BC196" s="385">
        <v>36</v>
      </c>
      <c r="BD196" s="369">
        <v>0</v>
      </c>
      <c r="BE196" s="385">
        <v>1524</v>
      </c>
      <c r="BF196" s="385">
        <v>36</v>
      </c>
      <c r="BG196" s="369">
        <v>0</v>
      </c>
      <c r="BH196" s="385">
        <v>1524</v>
      </c>
      <c r="BI196" s="385">
        <v>36</v>
      </c>
      <c r="BJ196" s="369">
        <v>0</v>
      </c>
      <c r="BK196" s="385">
        <v>1524</v>
      </c>
      <c r="BL196" s="385">
        <v>36</v>
      </c>
      <c r="BM196" s="369">
        <v>0</v>
      </c>
      <c r="BN196" s="385">
        <v>1524</v>
      </c>
      <c r="BO196" s="385">
        <v>36</v>
      </c>
      <c r="BP196" s="369">
        <v>0</v>
      </c>
      <c r="BQ196" s="385">
        <v>1524</v>
      </c>
      <c r="BR196" s="385">
        <v>36</v>
      </c>
      <c r="BS196" s="369">
        <v>0</v>
      </c>
      <c r="BT196" s="385">
        <v>1524</v>
      </c>
      <c r="BU196" s="385">
        <v>36</v>
      </c>
      <c r="BV196" s="369">
        <v>0</v>
      </c>
      <c r="BW196" s="385">
        <v>1524</v>
      </c>
      <c r="BX196" s="385">
        <v>36</v>
      </c>
      <c r="BY196" s="369">
        <v>0</v>
      </c>
      <c r="BZ196" s="385">
        <v>1524</v>
      </c>
      <c r="CA196" s="385">
        <v>36</v>
      </c>
      <c r="CB196" s="369">
        <v>0</v>
      </c>
      <c r="CC196" s="385">
        <v>1524</v>
      </c>
      <c r="CD196" s="385">
        <v>36</v>
      </c>
      <c r="CE196" s="369">
        <v>0</v>
      </c>
      <c r="CF196" s="385">
        <v>1524</v>
      </c>
      <c r="CG196" s="385">
        <v>36</v>
      </c>
      <c r="CH196" s="369">
        <v>0</v>
      </c>
      <c r="CI196" s="385">
        <v>1524</v>
      </c>
      <c r="CJ196" s="385">
        <v>36</v>
      </c>
      <c r="CK196" s="369">
        <v>0</v>
      </c>
      <c r="CL196" s="385">
        <v>1524</v>
      </c>
      <c r="CM196" s="385">
        <v>36</v>
      </c>
      <c r="CN196" s="369">
        <v>0</v>
      </c>
      <c r="CO196" s="385">
        <v>1524</v>
      </c>
      <c r="CP196" s="385">
        <v>36</v>
      </c>
      <c r="CQ196" s="369">
        <v>0</v>
      </c>
      <c r="CR196" s="385">
        <v>1524</v>
      </c>
      <c r="CS196" s="385">
        <v>36</v>
      </c>
      <c r="CT196" s="369">
        <v>0</v>
      </c>
      <c r="CU196" s="385">
        <v>1524</v>
      </c>
      <c r="CV196" s="385">
        <v>36</v>
      </c>
      <c r="CW196" s="369">
        <v>0</v>
      </c>
      <c r="CX196" s="385">
        <v>1524</v>
      </c>
      <c r="CY196" s="385">
        <v>36</v>
      </c>
      <c r="CZ196" s="369">
        <v>0</v>
      </c>
      <c r="DA196" s="385">
        <v>1524</v>
      </c>
      <c r="DB196" s="385">
        <v>36</v>
      </c>
      <c r="DC196" s="369">
        <v>0</v>
      </c>
      <c r="DD196" s="385">
        <v>1524</v>
      </c>
      <c r="DE196" s="385">
        <v>36</v>
      </c>
      <c r="DF196" s="369">
        <v>0</v>
      </c>
      <c r="DG196" s="385">
        <v>1524</v>
      </c>
      <c r="DH196" s="385">
        <v>36</v>
      </c>
      <c r="DI196" s="369">
        <v>0</v>
      </c>
      <c r="DJ196" s="385">
        <v>1524</v>
      </c>
      <c r="DK196" s="385">
        <v>36</v>
      </c>
      <c r="DL196" s="369">
        <v>0</v>
      </c>
      <c r="DM196" s="385">
        <v>1524</v>
      </c>
      <c r="DN196" s="385">
        <v>36</v>
      </c>
      <c r="DO196" s="369">
        <v>0</v>
      </c>
      <c r="DP196" s="385">
        <v>1524</v>
      </c>
      <c r="DQ196" s="385">
        <v>36</v>
      </c>
      <c r="DR196" s="369">
        <v>0</v>
      </c>
      <c r="DS196" s="385">
        <v>1524</v>
      </c>
      <c r="DT196" s="385">
        <v>36</v>
      </c>
      <c r="DU196" s="369">
        <v>0</v>
      </c>
      <c r="DV196" s="385">
        <v>1524</v>
      </c>
      <c r="DW196" s="385">
        <v>36</v>
      </c>
      <c r="DX196" s="369">
        <v>0</v>
      </c>
      <c r="DY196" s="385">
        <v>1524</v>
      </c>
      <c r="DZ196" s="385">
        <v>36</v>
      </c>
      <c r="EA196" s="369">
        <v>0</v>
      </c>
      <c r="EB196" s="385">
        <v>1524</v>
      </c>
      <c r="EC196" s="385">
        <v>36</v>
      </c>
      <c r="ED196" s="369">
        <v>0</v>
      </c>
      <c r="EE196" s="385">
        <v>1524</v>
      </c>
      <c r="EF196" s="385">
        <v>36</v>
      </c>
      <c r="EG196" s="369">
        <v>0</v>
      </c>
      <c r="EH196" s="385">
        <v>1524</v>
      </c>
      <c r="EI196" s="385">
        <v>36</v>
      </c>
      <c r="EJ196" s="369">
        <v>0</v>
      </c>
      <c r="EK196" s="385">
        <v>1524</v>
      </c>
      <c r="EL196" s="385">
        <v>36</v>
      </c>
      <c r="EM196" s="369">
        <v>0</v>
      </c>
      <c r="EN196" s="385">
        <v>1524</v>
      </c>
      <c r="EO196" s="385">
        <v>36</v>
      </c>
      <c r="EP196" s="369">
        <v>0</v>
      </c>
      <c r="EQ196" s="385">
        <v>1524</v>
      </c>
      <c r="ER196" s="385">
        <v>36</v>
      </c>
      <c r="ES196" s="369">
        <v>0</v>
      </c>
      <c r="ET196" s="385">
        <v>1524</v>
      </c>
      <c r="EU196" s="385">
        <v>36</v>
      </c>
      <c r="EV196" s="369">
        <v>0</v>
      </c>
      <c r="EW196" s="385">
        <v>1524</v>
      </c>
      <c r="EX196" s="385">
        <v>36</v>
      </c>
      <c r="EY196" s="369">
        <v>0</v>
      </c>
      <c r="EZ196" s="385">
        <v>1524</v>
      </c>
      <c r="FA196" s="385">
        <v>36</v>
      </c>
      <c r="FB196" s="369">
        <v>0</v>
      </c>
      <c r="FC196" s="385">
        <v>1524</v>
      </c>
      <c r="FD196" s="385">
        <v>36</v>
      </c>
      <c r="FE196" s="369">
        <v>0</v>
      </c>
      <c r="FF196" s="385">
        <v>1524</v>
      </c>
      <c r="FG196" s="385">
        <v>36</v>
      </c>
      <c r="FH196" s="369">
        <v>0</v>
      </c>
      <c r="FI196" s="385">
        <v>1524</v>
      </c>
      <c r="FJ196" s="385">
        <v>36</v>
      </c>
      <c r="FK196" s="369">
        <v>0</v>
      </c>
      <c r="FL196" s="385">
        <v>1524</v>
      </c>
      <c r="FM196" s="385">
        <v>36</v>
      </c>
      <c r="FN196" s="369">
        <v>0</v>
      </c>
      <c r="FO196" s="385">
        <v>1524</v>
      </c>
      <c r="FP196" s="385">
        <v>36</v>
      </c>
      <c r="FQ196" s="369">
        <v>0</v>
      </c>
      <c r="FR196" s="385">
        <v>1524</v>
      </c>
      <c r="FS196" s="385">
        <v>36</v>
      </c>
      <c r="FT196" s="369">
        <v>0</v>
      </c>
      <c r="FU196" s="385">
        <v>1524</v>
      </c>
      <c r="FV196" s="385">
        <v>36</v>
      </c>
      <c r="FW196" s="369"/>
      <c r="FX196" s="385">
        <v>1524</v>
      </c>
      <c r="FY196" s="385">
        <v>36</v>
      </c>
      <c r="FZ196" s="369"/>
      <c r="GA196" s="385">
        <v>1524</v>
      </c>
      <c r="GB196" s="385">
        <v>36</v>
      </c>
      <c r="GC196" s="369"/>
      <c r="GD196" s="386">
        <f>(((1524-1488)/30.5)*45)+1524</f>
        <v>1577.1147540983607</v>
      </c>
      <c r="GE196" s="386">
        <f>(((36-5)/30.5)*45)+36</f>
        <v>81.73770491803279</v>
      </c>
      <c r="GF196" s="370"/>
      <c r="GG196" s="385">
        <v>1488</v>
      </c>
      <c r="GH196" s="385">
        <f>5</f>
        <v>5</v>
      </c>
      <c r="GI196" s="358"/>
      <c r="GJ196" s="385">
        <v>1488</v>
      </c>
      <c r="GK196" s="385">
        <f>5</f>
        <v>5</v>
      </c>
      <c r="GL196" s="358"/>
      <c r="GM196" s="385">
        <v>1488</v>
      </c>
      <c r="GN196" s="385">
        <f>5</f>
        <v>5</v>
      </c>
      <c r="GO196" s="358"/>
      <c r="GP196" s="385">
        <v>1488</v>
      </c>
      <c r="GQ196" s="385">
        <f>5</f>
        <v>5</v>
      </c>
      <c r="GR196" s="358"/>
      <c r="GS196" s="385">
        <v>1488</v>
      </c>
      <c r="GT196" s="385">
        <f>5</f>
        <v>5</v>
      </c>
      <c r="GU196" s="358"/>
      <c r="GV196" s="385">
        <v>1488</v>
      </c>
      <c r="GW196" s="385">
        <f>5</f>
        <v>5</v>
      </c>
      <c r="GX196" s="358"/>
      <c r="GY196" s="385">
        <v>1488</v>
      </c>
      <c r="GZ196" s="385">
        <f>5</f>
        <v>5</v>
      </c>
      <c r="HA196" s="358"/>
      <c r="HB196" s="385">
        <v>1488</v>
      </c>
      <c r="HC196" s="385">
        <f>5</f>
        <v>5</v>
      </c>
      <c r="HD196" s="358"/>
      <c r="HE196" s="385">
        <v>1488</v>
      </c>
      <c r="HF196" s="386">
        <f>5*6</f>
        <v>30</v>
      </c>
      <c r="HG196" s="358"/>
      <c r="HH196" s="385">
        <v>1488</v>
      </c>
      <c r="HI196" s="358"/>
      <c r="HJ196" s="385">
        <v>1488</v>
      </c>
      <c r="HK196" s="358"/>
      <c r="HL196" s="385">
        <v>1488</v>
      </c>
      <c r="HM196" s="358"/>
      <c r="HN196" s="385">
        <v>1488</v>
      </c>
      <c r="HO196" s="358"/>
      <c r="HP196" s="385">
        <v>1488</v>
      </c>
      <c r="HQ196" s="358"/>
      <c r="HR196" s="385">
        <v>1488</v>
      </c>
      <c r="HS196" s="358"/>
      <c r="HT196" s="386">
        <v>2634.6900662378971</v>
      </c>
      <c r="HU196" s="358"/>
      <c r="HV196" s="567"/>
      <c r="HW196" s="567"/>
      <c r="HX196" s="567"/>
      <c r="HY196" s="567"/>
      <c r="HZ196" s="567"/>
      <c r="IA196" s="567"/>
      <c r="IB196" s="567"/>
      <c r="IC196" s="567"/>
      <c r="ID196" s="567"/>
      <c r="IE196" s="567"/>
      <c r="IF196" s="567"/>
      <c r="IG196" s="567"/>
      <c r="IH196" s="568"/>
      <c r="II196" s="569"/>
      <c r="IJ196" s="568"/>
      <c r="IK196" s="569"/>
      <c r="IL196" s="568"/>
      <c r="IM196" s="569"/>
      <c r="IN196" s="568"/>
      <c r="IO196" s="569"/>
      <c r="IP196" s="568"/>
      <c r="IQ196" s="569"/>
      <c r="IR196" s="620" t="s">
        <v>3416</v>
      </c>
      <c r="IS196" s="587" t="s">
        <v>77</v>
      </c>
      <c r="IT196" s="611">
        <v>43746</v>
      </c>
      <c r="IU196" s="518">
        <v>43800</v>
      </c>
      <c r="IV196" s="518">
        <v>44211</v>
      </c>
      <c r="IW196" s="526">
        <f t="shared" si="22"/>
        <v>54</v>
      </c>
      <c r="IX196" s="621">
        <f t="shared" si="26"/>
        <v>86.383280860258921</v>
      </c>
      <c r="IY196" s="621">
        <v>2634.6900662378971</v>
      </c>
      <c r="IZ196" s="374"/>
    </row>
    <row r="197" spans="1:261" s="367" customFormat="1" ht="16.5" customHeight="1" x14ac:dyDescent="0.3">
      <c r="A197" s="526" t="s">
        <v>2735</v>
      </c>
      <c r="B197" s="628" t="s">
        <v>2748</v>
      </c>
      <c r="C197" s="378" t="s">
        <v>607</v>
      </c>
      <c r="D197" s="642">
        <f>(380*12)+1649</f>
        <v>6209</v>
      </c>
      <c r="E197" s="642">
        <v>45</v>
      </c>
      <c r="F197" s="642">
        <v>40</v>
      </c>
      <c r="G197" s="468">
        <v>5</v>
      </c>
      <c r="H197" s="625">
        <v>66</v>
      </c>
      <c r="I197" s="830">
        <v>1353</v>
      </c>
      <c r="J197" s="831">
        <f>5</f>
        <v>5</v>
      </c>
      <c r="K197" s="831">
        <v>66</v>
      </c>
      <c r="L197" s="831">
        <v>1353</v>
      </c>
      <c r="M197" s="831">
        <f>5</f>
        <v>5</v>
      </c>
      <c r="N197" s="831">
        <v>66</v>
      </c>
      <c r="O197" s="831">
        <v>1353</v>
      </c>
      <c r="P197" s="831">
        <f>5</f>
        <v>5</v>
      </c>
      <c r="Q197" s="831">
        <v>66</v>
      </c>
      <c r="R197" s="831">
        <v>1353</v>
      </c>
      <c r="S197" s="831">
        <f>5</f>
        <v>5</v>
      </c>
      <c r="T197" s="831">
        <v>66</v>
      </c>
      <c r="U197" s="831">
        <v>1353</v>
      </c>
      <c r="V197" s="831">
        <f>5</f>
        <v>5</v>
      </c>
      <c r="W197" s="831">
        <v>66</v>
      </c>
      <c r="X197" s="831">
        <v>1353</v>
      </c>
      <c r="Y197" s="831">
        <f>5</f>
        <v>5</v>
      </c>
      <c r="Z197" s="831">
        <v>66</v>
      </c>
      <c r="AA197" s="831">
        <v>1353</v>
      </c>
      <c r="AB197" s="831">
        <f>5</f>
        <v>5</v>
      </c>
      <c r="AC197" s="831">
        <v>66</v>
      </c>
      <c r="AD197" s="831">
        <v>1353</v>
      </c>
      <c r="AE197" s="831">
        <f>5</f>
        <v>5</v>
      </c>
      <c r="AF197" s="831">
        <v>66</v>
      </c>
      <c r="AG197" s="831">
        <v>1353</v>
      </c>
      <c r="AH197" s="831">
        <f>5</f>
        <v>5</v>
      </c>
      <c r="AI197" s="831">
        <v>66</v>
      </c>
      <c r="AJ197" s="831">
        <v>1353</v>
      </c>
      <c r="AK197" s="831">
        <f>5</f>
        <v>5</v>
      </c>
      <c r="AL197" s="831">
        <v>66</v>
      </c>
      <c r="AM197" s="831">
        <v>1353</v>
      </c>
      <c r="AN197" s="831">
        <f>5</f>
        <v>5</v>
      </c>
      <c r="AO197" s="831">
        <v>66</v>
      </c>
      <c r="AP197" s="831">
        <v>1353</v>
      </c>
      <c r="AQ197" s="831">
        <f>5</f>
        <v>5</v>
      </c>
      <c r="AR197" s="831">
        <v>66</v>
      </c>
      <c r="AS197" s="831">
        <v>1353</v>
      </c>
      <c r="AT197" s="831">
        <f>5</f>
        <v>5</v>
      </c>
      <c r="AU197" s="831">
        <v>66</v>
      </c>
      <c r="AV197" s="831">
        <v>1353</v>
      </c>
      <c r="AW197" s="831">
        <f>5</f>
        <v>5</v>
      </c>
      <c r="AX197" s="831">
        <v>66</v>
      </c>
      <c r="AY197" s="831">
        <v>1353</v>
      </c>
      <c r="AZ197" s="831">
        <f>5</f>
        <v>5</v>
      </c>
      <c r="BA197" s="369">
        <v>66</v>
      </c>
      <c r="BB197" s="385">
        <v>1353</v>
      </c>
      <c r="BC197" s="385">
        <f>5</f>
        <v>5</v>
      </c>
      <c r="BD197" s="369">
        <v>66</v>
      </c>
      <c r="BE197" s="385">
        <v>1353</v>
      </c>
      <c r="BF197" s="385">
        <f>5</f>
        <v>5</v>
      </c>
      <c r="BG197" s="369">
        <v>66</v>
      </c>
      <c r="BH197" s="385">
        <v>1353</v>
      </c>
      <c r="BI197" s="385">
        <f>5</f>
        <v>5</v>
      </c>
      <c r="BJ197" s="369">
        <v>66</v>
      </c>
      <c r="BK197" s="385">
        <v>1353</v>
      </c>
      <c r="BL197" s="385">
        <f>5</f>
        <v>5</v>
      </c>
      <c r="BM197" s="369">
        <v>66</v>
      </c>
      <c r="BN197" s="385">
        <v>1353</v>
      </c>
      <c r="BO197" s="385">
        <f>5</f>
        <v>5</v>
      </c>
      <c r="BP197" s="369">
        <v>66</v>
      </c>
      <c r="BQ197" s="385">
        <v>1353</v>
      </c>
      <c r="BR197" s="385">
        <f>5</f>
        <v>5</v>
      </c>
      <c r="BS197" s="369">
        <v>66</v>
      </c>
      <c r="BT197" s="385">
        <v>1353</v>
      </c>
      <c r="BU197" s="385">
        <f>5</f>
        <v>5</v>
      </c>
      <c r="BV197" s="369">
        <v>66</v>
      </c>
      <c r="BW197" s="385">
        <v>1353</v>
      </c>
      <c r="BX197" s="385">
        <f>5</f>
        <v>5</v>
      </c>
      <c r="BY197" s="369">
        <v>66</v>
      </c>
      <c r="BZ197" s="385">
        <v>1353</v>
      </c>
      <c r="CA197" s="385">
        <f>5</f>
        <v>5</v>
      </c>
      <c r="CB197" s="369">
        <v>66</v>
      </c>
      <c r="CC197" s="385">
        <v>1353</v>
      </c>
      <c r="CD197" s="385">
        <f>5</f>
        <v>5</v>
      </c>
      <c r="CE197" s="369">
        <v>66</v>
      </c>
      <c r="CF197" s="385">
        <v>1353</v>
      </c>
      <c r="CG197" s="385">
        <f>5</f>
        <v>5</v>
      </c>
      <c r="CH197" s="369">
        <v>66</v>
      </c>
      <c r="CI197" s="385">
        <v>1353</v>
      </c>
      <c r="CJ197" s="385">
        <f>5</f>
        <v>5</v>
      </c>
      <c r="CK197" s="369">
        <v>66</v>
      </c>
      <c r="CL197" s="385">
        <v>1353</v>
      </c>
      <c r="CM197" s="385">
        <f>5</f>
        <v>5</v>
      </c>
      <c r="CN197" s="369">
        <v>66</v>
      </c>
      <c r="CO197" s="385">
        <v>1353</v>
      </c>
      <c r="CP197" s="385">
        <f>5</f>
        <v>5</v>
      </c>
      <c r="CQ197" s="369">
        <v>66</v>
      </c>
      <c r="CR197" s="385">
        <v>1353</v>
      </c>
      <c r="CS197" s="385">
        <f>5</f>
        <v>5</v>
      </c>
      <c r="CT197" s="369">
        <v>66</v>
      </c>
      <c r="CU197" s="385">
        <v>1353</v>
      </c>
      <c r="CV197" s="385">
        <f>5</f>
        <v>5</v>
      </c>
      <c r="CW197" s="369">
        <v>66</v>
      </c>
      <c r="CX197" s="385">
        <v>1353</v>
      </c>
      <c r="CY197" s="385">
        <f>5</f>
        <v>5</v>
      </c>
      <c r="CZ197" s="369">
        <v>66</v>
      </c>
      <c r="DA197" s="385">
        <v>1353</v>
      </c>
      <c r="DB197" s="385">
        <f>5</f>
        <v>5</v>
      </c>
      <c r="DC197" s="369">
        <v>66</v>
      </c>
      <c r="DD197" s="385">
        <v>1353</v>
      </c>
      <c r="DE197" s="385">
        <f>5</f>
        <v>5</v>
      </c>
      <c r="DF197" s="369">
        <v>66</v>
      </c>
      <c r="DG197" s="385">
        <v>1353</v>
      </c>
      <c r="DH197" s="385">
        <f>5</f>
        <v>5</v>
      </c>
      <c r="DI197" s="369">
        <v>66</v>
      </c>
      <c r="DJ197" s="385">
        <v>1353</v>
      </c>
      <c r="DK197" s="385">
        <f>5</f>
        <v>5</v>
      </c>
      <c r="DL197" s="369">
        <v>66</v>
      </c>
      <c r="DM197" s="385">
        <v>1353</v>
      </c>
      <c r="DN197" s="385">
        <f>5</f>
        <v>5</v>
      </c>
      <c r="DO197" s="369">
        <v>66</v>
      </c>
      <c r="DP197" s="385">
        <v>1353</v>
      </c>
      <c r="DQ197" s="385">
        <f>5</f>
        <v>5</v>
      </c>
      <c r="DR197" s="369">
        <v>66</v>
      </c>
      <c r="DS197" s="385">
        <v>1353</v>
      </c>
      <c r="DT197" s="385">
        <f>5</f>
        <v>5</v>
      </c>
      <c r="DU197" s="369">
        <v>66</v>
      </c>
      <c r="DV197" s="385">
        <v>1353</v>
      </c>
      <c r="DW197" s="385">
        <f>5</f>
        <v>5</v>
      </c>
      <c r="DX197" s="369">
        <v>66</v>
      </c>
      <c r="DY197" s="386">
        <f>(((1353-923)/30.5)*17)+1353</f>
        <v>1592.672131147541</v>
      </c>
      <c r="DZ197" s="386">
        <f>5</f>
        <v>5</v>
      </c>
      <c r="EA197" s="370">
        <v>66</v>
      </c>
      <c r="EB197" s="385">
        <v>923</v>
      </c>
      <c r="EC197" s="385">
        <f>5</f>
        <v>5</v>
      </c>
      <c r="ED197" s="369">
        <v>66</v>
      </c>
      <c r="EE197" s="385">
        <v>923</v>
      </c>
      <c r="EF197" s="385">
        <f>5</f>
        <v>5</v>
      </c>
      <c r="EG197" s="369">
        <v>66</v>
      </c>
      <c r="EH197" s="385">
        <v>923</v>
      </c>
      <c r="EI197" s="385">
        <f>5</f>
        <v>5</v>
      </c>
      <c r="EJ197" s="369">
        <v>66</v>
      </c>
      <c r="EK197" s="385">
        <v>923</v>
      </c>
      <c r="EL197" s="385">
        <f>5</f>
        <v>5</v>
      </c>
      <c r="EM197" s="369">
        <v>66</v>
      </c>
      <c r="EN197" s="385">
        <v>923</v>
      </c>
      <c r="EO197" s="385">
        <f>5</f>
        <v>5</v>
      </c>
      <c r="EP197" s="369">
        <v>66</v>
      </c>
      <c r="EQ197" s="385">
        <v>923</v>
      </c>
      <c r="ER197" s="385">
        <f>5</f>
        <v>5</v>
      </c>
      <c r="ES197" s="369">
        <v>66</v>
      </c>
      <c r="ET197" s="385">
        <v>923</v>
      </c>
      <c r="EU197" s="385">
        <f>5</f>
        <v>5</v>
      </c>
      <c r="EV197" s="369">
        <v>66</v>
      </c>
      <c r="EW197" s="385">
        <v>923</v>
      </c>
      <c r="EX197" s="385">
        <f>5</f>
        <v>5</v>
      </c>
      <c r="EY197" s="369">
        <v>66</v>
      </c>
      <c r="EZ197" s="385">
        <v>923</v>
      </c>
      <c r="FA197" s="385">
        <f>5</f>
        <v>5</v>
      </c>
      <c r="FB197" s="369">
        <v>66</v>
      </c>
      <c r="FC197" s="385">
        <v>923</v>
      </c>
      <c r="FD197" s="385">
        <f>5</f>
        <v>5</v>
      </c>
      <c r="FE197" s="369">
        <v>66</v>
      </c>
      <c r="FF197" s="385">
        <v>923</v>
      </c>
      <c r="FG197" s="385">
        <f>5</f>
        <v>5</v>
      </c>
      <c r="FH197" s="369">
        <v>66</v>
      </c>
      <c r="FI197" s="385">
        <v>923</v>
      </c>
      <c r="FJ197" s="385">
        <f>5</f>
        <v>5</v>
      </c>
      <c r="FK197" s="369">
        <v>66</v>
      </c>
      <c r="FL197" s="385">
        <v>923</v>
      </c>
      <c r="FM197" s="385">
        <f>5</f>
        <v>5</v>
      </c>
      <c r="FN197" s="369">
        <v>66</v>
      </c>
      <c r="FO197" s="385">
        <v>923</v>
      </c>
      <c r="FP197" s="385">
        <f>5</f>
        <v>5</v>
      </c>
      <c r="FQ197" s="369">
        <v>66</v>
      </c>
      <c r="FR197" s="385">
        <v>923</v>
      </c>
      <c r="FS197" s="385">
        <f>5</f>
        <v>5</v>
      </c>
      <c r="FT197" s="369">
        <v>66</v>
      </c>
      <c r="FU197" s="386">
        <v>923</v>
      </c>
      <c r="FV197" s="386">
        <f>5</f>
        <v>5</v>
      </c>
      <c r="FW197" s="370">
        <v>66</v>
      </c>
      <c r="FX197" s="385">
        <v>923</v>
      </c>
      <c r="FY197" s="385">
        <f>5</f>
        <v>5</v>
      </c>
      <c r="FZ197" s="358"/>
      <c r="GA197" s="385">
        <v>923</v>
      </c>
      <c r="GB197" s="385">
        <f>5</f>
        <v>5</v>
      </c>
      <c r="GC197" s="358"/>
      <c r="GD197" s="385">
        <v>923</v>
      </c>
      <c r="GE197" s="385">
        <f>5</f>
        <v>5</v>
      </c>
      <c r="GF197" s="358"/>
      <c r="GG197" s="385">
        <v>923</v>
      </c>
      <c r="GH197" s="385">
        <f>5</f>
        <v>5</v>
      </c>
      <c r="GI197" s="358"/>
      <c r="GJ197" s="385">
        <v>923</v>
      </c>
      <c r="GK197" s="385">
        <f>5</f>
        <v>5</v>
      </c>
      <c r="GL197" s="358"/>
      <c r="GM197" s="385">
        <v>923</v>
      </c>
      <c r="GN197" s="385">
        <f>5</f>
        <v>5</v>
      </c>
      <c r="GO197" s="358"/>
      <c r="GP197" s="385">
        <v>923</v>
      </c>
      <c r="GQ197" s="385">
        <f>5</f>
        <v>5</v>
      </c>
      <c r="GR197" s="358"/>
      <c r="GS197" s="385">
        <v>923</v>
      </c>
      <c r="GT197" s="385">
        <f>5</f>
        <v>5</v>
      </c>
      <c r="GU197" s="358"/>
      <c r="GV197" s="385">
        <v>923</v>
      </c>
      <c r="GW197" s="385">
        <f>5</f>
        <v>5</v>
      </c>
      <c r="GX197" s="358"/>
      <c r="GY197" s="385">
        <v>923</v>
      </c>
      <c r="GZ197" s="385">
        <f>5</f>
        <v>5</v>
      </c>
      <c r="HA197" s="358"/>
      <c r="HB197" s="385">
        <v>923</v>
      </c>
      <c r="HC197" s="385">
        <f>5</f>
        <v>5</v>
      </c>
      <c r="HD197" s="358"/>
      <c r="HE197" s="385">
        <v>923</v>
      </c>
      <c r="HF197" s="386">
        <f>5*6</f>
        <v>30</v>
      </c>
      <c r="HG197" s="358"/>
      <c r="HH197" s="385">
        <v>923</v>
      </c>
      <c r="HI197" s="358"/>
      <c r="HJ197" s="385">
        <v>923</v>
      </c>
      <c r="HK197" s="358"/>
      <c r="HL197" s="385">
        <v>923</v>
      </c>
      <c r="HM197" s="358"/>
      <c r="HN197" s="385">
        <v>923</v>
      </c>
      <c r="HO197" s="358"/>
      <c r="HP197" s="385">
        <v>923</v>
      </c>
      <c r="HQ197" s="358"/>
      <c r="HR197" s="385">
        <v>923</v>
      </c>
      <c r="HS197" s="358"/>
      <c r="HT197" s="386">
        <v>1634.6179350903562</v>
      </c>
      <c r="HU197" s="358"/>
      <c r="HV197" s="567"/>
      <c r="HW197" s="567"/>
      <c r="HX197" s="567"/>
      <c r="HY197" s="567"/>
      <c r="HZ197" s="567"/>
      <c r="IA197" s="567"/>
      <c r="IB197" s="567"/>
      <c r="IC197" s="567"/>
      <c r="ID197" s="567"/>
      <c r="IE197" s="567"/>
      <c r="IF197" s="567"/>
      <c r="IG197" s="567"/>
      <c r="IH197" s="568"/>
      <c r="II197" s="569"/>
      <c r="IJ197" s="568"/>
      <c r="IK197" s="569"/>
      <c r="IL197" s="568"/>
      <c r="IM197" s="569"/>
      <c r="IN197" s="568"/>
      <c r="IO197" s="569"/>
      <c r="IP197" s="568"/>
      <c r="IQ197" s="569"/>
      <c r="IR197" s="620" t="s">
        <v>3417</v>
      </c>
      <c r="IS197" s="587" t="s">
        <v>77</v>
      </c>
      <c r="IT197" s="611">
        <v>43746</v>
      </c>
      <c r="IU197" s="518">
        <v>43800</v>
      </c>
      <c r="IV197" s="518">
        <v>44818</v>
      </c>
      <c r="IW197" s="526">
        <f t="shared" si="22"/>
        <v>54</v>
      </c>
      <c r="IX197" s="621">
        <f t="shared" si="26"/>
        <v>53.594030658700206</v>
      </c>
      <c r="IY197" s="621">
        <v>1634.6179350903562</v>
      </c>
      <c r="IZ197" s="374"/>
    </row>
    <row r="198" spans="1:261" s="367" customFormat="1" ht="16.5" customHeight="1" x14ac:dyDescent="0.3">
      <c r="A198" s="526" t="s">
        <v>2758</v>
      </c>
      <c r="B198" s="622" t="s">
        <v>2874</v>
      </c>
      <c r="C198" s="643" t="s">
        <v>2038</v>
      </c>
      <c r="D198" s="644">
        <v>285</v>
      </c>
      <c r="E198" s="645">
        <v>12</v>
      </c>
      <c r="F198" s="645">
        <v>0</v>
      </c>
      <c r="G198" s="645">
        <v>0</v>
      </c>
      <c r="H198" s="646">
        <v>0</v>
      </c>
      <c r="I198" s="841">
        <v>297</v>
      </c>
      <c r="J198" s="827"/>
      <c r="K198" s="827"/>
      <c r="L198" s="835">
        <v>297</v>
      </c>
      <c r="M198" s="827"/>
      <c r="N198" s="827"/>
      <c r="O198" s="835">
        <v>297</v>
      </c>
      <c r="P198" s="827"/>
      <c r="Q198" s="827"/>
      <c r="R198" s="835">
        <v>297</v>
      </c>
      <c r="S198" s="827"/>
      <c r="T198" s="827"/>
      <c r="U198" s="835">
        <v>297</v>
      </c>
      <c r="V198" s="827"/>
      <c r="W198" s="827"/>
      <c r="X198" s="835">
        <v>297</v>
      </c>
      <c r="Y198" s="827"/>
      <c r="Z198" s="827"/>
      <c r="AA198" s="835">
        <v>297</v>
      </c>
      <c r="AB198" s="827"/>
      <c r="AC198" s="827"/>
      <c r="AD198" s="835">
        <v>297</v>
      </c>
      <c r="AE198" s="827"/>
      <c r="AF198" s="827"/>
      <c r="AG198" s="835">
        <v>297</v>
      </c>
      <c r="AH198" s="827"/>
      <c r="AI198" s="827"/>
      <c r="AJ198" s="835">
        <v>297</v>
      </c>
      <c r="AK198" s="827"/>
      <c r="AL198" s="827"/>
      <c r="AM198" s="835">
        <v>297</v>
      </c>
      <c r="AN198" s="827"/>
      <c r="AO198" s="827"/>
      <c r="AP198" s="835">
        <v>297</v>
      </c>
      <c r="AQ198" s="827"/>
      <c r="AR198" s="827"/>
      <c r="AS198" s="881">
        <f>((297-254)/30.5)*31+297</f>
        <v>340.70491803278691</v>
      </c>
      <c r="AT198" s="827"/>
      <c r="AU198" s="827"/>
      <c r="AV198" s="831">
        <v>254</v>
      </c>
      <c r="AW198" s="827"/>
      <c r="AX198" s="827"/>
      <c r="AY198" s="831">
        <v>254</v>
      </c>
      <c r="AZ198" s="827"/>
      <c r="BA198" s="358"/>
      <c r="BB198" s="385">
        <v>254</v>
      </c>
      <c r="BC198" s="358"/>
      <c r="BD198" s="358"/>
      <c r="BE198" s="385">
        <v>254</v>
      </c>
      <c r="BF198" s="358"/>
      <c r="BG198" s="358"/>
      <c r="BH198" s="385">
        <v>254</v>
      </c>
      <c r="BI198" s="385"/>
      <c r="BJ198" s="358"/>
      <c r="BK198" s="385">
        <v>254</v>
      </c>
      <c r="BL198" s="385"/>
      <c r="BM198" s="358"/>
      <c r="BN198" s="385">
        <v>254</v>
      </c>
      <c r="BO198" s="385"/>
      <c r="BP198" s="358"/>
      <c r="BQ198" s="385">
        <v>254</v>
      </c>
      <c r="BR198" s="385"/>
      <c r="BS198" s="358"/>
      <c r="BT198" s="385">
        <v>254</v>
      </c>
      <c r="BU198" s="385"/>
      <c r="BV198" s="358"/>
      <c r="BW198" s="385">
        <v>254</v>
      </c>
      <c r="BX198" s="385"/>
      <c r="BY198" s="358"/>
      <c r="BZ198" s="385">
        <v>254</v>
      </c>
      <c r="CA198" s="385"/>
      <c r="CB198" s="358"/>
      <c r="CC198" s="385">
        <v>254</v>
      </c>
      <c r="CD198" s="385"/>
      <c r="CE198" s="358"/>
      <c r="CF198" s="385">
        <v>254</v>
      </c>
      <c r="CG198" s="385"/>
      <c r="CH198" s="358"/>
      <c r="CI198" s="385">
        <v>254</v>
      </c>
      <c r="CJ198" s="385"/>
      <c r="CK198" s="358"/>
      <c r="CL198" s="385">
        <v>254</v>
      </c>
      <c r="CM198" s="385"/>
      <c r="CN198" s="358"/>
      <c r="CO198" s="385">
        <v>254</v>
      </c>
      <c r="CP198" s="385"/>
      <c r="CQ198" s="358"/>
      <c r="CR198" s="385">
        <v>254</v>
      </c>
      <c r="CS198" s="385"/>
      <c r="CT198" s="358"/>
      <c r="CU198" s="385">
        <v>254</v>
      </c>
      <c r="CV198" s="385"/>
      <c r="CW198" s="358"/>
      <c r="CX198" s="385">
        <v>254</v>
      </c>
      <c r="CY198" s="385"/>
      <c r="CZ198" s="358"/>
      <c r="DA198" s="385">
        <v>254</v>
      </c>
      <c r="DB198" s="385"/>
      <c r="DC198" s="358"/>
      <c r="DD198" s="385">
        <v>254</v>
      </c>
      <c r="DE198" s="385"/>
      <c r="DF198" s="358"/>
      <c r="DG198" s="385">
        <v>254</v>
      </c>
      <c r="DH198" s="385"/>
      <c r="DI198" s="358"/>
      <c r="DJ198" s="385">
        <v>254</v>
      </c>
      <c r="DK198" s="385"/>
      <c r="DL198" s="358"/>
      <c r="DM198" s="385">
        <v>254</v>
      </c>
      <c r="DN198" s="385"/>
      <c r="DO198" s="358"/>
      <c r="DP198" s="385">
        <v>254</v>
      </c>
      <c r="DQ198" s="385"/>
      <c r="DR198" s="358"/>
      <c r="DS198" s="385">
        <v>254</v>
      </c>
      <c r="DT198" s="385"/>
      <c r="DU198" s="358"/>
      <c r="DV198" s="385">
        <v>254</v>
      </c>
      <c r="DW198" s="385"/>
      <c r="DX198" s="358"/>
      <c r="DY198" s="385">
        <v>254</v>
      </c>
      <c r="DZ198" s="385"/>
      <c r="EA198" s="358"/>
      <c r="EB198" s="385">
        <v>254</v>
      </c>
      <c r="EC198" s="385"/>
      <c r="ED198" s="358"/>
      <c r="EE198" s="385">
        <v>254</v>
      </c>
      <c r="EF198" s="385"/>
      <c r="EG198" s="358"/>
      <c r="EH198" s="385">
        <v>254</v>
      </c>
      <c r="EI198" s="385"/>
      <c r="EJ198" s="358"/>
      <c r="EK198" s="385">
        <v>254</v>
      </c>
      <c r="EL198" s="385"/>
      <c r="EM198" s="358"/>
      <c r="EN198" s="385">
        <v>254</v>
      </c>
      <c r="EO198" s="385"/>
      <c r="EP198" s="358"/>
      <c r="EQ198" s="385">
        <v>254</v>
      </c>
      <c r="ER198" s="385"/>
      <c r="ES198" s="358"/>
      <c r="ET198" s="385">
        <v>254</v>
      </c>
      <c r="EU198" s="385"/>
      <c r="EV198" s="358"/>
      <c r="EW198" s="385">
        <v>254</v>
      </c>
      <c r="EX198" s="385"/>
      <c r="EY198" s="358"/>
      <c r="EZ198" s="385">
        <v>254</v>
      </c>
      <c r="FA198" s="385"/>
      <c r="FB198" s="358"/>
      <c r="FC198" s="385">
        <v>254</v>
      </c>
      <c r="FD198" s="385"/>
      <c r="FE198" s="358"/>
      <c r="FF198" s="385">
        <v>254</v>
      </c>
      <c r="FG198" s="385"/>
      <c r="FH198" s="358"/>
      <c r="FI198" s="385">
        <v>254</v>
      </c>
      <c r="FJ198" s="385"/>
      <c r="FK198" s="358"/>
      <c r="FL198" s="385">
        <v>254</v>
      </c>
      <c r="FM198" s="385"/>
      <c r="FN198" s="358"/>
      <c r="FO198" s="385">
        <v>254</v>
      </c>
      <c r="FP198" s="385"/>
      <c r="FQ198" s="358"/>
      <c r="FR198" s="385">
        <v>254</v>
      </c>
      <c r="FS198" s="385"/>
      <c r="FT198" s="358"/>
      <c r="FU198" s="385">
        <v>254</v>
      </c>
      <c r="FV198" s="385"/>
      <c r="FW198" s="358"/>
      <c r="FX198" s="385">
        <v>254</v>
      </c>
      <c r="FY198" s="385"/>
      <c r="FZ198" s="358"/>
      <c r="GA198" s="385">
        <v>254</v>
      </c>
      <c r="GB198" s="385"/>
      <c r="GC198" s="358"/>
      <c r="GD198" s="385">
        <v>254</v>
      </c>
      <c r="GE198" s="385"/>
      <c r="GF198" s="358"/>
      <c r="GG198" s="385">
        <v>254</v>
      </c>
      <c r="GH198" s="385"/>
      <c r="GI198" s="358"/>
      <c r="GJ198" s="385">
        <v>254</v>
      </c>
      <c r="GK198" s="385"/>
      <c r="GL198" s="358"/>
      <c r="GM198" s="385">
        <v>254</v>
      </c>
      <c r="GN198" s="385"/>
      <c r="GO198" s="358"/>
      <c r="GP198" s="385">
        <v>254</v>
      </c>
      <c r="GQ198" s="385"/>
      <c r="GR198" s="358"/>
      <c r="GS198" s="385">
        <v>254</v>
      </c>
      <c r="GT198" s="385"/>
      <c r="GU198" s="358"/>
      <c r="GV198" s="385">
        <v>254</v>
      </c>
      <c r="GW198" s="385"/>
      <c r="GX198" s="358"/>
      <c r="GY198" s="385">
        <v>254</v>
      </c>
      <c r="GZ198" s="385"/>
      <c r="HA198" s="358"/>
      <c r="HB198" s="385">
        <v>254</v>
      </c>
      <c r="HC198" s="385"/>
      <c r="HD198" s="358"/>
      <c r="HE198" s="385">
        <v>254</v>
      </c>
      <c r="HF198" s="385"/>
      <c r="HG198" s="358"/>
      <c r="HH198" s="385">
        <v>254</v>
      </c>
      <c r="HI198" s="358"/>
      <c r="HJ198" s="385">
        <v>254</v>
      </c>
      <c r="HK198" s="358"/>
      <c r="HL198" s="385">
        <v>254</v>
      </c>
      <c r="HM198" s="358"/>
      <c r="HN198" s="385">
        <v>254</v>
      </c>
      <c r="HO198" s="358"/>
      <c r="HP198" s="385">
        <v>254</v>
      </c>
      <c r="HQ198" s="358"/>
      <c r="HR198" s="385">
        <v>254</v>
      </c>
      <c r="HS198" s="358"/>
      <c r="HT198" s="386">
        <v>450.43432853297912</v>
      </c>
      <c r="HU198" s="358"/>
      <c r="HV198" s="567"/>
      <c r="HW198" s="567"/>
      <c r="HX198" s="567"/>
      <c r="HY198" s="567"/>
      <c r="HZ198" s="567"/>
      <c r="IA198" s="567"/>
      <c r="IB198" s="567"/>
      <c r="IC198" s="567"/>
      <c r="ID198" s="567"/>
      <c r="IE198" s="567"/>
      <c r="IF198" s="567"/>
      <c r="IG198" s="567"/>
      <c r="IH198" s="568"/>
      <c r="II198" s="569"/>
      <c r="IJ198" s="568"/>
      <c r="IK198" s="569"/>
      <c r="IL198" s="568"/>
      <c r="IM198" s="569"/>
      <c r="IN198" s="568"/>
      <c r="IO198" s="569"/>
      <c r="IP198" s="568"/>
      <c r="IQ198" s="569"/>
      <c r="IR198" s="620" t="s">
        <v>3418</v>
      </c>
      <c r="IS198" s="587" t="s">
        <v>77</v>
      </c>
      <c r="IT198" s="611">
        <v>43746</v>
      </c>
      <c r="IU198" s="518">
        <v>43800</v>
      </c>
      <c r="IV198" s="552"/>
      <c r="IW198" s="526">
        <f t="shared" si="22"/>
        <v>54</v>
      </c>
      <c r="IX198" s="621">
        <f t="shared" si="26"/>
        <v>14.768338640425545</v>
      </c>
      <c r="IY198" s="621">
        <v>450.43432853297912</v>
      </c>
      <c r="IZ198" s="374"/>
    </row>
    <row r="199" spans="1:261" s="367" customFormat="1" ht="16.5" customHeight="1" x14ac:dyDescent="0.3">
      <c r="A199" s="526" t="s">
        <v>2735</v>
      </c>
      <c r="B199" s="628" t="s">
        <v>2768</v>
      </c>
      <c r="C199" s="629" t="s">
        <v>539</v>
      </c>
      <c r="D199" s="630">
        <v>1229</v>
      </c>
      <c r="E199" s="631">
        <v>44</v>
      </c>
      <c r="F199" s="631">
        <v>40</v>
      </c>
      <c r="G199" s="631">
        <v>5</v>
      </c>
      <c r="H199" s="632">
        <v>66</v>
      </c>
      <c r="I199" s="830">
        <v>1313</v>
      </c>
      <c r="J199" s="831">
        <f>5</f>
        <v>5</v>
      </c>
      <c r="K199" s="831">
        <v>66</v>
      </c>
      <c r="L199" s="831">
        <v>1313</v>
      </c>
      <c r="M199" s="831">
        <f>5</f>
        <v>5</v>
      </c>
      <c r="N199" s="831">
        <v>66</v>
      </c>
      <c r="O199" s="831">
        <v>1313</v>
      </c>
      <c r="P199" s="831">
        <f>5</f>
        <v>5</v>
      </c>
      <c r="Q199" s="831">
        <v>66</v>
      </c>
      <c r="R199" s="831">
        <v>1313</v>
      </c>
      <c r="S199" s="831">
        <f>5</f>
        <v>5</v>
      </c>
      <c r="T199" s="831">
        <v>66</v>
      </c>
      <c r="U199" s="831">
        <v>1313</v>
      </c>
      <c r="V199" s="831">
        <f>5</f>
        <v>5</v>
      </c>
      <c r="W199" s="831">
        <v>66</v>
      </c>
      <c r="X199" s="831">
        <v>1313</v>
      </c>
      <c r="Y199" s="831">
        <f>5</f>
        <v>5</v>
      </c>
      <c r="Z199" s="831">
        <v>66</v>
      </c>
      <c r="AA199" s="831">
        <v>1313</v>
      </c>
      <c r="AB199" s="831">
        <f>5</f>
        <v>5</v>
      </c>
      <c r="AC199" s="831">
        <v>66</v>
      </c>
      <c r="AD199" s="831">
        <v>1313</v>
      </c>
      <c r="AE199" s="831">
        <f>5</f>
        <v>5</v>
      </c>
      <c r="AF199" s="831">
        <v>66</v>
      </c>
      <c r="AG199" s="831">
        <v>1313</v>
      </c>
      <c r="AH199" s="831">
        <f>5</f>
        <v>5</v>
      </c>
      <c r="AI199" s="831">
        <v>66</v>
      </c>
      <c r="AJ199" s="831">
        <v>1313</v>
      </c>
      <c r="AK199" s="831">
        <f>5</f>
        <v>5</v>
      </c>
      <c r="AL199" s="831">
        <v>66</v>
      </c>
      <c r="AM199" s="831">
        <v>1313</v>
      </c>
      <c r="AN199" s="831">
        <f>5</f>
        <v>5</v>
      </c>
      <c r="AO199" s="831">
        <v>66</v>
      </c>
      <c r="AP199" s="831">
        <v>1313</v>
      </c>
      <c r="AQ199" s="831">
        <f>5</f>
        <v>5</v>
      </c>
      <c r="AR199" s="831">
        <v>66</v>
      </c>
      <c r="AS199" s="831">
        <v>1313</v>
      </c>
      <c r="AT199" s="831">
        <f>5</f>
        <v>5</v>
      </c>
      <c r="AU199" s="831">
        <v>66</v>
      </c>
      <c r="AV199" s="831">
        <v>1313</v>
      </c>
      <c r="AW199" s="831">
        <f>5</f>
        <v>5</v>
      </c>
      <c r="AX199" s="831">
        <v>66</v>
      </c>
      <c r="AY199" s="831">
        <v>1313</v>
      </c>
      <c r="AZ199" s="831">
        <f>5</f>
        <v>5</v>
      </c>
      <c r="BA199" s="369">
        <v>66</v>
      </c>
      <c r="BB199" s="385">
        <v>1313</v>
      </c>
      <c r="BC199" s="385">
        <f>5</f>
        <v>5</v>
      </c>
      <c r="BD199" s="369">
        <v>66</v>
      </c>
      <c r="BE199" s="385">
        <v>1313</v>
      </c>
      <c r="BF199" s="385">
        <f>5</f>
        <v>5</v>
      </c>
      <c r="BG199" s="369">
        <v>66</v>
      </c>
      <c r="BH199" s="385">
        <v>1313</v>
      </c>
      <c r="BI199" s="385">
        <f>5</f>
        <v>5</v>
      </c>
      <c r="BJ199" s="369">
        <v>66</v>
      </c>
      <c r="BK199" s="385">
        <v>1313</v>
      </c>
      <c r="BL199" s="385">
        <f>5</f>
        <v>5</v>
      </c>
      <c r="BM199" s="369">
        <v>66</v>
      </c>
      <c r="BN199" s="385">
        <v>1313</v>
      </c>
      <c r="BO199" s="385">
        <f>5</f>
        <v>5</v>
      </c>
      <c r="BP199" s="369">
        <v>66</v>
      </c>
      <c r="BQ199" s="385">
        <v>1313</v>
      </c>
      <c r="BR199" s="385">
        <f>5</f>
        <v>5</v>
      </c>
      <c r="BS199" s="369">
        <v>66</v>
      </c>
      <c r="BT199" s="385">
        <v>1313</v>
      </c>
      <c r="BU199" s="385">
        <f>5</f>
        <v>5</v>
      </c>
      <c r="BV199" s="369">
        <v>66</v>
      </c>
      <c r="BW199" s="385">
        <v>1313</v>
      </c>
      <c r="BX199" s="385">
        <f>5</f>
        <v>5</v>
      </c>
      <c r="BY199" s="369">
        <v>66</v>
      </c>
      <c r="BZ199" s="385">
        <v>1313</v>
      </c>
      <c r="CA199" s="385">
        <f>5</f>
        <v>5</v>
      </c>
      <c r="CB199" s="369">
        <v>66</v>
      </c>
      <c r="CC199" s="385">
        <v>1313</v>
      </c>
      <c r="CD199" s="385">
        <f>5</f>
        <v>5</v>
      </c>
      <c r="CE199" s="369">
        <v>66</v>
      </c>
      <c r="CF199" s="385">
        <v>1313</v>
      </c>
      <c r="CG199" s="385">
        <f>5</f>
        <v>5</v>
      </c>
      <c r="CH199" s="369">
        <v>66</v>
      </c>
      <c r="CI199" s="385">
        <v>1313</v>
      </c>
      <c r="CJ199" s="385">
        <f>5</f>
        <v>5</v>
      </c>
      <c r="CK199" s="369">
        <v>66</v>
      </c>
      <c r="CL199" s="385">
        <v>1313</v>
      </c>
      <c r="CM199" s="385">
        <f>5</f>
        <v>5</v>
      </c>
      <c r="CN199" s="369">
        <v>66</v>
      </c>
      <c r="CO199" s="385">
        <v>1313</v>
      </c>
      <c r="CP199" s="385">
        <f>5</f>
        <v>5</v>
      </c>
      <c r="CQ199" s="369">
        <v>66</v>
      </c>
      <c r="CR199" s="385">
        <v>1313</v>
      </c>
      <c r="CS199" s="385">
        <f>5</f>
        <v>5</v>
      </c>
      <c r="CT199" s="369">
        <v>66</v>
      </c>
      <c r="CU199" s="385">
        <v>1313</v>
      </c>
      <c r="CV199" s="385">
        <f>5</f>
        <v>5</v>
      </c>
      <c r="CW199" s="369">
        <v>66</v>
      </c>
      <c r="CX199" s="385">
        <v>1313</v>
      </c>
      <c r="CY199" s="385">
        <f>5</f>
        <v>5</v>
      </c>
      <c r="CZ199" s="369">
        <v>66</v>
      </c>
      <c r="DA199" s="385">
        <v>1313</v>
      </c>
      <c r="DB199" s="385">
        <f>5</f>
        <v>5</v>
      </c>
      <c r="DC199" s="369">
        <v>66</v>
      </c>
      <c r="DD199" s="385">
        <v>1313</v>
      </c>
      <c r="DE199" s="385">
        <f>5</f>
        <v>5</v>
      </c>
      <c r="DF199" s="369">
        <v>66</v>
      </c>
      <c r="DG199" s="386">
        <f>((1313-923)/30.5)*26+1313</f>
        <v>1645.4590163934427</v>
      </c>
      <c r="DH199" s="386">
        <f>5</f>
        <v>5</v>
      </c>
      <c r="DI199" s="370">
        <v>66</v>
      </c>
      <c r="DJ199" s="385">
        <v>923</v>
      </c>
      <c r="DK199" s="385">
        <f>5</f>
        <v>5</v>
      </c>
      <c r="DL199" s="369">
        <v>66</v>
      </c>
      <c r="DM199" s="385">
        <v>923</v>
      </c>
      <c r="DN199" s="385">
        <f>5</f>
        <v>5</v>
      </c>
      <c r="DO199" s="369">
        <v>66</v>
      </c>
      <c r="DP199" s="385">
        <v>923</v>
      </c>
      <c r="DQ199" s="385">
        <f>5</f>
        <v>5</v>
      </c>
      <c r="DR199" s="369">
        <v>66</v>
      </c>
      <c r="DS199" s="385">
        <v>923</v>
      </c>
      <c r="DT199" s="385">
        <f>5</f>
        <v>5</v>
      </c>
      <c r="DU199" s="369">
        <v>66</v>
      </c>
      <c r="DV199" s="385">
        <v>923</v>
      </c>
      <c r="DW199" s="385">
        <f>5</f>
        <v>5</v>
      </c>
      <c r="DX199" s="369">
        <v>66</v>
      </c>
      <c r="DY199" s="385">
        <v>923</v>
      </c>
      <c r="DZ199" s="385">
        <f>5</f>
        <v>5</v>
      </c>
      <c r="EA199" s="369">
        <v>66</v>
      </c>
      <c r="EB199" s="385">
        <v>923</v>
      </c>
      <c r="EC199" s="385">
        <f>5</f>
        <v>5</v>
      </c>
      <c r="ED199" s="369">
        <v>66</v>
      </c>
      <c r="EE199" s="385">
        <v>923</v>
      </c>
      <c r="EF199" s="385">
        <f>5</f>
        <v>5</v>
      </c>
      <c r="EG199" s="369">
        <v>66</v>
      </c>
      <c r="EH199" s="385">
        <v>923</v>
      </c>
      <c r="EI199" s="385">
        <f>5</f>
        <v>5</v>
      </c>
      <c r="EJ199" s="369">
        <v>66</v>
      </c>
      <c r="EK199" s="385">
        <v>923</v>
      </c>
      <c r="EL199" s="385">
        <f>5</f>
        <v>5</v>
      </c>
      <c r="EM199" s="369">
        <v>66</v>
      </c>
      <c r="EN199" s="385">
        <v>923</v>
      </c>
      <c r="EO199" s="385">
        <f>5</f>
        <v>5</v>
      </c>
      <c r="EP199" s="369">
        <v>66</v>
      </c>
      <c r="EQ199" s="385">
        <v>923</v>
      </c>
      <c r="ER199" s="385">
        <f>5</f>
        <v>5</v>
      </c>
      <c r="ES199" s="369">
        <v>66</v>
      </c>
      <c r="ET199" s="385">
        <v>923</v>
      </c>
      <c r="EU199" s="385">
        <f>5</f>
        <v>5</v>
      </c>
      <c r="EV199" s="369">
        <v>66</v>
      </c>
      <c r="EW199" s="385">
        <v>923</v>
      </c>
      <c r="EX199" s="385">
        <f>5</f>
        <v>5</v>
      </c>
      <c r="EY199" s="369">
        <v>66</v>
      </c>
      <c r="EZ199" s="385">
        <v>923</v>
      </c>
      <c r="FA199" s="385">
        <f>5</f>
        <v>5</v>
      </c>
      <c r="FB199" s="369">
        <v>66</v>
      </c>
      <c r="FC199" s="385">
        <v>923</v>
      </c>
      <c r="FD199" s="385">
        <f>5</f>
        <v>5</v>
      </c>
      <c r="FE199" s="369">
        <v>66</v>
      </c>
      <c r="FF199" s="385">
        <v>923</v>
      </c>
      <c r="FG199" s="385">
        <f>5</f>
        <v>5</v>
      </c>
      <c r="FH199" s="369">
        <v>66</v>
      </c>
      <c r="FI199" s="385">
        <v>923</v>
      </c>
      <c r="FJ199" s="385">
        <f>5</f>
        <v>5</v>
      </c>
      <c r="FK199" s="369">
        <v>66</v>
      </c>
      <c r="FL199" s="385">
        <v>923</v>
      </c>
      <c r="FM199" s="385">
        <f>5</f>
        <v>5</v>
      </c>
      <c r="FN199" s="369">
        <v>66</v>
      </c>
      <c r="FO199" s="385">
        <v>923</v>
      </c>
      <c r="FP199" s="385">
        <f>5</f>
        <v>5</v>
      </c>
      <c r="FQ199" s="369">
        <v>66</v>
      </c>
      <c r="FR199" s="385">
        <v>923</v>
      </c>
      <c r="FS199" s="385">
        <f>5</f>
        <v>5</v>
      </c>
      <c r="FT199" s="369">
        <v>66</v>
      </c>
      <c r="FU199" s="386">
        <v>923</v>
      </c>
      <c r="FV199" s="386">
        <f>5</f>
        <v>5</v>
      </c>
      <c r="FW199" s="370">
        <v>66</v>
      </c>
      <c r="FX199" s="385">
        <v>923</v>
      </c>
      <c r="FY199" s="385">
        <f>5</f>
        <v>5</v>
      </c>
      <c r="FZ199" s="358"/>
      <c r="GA199" s="385">
        <v>923</v>
      </c>
      <c r="GB199" s="385">
        <f>5</f>
        <v>5</v>
      </c>
      <c r="GC199" s="358"/>
      <c r="GD199" s="385">
        <v>923</v>
      </c>
      <c r="GE199" s="385">
        <f>5</f>
        <v>5</v>
      </c>
      <c r="GF199" s="358"/>
      <c r="GG199" s="385">
        <v>923</v>
      </c>
      <c r="GH199" s="385">
        <f>5</f>
        <v>5</v>
      </c>
      <c r="GI199" s="358"/>
      <c r="GJ199" s="385">
        <v>923</v>
      </c>
      <c r="GK199" s="385">
        <f>5</f>
        <v>5</v>
      </c>
      <c r="GL199" s="358"/>
      <c r="GM199" s="385">
        <v>923</v>
      </c>
      <c r="GN199" s="385">
        <f>5</f>
        <v>5</v>
      </c>
      <c r="GO199" s="358"/>
      <c r="GP199" s="385">
        <v>923</v>
      </c>
      <c r="GQ199" s="385">
        <f>5</f>
        <v>5</v>
      </c>
      <c r="GR199" s="358"/>
      <c r="GS199" s="385">
        <v>923</v>
      </c>
      <c r="GT199" s="385">
        <f>5</f>
        <v>5</v>
      </c>
      <c r="GU199" s="358"/>
      <c r="GV199" s="385">
        <v>923</v>
      </c>
      <c r="GW199" s="385">
        <f>5</f>
        <v>5</v>
      </c>
      <c r="GX199" s="358"/>
      <c r="GY199" s="385">
        <v>923</v>
      </c>
      <c r="GZ199" s="385">
        <f>5</f>
        <v>5</v>
      </c>
      <c r="HA199" s="358"/>
      <c r="HB199" s="385">
        <v>923</v>
      </c>
      <c r="HC199" s="385">
        <f>5</f>
        <v>5</v>
      </c>
      <c r="HD199" s="358"/>
      <c r="HE199" s="385">
        <v>923</v>
      </c>
      <c r="HF199" s="386">
        <f>5*6</f>
        <v>30</v>
      </c>
      <c r="HG199" s="358"/>
      <c r="HH199" s="385">
        <v>923</v>
      </c>
      <c r="HI199" s="358"/>
      <c r="HJ199" s="385">
        <v>923</v>
      </c>
      <c r="HK199" s="358"/>
      <c r="HL199" s="385">
        <v>923</v>
      </c>
      <c r="HM199" s="358"/>
      <c r="HN199" s="385">
        <v>923</v>
      </c>
      <c r="HO199" s="358"/>
      <c r="HP199" s="385">
        <v>923</v>
      </c>
      <c r="HQ199" s="358"/>
      <c r="HR199" s="385">
        <v>923</v>
      </c>
      <c r="HS199" s="358"/>
      <c r="HT199" s="386">
        <v>1634.6179350903562</v>
      </c>
      <c r="HU199" s="358"/>
      <c r="HV199" s="567"/>
      <c r="HW199" s="567"/>
      <c r="HX199" s="567"/>
      <c r="HY199" s="567"/>
      <c r="HZ199" s="567"/>
      <c r="IA199" s="567"/>
      <c r="IB199" s="567"/>
      <c r="IC199" s="567"/>
      <c r="ID199" s="567"/>
      <c r="IE199" s="567"/>
      <c r="IF199" s="567"/>
      <c r="IG199" s="567"/>
      <c r="IH199" s="568"/>
      <c r="II199" s="569"/>
      <c r="IJ199" s="568"/>
      <c r="IK199" s="569"/>
      <c r="IL199" s="568"/>
      <c r="IM199" s="569"/>
      <c r="IN199" s="568"/>
      <c r="IO199" s="569"/>
      <c r="IP199" s="568"/>
      <c r="IQ199" s="569"/>
      <c r="IR199" s="620" t="s">
        <v>3419</v>
      </c>
      <c r="IS199" s="587" t="s">
        <v>77</v>
      </c>
      <c r="IT199" s="611">
        <v>43746</v>
      </c>
      <c r="IU199" s="518">
        <v>43800</v>
      </c>
      <c r="IV199" s="518">
        <v>44348</v>
      </c>
      <c r="IW199" s="526">
        <f t="shared" si="22"/>
        <v>54</v>
      </c>
      <c r="IX199" s="621">
        <f t="shared" si="26"/>
        <v>53.594030658700206</v>
      </c>
      <c r="IY199" s="621">
        <v>1634.6179350903562</v>
      </c>
      <c r="IZ199" s="374"/>
    </row>
    <row r="200" spans="1:261" s="367" customFormat="1" ht="16.5" customHeight="1" x14ac:dyDescent="0.3">
      <c r="A200" s="401" t="s">
        <v>3315</v>
      </c>
      <c r="B200" s="402" t="s">
        <v>3315</v>
      </c>
      <c r="C200" s="619" t="s">
        <v>3420</v>
      </c>
      <c r="D200" s="901"/>
      <c r="E200" s="902"/>
      <c r="F200" s="902"/>
      <c r="G200" s="902"/>
      <c r="H200" s="903"/>
      <c r="I200" s="853">
        <v>0</v>
      </c>
      <c r="J200" s="833">
        <v>0</v>
      </c>
      <c r="K200" s="833">
        <v>0</v>
      </c>
      <c r="L200" s="833">
        <v>0</v>
      </c>
      <c r="M200" s="833">
        <v>0</v>
      </c>
      <c r="N200" s="833">
        <v>0</v>
      </c>
      <c r="O200" s="833">
        <v>0</v>
      </c>
      <c r="P200" s="833">
        <v>0</v>
      </c>
      <c r="Q200" s="833">
        <v>0</v>
      </c>
      <c r="R200" s="833">
        <v>0</v>
      </c>
      <c r="S200" s="833">
        <v>0</v>
      </c>
      <c r="T200" s="833">
        <v>0</v>
      </c>
      <c r="U200" s="833">
        <v>0</v>
      </c>
      <c r="V200" s="833">
        <v>0</v>
      </c>
      <c r="W200" s="833">
        <v>0</v>
      </c>
      <c r="X200" s="833">
        <v>0</v>
      </c>
      <c r="Y200" s="833">
        <v>0</v>
      </c>
      <c r="Z200" s="833">
        <v>0</v>
      </c>
      <c r="AA200" s="833">
        <v>0</v>
      </c>
      <c r="AB200" s="833">
        <v>0</v>
      </c>
      <c r="AC200" s="833">
        <v>0</v>
      </c>
      <c r="AD200" s="833">
        <v>0</v>
      </c>
      <c r="AE200" s="833">
        <v>0</v>
      </c>
      <c r="AF200" s="833">
        <v>0</v>
      </c>
      <c r="AG200" s="833">
        <v>0</v>
      </c>
      <c r="AH200" s="833">
        <v>0</v>
      </c>
      <c r="AI200" s="833">
        <v>0</v>
      </c>
      <c r="AJ200" s="833">
        <v>0</v>
      </c>
      <c r="AK200" s="833">
        <v>0</v>
      </c>
      <c r="AL200" s="833">
        <v>0</v>
      </c>
      <c r="AM200" s="833">
        <v>0</v>
      </c>
      <c r="AN200" s="833">
        <v>0</v>
      </c>
      <c r="AO200" s="833">
        <v>0</v>
      </c>
      <c r="AP200" s="833">
        <v>0</v>
      </c>
      <c r="AQ200" s="833">
        <v>0</v>
      </c>
      <c r="AR200" s="833">
        <v>0</v>
      </c>
      <c r="AS200" s="833">
        <v>0</v>
      </c>
      <c r="AT200" s="833">
        <v>0</v>
      </c>
      <c r="AU200" s="833">
        <v>0</v>
      </c>
      <c r="AV200" s="833"/>
      <c r="AW200" s="833"/>
      <c r="AX200" s="833"/>
      <c r="AY200" s="833"/>
      <c r="AZ200" s="833"/>
      <c r="BA200" s="455"/>
      <c r="BB200" s="404"/>
      <c r="BC200" s="404"/>
      <c r="BD200" s="455"/>
      <c r="BE200" s="404"/>
      <c r="BF200" s="404"/>
      <c r="BG200" s="455"/>
      <c r="BH200" s="404"/>
      <c r="BI200" s="404"/>
      <c r="BJ200" s="455"/>
      <c r="BK200" s="404"/>
      <c r="BL200" s="404"/>
      <c r="BM200" s="455"/>
      <c r="BN200" s="404"/>
      <c r="BO200" s="404"/>
      <c r="BP200" s="455"/>
      <c r="BQ200" s="404"/>
      <c r="BR200" s="404"/>
      <c r="BS200" s="455"/>
      <c r="BT200" s="404"/>
      <c r="BU200" s="404"/>
      <c r="BV200" s="455"/>
      <c r="BW200" s="404"/>
      <c r="BX200" s="404"/>
      <c r="BY200" s="455"/>
      <c r="BZ200" s="404"/>
      <c r="CA200" s="404"/>
      <c r="CB200" s="455"/>
      <c r="CC200" s="404"/>
      <c r="CD200" s="404"/>
      <c r="CE200" s="455"/>
      <c r="CF200" s="404"/>
      <c r="CG200" s="404"/>
      <c r="CH200" s="455"/>
      <c r="CI200" s="404"/>
      <c r="CJ200" s="404"/>
      <c r="CK200" s="455"/>
      <c r="CL200" s="404"/>
      <c r="CM200" s="404"/>
      <c r="CN200" s="455"/>
      <c r="CO200" s="404"/>
      <c r="CP200" s="404"/>
      <c r="CQ200" s="455"/>
      <c r="CR200" s="404"/>
      <c r="CS200" s="404"/>
      <c r="CT200" s="455"/>
      <c r="CU200" s="404"/>
      <c r="CV200" s="404"/>
      <c r="CW200" s="455"/>
      <c r="CX200" s="404"/>
      <c r="CY200" s="404"/>
      <c r="CZ200" s="455"/>
      <c r="DA200" s="404"/>
      <c r="DB200" s="404"/>
      <c r="DC200" s="455"/>
      <c r="DD200" s="404"/>
      <c r="DE200" s="404"/>
      <c r="DF200" s="455"/>
      <c r="DG200" s="404"/>
      <c r="DH200" s="404"/>
      <c r="DI200" s="455"/>
      <c r="DJ200" s="404"/>
      <c r="DK200" s="404"/>
      <c r="DL200" s="455"/>
      <c r="DM200" s="404"/>
      <c r="DN200" s="404"/>
      <c r="DO200" s="455"/>
      <c r="DP200" s="404"/>
      <c r="DQ200" s="404"/>
      <c r="DR200" s="455"/>
      <c r="DS200" s="404"/>
      <c r="DT200" s="404"/>
      <c r="DU200" s="455"/>
      <c r="DV200" s="404"/>
      <c r="DW200" s="404"/>
      <c r="DX200" s="455"/>
      <c r="DY200" s="404"/>
      <c r="DZ200" s="404"/>
      <c r="EA200" s="455"/>
      <c r="EB200" s="404"/>
      <c r="EC200" s="404"/>
      <c r="ED200" s="455"/>
      <c r="EE200" s="404"/>
      <c r="EF200" s="404"/>
      <c r="EG200" s="455"/>
      <c r="EH200" s="404"/>
      <c r="EI200" s="404"/>
      <c r="EJ200" s="455"/>
      <c r="EK200" s="404"/>
      <c r="EL200" s="404"/>
      <c r="EM200" s="455"/>
      <c r="EN200" s="404"/>
      <c r="EO200" s="404"/>
      <c r="EP200" s="455"/>
      <c r="EQ200" s="404"/>
      <c r="ER200" s="404"/>
      <c r="ES200" s="455"/>
      <c r="ET200" s="404"/>
      <c r="EU200" s="404"/>
      <c r="EV200" s="455"/>
      <c r="EW200" s="404"/>
      <c r="EX200" s="404"/>
      <c r="EY200" s="455"/>
      <c r="EZ200" s="404"/>
      <c r="FA200" s="404"/>
      <c r="FB200" s="455"/>
      <c r="FC200" s="404"/>
      <c r="FD200" s="404"/>
      <c r="FE200" s="455"/>
      <c r="FF200" s="404"/>
      <c r="FG200" s="404"/>
      <c r="FH200" s="455"/>
      <c r="FI200" s="404"/>
      <c r="FJ200" s="404"/>
      <c r="FK200" s="455"/>
      <c r="FL200" s="404"/>
      <c r="FM200" s="404"/>
      <c r="FN200" s="455"/>
      <c r="FO200" s="404"/>
      <c r="FP200" s="404"/>
      <c r="FQ200" s="455"/>
      <c r="FR200" s="404"/>
      <c r="FS200" s="404"/>
      <c r="FT200" s="455"/>
      <c r="FU200" s="404"/>
      <c r="FV200" s="404"/>
      <c r="FW200" s="455"/>
      <c r="FX200" s="404"/>
      <c r="FY200" s="404"/>
      <c r="FZ200" s="455"/>
      <c r="GA200" s="404"/>
      <c r="GB200" s="404"/>
      <c r="GC200" s="455"/>
      <c r="GD200" s="404"/>
      <c r="GE200" s="404"/>
      <c r="GF200" s="455"/>
      <c r="GG200" s="404"/>
      <c r="GH200" s="404"/>
      <c r="GI200" s="455"/>
      <c r="GJ200" s="404"/>
      <c r="GK200" s="404"/>
      <c r="GL200" s="455"/>
      <c r="GM200" s="385">
        <v>611</v>
      </c>
      <c r="GN200" s="385"/>
      <c r="GO200" s="358"/>
      <c r="GP200" s="385">
        <v>611</v>
      </c>
      <c r="GQ200" s="385"/>
      <c r="GR200" s="358"/>
      <c r="GS200" s="385">
        <v>611</v>
      </c>
      <c r="GT200" s="385"/>
      <c r="GU200" s="358"/>
      <c r="GV200" s="385">
        <v>611</v>
      </c>
      <c r="GW200" s="385"/>
      <c r="GX200" s="358"/>
      <c r="GY200" s="385">
        <v>611</v>
      </c>
      <c r="GZ200" s="385"/>
      <c r="HA200" s="358"/>
      <c r="HB200" s="385">
        <v>611</v>
      </c>
      <c r="HC200" s="385"/>
      <c r="HD200" s="358"/>
      <c r="HE200" s="385">
        <v>611</v>
      </c>
      <c r="HF200" s="385"/>
      <c r="HG200" s="358"/>
      <c r="HH200" s="385">
        <v>611</v>
      </c>
      <c r="HI200" s="358"/>
      <c r="HJ200" s="385">
        <v>611</v>
      </c>
      <c r="HK200" s="358"/>
      <c r="HL200" s="385">
        <v>611</v>
      </c>
      <c r="HM200" s="358"/>
      <c r="HN200" s="385">
        <v>611</v>
      </c>
      <c r="HO200" s="358"/>
      <c r="HP200" s="385">
        <v>611</v>
      </c>
      <c r="HQ200" s="358"/>
      <c r="HR200" s="385">
        <v>611</v>
      </c>
      <c r="HS200" s="358"/>
      <c r="HT200" s="386">
        <v>1061.0634438819434</v>
      </c>
      <c r="HU200" s="358"/>
      <c r="HV200" s="567"/>
      <c r="HW200" s="567"/>
      <c r="HX200" s="567"/>
      <c r="HY200" s="567"/>
      <c r="HZ200" s="567"/>
      <c r="IA200" s="567"/>
      <c r="IB200" s="567"/>
      <c r="IC200" s="567"/>
      <c r="ID200" s="567"/>
      <c r="IE200" s="567"/>
      <c r="IF200" s="567"/>
      <c r="IG200" s="567"/>
      <c r="IH200" s="568"/>
      <c r="II200" s="569"/>
      <c r="IJ200" s="568"/>
      <c r="IK200" s="569"/>
      <c r="IL200" s="568"/>
      <c r="IM200" s="569"/>
      <c r="IN200" s="568"/>
      <c r="IO200" s="569"/>
      <c r="IP200" s="568"/>
      <c r="IQ200" s="569"/>
      <c r="IR200" s="620" t="s">
        <v>3421</v>
      </c>
      <c r="IS200" s="587" t="s">
        <v>77</v>
      </c>
      <c r="IT200" s="611">
        <v>43747</v>
      </c>
      <c r="IU200" s="518">
        <v>43800</v>
      </c>
      <c r="IV200" s="552"/>
      <c r="IW200" s="526">
        <f t="shared" si="22"/>
        <v>53</v>
      </c>
      <c r="IX200" s="621">
        <f t="shared" si="26"/>
        <v>34.78896537317847</v>
      </c>
      <c r="IY200" s="621">
        <v>1061.0634438819434</v>
      </c>
      <c r="IZ200" s="374"/>
    </row>
    <row r="201" spans="1:261" s="367" customFormat="1" ht="16.5" customHeight="1" x14ac:dyDescent="0.3">
      <c r="A201" s="526" t="s">
        <v>2758</v>
      </c>
      <c r="B201" s="628" t="s">
        <v>2884</v>
      </c>
      <c r="C201" s="629" t="s">
        <v>1484</v>
      </c>
      <c r="D201" s="630">
        <v>1027</v>
      </c>
      <c r="E201" s="631">
        <v>44</v>
      </c>
      <c r="F201" s="631">
        <v>40</v>
      </c>
      <c r="G201" s="631">
        <v>5</v>
      </c>
      <c r="H201" s="632">
        <v>0</v>
      </c>
      <c r="I201" s="830">
        <v>1111</v>
      </c>
      <c r="J201" s="831">
        <v>5</v>
      </c>
      <c r="K201" s="827"/>
      <c r="L201" s="831">
        <v>1111</v>
      </c>
      <c r="M201" s="831">
        <v>5</v>
      </c>
      <c r="N201" s="827"/>
      <c r="O201" s="831">
        <v>1111</v>
      </c>
      <c r="P201" s="831">
        <v>5</v>
      </c>
      <c r="Q201" s="827"/>
      <c r="R201" s="831">
        <v>1111</v>
      </c>
      <c r="S201" s="831">
        <v>5</v>
      </c>
      <c r="T201" s="827"/>
      <c r="U201" s="831">
        <v>1111</v>
      </c>
      <c r="V201" s="831">
        <v>5</v>
      </c>
      <c r="W201" s="827"/>
      <c r="X201" s="831">
        <v>1111</v>
      </c>
      <c r="Y201" s="831">
        <v>5</v>
      </c>
      <c r="Z201" s="827"/>
      <c r="AA201" s="831">
        <v>1111</v>
      </c>
      <c r="AB201" s="831">
        <v>5</v>
      </c>
      <c r="AC201" s="827"/>
      <c r="AD201" s="831">
        <v>1111</v>
      </c>
      <c r="AE201" s="831">
        <v>5</v>
      </c>
      <c r="AF201" s="827"/>
      <c r="AG201" s="831">
        <v>1111</v>
      </c>
      <c r="AH201" s="831">
        <v>5</v>
      </c>
      <c r="AI201" s="827"/>
      <c r="AJ201" s="831">
        <v>1111</v>
      </c>
      <c r="AK201" s="831">
        <v>5</v>
      </c>
      <c r="AL201" s="827"/>
      <c r="AM201" s="831">
        <v>1111</v>
      </c>
      <c r="AN201" s="831">
        <v>5</v>
      </c>
      <c r="AO201" s="827"/>
      <c r="AP201" s="831">
        <v>1111</v>
      </c>
      <c r="AQ201" s="831">
        <v>5</v>
      </c>
      <c r="AR201" s="827"/>
      <c r="AS201" s="831">
        <v>1111</v>
      </c>
      <c r="AT201" s="831">
        <v>5</v>
      </c>
      <c r="AU201" s="827"/>
      <c r="AV201" s="831">
        <v>1111</v>
      </c>
      <c r="AW201" s="831">
        <v>5</v>
      </c>
      <c r="AX201" s="827"/>
      <c r="AY201" s="831">
        <v>1111</v>
      </c>
      <c r="AZ201" s="831">
        <v>5</v>
      </c>
      <c r="BA201" s="358"/>
      <c r="BB201" s="385">
        <v>1111</v>
      </c>
      <c r="BC201" s="385">
        <v>5</v>
      </c>
      <c r="BD201" s="358"/>
      <c r="BE201" s="385">
        <v>1111</v>
      </c>
      <c r="BF201" s="385">
        <v>5</v>
      </c>
      <c r="BG201" s="358"/>
      <c r="BH201" s="385">
        <v>1111</v>
      </c>
      <c r="BI201" s="385">
        <v>5</v>
      </c>
      <c r="BJ201" s="369"/>
      <c r="BK201" s="385">
        <v>1111</v>
      </c>
      <c r="BL201" s="385">
        <v>5</v>
      </c>
      <c r="BM201" s="369"/>
      <c r="BN201" s="385">
        <v>1111</v>
      </c>
      <c r="BO201" s="385">
        <v>5</v>
      </c>
      <c r="BP201" s="369"/>
      <c r="BQ201" s="385">
        <v>1111</v>
      </c>
      <c r="BR201" s="385">
        <v>5</v>
      </c>
      <c r="BS201" s="369"/>
      <c r="BT201" s="385">
        <v>1111</v>
      </c>
      <c r="BU201" s="385">
        <v>5</v>
      </c>
      <c r="BV201" s="369"/>
      <c r="BW201" s="386">
        <f>(1111/30.5)*27</f>
        <v>983.50819672131138</v>
      </c>
      <c r="BX201" s="386">
        <f>(5/30.5)*27</f>
        <v>4.4262295081967213</v>
      </c>
      <c r="BY201" s="370"/>
      <c r="BZ201" s="385">
        <v>1063</v>
      </c>
      <c r="CA201" s="385"/>
      <c r="CB201" s="358"/>
      <c r="CC201" s="385">
        <v>1063</v>
      </c>
      <c r="CD201" s="385"/>
      <c r="CE201" s="358"/>
      <c r="CF201" s="385">
        <v>1063</v>
      </c>
      <c r="CG201" s="385"/>
      <c r="CH201" s="358"/>
      <c r="CI201" s="385">
        <v>1063</v>
      </c>
      <c r="CJ201" s="385"/>
      <c r="CK201" s="358"/>
      <c r="CL201" s="385">
        <v>1063</v>
      </c>
      <c r="CM201" s="385"/>
      <c r="CN201" s="358"/>
      <c r="CO201" s="385">
        <v>1063</v>
      </c>
      <c r="CP201" s="385"/>
      <c r="CQ201" s="358"/>
      <c r="CR201" s="385">
        <v>1063</v>
      </c>
      <c r="CS201" s="385"/>
      <c r="CT201" s="358"/>
      <c r="CU201" s="385">
        <v>1063</v>
      </c>
      <c r="CV201" s="385"/>
      <c r="CW201" s="358"/>
      <c r="CX201" s="385">
        <v>1063</v>
      </c>
      <c r="CY201" s="385"/>
      <c r="CZ201" s="358"/>
      <c r="DA201" s="385">
        <v>1063</v>
      </c>
      <c r="DB201" s="385"/>
      <c r="DC201" s="358"/>
      <c r="DD201" s="385">
        <v>1063</v>
      </c>
      <c r="DE201" s="385"/>
      <c r="DF201" s="358"/>
      <c r="DG201" s="385">
        <v>1063</v>
      </c>
      <c r="DH201" s="385"/>
      <c r="DI201" s="358"/>
      <c r="DJ201" s="385">
        <v>1063</v>
      </c>
      <c r="DK201" s="385"/>
      <c r="DL201" s="358"/>
      <c r="DM201" s="385">
        <v>1063</v>
      </c>
      <c r="DN201" s="385"/>
      <c r="DO201" s="358"/>
      <c r="DP201" s="385">
        <v>1063</v>
      </c>
      <c r="DQ201" s="385"/>
      <c r="DR201" s="358"/>
      <c r="DS201" s="385">
        <v>1063</v>
      </c>
      <c r="DT201" s="385"/>
      <c r="DU201" s="358"/>
      <c r="DV201" s="385">
        <v>1063</v>
      </c>
      <c r="DW201" s="385"/>
      <c r="DX201" s="358"/>
      <c r="DY201" s="385">
        <v>1063</v>
      </c>
      <c r="DZ201" s="385"/>
      <c r="EA201" s="358"/>
      <c r="EB201" s="385">
        <v>1063</v>
      </c>
      <c r="EC201" s="385"/>
      <c r="ED201" s="358"/>
      <c r="EE201" s="385">
        <v>1063</v>
      </c>
      <c r="EF201" s="385"/>
      <c r="EG201" s="358"/>
      <c r="EH201" s="385">
        <v>1063</v>
      </c>
      <c r="EI201" s="385"/>
      <c r="EJ201" s="358"/>
      <c r="EK201" s="385">
        <v>1063</v>
      </c>
      <c r="EL201" s="385"/>
      <c r="EM201" s="358"/>
      <c r="EN201" s="385">
        <v>1063</v>
      </c>
      <c r="EO201" s="385"/>
      <c r="EP201" s="358"/>
      <c r="EQ201" s="385">
        <v>1063</v>
      </c>
      <c r="ER201" s="385"/>
      <c r="ES201" s="358"/>
      <c r="ET201" s="385">
        <v>1063</v>
      </c>
      <c r="EU201" s="385"/>
      <c r="EV201" s="358"/>
      <c r="EW201" s="385">
        <v>1063</v>
      </c>
      <c r="EX201" s="385"/>
      <c r="EY201" s="358"/>
      <c r="EZ201" s="385">
        <v>1063</v>
      </c>
      <c r="FA201" s="385"/>
      <c r="FB201" s="358"/>
      <c r="FC201" s="385">
        <v>1063</v>
      </c>
      <c r="FD201" s="385"/>
      <c r="FE201" s="358"/>
      <c r="FF201" s="385">
        <v>1063</v>
      </c>
      <c r="FG201" s="385"/>
      <c r="FH201" s="358"/>
      <c r="FI201" s="385">
        <v>1063</v>
      </c>
      <c r="FJ201" s="385"/>
      <c r="FK201" s="358"/>
      <c r="FL201" s="385">
        <v>1063</v>
      </c>
      <c r="FM201" s="385"/>
      <c r="FN201" s="358"/>
      <c r="FO201" s="385">
        <v>1063</v>
      </c>
      <c r="FP201" s="385"/>
      <c r="FQ201" s="358"/>
      <c r="FR201" s="385">
        <v>1063</v>
      </c>
      <c r="FS201" s="385"/>
      <c r="FT201" s="358"/>
      <c r="FU201" s="385">
        <v>1063</v>
      </c>
      <c r="FV201" s="385"/>
      <c r="FW201" s="358"/>
      <c r="FX201" s="385">
        <v>1063</v>
      </c>
      <c r="FY201" s="385"/>
      <c r="FZ201" s="358"/>
      <c r="GA201" s="385">
        <v>1063</v>
      </c>
      <c r="GB201" s="385"/>
      <c r="GC201" s="358"/>
      <c r="GD201" s="385">
        <v>1063</v>
      </c>
      <c r="GE201" s="385"/>
      <c r="GF201" s="358"/>
      <c r="GG201" s="385">
        <v>1063</v>
      </c>
      <c r="GH201" s="385"/>
      <c r="GI201" s="358"/>
      <c r="GJ201" s="385">
        <v>1063</v>
      </c>
      <c r="GK201" s="385"/>
      <c r="GL201" s="358"/>
      <c r="GM201" s="385">
        <v>1063</v>
      </c>
      <c r="GN201" s="385"/>
      <c r="GO201" s="358"/>
      <c r="GP201" s="385">
        <v>1063</v>
      </c>
      <c r="GQ201" s="385"/>
      <c r="GR201" s="358"/>
      <c r="GS201" s="385">
        <v>1063</v>
      </c>
      <c r="GT201" s="385"/>
      <c r="GU201" s="358"/>
      <c r="GV201" s="385">
        <v>1063</v>
      </c>
      <c r="GW201" s="385"/>
      <c r="GX201" s="358"/>
      <c r="GY201" s="385">
        <v>1063</v>
      </c>
      <c r="GZ201" s="385"/>
      <c r="HA201" s="358"/>
      <c r="HB201" s="385">
        <v>1063</v>
      </c>
      <c r="HC201" s="385"/>
      <c r="HD201" s="358"/>
      <c r="HE201" s="385">
        <v>1063</v>
      </c>
      <c r="HF201" s="385"/>
      <c r="HG201" s="358"/>
      <c r="HH201" s="385">
        <v>1063</v>
      </c>
      <c r="HI201" s="358"/>
      <c r="HJ201" s="385">
        <v>1063</v>
      </c>
      <c r="HK201" s="358"/>
      <c r="HL201" s="385">
        <v>1063</v>
      </c>
      <c r="HM201" s="358"/>
      <c r="HN201" s="385">
        <v>1063</v>
      </c>
      <c r="HO201" s="358"/>
      <c r="HP201" s="385">
        <v>1063</v>
      </c>
      <c r="HQ201" s="358"/>
      <c r="HR201" s="385">
        <v>1063</v>
      </c>
      <c r="HS201" s="358"/>
      <c r="HT201" s="386">
        <v>1812.424071070616</v>
      </c>
      <c r="HU201" s="358"/>
      <c r="HV201" s="567"/>
      <c r="HW201" s="567"/>
      <c r="HX201" s="567"/>
      <c r="HY201" s="567"/>
      <c r="HZ201" s="567"/>
      <c r="IA201" s="567"/>
      <c r="IB201" s="567"/>
      <c r="IC201" s="567"/>
      <c r="ID201" s="567"/>
      <c r="IE201" s="567"/>
      <c r="IF201" s="567"/>
      <c r="IG201" s="567"/>
      <c r="IH201" s="568"/>
      <c r="II201" s="569"/>
      <c r="IJ201" s="568"/>
      <c r="IK201" s="569"/>
      <c r="IL201" s="568"/>
      <c r="IM201" s="569"/>
      <c r="IN201" s="568"/>
      <c r="IO201" s="569"/>
      <c r="IP201" s="568"/>
      <c r="IQ201" s="569"/>
      <c r="IR201" s="620" t="s">
        <v>3075</v>
      </c>
      <c r="IS201" s="587" t="s">
        <v>77</v>
      </c>
      <c r="IT201" s="611">
        <v>43748</v>
      </c>
      <c r="IU201" s="518">
        <v>43800</v>
      </c>
      <c r="IV201" s="552"/>
      <c r="IW201" s="526">
        <f t="shared" si="22"/>
        <v>52</v>
      </c>
      <c r="IX201" s="621">
        <f t="shared" si="26"/>
        <v>59.423740035102163</v>
      </c>
      <c r="IY201" s="621">
        <v>1812.424071070616</v>
      </c>
      <c r="IZ201" s="374"/>
    </row>
    <row r="202" spans="1:261" s="367" customFormat="1" ht="16.5" customHeight="1" x14ac:dyDescent="0.3">
      <c r="A202" s="526" t="s">
        <v>2743</v>
      </c>
      <c r="B202" s="411" t="s">
        <v>3834</v>
      </c>
      <c r="C202" s="994" t="s">
        <v>1305</v>
      </c>
      <c r="D202" s="630">
        <v>2275</v>
      </c>
      <c r="E202" s="631">
        <v>1610</v>
      </c>
      <c r="F202" s="631">
        <v>33</v>
      </c>
      <c r="G202" s="631">
        <v>342</v>
      </c>
      <c r="H202" s="632">
        <v>36</v>
      </c>
      <c r="I202" s="855">
        <v>3917</v>
      </c>
      <c r="J202" s="597">
        <v>342</v>
      </c>
      <c r="K202" s="827">
        <v>36</v>
      </c>
      <c r="L202" s="597">
        <v>3917</v>
      </c>
      <c r="M202" s="597">
        <v>342</v>
      </c>
      <c r="N202" s="827">
        <v>36</v>
      </c>
      <c r="O202" s="597">
        <v>3917</v>
      </c>
      <c r="P202" s="597">
        <v>342</v>
      </c>
      <c r="Q202" s="827">
        <v>36</v>
      </c>
      <c r="R202" s="597">
        <v>3917</v>
      </c>
      <c r="S202" s="597">
        <v>342</v>
      </c>
      <c r="T202" s="827">
        <v>36</v>
      </c>
      <c r="U202" s="597">
        <v>3917</v>
      </c>
      <c r="V202" s="597">
        <v>342</v>
      </c>
      <c r="W202" s="827">
        <v>36</v>
      </c>
      <c r="X202" s="597">
        <v>3917</v>
      </c>
      <c r="Y202" s="597">
        <v>342</v>
      </c>
      <c r="Z202" s="827">
        <v>36</v>
      </c>
      <c r="AA202" s="597">
        <v>3917</v>
      </c>
      <c r="AB202" s="597">
        <v>342</v>
      </c>
      <c r="AC202" s="827">
        <v>36</v>
      </c>
      <c r="AD202" s="597">
        <v>3917</v>
      </c>
      <c r="AE202" s="597">
        <v>342</v>
      </c>
      <c r="AF202" s="827">
        <v>36</v>
      </c>
      <c r="AG202" s="597">
        <v>3917</v>
      </c>
      <c r="AH202" s="597">
        <v>342</v>
      </c>
      <c r="AI202" s="827">
        <v>36</v>
      </c>
      <c r="AJ202" s="597">
        <v>3917</v>
      </c>
      <c r="AK202" s="597">
        <v>342</v>
      </c>
      <c r="AL202" s="827">
        <v>36</v>
      </c>
      <c r="AM202" s="597">
        <v>3917</v>
      </c>
      <c r="AN202" s="597">
        <v>342</v>
      </c>
      <c r="AO202" s="827">
        <v>36</v>
      </c>
      <c r="AP202" s="597">
        <v>3917</v>
      </c>
      <c r="AQ202" s="597">
        <v>342</v>
      </c>
      <c r="AR202" s="827">
        <v>36</v>
      </c>
      <c r="AS202" s="597">
        <v>3917</v>
      </c>
      <c r="AT202" s="597">
        <v>342</v>
      </c>
      <c r="AU202" s="827">
        <v>36</v>
      </c>
      <c r="AV202" s="597">
        <v>3917</v>
      </c>
      <c r="AW202" s="597">
        <v>342</v>
      </c>
      <c r="AX202" s="827">
        <v>36</v>
      </c>
      <c r="AY202" s="597">
        <v>3917</v>
      </c>
      <c r="AZ202" s="597">
        <v>342</v>
      </c>
      <c r="BA202" s="358">
        <v>36</v>
      </c>
      <c r="BB202" s="647">
        <v>3917</v>
      </c>
      <c r="BC202" s="647">
        <v>342</v>
      </c>
      <c r="BD202" s="358">
        <v>36</v>
      </c>
      <c r="BE202" s="647">
        <v>3917</v>
      </c>
      <c r="BF202" s="647">
        <v>342</v>
      </c>
      <c r="BG202" s="358">
        <v>36</v>
      </c>
      <c r="BH202" s="647">
        <v>3917</v>
      </c>
      <c r="BI202" s="647">
        <v>342</v>
      </c>
      <c r="BJ202" s="369">
        <v>36</v>
      </c>
      <c r="BK202" s="647">
        <v>3917</v>
      </c>
      <c r="BL202" s="647">
        <v>342</v>
      </c>
      <c r="BM202" s="369">
        <v>36</v>
      </c>
      <c r="BN202" s="647">
        <v>3917</v>
      </c>
      <c r="BO202" s="647">
        <v>342</v>
      </c>
      <c r="BP202" s="369">
        <v>36</v>
      </c>
      <c r="BQ202" s="647">
        <v>3917</v>
      </c>
      <c r="BR202" s="647">
        <v>342</v>
      </c>
      <c r="BS202" s="369">
        <v>36</v>
      </c>
      <c r="BT202" s="647">
        <v>3917</v>
      </c>
      <c r="BU202" s="647">
        <v>342</v>
      </c>
      <c r="BV202" s="369">
        <v>36</v>
      </c>
      <c r="BW202" s="647">
        <v>3917</v>
      </c>
      <c r="BX202" s="647">
        <v>342</v>
      </c>
      <c r="BY202" s="369">
        <v>36</v>
      </c>
      <c r="BZ202" s="647">
        <v>3917</v>
      </c>
      <c r="CA202" s="647">
        <v>342</v>
      </c>
      <c r="CB202" s="369">
        <v>36</v>
      </c>
      <c r="CC202" s="647">
        <v>3917</v>
      </c>
      <c r="CD202" s="647">
        <v>342</v>
      </c>
      <c r="CE202" s="369">
        <v>36</v>
      </c>
      <c r="CF202" s="647">
        <v>3917</v>
      </c>
      <c r="CG202" s="647">
        <v>342</v>
      </c>
      <c r="CH202" s="369">
        <v>36</v>
      </c>
      <c r="CI202" s="647">
        <v>3917</v>
      </c>
      <c r="CJ202" s="647">
        <v>342</v>
      </c>
      <c r="CK202" s="369">
        <v>36</v>
      </c>
      <c r="CL202" s="647">
        <v>3917</v>
      </c>
      <c r="CM202" s="647">
        <v>342</v>
      </c>
      <c r="CN202" s="369">
        <v>36</v>
      </c>
      <c r="CO202" s="647">
        <v>3917</v>
      </c>
      <c r="CP202" s="647">
        <v>342</v>
      </c>
      <c r="CQ202" s="369">
        <v>36</v>
      </c>
      <c r="CR202" s="647">
        <v>3917</v>
      </c>
      <c r="CS202" s="647">
        <v>342</v>
      </c>
      <c r="CT202" s="369">
        <v>36</v>
      </c>
      <c r="CU202" s="647">
        <v>3917</v>
      </c>
      <c r="CV202" s="647">
        <v>342</v>
      </c>
      <c r="CW202" s="369">
        <v>36</v>
      </c>
      <c r="CX202" s="647">
        <v>3917</v>
      </c>
      <c r="CY202" s="647">
        <v>342</v>
      </c>
      <c r="CZ202" s="369">
        <v>36</v>
      </c>
      <c r="DA202" s="647">
        <v>3917</v>
      </c>
      <c r="DB202" s="647">
        <v>342</v>
      </c>
      <c r="DC202" s="369">
        <v>36</v>
      </c>
      <c r="DD202" s="647">
        <v>3917</v>
      </c>
      <c r="DE202" s="647">
        <v>342</v>
      </c>
      <c r="DF202" s="369">
        <v>36</v>
      </c>
      <c r="DG202" s="648">
        <f>((3917-1754)/30.5)*30+3917</f>
        <v>6044.5409836065573</v>
      </c>
      <c r="DH202" s="648">
        <f>((342-180)/30.5)*30+342</f>
        <v>501.34426229508199</v>
      </c>
      <c r="DI202" s="370">
        <v>36</v>
      </c>
      <c r="DJ202" s="647">
        <v>1754</v>
      </c>
      <c r="DK202" s="649">
        <v>180</v>
      </c>
      <c r="DL202" s="369">
        <v>36</v>
      </c>
      <c r="DM202" s="647">
        <v>1754</v>
      </c>
      <c r="DN202" s="649">
        <v>180</v>
      </c>
      <c r="DO202" s="369">
        <v>36</v>
      </c>
      <c r="DP202" s="647">
        <v>1754</v>
      </c>
      <c r="DQ202" s="649">
        <v>180</v>
      </c>
      <c r="DR202" s="369">
        <v>36</v>
      </c>
      <c r="DS202" s="647">
        <v>1754</v>
      </c>
      <c r="DT202" s="649">
        <v>180</v>
      </c>
      <c r="DU202" s="369">
        <v>36</v>
      </c>
      <c r="DV202" s="647">
        <v>1754</v>
      </c>
      <c r="DW202" s="649">
        <v>180</v>
      </c>
      <c r="DX202" s="369">
        <v>36</v>
      </c>
      <c r="DY202" s="647">
        <v>1754</v>
      </c>
      <c r="DZ202" s="649">
        <v>180</v>
      </c>
      <c r="EA202" s="369">
        <v>36</v>
      </c>
      <c r="EB202" s="647">
        <v>1754</v>
      </c>
      <c r="EC202" s="649">
        <v>180</v>
      </c>
      <c r="ED202" s="369">
        <v>36</v>
      </c>
      <c r="EE202" s="647">
        <v>1754</v>
      </c>
      <c r="EF202" s="649">
        <v>180</v>
      </c>
      <c r="EG202" s="369">
        <v>36</v>
      </c>
      <c r="EH202" s="647">
        <v>1754</v>
      </c>
      <c r="EI202" s="649">
        <v>180</v>
      </c>
      <c r="EJ202" s="369">
        <v>36</v>
      </c>
      <c r="EK202" s="648">
        <v>1754</v>
      </c>
      <c r="EL202" s="650">
        <f>(((180/30.5)*1)+(180*3))</f>
        <v>545.90163934426232</v>
      </c>
      <c r="EM202" s="370">
        <v>36</v>
      </c>
      <c r="EN202" s="647">
        <v>1754</v>
      </c>
      <c r="EO202" s="649"/>
      <c r="EP202" s="369">
        <v>36</v>
      </c>
      <c r="EQ202" s="647">
        <v>1754</v>
      </c>
      <c r="ER202" s="649"/>
      <c r="ES202" s="369">
        <v>36</v>
      </c>
      <c r="ET202" s="647">
        <v>1754</v>
      </c>
      <c r="EU202" s="649"/>
      <c r="EV202" s="369">
        <v>36</v>
      </c>
      <c r="EW202" s="647">
        <v>1754</v>
      </c>
      <c r="EX202" s="649"/>
      <c r="EY202" s="369">
        <v>36</v>
      </c>
      <c r="EZ202" s="647">
        <v>1754</v>
      </c>
      <c r="FA202" s="649"/>
      <c r="FB202" s="369">
        <v>36</v>
      </c>
      <c r="FC202" s="647">
        <v>1754</v>
      </c>
      <c r="FD202" s="649"/>
      <c r="FE202" s="369">
        <v>36</v>
      </c>
      <c r="FF202" s="647">
        <v>1754</v>
      </c>
      <c r="FG202" s="649"/>
      <c r="FH202" s="369">
        <v>36</v>
      </c>
      <c r="FI202" s="647">
        <v>1754</v>
      </c>
      <c r="FJ202" s="649"/>
      <c r="FK202" s="369">
        <v>36</v>
      </c>
      <c r="FL202" s="647">
        <v>1754</v>
      </c>
      <c r="FM202" s="649"/>
      <c r="FN202" s="369">
        <v>36</v>
      </c>
      <c r="FO202" s="647">
        <v>1754</v>
      </c>
      <c r="FP202" s="649"/>
      <c r="FQ202" s="369">
        <v>36</v>
      </c>
      <c r="FR202" s="647">
        <v>1754</v>
      </c>
      <c r="FS202" s="649"/>
      <c r="FT202" s="369">
        <v>36</v>
      </c>
      <c r="FU202" s="647">
        <v>1754</v>
      </c>
      <c r="FV202" s="649"/>
      <c r="FW202" s="369">
        <v>36</v>
      </c>
      <c r="FX202" s="647">
        <v>1754</v>
      </c>
      <c r="FY202" s="649"/>
      <c r="FZ202" s="369">
        <v>36</v>
      </c>
      <c r="GA202" s="647">
        <v>1754</v>
      </c>
      <c r="GB202" s="649"/>
      <c r="GC202" s="369">
        <v>36</v>
      </c>
      <c r="GD202" s="647">
        <v>1754</v>
      </c>
      <c r="GE202" s="649"/>
      <c r="GF202" s="369">
        <v>36</v>
      </c>
      <c r="GG202" s="647">
        <v>1754</v>
      </c>
      <c r="GH202" s="649"/>
      <c r="GI202" s="369">
        <v>36</v>
      </c>
      <c r="GJ202" s="647">
        <v>1754</v>
      </c>
      <c r="GK202" s="649"/>
      <c r="GL202" s="369">
        <v>36</v>
      </c>
      <c r="GM202" s="647">
        <v>1754</v>
      </c>
      <c r="GN202" s="649"/>
      <c r="GO202" s="369">
        <v>36</v>
      </c>
      <c r="GP202" s="647">
        <v>1754</v>
      </c>
      <c r="GQ202" s="649"/>
      <c r="GR202" s="369">
        <v>36</v>
      </c>
      <c r="GS202" s="647">
        <v>1754</v>
      </c>
      <c r="GT202" s="649"/>
      <c r="GU202" s="369">
        <v>36</v>
      </c>
      <c r="GV202" s="647">
        <v>1754</v>
      </c>
      <c r="GW202" s="649"/>
      <c r="GX202" s="369">
        <v>36</v>
      </c>
      <c r="GY202" s="647">
        <v>1754</v>
      </c>
      <c r="GZ202" s="649"/>
      <c r="HA202" s="369">
        <v>36</v>
      </c>
      <c r="HB202" s="647">
        <v>1754</v>
      </c>
      <c r="HC202" s="649"/>
      <c r="HD202" s="369">
        <v>36</v>
      </c>
      <c r="HE202" s="647">
        <v>1754</v>
      </c>
      <c r="HF202" s="649"/>
      <c r="HG202" s="369">
        <v>36</v>
      </c>
      <c r="HH202" s="647">
        <v>1754</v>
      </c>
      <c r="HI202" s="369">
        <v>36</v>
      </c>
      <c r="HJ202" s="647">
        <v>1754</v>
      </c>
      <c r="HK202" s="369">
        <v>36</v>
      </c>
      <c r="HL202" s="647">
        <v>1754</v>
      </c>
      <c r="HM202" s="369">
        <v>36</v>
      </c>
      <c r="HN202" s="647">
        <v>1754</v>
      </c>
      <c r="HO202" s="369">
        <v>36</v>
      </c>
      <c r="HP202" s="647">
        <v>1754</v>
      </c>
      <c r="HQ202" s="369">
        <v>36</v>
      </c>
      <c r="HR202" s="647">
        <v>1754</v>
      </c>
      <c r="HS202" s="369">
        <v>36</v>
      </c>
      <c r="HT202" s="648">
        <v>2760.3934426229507</v>
      </c>
      <c r="HU202" s="370">
        <v>56.049836065573771</v>
      </c>
      <c r="HV202" s="567"/>
      <c r="HW202" s="567"/>
      <c r="HX202" s="567"/>
      <c r="HY202" s="567"/>
      <c r="HZ202" s="567"/>
      <c r="IA202" s="567"/>
      <c r="IB202" s="567"/>
      <c r="IC202" s="567"/>
      <c r="ID202" s="567"/>
      <c r="IE202" s="567"/>
      <c r="IF202" s="567"/>
      <c r="IG202" s="567"/>
      <c r="IH202" s="568"/>
      <c r="II202" s="569"/>
      <c r="IJ202" s="568"/>
      <c r="IK202" s="569"/>
      <c r="IL202" s="568"/>
      <c r="IM202" s="569"/>
      <c r="IN202" s="568"/>
      <c r="IO202" s="569"/>
      <c r="IP202" s="568"/>
      <c r="IQ202" s="569"/>
      <c r="IR202" s="620" t="s">
        <v>3422</v>
      </c>
      <c r="IS202" s="587" t="s">
        <v>77</v>
      </c>
      <c r="IT202" s="611">
        <v>43752</v>
      </c>
      <c r="IU202" s="518">
        <v>43800</v>
      </c>
      <c r="IV202" s="518">
        <v>44651</v>
      </c>
      <c r="IW202" s="526">
        <f t="shared" si="22"/>
        <v>48</v>
      </c>
      <c r="IX202" s="621">
        <f>1754/30.5</f>
        <v>57.508196721311478</v>
      </c>
      <c r="IY202" s="621">
        <v>2760.3934426229507</v>
      </c>
      <c r="IZ202" s="374"/>
    </row>
    <row r="203" spans="1:261" s="367" customFormat="1" ht="16.5" customHeight="1" x14ac:dyDescent="0.3">
      <c r="A203" s="526" t="s">
        <v>2743</v>
      </c>
      <c r="B203" s="411" t="s">
        <v>3834</v>
      </c>
      <c r="C203" s="994" t="s">
        <v>1316</v>
      </c>
      <c r="D203" s="630">
        <v>2275</v>
      </c>
      <c r="E203" s="631">
        <v>1610</v>
      </c>
      <c r="F203" s="631">
        <v>33</v>
      </c>
      <c r="G203" s="631">
        <v>342</v>
      </c>
      <c r="H203" s="632">
        <v>36</v>
      </c>
      <c r="I203" s="855">
        <v>3917</v>
      </c>
      <c r="J203" s="597">
        <v>342</v>
      </c>
      <c r="K203" s="827">
        <v>36</v>
      </c>
      <c r="L203" s="597">
        <v>3917</v>
      </c>
      <c r="M203" s="597">
        <v>342</v>
      </c>
      <c r="N203" s="827">
        <v>36</v>
      </c>
      <c r="O203" s="597">
        <v>3917</v>
      </c>
      <c r="P203" s="597">
        <v>342</v>
      </c>
      <c r="Q203" s="827">
        <v>36</v>
      </c>
      <c r="R203" s="597">
        <v>3917</v>
      </c>
      <c r="S203" s="597">
        <v>342</v>
      </c>
      <c r="T203" s="827">
        <v>36</v>
      </c>
      <c r="U203" s="597">
        <v>3917</v>
      </c>
      <c r="V203" s="597">
        <v>342</v>
      </c>
      <c r="W203" s="827">
        <v>36</v>
      </c>
      <c r="X203" s="597">
        <v>3917</v>
      </c>
      <c r="Y203" s="597">
        <v>342</v>
      </c>
      <c r="Z203" s="827">
        <v>36</v>
      </c>
      <c r="AA203" s="597">
        <v>3917</v>
      </c>
      <c r="AB203" s="597">
        <v>342</v>
      </c>
      <c r="AC203" s="827">
        <v>36</v>
      </c>
      <c r="AD203" s="597">
        <v>3917</v>
      </c>
      <c r="AE203" s="597">
        <v>342</v>
      </c>
      <c r="AF203" s="827">
        <v>36</v>
      </c>
      <c r="AG203" s="597">
        <v>3917</v>
      </c>
      <c r="AH203" s="597">
        <v>342</v>
      </c>
      <c r="AI203" s="827">
        <v>36</v>
      </c>
      <c r="AJ203" s="597">
        <v>3917</v>
      </c>
      <c r="AK203" s="597">
        <v>342</v>
      </c>
      <c r="AL203" s="827">
        <v>36</v>
      </c>
      <c r="AM203" s="597">
        <v>3917</v>
      </c>
      <c r="AN203" s="597">
        <v>342</v>
      </c>
      <c r="AO203" s="827">
        <v>36</v>
      </c>
      <c r="AP203" s="597">
        <v>3917</v>
      </c>
      <c r="AQ203" s="597">
        <v>342</v>
      </c>
      <c r="AR203" s="827">
        <v>36</v>
      </c>
      <c r="AS203" s="597">
        <v>3917</v>
      </c>
      <c r="AT203" s="597">
        <v>342</v>
      </c>
      <c r="AU203" s="827">
        <v>36</v>
      </c>
      <c r="AV203" s="597">
        <v>3917</v>
      </c>
      <c r="AW203" s="597">
        <v>342</v>
      </c>
      <c r="AX203" s="827">
        <v>36</v>
      </c>
      <c r="AY203" s="597">
        <v>3917</v>
      </c>
      <c r="AZ203" s="597">
        <v>342</v>
      </c>
      <c r="BA203" s="358">
        <v>36</v>
      </c>
      <c r="BB203" s="647">
        <v>3917</v>
      </c>
      <c r="BC203" s="647">
        <v>342</v>
      </c>
      <c r="BD203" s="358">
        <v>36</v>
      </c>
      <c r="BE203" s="647">
        <v>3917</v>
      </c>
      <c r="BF203" s="647">
        <v>342</v>
      </c>
      <c r="BG203" s="358">
        <v>36</v>
      </c>
      <c r="BH203" s="647">
        <v>3917</v>
      </c>
      <c r="BI203" s="647">
        <v>342</v>
      </c>
      <c r="BJ203" s="369">
        <v>36</v>
      </c>
      <c r="BK203" s="647">
        <v>3917</v>
      </c>
      <c r="BL203" s="647">
        <v>342</v>
      </c>
      <c r="BM203" s="369">
        <v>36</v>
      </c>
      <c r="BN203" s="647">
        <v>3917</v>
      </c>
      <c r="BO203" s="647">
        <v>342</v>
      </c>
      <c r="BP203" s="369">
        <v>36</v>
      </c>
      <c r="BQ203" s="647">
        <v>3917</v>
      </c>
      <c r="BR203" s="647">
        <v>342</v>
      </c>
      <c r="BS203" s="369">
        <v>36</v>
      </c>
      <c r="BT203" s="647">
        <v>3917</v>
      </c>
      <c r="BU203" s="647">
        <v>342</v>
      </c>
      <c r="BV203" s="369">
        <v>36</v>
      </c>
      <c r="BW203" s="647">
        <v>3917</v>
      </c>
      <c r="BX203" s="647">
        <v>342</v>
      </c>
      <c r="BY203" s="369">
        <v>36</v>
      </c>
      <c r="BZ203" s="647">
        <v>3917</v>
      </c>
      <c r="CA203" s="647">
        <v>342</v>
      </c>
      <c r="CB203" s="369">
        <v>36</v>
      </c>
      <c r="CC203" s="647">
        <v>3917</v>
      </c>
      <c r="CD203" s="647">
        <v>342</v>
      </c>
      <c r="CE203" s="369">
        <v>36</v>
      </c>
      <c r="CF203" s="647">
        <v>3917</v>
      </c>
      <c r="CG203" s="647">
        <v>342</v>
      </c>
      <c r="CH203" s="369">
        <v>36</v>
      </c>
      <c r="CI203" s="647">
        <v>3917</v>
      </c>
      <c r="CJ203" s="647">
        <v>342</v>
      </c>
      <c r="CK203" s="369">
        <v>36</v>
      </c>
      <c r="CL203" s="647">
        <v>3917</v>
      </c>
      <c r="CM203" s="647">
        <v>342</v>
      </c>
      <c r="CN203" s="369">
        <v>36</v>
      </c>
      <c r="CO203" s="647">
        <v>3917</v>
      </c>
      <c r="CP203" s="647">
        <v>342</v>
      </c>
      <c r="CQ203" s="369">
        <v>36</v>
      </c>
      <c r="CR203" s="647">
        <v>3917</v>
      </c>
      <c r="CS203" s="647">
        <v>342</v>
      </c>
      <c r="CT203" s="369">
        <v>36</v>
      </c>
      <c r="CU203" s="647">
        <v>3917</v>
      </c>
      <c r="CV203" s="647">
        <v>342</v>
      </c>
      <c r="CW203" s="369">
        <v>36</v>
      </c>
      <c r="CX203" s="647">
        <v>3917</v>
      </c>
      <c r="CY203" s="647">
        <v>342</v>
      </c>
      <c r="CZ203" s="369">
        <v>36</v>
      </c>
      <c r="DA203" s="647">
        <v>3917</v>
      </c>
      <c r="DB203" s="647">
        <v>342</v>
      </c>
      <c r="DC203" s="369">
        <v>36</v>
      </c>
      <c r="DD203" s="647">
        <v>3917</v>
      </c>
      <c r="DE203" s="647">
        <v>342</v>
      </c>
      <c r="DF203" s="369">
        <v>36</v>
      </c>
      <c r="DG203" s="648">
        <f>((3917-1754)/30.5)*9+3917</f>
        <v>4555.2622950819677</v>
      </c>
      <c r="DH203" s="648">
        <f>((342-180)/30.5)*9+342</f>
        <v>389.80327868852459</v>
      </c>
      <c r="DI203" s="370">
        <v>36</v>
      </c>
      <c r="DJ203" s="647">
        <v>1754</v>
      </c>
      <c r="DK203" s="649">
        <v>180</v>
      </c>
      <c r="DL203" s="369">
        <v>36</v>
      </c>
      <c r="DM203" s="647">
        <v>1754</v>
      </c>
      <c r="DN203" s="649">
        <v>180</v>
      </c>
      <c r="DO203" s="369">
        <v>36</v>
      </c>
      <c r="DP203" s="647">
        <v>1754</v>
      </c>
      <c r="DQ203" s="649">
        <v>180</v>
      </c>
      <c r="DR203" s="369">
        <v>36</v>
      </c>
      <c r="DS203" s="647">
        <v>1754</v>
      </c>
      <c r="DT203" s="649">
        <v>180</v>
      </c>
      <c r="DU203" s="369">
        <v>36</v>
      </c>
      <c r="DV203" s="647">
        <v>1754</v>
      </c>
      <c r="DW203" s="649">
        <v>180</v>
      </c>
      <c r="DX203" s="369">
        <v>36</v>
      </c>
      <c r="DY203" s="647">
        <v>1754</v>
      </c>
      <c r="DZ203" s="649">
        <v>180</v>
      </c>
      <c r="EA203" s="369">
        <v>36</v>
      </c>
      <c r="EB203" s="647">
        <v>1754</v>
      </c>
      <c r="EC203" s="649">
        <v>180</v>
      </c>
      <c r="ED203" s="369">
        <v>36</v>
      </c>
      <c r="EE203" s="647">
        <v>1754</v>
      </c>
      <c r="EF203" s="649">
        <v>180</v>
      </c>
      <c r="EG203" s="369">
        <v>36</v>
      </c>
      <c r="EH203" s="647">
        <v>1754</v>
      </c>
      <c r="EI203" s="649">
        <v>180</v>
      </c>
      <c r="EJ203" s="369">
        <v>36</v>
      </c>
      <c r="EK203" s="648">
        <v>1754</v>
      </c>
      <c r="EL203" s="650">
        <f>(((180/30.5)*1)+(180*3))</f>
        <v>545.90163934426232</v>
      </c>
      <c r="EM203" s="370">
        <v>36</v>
      </c>
      <c r="EN203" s="647">
        <v>1754</v>
      </c>
      <c r="EO203" s="649"/>
      <c r="EP203" s="369">
        <v>36</v>
      </c>
      <c r="EQ203" s="647">
        <v>1754</v>
      </c>
      <c r="ER203" s="649"/>
      <c r="ES203" s="369">
        <v>36</v>
      </c>
      <c r="ET203" s="647">
        <v>1754</v>
      </c>
      <c r="EU203" s="649"/>
      <c r="EV203" s="369">
        <v>36</v>
      </c>
      <c r="EW203" s="647">
        <v>1754</v>
      </c>
      <c r="EX203" s="649"/>
      <c r="EY203" s="369">
        <v>36</v>
      </c>
      <c r="EZ203" s="647">
        <v>1754</v>
      </c>
      <c r="FA203" s="649"/>
      <c r="FB203" s="369">
        <v>36</v>
      </c>
      <c r="FC203" s="647">
        <v>1754</v>
      </c>
      <c r="FD203" s="649"/>
      <c r="FE203" s="369">
        <v>36</v>
      </c>
      <c r="FF203" s="647">
        <v>1754</v>
      </c>
      <c r="FG203" s="649"/>
      <c r="FH203" s="369">
        <v>36</v>
      </c>
      <c r="FI203" s="647">
        <v>1754</v>
      </c>
      <c r="FJ203" s="649"/>
      <c r="FK203" s="369">
        <v>36</v>
      </c>
      <c r="FL203" s="647">
        <v>1754</v>
      </c>
      <c r="FM203" s="649"/>
      <c r="FN203" s="369">
        <v>36</v>
      </c>
      <c r="FO203" s="647">
        <v>1754</v>
      </c>
      <c r="FP203" s="649"/>
      <c r="FQ203" s="369">
        <v>36</v>
      </c>
      <c r="FR203" s="647">
        <v>1754</v>
      </c>
      <c r="FS203" s="649"/>
      <c r="FT203" s="369">
        <v>36</v>
      </c>
      <c r="FU203" s="647">
        <v>1754</v>
      </c>
      <c r="FV203" s="649"/>
      <c r="FW203" s="369">
        <v>36</v>
      </c>
      <c r="FX203" s="647">
        <v>1754</v>
      </c>
      <c r="FY203" s="649"/>
      <c r="FZ203" s="369">
        <v>36</v>
      </c>
      <c r="GA203" s="647">
        <v>1754</v>
      </c>
      <c r="GB203" s="649"/>
      <c r="GC203" s="369">
        <v>36</v>
      </c>
      <c r="GD203" s="647">
        <v>1754</v>
      </c>
      <c r="GE203" s="649"/>
      <c r="GF203" s="369">
        <v>36</v>
      </c>
      <c r="GG203" s="647">
        <v>1754</v>
      </c>
      <c r="GH203" s="649"/>
      <c r="GI203" s="369">
        <v>36</v>
      </c>
      <c r="GJ203" s="647">
        <v>1754</v>
      </c>
      <c r="GK203" s="649"/>
      <c r="GL203" s="369">
        <v>36</v>
      </c>
      <c r="GM203" s="647">
        <v>1754</v>
      </c>
      <c r="GN203" s="649"/>
      <c r="GO203" s="369">
        <v>36</v>
      </c>
      <c r="GP203" s="647">
        <v>1754</v>
      </c>
      <c r="GQ203" s="649"/>
      <c r="GR203" s="369">
        <v>36</v>
      </c>
      <c r="GS203" s="647">
        <v>1754</v>
      </c>
      <c r="GT203" s="649"/>
      <c r="GU203" s="369">
        <v>36</v>
      </c>
      <c r="GV203" s="647">
        <v>1754</v>
      </c>
      <c r="GW203" s="649"/>
      <c r="GX203" s="369">
        <v>36</v>
      </c>
      <c r="GY203" s="647">
        <v>1754</v>
      </c>
      <c r="GZ203" s="649"/>
      <c r="HA203" s="369">
        <v>36</v>
      </c>
      <c r="HB203" s="647">
        <v>1754</v>
      </c>
      <c r="HC203" s="649"/>
      <c r="HD203" s="369">
        <v>36</v>
      </c>
      <c r="HE203" s="647">
        <v>1754</v>
      </c>
      <c r="HF203" s="649"/>
      <c r="HG203" s="369">
        <v>36</v>
      </c>
      <c r="HH203" s="647">
        <v>1754</v>
      </c>
      <c r="HI203" s="369">
        <v>36</v>
      </c>
      <c r="HJ203" s="647">
        <v>1754</v>
      </c>
      <c r="HK203" s="369">
        <v>36</v>
      </c>
      <c r="HL203" s="647">
        <v>1754</v>
      </c>
      <c r="HM203" s="369">
        <v>36</v>
      </c>
      <c r="HN203" s="647">
        <v>1754</v>
      </c>
      <c r="HO203" s="369">
        <v>36</v>
      </c>
      <c r="HP203" s="647">
        <v>1754</v>
      </c>
      <c r="HQ203" s="369">
        <v>36</v>
      </c>
      <c r="HR203" s="647">
        <v>1754</v>
      </c>
      <c r="HS203" s="369">
        <v>36</v>
      </c>
      <c r="HT203" s="648">
        <v>2760.3934426229507</v>
      </c>
      <c r="HU203" s="370">
        <v>56.049836065573771</v>
      </c>
      <c r="HV203" s="567"/>
      <c r="HW203" s="567"/>
      <c r="HX203" s="567"/>
      <c r="HY203" s="567"/>
      <c r="HZ203" s="567"/>
      <c r="IA203" s="567"/>
      <c r="IB203" s="567"/>
      <c r="IC203" s="567"/>
      <c r="ID203" s="567"/>
      <c r="IE203" s="567"/>
      <c r="IF203" s="567"/>
      <c r="IG203" s="567"/>
      <c r="IH203" s="568"/>
      <c r="II203" s="569"/>
      <c r="IJ203" s="568"/>
      <c r="IK203" s="569"/>
      <c r="IL203" s="568"/>
      <c r="IM203" s="569"/>
      <c r="IN203" s="568"/>
      <c r="IO203" s="569"/>
      <c r="IP203" s="568"/>
      <c r="IQ203" s="569"/>
      <c r="IR203" s="620" t="s">
        <v>3423</v>
      </c>
      <c r="IS203" s="587" t="s">
        <v>77</v>
      </c>
      <c r="IT203" s="611">
        <v>43752</v>
      </c>
      <c r="IU203" s="518">
        <v>43800</v>
      </c>
      <c r="IV203" s="518">
        <v>44651</v>
      </c>
      <c r="IW203" s="526">
        <f t="shared" si="22"/>
        <v>48</v>
      </c>
      <c r="IX203" s="621">
        <f>1754/30.5</f>
        <v>57.508196721311478</v>
      </c>
      <c r="IY203" s="621">
        <v>2760.3934426229507</v>
      </c>
      <c r="IZ203" s="374"/>
    </row>
    <row r="204" spans="1:261" s="367" customFormat="1" ht="16.5" customHeight="1" x14ac:dyDescent="0.3">
      <c r="A204" s="526" t="s">
        <v>2758</v>
      </c>
      <c r="B204" s="622" t="s">
        <v>2748</v>
      </c>
      <c r="C204" s="994" t="s">
        <v>2270</v>
      </c>
      <c r="D204" s="624">
        <v>1149</v>
      </c>
      <c r="E204" s="625">
        <v>44</v>
      </c>
      <c r="F204" s="625">
        <v>40</v>
      </c>
      <c r="G204" s="625">
        <v>5</v>
      </c>
      <c r="H204" s="626">
        <v>0</v>
      </c>
      <c r="I204" s="889">
        <f>((1233-1063)/30.5)*51+1233</f>
        <v>1517.2622950819673</v>
      </c>
      <c r="J204" s="842">
        <f>((5/30.5)*51)+5</f>
        <v>13.360655737704917</v>
      </c>
      <c r="K204" s="827"/>
      <c r="L204" s="831">
        <v>1063</v>
      </c>
      <c r="M204" s="827"/>
      <c r="N204" s="827"/>
      <c r="O204" s="831">
        <v>1063</v>
      </c>
      <c r="P204" s="827"/>
      <c r="Q204" s="827"/>
      <c r="R204" s="831">
        <v>1063</v>
      </c>
      <c r="S204" s="827"/>
      <c r="T204" s="827"/>
      <c r="U204" s="831">
        <v>1063</v>
      </c>
      <c r="V204" s="827"/>
      <c r="W204" s="827"/>
      <c r="X204" s="831">
        <v>1063</v>
      </c>
      <c r="Y204" s="827"/>
      <c r="Z204" s="827"/>
      <c r="AA204" s="831">
        <v>1063</v>
      </c>
      <c r="AB204" s="827"/>
      <c r="AC204" s="827"/>
      <c r="AD204" s="831">
        <v>1063</v>
      </c>
      <c r="AE204" s="827"/>
      <c r="AF204" s="827"/>
      <c r="AG204" s="831">
        <v>1063</v>
      </c>
      <c r="AH204" s="827"/>
      <c r="AI204" s="827"/>
      <c r="AJ204" s="831">
        <v>1063</v>
      </c>
      <c r="AK204" s="827"/>
      <c r="AL204" s="827"/>
      <c r="AM204" s="831">
        <v>1063</v>
      </c>
      <c r="AN204" s="827"/>
      <c r="AO204" s="827"/>
      <c r="AP204" s="831">
        <v>1063</v>
      </c>
      <c r="AQ204" s="827"/>
      <c r="AR204" s="827"/>
      <c r="AS204" s="831">
        <v>1063</v>
      </c>
      <c r="AT204" s="827"/>
      <c r="AU204" s="827"/>
      <c r="AV204" s="831">
        <v>1063</v>
      </c>
      <c r="AW204" s="827"/>
      <c r="AX204" s="827"/>
      <c r="AY204" s="831">
        <v>1063</v>
      </c>
      <c r="AZ204" s="827"/>
      <c r="BA204" s="358"/>
      <c r="BB204" s="385">
        <v>1063</v>
      </c>
      <c r="BC204" s="358"/>
      <c r="BD204" s="358"/>
      <c r="BE204" s="385">
        <v>1063</v>
      </c>
      <c r="BF204" s="358"/>
      <c r="BG204" s="358"/>
      <c r="BH204" s="385">
        <v>1063</v>
      </c>
      <c r="BI204" s="385"/>
      <c r="BJ204" s="358"/>
      <c r="BK204" s="385">
        <v>1063</v>
      </c>
      <c r="BL204" s="385"/>
      <c r="BM204" s="358"/>
      <c r="BN204" s="385">
        <v>1063</v>
      </c>
      <c r="BO204" s="385"/>
      <c r="BP204" s="358"/>
      <c r="BQ204" s="385">
        <v>1063</v>
      </c>
      <c r="BR204" s="385"/>
      <c r="BS204" s="358"/>
      <c r="BT204" s="385">
        <v>1063</v>
      </c>
      <c r="BU204" s="385"/>
      <c r="BV204" s="358"/>
      <c r="BW204" s="385">
        <v>1063</v>
      </c>
      <c r="BX204" s="385"/>
      <c r="BY204" s="358"/>
      <c r="BZ204" s="385">
        <v>1063</v>
      </c>
      <c r="CA204" s="385"/>
      <c r="CB204" s="358"/>
      <c r="CC204" s="385">
        <v>1063</v>
      </c>
      <c r="CD204" s="385"/>
      <c r="CE204" s="358"/>
      <c r="CF204" s="385">
        <v>1063</v>
      </c>
      <c r="CG204" s="385"/>
      <c r="CH204" s="358"/>
      <c r="CI204" s="385">
        <v>1063</v>
      </c>
      <c r="CJ204" s="385"/>
      <c r="CK204" s="358"/>
      <c r="CL204" s="385">
        <v>1063</v>
      </c>
      <c r="CM204" s="385"/>
      <c r="CN204" s="358"/>
      <c r="CO204" s="385">
        <v>1063</v>
      </c>
      <c r="CP204" s="385"/>
      <c r="CQ204" s="358"/>
      <c r="CR204" s="385">
        <v>1063</v>
      </c>
      <c r="CS204" s="385"/>
      <c r="CT204" s="358"/>
      <c r="CU204" s="385">
        <v>1063</v>
      </c>
      <c r="CV204" s="385"/>
      <c r="CW204" s="358"/>
      <c r="CX204" s="385">
        <v>1063</v>
      </c>
      <c r="CY204" s="385"/>
      <c r="CZ204" s="358"/>
      <c r="DA204" s="385">
        <v>1063</v>
      </c>
      <c r="DB204" s="385"/>
      <c r="DC204" s="358"/>
      <c r="DD204" s="385">
        <v>1063</v>
      </c>
      <c r="DE204" s="385"/>
      <c r="DF204" s="358"/>
      <c r="DG204" s="385">
        <v>1063</v>
      </c>
      <c r="DH204" s="385"/>
      <c r="DI204" s="358"/>
      <c r="DJ204" s="385">
        <v>1063</v>
      </c>
      <c r="DK204" s="385"/>
      <c r="DL204" s="358"/>
      <c r="DM204" s="385">
        <v>1063</v>
      </c>
      <c r="DN204" s="385"/>
      <c r="DO204" s="358"/>
      <c r="DP204" s="385">
        <v>1063</v>
      </c>
      <c r="DQ204" s="385"/>
      <c r="DR204" s="358"/>
      <c r="DS204" s="385">
        <v>1063</v>
      </c>
      <c r="DT204" s="385"/>
      <c r="DU204" s="358"/>
      <c r="DV204" s="385">
        <v>1063</v>
      </c>
      <c r="DW204" s="385"/>
      <c r="DX204" s="358"/>
      <c r="DY204" s="385">
        <v>1063</v>
      </c>
      <c r="DZ204" s="385"/>
      <c r="EA204" s="358"/>
      <c r="EB204" s="385">
        <v>1063</v>
      </c>
      <c r="EC204" s="385"/>
      <c r="ED204" s="358"/>
      <c r="EE204" s="385">
        <v>1063</v>
      </c>
      <c r="EF204" s="385"/>
      <c r="EG204" s="358"/>
      <c r="EH204" s="385">
        <v>1063</v>
      </c>
      <c r="EI204" s="385"/>
      <c r="EJ204" s="358"/>
      <c r="EK204" s="385">
        <v>1063</v>
      </c>
      <c r="EL204" s="385"/>
      <c r="EM204" s="358"/>
      <c r="EN204" s="385">
        <v>1063</v>
      </c>
      <c r="EO204" s="385"/>
      <c r="EP204" s="358"/>
      <c r="EQ204" s="385">
        <v>1063</v>
      </c>
      <c r="ER204" s="385"/>
      <c r="ES204" s="358"/>
      <c r="ET204" s="385">
        <v>1063</v>
      </c>
      <c r="EU204" s="385"/>
      <c r="EV204" s="358"/>
      <c r="EW204" s="385">
        <v>1063</v>
      </c>
      <c r="EX204" s="385"/>
      <c r="EY204" s="358"/>
      <c r="EZ204" s="385">
        <v>1063</v>
      </c>
      <c r="FA204" s="385"/>
      <c r="FB204" s="358"/>
      <c r="FC204" s="385">
        <v>1063</v>
      </c>
      <c r="FD204" s="385"/>
      <c r="FE204" s="358"/>
      <c r="FF204" s="385">
        <v>1063</v>
      </c>
      <c r="FG204" s="385"/>
      <c r="FH204" s="358"/>
      <c r="FI204" s="385">
        <v>1063</v>
      </c>
      <c r="FJ204" s="385"/>
      <c r="FK204" s="358"/>
      <c r="FL204" s="385">
        <v>1063</v>
      </c>
      <c r="FM204" s="385"/>
      <c r="FN204" s="358"/>
      <c r="FO204" s="385">
        <v>1063</v>
      </c>
      <c r="FP204" s="385"/>
      <c r="FQ204" s="358"/>
      <c r="FR204" s="385">
        <v>1063</v>
      </c>
      <c r="FS204" s="385"/>
      <c r="FT204" s="358"/>
      <c r="FU204" s="385">
        <v>1063</v>
      </c>
      <c r="FV204" s="385"/>
      <c r="FW204" s="358"/>
      <c r="FX204" s="385">
        <v>1063</v>
      </c>
      <c r="FY204" s="385"/>
      <c r="FZ204" s="358"/>
      <c r="GA204" s="385">
        <v>1063</v>
      </c>
      <c r="GB204" s="385"/>
      <c r="GC204" s="358"/>
      <c r="GD204" s="385">
        <v>1063</v>
      </c>
      <c r="GE204" s="385"/>
      <c r="GF204" s="358"/>
      <c r="GG204" s="385">
        <v>1063</v>
      </c>
      <c r="GH204" s="385"/>
      <c r="GI204" s="358"/>
      <c r="GJ204" s="385">
        <v>1063</v>
      </c>
      <c r="GK204" s="385"/>
      <c r="GL204" s="358"/>
      <c r="GM204" s="385">
        <v>1063</v>
      </c>
      <c r="GN204" s="385"/>
      <c r="GO204" s="358"/>
      <c r="GP204" s="385">
        <v>1063</v>
      </c>
      <c r="GQ204" s="385"/>
      <c r="GR204" s="358"/>
      <c r="GS204" s="385">
        <v>1063</v>
      </c>
      <c r="GT204" s="385"/>
      <c r="GU204" s="358"/>
      <c r="GV204" s="385">
        <v>1063</v>
      </c>
      <c r="GW204" s="385"/>
      <c r="GX204" s="358"/>
      <c r="GY204" s="385">
        <v>1063</v>
      </c>
      <c r="GZ204" s="385"/>
      <c r="HA204" s="358"/>
      <c r="HB204" s="385">
        <v>1063</v>
      </c>
      <c r="HC204" s="385"/>
      <c r="HD204" s="358"/>
      <c r="HE204" s="385">
        <v>1063</v>
      </c>
      <c r="HF204" s="385"/>
      <c r="HG204" s="358"/>
      <c r="HH204" s="385">
        <v>1063</v>
      </c>
      <c r="HI204" s="358"/>
      <c r="HJ204" s="385">
        <v>1063</v>
      </c>
      <c r="HK204" s="358"/>
      <c r="HL204" s="385">
        <v>1063</v>
      </c>
      <c r="HM204" s="358"/>
      <c r="HN204" s="385">
        <v>1063</v>
      </c>
      <c r="HO204" s="358"/>
      <c r="HP204" s="385">
        <v>1063</v>
      </c>
      <c r="HQ204" s="358"/>
      <c r="HR204" s="385">
        <v>1063</v>
      </c>
      <c r="HS204" s="358"/>
      <c r="HT204" s="386">
        <v>1673.0068348344148</v>
      </c>
      <c r="HU204" s="358"/>
      <c r="HV204" s="567"/>
      <c r="HW204" s="567"/>
      <c r="HX204" s="567"/>
      <c r="HY204" s="567"/>
      <c r="HZ204" s="567"/>
      <c r="IA204" s="567"/>
      <c r="IB204" s="567"/>
      <c r="IC204" s="567"/>
      <c r="ID204" s="567"/>
      <c r="IE204" s="567"/>
      <c r="IF204" s="567"/>
      <c r="IG204" s="567"/>
      <c r="IH204" s="568"/>
      <c r="II204" s="569"/>
      <c r="IJ204" s="568"/>
      <c r="IK204" s="569"/>
      <c r="IL204" s="568"/>
      <c r="IM204" s="569"/>
      <c r="IN204" s="568"/>
      <c r="IO204" s="569"/>
      <c r="IP204" s="568"/>
      <c r="IQ204" s="569"/>
      <c r="IR204" s="620" t="s">
        <v>2895</v>
      </c>
      <c r="IS204" s="587" t="s">
        <v>77</v>
      </c>
      <c r="IT204" s="611">
        <v>43752</v>
      </c>
      <c r="IU204" s="518">
        <v>43800</v>
      </c>
      <c r="IV204" s="552"/>
      <c r="IW204" s="526">
        <f t="shared" si="22"/>
        <v>48</v>
      </c>
      <c r="IX204" s="621">
        <f>HT204/30.5</f>
        <v>54.852683109325078</v>
      </c>
      <c r="IY204" s="621">
        <v>1673.0068348344148</v>
      </c>
      <c r="IZ204" s="374"/>
    </row>
    <row r="205" spans="1:261" s="367" customFormat="1" ht="16.5" customHeight="1" x14ac:dyDescent="0.3">
      <c r="A205" s="526" t="s">
        <v>2758</v>
      </c>
      <c r="B205" s="622" t="s">
        <v>2757</v>
      </c>
      <c r="C205" s="623" t="s">
        <v>2185</v>
      </c>
      <c r="D205" s="624">
        <v>356</v>
      </c>
      <c r="E205" s="625">
        <v>27</v>
      </c>
      <c r="F205" s="625">
        <v>0</v>
      </c>
      <c r="G205" s="625">
        <v>27</v>
      </c>
      <c r="H205" s="626">
        <v>0</v>
      </c>
      <c r="I205" s="858">
        <f>(383+972)</f>
        <v>1355</v>
      </c>
      <c r="J205" s="831">
        <v>27</v>
      </c>
      <c r="K205" s="827"/>
      <c r="L205" s="835">
        <v>302</v>
      </c>
      <c r="M205" s="831">
        <v>27</v>
      </c>
      <c r="N205" s="827"/>
      <c r="O205" s="835">
        <v>302</v>
      </c>
      <c r="P205" s="831">
        <v>27</v>
      </c>
      <c r="Q205" s="827"/>
      <c r="R205" s="835">
        <v>302</v>
      </c>
      <c r="S205" s="831">
        <v>27</v>
      </c>
      <c r="T205" s="827"/>
      <c r="U205" s="835">
        <v>302</v>
      </c>
      <c r="V205" s="831">
        <v>27</v>
      </c>
      <c r="W205" s="827"/>
      <c r="X205" s="835">
        <v>302</v>
      </c>
      <c r="Y205" s="831">
        <v>27</v>
      </c>
      <c r="Z205" s="827"/>
      <c r="AA205" s="835">
        <v>302</v>
      </c>
      <c r="AB205" s="831">
        <v>27</v>
      </c>
      <c r="AC205" s="827"/>
      <c r="AD205" s="835">
        <v>302</v>
      </c>
      <c r="AE205" s="831">
        <v>27</v>
      </c>
      <c r="AF205" s="827"/>
      <c r="AG205" s="835">
        <v>302</v>
      </c>
      <c r="AH205" s="831">
        <v>27</v>
      </c>
      <c r="AI205" s="827"/>
      <c r="AJ205" s="835">
        <v>302</v>
      </c>
      <c r="AK205" s="831">
        <v>27</v>
      </c>
      <c r="AL205" s="827"/>
      <c r="AM205" s="835">
        <v>302</v>
      </c>
      <c r="AN205" s="831">
        <v>27</v>
      </c>
      <c r="AO205" s="827"/>
      <c r="AP205" s="835">
        <v>302</v>
      </c>
      <c r="AQ205" s="831">
        <v>27</v>
      </c>
      <c r="AR205" s="827"/>
      <c r="AS205" s="881">
        <f>((302-383)/30.5)*31+302</f>
        <v>219.67213114754099</v>
      </c>
      <c r="AT205" s="831">
        <v>27</v>
      </c>
      <c r="AU205" s="827"/>
      <c r="AV205" s="831">
        <v>383</v>
      </c>
      <c r="AW205" s="831">
        <v>27</v>
      </c>
      <c r="AX205" s="827"/>
      <c r="AY205" s="831">
        <v>383</v>
      </c>
      <c r="AZ205" s="831">
        <v>27</v>
      </c>
      <c r="BA205" s="358"/>
      <c r="BB205" s="385">
        <v>383</v>
      </c>
      <c r="BC205" s="385">
        <v>27</v>
      </c>
      <c r="BD205" s="358"/>
      <c r="BE205" s="385">
        <v>383</v>
      </c>
      <c r="BF205" s="385">
        <v>27</v>
      </c>
      <c r="BG205" s="358"/>
      <c r="BH205" s="385">
        <v>383</v>
      </c>
      <c r="BI205" s="385">
        <v>27</v>
      </c>
      <c r="BJ205" s="369"/>
      <c r="BK205" s="385">
        <v>383</v>
      </c>
      <c r="BL205" s="385">
        <v>27</v>
      </c>
      <c r="BM205" s="369"/>
      <c r="BN205" s="385">
        <v>383</v>
      </c>
      <c r="BO205" s="385">
        <v>27</v>
      </c>
      <c r="BP205" s="369"/>
      <c r="BQ205" s="385">
        <v>383</v>
      </c>
      <c r="BR205" s="385">
        <v>27</v>
      </c>
      <c r="BS205" s="369"/>
      <c r="BT205" s="385">
        <v>383</v>
      </c>
      <c r="BU205" s="385">
        <v>27</v>
      </c>
      <c r="BV205" s="369"/>
      <c r="BW205" s="385">
        <v>383</v>
      </c>
      <c r="BX205" s="385">
        <v>27</v>
      </c>
      <c r="BY205" s="369"/>
      <c r="BZ205" s="385">
        <v>383</v>
      </c>
      <c r="CA205" s="385">
        <v>27</v>
      </c>
      <c r="CB205" s="369"/>
      <c r="CC205" s="385">
        <v>383</v>
      </c>
      <c r="CD205" s="385">
        <v>27</v>
      </c>
      <c r="CE205" s="369"/>
      <c r="CF205" s="385">
        <v>383</v>
      </c>
      <c r="CG205" s="385">
        <v>27</v>
      </c>
      <c r="CH205" s="369"/>
      <c r="CI205" s="385">
        <v>383</v>
      </c>
      <c r="CJ205" s="385">
        <v>27</v>
      </c>
      <c r="CK205" s="369"/>
      <c r="CL205" s="385">
        <v>383</v>
      </c>
      <c r="CM205" s="385">
        <v>27</v>
      </c>
      <c r="CN205" s="369"/>
      <c r="CO205" s="385">
        <v>383</v>
      </c>
      <c r="CP205" s="385">
        <v>27</v>
      </c>
      <c r="CQ205" s="369"/>
      <c r="CR205" s="385">
        <v>383</v>
      </c>
      <c r="CS205" s="385">
        <v>27</v>
      </c>
      <c r="CT205" s="369"/>
      <c r="CU205" s="385">
        <v>383</v>
      </c>
      <c r="CV205" s="385">
        <v>27</v>
      </c>
      <c r="CW205" s="369"/>
      <c r="CX205" s="385">
        <v>383</v>
      </c>
      <c r="CY205" s="385">
        <v>27</v>
      </c>
      <c r="CZ205" s="369"/>
      <c r="DA205" s="385">
        <v>383</v>
      </c>
      <c r="DB205" s="385">
        <v>27</v>
      </c>
      <c r="DC205" s="369"/>
      <c r="DD205" s="386">
        <f>((383-254)/30.5)*27+383</f>
        <v>497.19672131147541</v>
      </c>
      <c r="DE205" s="386">
        <f>(27/30.5)*27+27</f>
        <v>50.901639344262293</v>
      </c>
      <c r="DF205" s="370"/>
      <c r="DG205" s="385">
        <v>254</v>
      </c>
      <c r="DH205" s="385"/>
      <c r="DI205" s="358"/>
      <c r="DJ205" s="385">
        <v>254</v>
      </c>
      <c r="DK205" s="385"/>
      <c r="DL205" s="358"/>
      <c r="DM205" s="385">
        <v>254</v>
      </c>
      <c r="DN205" s="385"/>
      <c r="DO205" s="358"/>
      <c r="DP205" s="385">
        <v>254</v>
      </c>
      <c r="DQ205" s="385"/>
      <c r="DR205" s="358"/>
      <c r="DS205" s="385">
        <v>254</v>
      </c>
      <c r="DT205" s="385"/>
      <c r="DU205" s="358"/>
      <c r="DV205" s="385">
        <v>254</v>
      </c>
      <c r="DW205" s="385"/>
      <c r="DX205" s="358"/>
      <c r="DY205" s="385">
        <v>254</v>
      </c>
      <c r="DZ205" s="385"/>
      <c r="EA205" s="358"/>
      <c r="EB205" s="385">
        <v>254</v>
      </c>
      <c r="EC205" s="385"/>
      <c r="ED205" s="358"/>
      <c r="EE205" s="385">
        <v>254</v>
      </c>
      <c r="EF205" s="385"/>
      <c r="EG205" s="358"/>
      <c r="EH205" s="385">
        <v>254</v>
      </c>
      <c r="EI205" s="385"/>
      <c r="EJ205" s="358"/>
      <c r="EK205" s="385">
        <v>254</v>
      </c>
      <c r="EL205" s="385"/>
      <c r="EM205" s="358"/>
      <c r="EN205" s="385">
        <v>254</v>
      </c>
      <c r="EO205" s="385"/>
      <c r="EP205" s="358"/>
      <c r="EQ205" s="385">
        <v>254</v>
      </c>
      <c r="ER205" s="385"/>
      <c r="ES205" s="358"/>
      <c r="ET205" s="385">
        <v>254</v>
      </c>
      <c r="EU205" s="385"/>
      <c r="EV205" s="358"/>
      <c r="EW205" s="385">
        <v>254</v>
      </c>
      <c r="EX205" s="385"/>
      <c r="EY205" s="358"/>
      <c r="EZ205" s="385">
        <v>254</v>
      </c>
      <c r="FA205" s="385"/>
      <c r="FB205" s="358"/>
      <c r="FC205" s="385">
        <v>254</v>
      </c>
      <c r="FD205" s="385"/>
      <c r="FE205" s="358"/>
      <c r="FF205" s="385">
        <v>254</v>
      </c>
      <c r="FG205" s="385"/>
      <c r="FH205" s="358"/>
      <c r="FI205" s="385">
        <v>254</v>
      </c>
      <c r="FJ205" s="385"/>
      <c r="FK205" s="358"/>
      <c r="FL205" s="385">
        <v>254</v>
      </c>
      <c r="FM205" s="385"/>
      <c r="FN205" s="358"/>
      <c r="FO205" s="385">
        <v>254</v>
      </c>
      <c r="FP205" s="385"/>
      <c r="FQ205" s="358"/>
      <c r="FR205" s="385">
        <v>254</v>
      </c>
      <c r="FS205" s="385"/>
      <c r="FT205" s="358"/>
      <c r="FU205" s="385">
        <v>254</v>
      </c>
      <c r="FV205" s="385"/>
      <c r="FW205" s="358"/>
      <c r="FX205" s="385">
        <v>254</v>
      </c>
      <c r="FY205" s="385"/>
      <c r="FZ205" s="358"/>
      <c r="GA205" s="385">
        <v>254</v>
      </c>
      <c r="GB205" s="385"/>
      <c r="GC205" s="358"/>
      <c r="GD205" s="385">
        <v>254</v>
      </c>
      <c r="GE205" s="385"/>
      <c r="GF205" s="358"/>
      <c r="GG205" s="385">
        <v>254</v>
      </c>
      <c r="GH205" s="385"/>
      <c r="GI205" s="358"/>
      <c r="GJ205" s="385">
        <v>254</v>
      </c>
      <c r="GK205" s="385"/>
      <c r="GL205" s="358"/>
      <c r="GM205" s="385">
        <v>254</v>
      </c>
      <c r="GN205" s="385"/>
      <c r="GO205" s="358"/>
      <c r="GP205" s="385">
        <v>254</v>
      </c>
      <c r="GQ205" s="385"/>
      <c r="GR205" s="358"/>
      <c r="GS205" s="385">
        <v>254</v>
      </c>
      <c r="GT205" s="385"/>
      <c r="GU205" s="358"/>
      <c r="GV205" s="385">
        <v>254</v>
      </c>
      <c r="GW205" s="385"/>
      <c r="GX205" s="358"/>
      <c r="GY205" s="385">
        <v>254</v>
      </c>
      <c r="GZ205" s="385"/>
      <c r="HA205" s="358"/>
      <c r="HB205" s="385">
        <v>254</v>
      </c>
      <c r="HC205" s="385"/>
      <c r="HD205" s="358"/>
      <c r="HE205" s="385">
        <v>254</v>
      </c>
      <c r="HF205" s="385"/>
      <c r="HG205" s="358"/>
      <c r="HH205" s="385">
        <v>254</v>
      </c>
      <c r="HI205" s="358"/>
      <c r="HJ205" s="385">
        <v>254</v>
      </c>
      <c r="HK205" s="358"/>
      <c r="HL205" s="385">
        <v>254</v>
      </c>
      <c r="HM205" s="358"/>
      <c r="HN205" s="385">
        <v>254</v>
      </c>
      <c r="HO205" s="358"/>
      <c r="HP205" s="385">
        <v>254</v>
      </c>
      <c r="HQ205" s="358"/>
      <c r="HR205" s="385">
        <v>254</v>
      </c>
      <c r="HS205" s="358"/>
      <c r="HT205" s="386">
        <v>392.04469335277815</v>
      </c>
      <c r="HU205" s="358"/>
      <c r="HV205" s="567"/>
      <c r="HW205" s="567"/>
      <c r="HX205" s="567"/>
      <c r="HY205" s="567"/>
      <c r="HZ205" s="567"/>
      <c r="IA205" s="567"/>
      <c r="IB205" s="567"/>
      <c r="IC205" s="567"/>
      <c r="ID205" s="567"/>
      <c r="IE205" s="567"/>
      <c r="IF205" s="567"/>
      <c r="IG205" s="567"/>
      <c r="IH205" s="568"/>
      <c r="II205" s="569"/>
      <c r="IJ205" s="568"/>
      <c r="IK205" s="569"/>
      <c r="IL205" s="568"/>
      <c r="IM205" s="569"/>
      <c r="IN205" s="568"/>
      <c r="IO205" s="569"/>
      <c r="IP205" s="568"/>
      <c r="IQ205" s="569"/>
      <c r="IR205" s="620" t="s">
        <v>3424</v>
      </c>
      <c r="IS205" s="587" t="s">
        <v>77</v>
      </c>
      <c r="IT205" s="611">
        <v>43753</v>
      </c>
      <c r="IU205" s="518">
        <v>43800</v>
      </c>
      <c r="IV205" s="552"/>
      <c r="IW205" s="526">
        <f t="shared" si="22"/>
        <v>47</v>
      </c>
      <c r="IX205" s="621">
        <f>HT205/30.5</f>
        <v>12.853924372222234</v>
      </c>
      <c r="IY205" s="621">
        <v>392.04469335277815</v>
      </c>
      <c r="IZ205" s="374"/>
    </row>
    <row r="206" spans="1:261" s="367" customFormat="1" ht="16.5" customHeight="1" x14ac:dyDescent="0.3">
      <c r="A206" s="526" t="s">
        <v>2739</v>
      </c>
      <c r="B206" s="622" t="s">
        <v>3011</v>
      </c>
      <c r="C206" s="623" t="s">
        <v>2623</v>
      </c>
      <c r="D206" s="624">
        <v>2323</v>
      </c>
      <c r="E206" s="625">
        <v>382</v>
      </c>
      <c r="F206" s="625">
        <v>112</v>
      </c>
      <c r="G206" s="625">
        <v>540</v>
      </c>
      <c r="H206" s="626">
        <v>66</v>
      </c>
      <c r="I206" s="907">
        <f>(2817+768)</f>
        <v>3585</v>
      </c>
      <c r="J206" s="711">
        <f>540</f>
        <v>540</v>
      </c>
      <c r="K206" s="835">
        <v>66</v>
      </c>
      <c r="L206" s="597">
        <v>2753</v>
      </c>
      <c r="M206" s="677">
        <f>540</f>
        <v>540</v>
      </c>
      <c r="N206" s="831">
        <v>66</v>
      </c>
      <c r="O206" s="597">
        <v>2753</v>
      </c>
      <c r="P206" s="677">
        <f>540</f>
        <v>540</v>
      </c>
      <c r="Q206" s="831">
        <v>66</v>
      </c>
      <c r="R206" s="597">
        <v>2753</v>
      </c>
      <c r="S206" s="677">
        <f>540</f>
        <v>540</v>
      </c>
      <c r="T206" s="831">
        <v>66</v>
      </c>
      <c r="U206" s="597">
        <v>2753</v>
      </c>
      <c r="V206" s="677">
        <f>540</f>
        <v>540</v>
      </c>
      <c r="W206" s="831">
        <v>66</v>
      </c>
      <c r="X206" s="597">
        <v>2753</v>
      </c>
      <c r="Y206" s="677">
        <f>540</f>
        <v>540</v>
      </c>
      <c r="Z206" s="831">
        <v>66</v>
      </c>
      <c r="AA206" s="597">
        <v>2753</v>
      </c>
      <c r="AB206" s="677">
        <f>540</f>
        <v>540</v>
      </c>
      <c r="AC206" s="831">
        <v>66</v>
      </c>
      <c r="AD206" s="597">
        <v>2753</v>
      </c>
      <c r="AE206" s="677">
        <f>540</f>
        <v>540</v>
      </c>
      <c r="AF206" s="831">
        <v>66</v>
      </c>
      <c r="AG206" s="597">
        <v>2753</v>
      </c>
      <c r="AH206" s="677">
        <f>540</f>
        <v>540</v>
      </c>
      <c r="AI206" s="831">
        <v>66</v>
      </c>
      <c r="AJ206" s="597">
        <v>2753</v>
      </c>
      <c r="AK206" s="677">
        <f>540</f>
        <v>540</v>
      </c>
      <c r="AL206" s="831">
        <v>66</v>
      </c>
      <c r="AM206" s="597">
        <v>2753</v>
      </c>
      <c r="AN206" s="677">
        <f>540</f>
        <v>540</v>
      </c>
      <c r="AO206" s="831">
        <v>66</v>
      </c>
      <c r="AP206" s="597">
        <v>2753</v>
      </c>
      <c r="AQ206" s="677">
        <f>540</f>
        <v>540</v>
      </c>
      <c r="AR206" s="831">
        <v>66</v>
      </c>
      <c r="AS206" s="597">
        <v>2753</v>
      </c>
      <c r="AT206" s="677">
        <f>540</f>
        <v>540</v>
      </c>
      <c r="AU206" s="831">
        <v>66</v>
      </c>
      <c r="AV206" s="597">
        <v>2753</v>
      </c>
      <c r="AW206" s="677">
        <f>540</f>
        <v>540</v>
      </c>
      <c r="AX206" s="831">
        <v>66</v>
      </c>
      <c r="AY206" s="597">
        <v>2753</v>
      </c>
      <c r="AZ206" s="677">
        <f>540</f>
        <v>540</v>
      </c>
      <c r="BA206" s="369">
        <v>66</v>
      </c>
      <c r="BB206" s="647">
        <v>2753</v>
      </c>
      <c r="BC206" s="649">
        <f>540</f>
        <v>540</v>
      </c>
      <c r="BD206" s="369">
        <v>66</v>
      </c>
      <c r="BE206" s="647">
        <v>2753</v>
      </c>
      <c r="BF206" s="649">
        <f>540</f>
        <v>540</v>
      </c>
      <c r="BG206" s="369">
        <v>66</v>
      </c>
      <c r="BH206" s="647">
        <v>2753</v>
      </c>
      <c r="BI206" s="649">
        <f>540</f>
        <v>540</v>
      </c>
      <c r="BJ206" s="369">
        <v>66</v>
      </c>
      <c r="BK206" s="647">
        <v>2753</v>
      </c>
      <c r="BL206" s="649">
        <f>540</f>
        <v>540</v>
      </c>
      <c r="BM206" s="369">
        <v>66</v>
      </c>
      <c r="BN206" s="647">
        <v>2753</v>
      </c>
      <c r="BO206" s="649">
        <f>540</f>
        <v>540</v>
      </c>
      <c r="BP206" s="369">
        <v>66</v>
      </c>
      <c r="BQ206" s="647">
        <v>2753</v>
      </c>
      <c r="BR206" s="649">
        <f>540</f>
        <v>540</v>
      </c>
      <c r="BS206" s="369">
        <v>66</v>
      </c>
      <c r="BT206" s="647">
        <v>2753</v>
      </c>
      <c r="BU206" s="649">
        <f>540</f>
        <v>540</v>
      </c>
      <c r="BV206" s="369">
        <v>66</v>
      </c>
      <c r="BW206" s="647">
        <v>2753</v>
      </c>
      <c r="BX206" s="649">
        <f>540</f>
        <v>540</v>
      </c>
      <c r="BY206" s="369">
        <v>66</v>
      </c>
      <c r="BZ206" s="647">
        <v>2753</v>
      </c>
      <c r="CA206" s="649">
        <f>540</f>
        <v>540</v>
      </c>
      <c r="CB206" s="369">
        <v>66</v>
      </c>
      <c r="CC206" s="647">
        <v>2753</v>
      </c>
      <c r="CD206" s="649">
        <f>540</f>
        <v>540</v>
      </c>
      <c r="CE206" s="369">
        <v>66</v>
      </c>
      <c r="CF206" s="647">
        <v>2753</v>
      </c>
      <c r="CG206" s="649">
        <f>540</f>
        <v>540</v>
      </c>
      <c r="CH206" s="369">
        <v>66</v>
      </c>
      <c r="CI206" s="647">
        <v>2753</v>
      </c>
      <c r="CJ206" s="649">
        <f>540</f>
        <v>540</v>
      </c>
      <c r="CK206" s="369">
        <v>66</v>
      </c>
      <c r="CL206" s="647">
        <v>2753</v>
      </c>
      <c r="CM206" s="649">
        <f>540</f>
        <v>540</v>
      </c>
      <c r="CN206" s="369">
        <v>66</v>
      </c>
      <c r="CO206" s="647">
        <v>2753</v>
      </c>
      <c r="CP206" s="649">
        <f>540</f>
        <v>540</v>
      </c>
      <c r="CQ206" s="369">
        <v>66</v>
      </c>
      <c r="CR206" s="647">
        <v>2753</v>
      </c>
      <c r="CS206" s="649">
        <f>540</f>
        <v>540</v>
      </c>
      <c r="CT206" s="369">
        <v>66</v>
      </c>
      <c r="CU206" s="647">
        <v>2753</v>
      </c>
      <c r="CV206" s="649">
        <f>540</f>
        <v>540</v>
      </c>
      <c r="CW206" s="369">
        <v>66</v>
      </c>
      <c r="CX206" s="647">
        <v>2753</v>
      </c>
      <c r="CY206" s="649">
        <f>540</f>
        <v>540</v>
      </c>
      <c r="CZ206" s="369">
        <v>66</v>
      </c>
      <c r="DA206" s="647">
        <v>2753</v>
      </c>
      <c r="DB206" s="649">
        <f>540</f>
        <v>540</v>
      </c>
      <c r="DC206" s="369">
        <v>66</v>
      </c>
      <c r="DD206" s="647">
        <v>2753</v>
      </c>
      <c r="DE206" s="649">
        <f>540</f>
        <v>540</v>
      </c>
      <c r="DF206" s="369">
        <v>66</v>
      </c>
      <c r="DG206" s="647">
        <v>2753</v>
      </c>
      <c r="DH206" s="649">
        <f>540</f>
        <v>540</v>
      </c>
      <c r="DI206" s="369">
        <v>66</v>
      </c>
      <c r="DJ206" s="647">
        <v>2753</v>
      </c>
      <c r="DK206" s="649">
        <f>540</f>
        <v>540</v>
      </c>
      <c r="DL206" s="369">
        <v>66</v>
      </c>
      <c r="DM206" s="647">
        <v>2753</v>
      </c>
      <c r="DN206" s="649">
        <f>540</f>
        <v>540</v>
      </c>
      <c r="DO206" s="369">
        <v>66</v>
      </c>
      <c r="DP206" s="647">
        <v>2753</v>
      </c>
      <c r="DQ206" s="649">
        <f>540</f>
        <v>540</v>
      </c>
      <c r="DR206" s="369">
        <v>66</v>
      </c>
      <c r="DS206" s="647">
        <v>2753</v>
      </c>
      <c r="DT206" s="649">
        <f>540</f>
        <v>540</v>
      </c>
      <c r="DU206" s="369">
        <v>66</v>
      </c>
      <c r="DV206" s="647">
        <v>2753</v>
      </c>
      <c r="DW206" s="649">
        <f>540</f>
        <v>540</v>
      </c>
      <c r="DX206" s="369">
        <v>66</v>
      </c>
      <c r="DY206" s="647">
        <v>2753</v>
      </c>
      <c r="DZ206" s="649">
        <f>540</f>
        <v>540</v>
      </c>
      <c r="EA206" s="369">
        <v>66</v>
      </c>
      <c r="EB206" s="647">
        <v>2753</v>
      </c>
      <c r="EC206" s="649">
        <f>540</f>
        <v>540</v>
      </c>
      <c r="ED206" s="369">
        <v>66</v>
      </c>
      <c r="EE206" s="647">
        <v>2753</v>
      </c>
      <c r="EF206" s="649">
        <f>540</f>
        <v>540</v>
      </c>
      <c r="EG206" s="369">
        <v>66</v>
      </c>
      <c r="EH206" s="647">
        <v>2753</v>
      </c>
      <c r="EI206" s="649">
        <f>540</f>
        <v>540</v>
      </c>
      <c r="EJ206" s="369">
        <v>66</v>
      </c>
      <c r="EK206" s="647">
        <v>2753</v>
      </c>
      <c r="EL206" s="649">
        <f>540</f>
        <v>540</v>
      </c>
      <c r="EM206" s="369">
        <v>66</v>
      </c>
      <c r="EN206" s="647">
        <v>2753</v>
      </c>
      <c r="EO206" s="649">
        <f>540</f>
        <v>540</v>
      </c>
      <c r="EP206" s="369">
        <v>66</v>
      </c>
      <c r="EQ206" s="647">
        <v>2753</v>
      </c>
      <c r="ER206" s="649">
        <f>540</f>
        <v>540</v>
      </c>
      <c r="ES206" s="369">
        <v>66</v>
      </c>
      <c r="ET206" s="647">
        <v>2753</v>
      </c>
      <c r="EU206" s="649">
        <f>540</f>
        <v>540</v>
      </c>
      <c r="EV206" s="369">
        <v>66</v>
      </c>
      <c r="EW206" s="647">
        <v>2753</v>
      </c>
      <c r="EX206" s="649">
        <f>540</f>
        <v>540</v>
      </c>
      <c r="EY206" s="369">
        <v>66</v>
      </c>
      <c r="EZ206" s="647">
        <v>2753</v>
      </c>
      <c r="FA206" s="649">
        <f>540</f>
        <v>540</v>
      </c>
      <c r="FB206" s="369">
        <v>66</v>
      </c>
      <c r="FC206" s="647">
        <v>2753</v>
      </c>
      <c r="FD206" s="649">
        <f>540</f>
        <v>540</v>
      </c>
      <c r="FE206" s="369">
        <v>66</v>
      </c>
      <c r="FF206" s="647">
        <v>2753</v>
      </c>
      <c r="FG206" s="649">
        <f>540</f>
        <v>540</v>
      </c>
      <c r="FH206" s="369">
        <v>66</v>
      </c>
      <c r="FI206" s="647">
        <v>2753</v>
      </c>
      <c r="FJ206" s="649">
        <f>540</f>
        <v>540</v>
      </c>
      <c r="FK206" s="369">
        <v>66</v>
      </c>
      <c r="FL206" s="647">
        <v>2753</v>
      </c>
      <c r="FM206" s="649">
        <f>540</f>
        <v>540</v>
      </c>
      <c r="FN206" s="369">
        <v>66</v>
      </c>
      <c r="FO206" s="647">
        <v>2753</v>
      </c>
      <c r="FP206" s="649">
        <f>540</f>
        <v>540</v>
      </c>
      <c r="FQ206" s="369">
        <v>66</v>
      </c>
      <c r="FR206" s="647">
        <v>2753</v>
      </c>
      <c r="FS206" s="649">
        <f>540</f>
        <v>540</v>
      </c>
      <c r="FT206" s="369">
        <v>66</v>
      </c>
      <c r="FU206" s="647">
        <v>2753</v>
      </c>
      <c r="FV206" s="649">
        <f>540</f>
        <v>540</v>
      </c>
      <c r="FW206" s="369">
        <v>66</v>
      </c>
      <c r="FX206" s="647">
        <v>2753</v>
      </c>
      <c r="FY206" s="649">
        <f>540</f>
        <v>540</v>
      </c>
      <c r="FZ206" s="369">
        <v>66</v>
      </c>
      <c r="GA206" s="647">
        <v>2753</v>
      </c>
      <c r="GB206" s="649">
        <f>540</f>
        <v>540</v>
      </c>
      <c r="GC206" s="369">
        <v>66</v>
      </c>
      <c r="GD206" s="647">
        <v>2753</v>
      </c>
      <c r="GE206" s="649">
        <f>540</f>
        <v>540</v>
      </c>
      <c r="GF206" s="369">
        <v>66</v>
      </c>
      <c r="GG206" s="647">
        <v>2753</v>
      </c>
      <c r="GH206" s="649">
        <f>540</f>
        <v>540</v>
      </c>
      <c r="GI206" s="369">
        <v>66</v>
      </c>
      <c r="GJ206" s="647">
        <v>2753</v>
      </c>
      <c r="GK206" s="649">
        <f>540</f>
        <v>540</v>
      </c>
      <c r="GL206" s="369">
        <v>66</v>
      </c>
      <c r="GM206" s="647">
        <v>2753</v>
      </c>
      <c r="GN206" s="649">
        <f>540</f>
        <v>540</v>
      </c>
      <c r="GO206" s="369">
        <v>66</v>
      </c>
      <c r="GP206" s="647">
        <v>2753</v>
      </c>
      <c r="GQ206" s="649">
        <f>540</f>
        <v>540</v>
      </c>
      <c r="GR206" s="369">
        <v>66</v>
      </c>
      <c r="GS206" s="647">
        <v>2753</v>
      </c>
      <c r="GT206" s="649">
        <f>540</f>
        <v>540</v>
      </c>
      <c r="GU206" s="369">
        <v>66</v>
      </c>
      <c r="GV206" s="647">
        <v>2753</v>
      </c>
      <c r="GW206" s="649">
        <f>540</f>
        <v>540</v>
      </c>
      <c r="GX206" s="369">
        <v>66</v>
      </c>
      <c r="GY206" s="647">
        <v>2753</v>
      </c>
      <c r="GZ206" s="649">
        <f>540</f>
        <v>540</v>
      </c>
      <c r="HA206" s="369">
        <v>66</v>
      </c>
      <c r="HB206" s="647">
        <v>2753</v>
      </c>
      <c r="HC206" s="649">
        <f>540</f>
        <v>540</v>
      </c>
      <c r="HD206" s="369">
        <v>66</v>
      </c>
      <c r="HE206" s="647">
        <v>2753</v>
      </c>
      <c r="HF206" s="650">
        <f>540*6</f>
        <v>3240</v>
      </c>
      <c r="HG206" s="369">
        <v>66</v>
      </c>
      <c r="HH206" s="647">
        <v>2753</v>
      </c>
      <c r="HI206" s="369">
        <v>66</v>
      </c>
      <c r="HJ206" s="647">
        <v>2753</v>
      </c>
      <c r="HK206" s="369">
        <v>66</v>
      </c>
      <c r="HL206" s="647">
        <v>2753</v>
      </c>
      <c r="HM206" s="369">
        <v>66</v>
      </c>
      <c r="HN206" s="647">
        <v>2753</v>
      </c>
      <c r="HO206" s="369">
        <v>66</v>
      </c>
      <c r="HP206" s="648">
        <f>2753-((4403+3357)-(3610.49+2753))</f>
        <v>1356.4899999999998</v>
      </c>
      <c r="HQ206" s="369">
        <v>66</v>
      </c>
      <c r="HR206" s="647">
        <v>3357</v>
      </c>
      <c r="HS206" s="369">
        <v>66</v>
      </c>
      <c r="HT206" s="648">
        <v>4402.622950819672</v>
      </c>
      <c r="HU206" s="370">
        <v>86.052459016393428</v>
      </c>
      <c r="HV206" s="567"/>
      <c r="HW206" s="567"/>
      <c r="HX206" s="567"/>
      <c r="HY206" s="567"/>
      <c r="HZ206" s="567"/>
      <c r="IA206" s="567"/>
      <c r="IB206" s="567"/>
      <c r="IC206" s="567"/>
      <c r="ID206" s="567"/>
      <c r="IE206" s="567"/>
      <c r="IF206" s="567"/>
      <c r="IG206" s="567"/>
      <c r="IH206" s="568"/>
      <c r="II206" s="569"/>
      <c r="IJ206" s="568"/>
      <c r="IK206" s="569"/>
      <c r="IL206" s="568"/>
      <c r="IM206" s="569"/>
      <c r="IN206" s="568"/>
      <c r="IO206" s="569"/>
      <c r="IP206" s="568"/>
      <c r="IQ206" s="569"/>
      <c r="IR206" s="620" t="s">
        <v>2623</v>
      </c>
      <c r="IS206" s="587" t="s">
        <v>77</v>
      </c>
      <c r="IT206" s="611">
        <v>43760</v>
      </c>
      <c r="IU206" s="518">
        <v>43800</v>
      </c>
      <c r="IV206" s="552"/>
      <c r="IW206" s="526">
        <f t="shared" si="22"/>
        <v>40</v>
      </c>
      <c r="IX206" s="621">
        <f>2753/30.5</f>
        <v>90.26229508196721</v>
      </c>
      <c r="IY206" s="621">
        <f>IW206*IX206</f>
        <v>3610.4918032786882</v>
      </c>
      <c r="IZ206" s="374"/>
    </row>
    <row r="207" spans="1:261" s="367" customFormat="1" ht="16.5" customHeight="1" x14ac:dyDescent="0.3">
      <c r="A207" s="526" t="s">
        <v>2743</v>
      </c>
      <c r="B207" s="628" t="s">
        <v>2738</v>
      </c>
      <c r="C207" s="629" t="s">
        <v>978</v>
      </c>
      <c r="D207" s="630">
        <v>1821</v>
      </c>
      <c r="E207" s="631">
        <v>95</v>
      </c>
      <c r="F207" s="631">
        <v>32</v>
      </c>
      <c r="G207" s="631">
        <v>36</v>
      </c>
      <c r="H207" s="632"/>
      <c r="I207" s="830">
        <v>1948</v>
      </c>
      <c r="J207" s="831">
        <f>36</f>
        <v>36</v>
      </c>
      <c r="K207" s="827"/>
      <c r="L207" s="831">
        <v>1948</v>
      </c>
      <c r="M207" s="831">
        <f>36</f>
        <v>36</v>
      </c>
      <c r="N207" s="827"/>
      <c r="O207" s="831">
        <v>1948</v>
      </c>
      <c r="P207" s="831">
        <f>36</f>
        <v>36</v>
      </c>
      <c r="Q207" s="827"/>
      <c r="R207" s="831">
        <v>1948</v>
      </c>
      <c r="S207" s="831">
        <f>36</f>
        <v>36</v>
      </c>
      <c r="T207" s="827"/>
      <c r="U207" s="831">
        <v>1948</v>
      </c>
      <c r="V207" s="831">
        <f>36</f>
        <v>36</v>
      </c>
      <c r="W207" s="827"/>
      <c r="X207" s="831">
        <v>1948</v>
      </c>
      <c r="Y207" s="831">
        <f>36</f>
        <v>36</v>
      </c>
      <c r="Z207" s="827"/>
      <c r="AA207" s="831">
        <v>1948</v>
      </c>
      <c r="AB207" s="831">
        <f>36</f>
        <v>36</v>
      </c>
      <c r="AC207" s="827"/>
      <c r="AD207" s="831">
        <v>1948</v>
      </c>
      <c r="AE207" s="831">
        <f>36</f>
        <v>36</v>
      </c>
      <c r="AF207" s="827"/>
      <c r="AG207" s="831">
        <v>1948</v>
      </c>
      <c r="AH207" s="831">
        <f>36</f>
        <v>36</v>
      </c>
      <c r="AI207" s="827"/>
      <c r="AJ207" s="831">
        <v>1948</v>
      </c>
      <c r="AK207" s="831">
        <f>36</f>
        <v>36</v>
      </c>
      <c r="AL207" s="827"/>
      <c r="AM207" s="831">
        <v>1948</v>
      </c>
      <c r="AN207" s="831">
        <f>36</f>
        <v>36</v>
      </c>
      <c r="AO207" s="827"/>
      <c r="AP207" s="831">
        <v>1948</v>
      </c>
      <c r="AQ207" s="831">
        <f>36</f>
        <v>36</v>
      </c>
      <c r="AR207" s="827"/>
      <c r="AS207" s="831">
        <v>1948</v>
      </c>
      <c r="AT207" s="831">
        <f>36</f>
        <v>36</v>
      </c>
      <c r="AU207" s="827"/>
      <c r="AV207" s="831">
        <v>1948</v>
      </c>
      <c r="AW207" s="831">
        <f>36</f>
        <v>36</v>
      </c>
      <c r="AX207" s="827"/>
      <c r="AY207" s="831">
        <v>1948</v>
      </c>
      <c r="AZ207" s="831">
        <f>36</f>
        <v>36</v>
      </c>
      <c r="BA207" s="358"/>
      <c r="BB207" s="385">
        <v>1948</v>
      </c>
      <c r="BC207" s="385">
        <f>36</f>
        <v>36</v>
      </c>
      <c r="BD207" s="358"/>
      <c r="BE207" s="385">
        <v>1948</v>
      </c>
      <c r="BF207" s="385">
        <f>36</f>
        <v>36</v>
      </c>
      <c r="BG207" s="358"/>
      <c r="BH207" s="385">
        <v>1948</v>
      </c>
      <c r="BI207" s="385">
        <f>36</f>
        <v>36</v>
      </c>
      <c r="BJ207" s="358"/>
      <c r="BK207" s="385">
        <v>1948</v>
      </c>
      <c r="BL207" s="385">
        <f>36</f>
        <v>36</v>
      </c>
      <c r="BM207" s="358"/>
      <c r="BN207" s="385">
        <v>1948</v>
      </c>
      <c r="BO207" s="385">
        <f>36</f>
        <v>36</v>
      </c>
      <c r="BP207" s="358"/>
      <c r="BQ207" s="385">
        <v>1948</v>
      </c>
      <c r="BR207" s="385">
        <f>36</f>
        <v>36</v>
      </c>
      <c r="BS207" s="358"/>
      <c r="BT207" s="385">
        <v>1948</v>
      </c>
      <c r="BU207" s="385">
        <f>36</f>
        <v>36</v>
      </c>
      <c r="BV207" s="358"/>
      <c r="BW207" s="385">
        <v>1948</v>
      </c>
      <c r="BX207" s="385">
        <f>36</f>
        <v>36</v>
      </c>
      <c r="BY207" s="358"/>
      <c r="BZ207" s="385">
        <v>1948</v>
      </c>
      <c r="CA207" s="385">
        <f>36</f>
        <v>36</v>
      </c>
      <c r="CB207" s="358"/>
      <c r="CC207" s="385">
        <v>1948</v>
      </c>
      <c r="CD207" s="385">
        <f>36</f>
        <v>36</v>
      </c>
      <c r="CE207" s="358"/>
      <c r="CF207" s="385">
        <v>1948</v>
      </c>
      <c r="CG207" s="385">
        <f>36</f>
        <v>36</v>
      </c>
      <c r="CH207" s="358"/>
      <c r="CI207" s="385">
        <v>1948</v>
      </c>
      <c r="CJ207" s="385">
        <f>36</f>
        <v>36</v>
      </c>
      <c r="CK207" s="358"/>
      <c r="CL207" s="385">
        <v>1948</v>
      </c>
      <c r="CM207" s="385">
        <f>36</f>
        <v>36</v>
      </c>
      <c r="CN207" s="358"/>
      <c r="CO207" s="385">
        <v>1948</v>
      </c>
      <c r="CP207" s="385">
        <f>36</f>
        <v>36</v>
      </c>
      <c r="CQ207" s="358"/>
      <c r="CR207" s="385">
        <v>1948</v>
      </c>
      <c r="CS207" s="385">
        <f>36</f>
        <v>36</v>
      </c>
      <c r="CT207" s="358"/>
      <c r="CU207" s="385">
        <v>1948</v>
      </c>
      <c r="CV207" s="385">
        <f>36</f>
        <v>36</v>
      </c>
      <c r="CW207" s="358"/>
      <c r="CX207" s="385">
        <v>1948</v>
      </c>
      <c r="CY207" s="385">
        <f>36</f>
        <v>36</v>
      </c>
      <c r="CZ207" s="358"/>
      <c r="DA207" s="385">
        <v>1948</v>
      </c>
      <c r="DB207" s="385">
        <f>36</f>
        <v>36</v>
      </c>
      <c r="DC207" s="358"/>
      <c r="DD207" s="385">
        <v>1948</v>
      </c>
      <c r="DE207" s="385">
        <f>36</f>
        <v>36</v>
      </c>
      <c r="DF207" s="358"/>
      <c r="DG207" s="385">
        <v>1948</v>
      </c>
      <c r="DH207" s="385">
        <f>36</f>
        <v>36</v>
      </c>
      <c r="DI207" s="358"/>
      <c r="DJ207" s="385">
        <v>1948</v>
      </c>
      <c r="DK207" s="385">
        <f>36</f>
        <v>36</v>
      </c>
      <c r="DL207" s="358"/>
      <c r="DM207" s="385">
        <v>1948</v>
      </c>
      <c r="DN207" s="385">
        <f>36</f>
        <v>36</v>
      </c>
      <c r="DO207" s="358"/>
      <c r="DP207" s="385">
        <v>1948</v>
      </c>
      <c r="DQ207" s="385">
        <f>36</f>
        <v>36</v>
      </c>
      <c r="DR207" s="358"/>
      <c r="DS207" s="385">
        <v>1948</v>
      </c>
      <c r="DT207" s="385">
        <f>36</f>
        <v>36</v>
      </c>
      <c r="DU207" s="358"/>
      <c r="DV207" s="385">
        <v>1948</v>
      </c>
      <c r="DW207" s="385">
        <f>36</f>
        <v>36</v>
      </c>
      <c r="DX207" s="358"/>
      <c r="DY207" s="385">
        <v>1948</v>
      </c>
      <c r="DZ207" s="385">
        <f>36</f>
        <v>36</v>
      </c>
      <c r="EA207" s="358"/>
      <c r="EB207" s="385">
        <v>1948</v>
      </c>
      <c r="EC207" s="385">
        <f>36</f>
        <v>36</v>
      </c>
      <c r="ED207" s="358"/>
      <c r="EE207" s="385">
        <v>1948</v>
      </c>
      <c r="EF207" s="385">
        <f>36</f>
        <v>36</v>
      </c>
      <c r="EG207" s="358"/>
      <c r="EH207" s="385">
        <v>1948</v>
      </c>
      <c r="EI207" s="385">
        <f>36</f>
        <v>36</v>
      </c>
      <c r="EJ207" s="358"/>
      <c r="EK207" s="385">
        <v>1948</v>
      </c>
      <c r="EL207" s="385">
        <f>36</f>
        <v>36</v>
      </c>
      <c r="EM207" s="358"/>
      <c r="EN207" s="385">
        <v>1948</v>
      </c>
      <c r="EO207" s="385">
        <f>36</f>
        <v>36</v>
      </c>
      <c r="EP207" s="358"/>
      <c r="EQ207" s="385">
        <v>1948</v>
      </c>
      <c r="ER207" s="385">
        <f>36</f>
        <v>36</v>
      </c>
      <c r="ES207" s="358"/>
      <c r="ET207" s="385">
        <v>1948</v>
      </c>
      <c r="EU207" s="385">
        <f>36</f>
        <v>36</v>
      </c>
      <c r="EV207" s="358"/>
      <c r="EW207" s="385">
        <v>1948</v>
      </c>
      <c r="EX207" s="385">
        <f>36</f>
        <v>36</v>
      </c>
      <c r="EY207" s="358"/>
      <c r="EZ207" s="385">
        <v>1948</v>
      </c>
      <c r="FA207" s="385">
        <f>36</f>
        <v>36</v>
      </c>
      <c r="FB207" s="358"/>
      <c r="FC207" s="385">
        <v>1948</v>
      </c>
      <c r="FD207" s="385">
        <f>36</f>
        <v>36</v>
      </c>
      <c r="FE207" s="358"/>
      <c r="FF207" s="385">
        <v>1948</v>
      </c>
      <c r="FG207" s="385">
        <f>36</f>
        <v>36</v>
      </c>
      <c r="FH207" s="358"/>
      <c r="FI207" s="385">
        <v>1948</v>
      </c>
      <c r="FJ207" s="385">
        <f>36</f>
        <v>36</v>
      </c>
      <c r="FK207" s="358"/>
      <c r="FL207" s="385">
        <v>1948</v>
      </c>
      <c r="FM207" s="385">
        <f>36</f>
        <v>36</v>
      </c>
      <c r="FN207" s="358"/>
      <c r="FO207" s="385">
        <v>1948</v>
      </c>
      <c r="FP207" s="385">
        <f>36</f>
        <v>36</v>
      </c>
      <c r="FQ207" s="358"/>
      <c r="FR207" s="385">
        <v>1948</v>
      </c>
      <c r="FS207" s="385">
        <f>36</f>
        <v>36</v>
      </c>
      <c r="FT207" s="358"/>
      <c r="FU207" s="385">
        <v>1948</v>
      </c>
      <c r="FV207" s="385">
        <f>36</f>
        <v>36</v>
      </c>
      <c r="FW207" s="358"/>
      <c r="FX207" s="385">
        <v>1948</v>
      </c>
      <c r="FY207" s="385">
        <f>36</f>
        <v>36</v>
      </c>
      <c r="FZ207" s="358"/>
      <c r="GA207" s="385">
        <v>1948</v>
      </c>
      <c r="GB207" s="385">
        <f>36</f>
        <v>36</v>
      </c>
      <c r="GC207" s="358"/>
      <c r="GD207" s="385">
        <v>1948</v>
      </c>
      <c r="GE207" s="385">
        <f>36</f>
        <v>36</v>
      </c>
      <c r="GF207" s="358"/>
      <c r="GG207" s="385">
        <v>1948</v>
      </c>
      <c r="GH207" s="385">
        <f>36</f>
        <v>36</v>
      </c>
      <c r="GI207" s="358"/>
      <c r="GJ207" s="385">
        <v>1948</v>
      </c>
      <c r="GK207" s="385">
        <f>36</f>
        <v>36</v>
      </c>
      <c r="GL207" s="358"/>
      <c r="GM207" s="385">
        <v>1948</v>
      </c>
      <c r="GN207" s="385">
        <f>36</f>
        <v>36</v>
      </c>
      <c r="GO207" s="358"/>
      <c r="GP207" s="385">
        <v>1948</v>
      </c>
      <c r="GQ207" s="385">
        <f>36</f>
        <v>36</v>
      </c>
      <c r="GR207" s="358"/>
      <c r="GS207" s="385">
        <v>1948</v>
      </c>
      <c r="GT207" s="385">
        <f>36</f>
        <v>36</v>
      </c>
      <c r="GU207" s="358"/>
      <c r="GV207" s="385">
        <v>1948</v>
      </c>
      <c r="GW207" s="385">
        <f>36</f>
        <v>36</v>
      </c>
      <c r="GX207" s="358"/>
      <c r="GY207" s="385">
        <v>1948</v>
      </c>
      <c r="GZ207" s="385">
        <f>36</f>
        <v>36</v>
      </c>
      <c r="HA207" s="358"/>
      <c r="HB207" s="385">
        <v>1948</v>
      </c>
      <c r="HC207" s="385">
        <f>36</f>
        <v>36</v>
      </c>
      <c r="HD207" s="358"/>
      <c r="HE207" s="385">
        <v>1948</v>
      </c>
      <c r="HF207" s="386">
        <f>36*6</f>
        <v>216</v>
      </c>
      <c r="HG207" s="370">
        <v>0</v>
      </c>
      <c r="HH207" s="385">
        <v>1948</v>
      </c>
      <c r="HI207" s="369">
        <v>66</v>
      </c>
      <c r="HJ207" s="385">
        <v>1948</v>
      </c>
      <c r="HK207" s="369">
        <v>66</v>
      </c>
      <c r="HL207" s="385">
        <v>1948</v>
      </c>
      <c r="HM207" s="369">
        <v>66</v>
      </c>
      <c r="HN207" s="385">
        <v>1948</v>
      </c>
      <c r="HO207" s="369">
        <v>66</v>
      </c>
      <c r="HP207" s="385">
        <v>1948</v>
      </c>
      <c r="HQ207" s="369">
        <v>66</v>
      </c>
      <c r="HR207" s="385">
        <v>1948</v>
      </c>
      <c r="HS207" s="369">
        <v>66</v>
      </c>
      <c r="HT207" s="386">
        <v>2554.3035099029962</v>
      </c>
      <c r="HU207" s="370">
        <v>86.052459016393428</v>
      </c>
      <c r="HV207" s="567"/>
      <c r="HW207" s="567"/>
      <c r="HX207" s="567"/>
      <c r="HY207" s="567"/>
      <c r="HZ207" s="567"/>
      <c r="IA207" s="567"/>
      <c r="IB207" s="567"/>
      <c r="IC207" s="567"/>
      <c r="ID207" s="567"/>
      <c r="IE207" s="567"/>
      <c r="IF207" s="567"/>
      <c r="IG207" s="567"/>
      <c r="IH207" s="568"/>
      <c r="II207" s="569"/>
      <c r="IJ207" s="568"/>
      <c r="IK207" s="569"/>
      <c r="IL207" s="568"/>
      <c r="IM207" s="569"/>
      <c r="IN207" s="568"/>
      <c r="IO207" s="569"/>
      <c r="IP207" s="568"/>
      <c r="IQ207" s="569"/>
      <c r="IR207" s="620" t="s">
        <v>3161</v>
      </c>
      <c r="IS207" s="587" t="s">
        <v>77</v>
      </c>
      <c r="IT207" s="611">
        <v>43760</v>
      </c>
      <c r="IU207" s="518">
        <v>43800</v>
      </c>
      <c r="IV207" s="552"/>
      <c r="IW207" s="526">
        <f t="shared" si="22"/>
        <v>40</v>
      </c>
      <c r="IX207" s="621">
        <f>1948/30.5</f>
        <v>63.868852459016395</v>
      </c>
      <c r="IY207" s="621">
        <v>2554.7540983606559</v>
      </c>
      <c r="IZ207" s="621"/>
      <c r="JA207" s="621"/>
    </row>
    <row r="208" spans="1:261" s="367" customFormat="1" ht="16.5" customHeight="1" x14ac:dyDescent="0.3">
      <c r="A208" s="526" t="s">
        <v>2758</v>
      </c>
      <c r="B208" s="622" t="s">
        <v>2801</v>
      </c>
      <c r="C208" s="623" t="s">
        <v>2323</v>
      </c>
      <c r="D208" s="624">
        <v>701</v>
      </c>
      <c r="E208" s="625">
        <v>54</v>
      </c>
      <c r="F208" s="625">
        <v>0</v>
      </c>
      <c r="G208" s="625">
        <v>0</v>
      </c>
      <c r="H208" s="626">
        <v>0</v>
      </c>
      <c r="I208" s="841">
        <v>755</v>
      </c>
      <c r="J208" s="827"/>
      <c r="K208" s="827"/>
      <c r="L208" s="835">
        <v>755</v>
      </c>
      <c r="M208" s="827"/>
      <c r="N208" s="827"/>
      <c r="O208" s="835">
        <v>755</v>
      </c>
      <c r="P208" s="827"/>
      <c r="Q208" s="827"/>
      <c r="R208" s="835">
        <v>755</v>
      </c>
      <c r="S208" s="827"/>
      <c r="T208" s="827"/>
      <c r="U208" s="835">
        <v>755</v>
      </c>
      <c r="V208" s="827"/>
      <c r="W208" s="827"/>
      <c r="X208" s="835">
        <v>755</v>
      </c>
      <c r="Y208" s="827"/>
      <c r="Z208" s="827"/>
      <c r="AA208" s="835">
        <v>755</v>
      </c>
      <c r="AB208" s="827"/>
      <c r="AC208" s="827"/>
      <c r="AD208" s="835">
        <v>755</v>
      </c>
      <c r="AE208" s="827"/>
      <c r="AF208" s="827"/>
      <c r="AG208" s="835">
        <v>755</v>
      </c>
      <c r="AH208" s="827"/>
      <c r="AI208" s="827"/>
      <c r="AJ208" s="835">
        <v>755</v>
      </c>
      <c r="AK208" s="827"/>
      <c r="AL208" s="827"/>
      <c r="AM208" s="835">
        <v>755</v>
      </c>
      <c r="AN208" s="827"/>
      <c r="AO208" s="827"/>
      <c r="AP208" s="835">
        <v>755</v>
      </c>
      <c r="AQ208" s="827"/>
      <c r="AR208" s="827"/>
      <c r="AS208" s="881">
        <v>755</v>
      </c>
      <c r="AT208" s="827"/>
      <c r="AU208" s="827"/>
      <c r="AV208" s="831">
        <v>755</v>
      </c>
      <c r="AW208" s="827"/>
      <c r="AX208" s="827"/>
      <c r="AY208" s="831">
        <v>755</v>
      </c>
      <c r="AZ208" s="827"/>
      <c r="BA208" s="358"/>
      <c r="BB208" s="385">
        <v>755</v>
      </c>
      <c r="BC208" s="358"/>
      <c r="BD208" s="358"/>
      <c r="BE208" s="385">
        <v>755</v>
      </c>
      <c r="BF208" s="358"/>
      <c r="BG208" s="358"/>
      <c r="BH208" s="385">
        <v>755</v>
      </c>
      <c r="BI208" s="385"/>
      <c r="BJ208" s="358"/>
      <c r="BK208" s="385">
        <v>755</v>
      </c>
      <c r="BL208" s="385"/>
      <c r="BM208" s="358"/>
      <c r="BN208" s="385">
        <v>755</v>
      </c>
      <c r="BO208" s="385"/>
      <c r="BP208" s="358"/>
      <c r="BQ208" s="385">
        <v>755</v>
      </c>
      <c r="BR208" s="385"/>
      <c r="BS208" s="358"/>
      <c r="BT208" s="385">
        <v>755</v>
      </c>
      <c r="BU208" s="385"/>
      <c r="BV208" s="358"/>
      <c r="BW208" s="385">
        <v>755</v>
      </c>
      <c r="BX208" s="385"/>
      <c r="BY208" s="358"/>
      <c r="BZ208" s="385">
        <v>755</v>
      </c>
      <c r="CA208" s="385"/>
      <c r="CB208" s="358"/>
      <c r="CC208" s="385">
        <v>755</v>
      </c>
      <c r="CD208" s="385"/>
      <c r="CE208" s="358"/>
      <c r="CF208" s="385">
        <v>755</v>
      </c>
      <c r="CG208" s="385"/>
      <c r="CH208" s="358"/>
      <c r="CI208" s="385">
        <v>755</v>
      </c>
      <c r="CJ208" s="385"/>
      <c r="CK208" s="358"/>
      <c r="CL208" s="385">
        <v>755</v>
      </c>
      <c r="CM208" s="385"/>
      <c r="CN208" s="358"/>
      <c r="CO208" s="385">
        <v>755</v>
      </c>
      <c r="CP208" s="385"/>
      <c r="CQ208" s="358"/>
      <c r="CR208" s="385">
        <v>755</v>
      </c>
      <c r="CS208" s="385"/>
      <c r="CT208" s="358"/>
      <c r="CU208" s="385">
        <v>755</v>
      </c>
      <c r="CV208" s="385"/>
      <c r="CW208" s="358"/>
      <c r="CX208" s="385">
        <v>755</v>
      </c>
      <c r="CY208" s="385"/>
      <c r="CZ208" s="358"/>
      <c r="DA208" s="385">
        <v>755</v>
      </c>
      <c r="DB208" s="385"/>
      <c r="DC208" s="358"/>
      <c r="DD208" s="385">
        <v>755</v>
      </c>
      <c r="DE208" s="385"/>
      <c r="DF208" s="358"/>
      <c r="DG208" s="385">
        <v>755</v>
      </c>
      <c r="DH208" s="385"/>
      <c r="DI208" s="358"/>
      <c r="DJ208" s="385">
        <v>755</v>
      </c>
      <c r="DK208" s="385"/>
      <c r="DL208" s="358"/>
      <c r="DM208" s="385">
        <v>755</v>
      </c>
      <c r="DN208" s="385"/>
      <c r="DO208" s="358"/>
      <c r="DP208" s="385">
        <v>755</v>
      </c>
      <c r="DQ208" s="385"/>
      <c r="DR208" s="358"/>
      <c r="DS208" s="385">
        <v>755</v>
      </c>
      <c r="DT208" s="385"/>
      <c r="DU208" s="358"/>
      <c r="DV208" s="385">
        <v>755</v>
      </c>
      <c r="DW208" s="385"/>
      <c r="DX208" s="358"/>
      <c r="DY208" s="385">
        <v>755</v>
      </c>
      <c r="DZ208" s="385"/>
      <c r="EA208" s="358"/>
      <c r="EB208" s="385">
        <v>755</v>
      </c>
      <c r="EC208" s="385"/>
      <c r="ED208" s="358"/>
      <c r="EE208" s="385">
        <v>755</v>
      </c>
      <c r="EF208" s="385"/>
      <c r="EG208" s="358"/>
      <c r="EH208" s="385">
        <v>755</v>
      </c>
      <c r="EI208" s="385"/>
      <c r="EJ208" s="358"/>
      <c r="EK208" s="385">
        <v>755</v>
      </c>
      <c r="EL208" s="385"/>
      <c r="EM208" s="358"/>
      <c r="EN208" s="385">
        <v>755</v>
      </c>
      <c r="EO208" s="385"/>
      <c r="EP208" s="358"/>
      <c r="EQ208" s="385">
        <v>755</v>
      </c>
      <c r="ER208" s="385"/>
      <c r="ES208" s="358"/>
      <c r="ET208" s="385">
        <v>755</v>
      </c>
      <c r="EU208" s="385"/>
      <c r="EV208" s="358"/>
      <c r="EW208" s="385">
        <v>755</v>
      </c>
      <c r="EX208" s="385"/>
      <c r="EY208" s="358"/>
      <c r="EZ208" s="385">
        <v>755</v>
      </c>
      <c r="FA208" s="385"/>
      <c r="FB208" s="358"/>
      <c r="FC208" s="385">
        <v>755</v>
      </c>
      <c r="FD208" s="385"/>
      <c r="FE208" s="358"/>
      <c r="FF208" s="385">
        <v>755</v>
      </c>
      <c r="FG208" s="385"/>
      <c r="FH208" s="358"/>
      <c r="FI208" s="385">
        <v>755</v>
      </c>
      <c r="FJ208" s="385"/>
      <c r="FK208" s="358"/>
      <c r="FL208" s="385">
        <v>755</v>
      </c>
      <c r="FM208" s="385"/>
      <c r="FN208" s="358"/>
      <c r="FO208" s="385">
        <v>755</v>
      </c>
      <c r="FP208" s="385"/>
      <c r="FQ208" s="358"/>
      <c r="FR208" s="385">
        <v>755</v>
      </c>
      <c r="FS208" s="385"/>
      <c r="FT208" s="358"/>
      <c r="FU208" s="385">
        <v>755</v>
      </c>
      <c r="FV208" s="385"/>
      <c r="FW208" s="358"/>
      <c r="FX208" s="385">
        <v>755</v>
      </c>
      <c r="FY208" s="385"/>
      <c r="FZ208" s="358"/>
      <c r="GA208" s="385">
        <v>755</v>
      </c>
      <c r="GB208" s="385"/>
      <c r="GC208" s="358"/>
      <c r="GD208" s="385">
        <v>755</v>
      </c>
      <c r="GE208" s="385"/>
      <c r="GF208" s="358"/>
      <c r="GG208" s="385">
        <v>755</v>
      </c>
      <c r="GH208" s="385"/>
      <c r="GI208" s="358"/>
      <c r="GJ208" s="385">
        <v>755</v>
      </c>
      <c r="GK208" s="385"/>
      <c r="GL208" s="358"/>
      <c r="GM208" s="385">
        <v>755</v>
      </c>
      <c r="GN208" s="385"/>
      <c r="GO208" s="358"/>
      <c r="GP208" s="385">
        <v>755</v>
      </c>
      <c r="GQ208" s="385"/>
      <c r="GR208" s="358"/>
      <c r="GS208" s="385">
        <v>755</v>
      </c>
      <c r="GT208" s="385"/>
      <c r="GU208" s="358"/>
      <c r="GV208" s="385">
        <v>755</v>
      </c>
      <c r="GW208" s="385"/>
      <c r="GX208" s="358"/>
      <c r="GY208" s="385">
        <v>755</v>
      </c>
      <c r="GZ208" s="385"/>
      <c r="HA208" s="358"/>
      <c r="HB208" s="385">
        <v>755</v>
      </c>
      <c r="HC208" s="385"/>
      <c r="HD208" s="358"/>
      <c r="HE208" s="385">
        <v>755</v>
      </c>
      <c r="HF208" s="385"/>
      <c r="HG208" s="358"/>
      <c r="HH208" s="385">
        <v>755</v>
      </c>
      <c r="HI208" s="358"/>
      <c r="HJ208" s="385">
        <v>755</v>
      </c>
      <c r="HK208" s="358"/>
      <c r="HL208" s="385">
        <v>755</v>
      </c>
      <c r="HM208" s="358"/>
      <c r="HN208" s="385">
        <v>755</v>
      </c>
      <c r="HO208" s="358"/>
      <c r="HP208" s="385">
        <v>755</v>
      </c>
      <c r="HQ208" s="358"/>
      <c r="HR208" s="385">
        <v>755</v>
      </c>
      <c r="HS208" s="358"/>
      <c r="HT208" s="386">
        <v>965.73772543410962</v>
      </c>
      <c r="HU208" s="358"/>
      <c r="HV208" s="567"/>
      <c r="HW208" s="567"/>
      <c r="HX208" s="567"/>
      <c r="HY208" s="567"/>
      <c r="HZ208" s="567"/>
      <c r="IA208" s="567"/>
      <c r="IB208" s="567"/>
      <c r="IC208" s="567"/>
      <c r="ID208" s="567"/>
      <c r="IE208" s="567"/>
      <c r="IF208" s="567"/>
      <c r="IG208" s="567"/>
      <c r="IH208" s="568"/>
      <c r="II208" s="569"/>
      <c r="IJ208" s="568"/>
      <c r="IK208" s="569"/>
      <c r="IL208" s="568"/>
      <c r="IM208" s="569"/>
      <c r="IN208" s="568"/>
      <c r="IO208" s="569"/>
      <c r="IP208" s="568"/>
      <c r="IQ208" s="569"/>
      <c r="IR208" s="620" t="s">
        <v>3425</v>
      </c>
      <c r="IS208" s="587" t="s">
        <v>77</v>
      </c>
      <c r="IT208" s="611">
        <v>43761</v>
      </c>
      <c r="IU208" s="518">
        <v>43800</v>
      </c>
      <c r="IV208" s="552"/>
      <c r="IW208" s="526">
        <f t="shared" si="22"/>
        <v>39</v>
      </c>
      <c r="IX208" s="621">
        <f>HT208/30.5</f>
        <v>31.663531981446216</v>
      </c>
      <c r="IY208" s="621">
        <v>965.73772543410962</v>
      </c>
      <c r="IZ208" s="374"/>
    </row>
    <row r="209" spans="1:262" s="367" customFormat="1" ht="16.5" customHeight="1" x14ac:dyDescent="0.3">
      <c r="A209" s="526" t="s">
        <v>2739</v>
      </c>
      <c r="B209" s="622" t="s">
        <v>2813</v>
      </c>
      <c r="C209" s="623" t="s">
        <v>838</v>
      </c>
      <c r="D209" s="624">
        <v>2384</v>
      </c>
      <c r="E209" s="625">
        <v>44</v>
      </c>
      <c r="F209" s="625">
        <v>32</v>
      </c>
      <c r="G209" s="625">
        <v>5</v>
      </c>
      <c r="H209" s="626">
        <v>0</v>
      </c>
      <c r="I209" s="841">
        <v>2460</v>
      </c>
      <c r="J209" s="835">
        <v>5</v>
      </c>
      <c r="K209" s="827"/>
      <c r="L209" s="835">
        <v>2460</v>
      </c>
      <c r="M209" s="835">
        <v>5</v>
      </c>
      <c r="N209" s="827"/>
      <c r="O209" s="835">
        <v>2460</v>
      </c>
      <c r="P209" s="835">
        <v>5</v>
      </c>
      <c r="Q209" s="827"/>
      <c r="R209" s="835">
        <v>2460</v>
      </c>
      <c r="S209" s="835">
        <v>5</v>
      </c>
      <c r="T209" s="827"/>
      <c r="U209" s="835">
        <v>2460</v>
      </c>
      <c r="V209" s="835">
        <v>5</v>
      </c>
      <c r="W209" s="827"/>
      <c r="X209" s="835">
        <v>2460</v>
      </c>
      <c r="Y209" s="835">
        <v>5</v>
      </c>
      <c r="Z209" s="827"/>
      <c r="AA209" s="835">
        <v>2460</v>
      </c>
      <c r="AB209" s="835">
        <v>5</v>
      </c>
      <c r="AC209" s="827"/>
      <c r="AD209" s="835">
        <v>2460</v>
      </c>
      <c r="AE209" s="835">
        <v>5</v>
      </c>
      <c r="AF209" s="827"/>
      <c r="AG209" s="835">
        <v>2460</v>
      </c>
      <c r="AH209" s="835">
        <v>5</v>
      </c>
      <c r="AI209" s="827"/>
      <c r="AJ209" s="835">
        <v>2460</v>
      </c>
      <c r="AK209" s="835">
        <v>5</v>
      </c>
      <c r="AL209" s="827"/>
      <c r="AM209" s="835">
        <v>2460</v>
      </c>
      <c r="AN209" s="835">
        <v>5</v>
      </c>
      <c r="AO209" s="827"/>
      <c r="AP209" s="835">
        <v>2460</v>
      </c>
      <c r="AQ209" s="835">
        <v>5</v>
      </c>
      <c r="AR209" s="827"/>
      <c r="AS209" s="842">
        <f>((2460-2064)/30.5*7)+2460</f>
        <v>2550.8852459016393</v>
      </c>
      <c r="AT209" s="842">
        <f>(5/30.4)*7</f>
        <v>1.1513157894736843</v>
      </c>
      <c r="AU209" s="827"/>
      <c r="AV209" s="831">
        <v>2064</v>
      </c>
      <c r="AW209" s="827"/>
      <c r="AX209" s="827"/>
      <c r="AY209" s="831">
        <v>2064</v>
      </c>
      <c r="AZ209" s="827"/>
      <c r="BA209" s="358"/>
      <c r="BB209" s="385">
        <v>2064</v>
      </c>
      <c r="BC209" s="358"/>
      <c r="BD209" s="358"/>
      <c r="BE209" s="385">
        <v>2064</v>
      </c>
      <c r="BF209" s="358"/>
      <c r="BG209" s="358"/>
      <c r="BH209" s="385">
        <v>2064</v>
      </c>
      <c r="BI209" s="385"/>
      <c r="BJ209" s="358"/>
      <c r="BK209" s="385">
        <v>2064</v>
      </c>
      <c r="BL209" s="385"/>
      <c r="BM209" s="358"/>
      <c r="BN209" s="385">
        <v>2064</v>
      </c>
      <c r="BO209" s="385"/>
      <c r="BP209" s="358"/>
      <c r="BQ209" s="385">
        <v>2064</v>
      </c>
      <c r="BR209" s="385"/>
      <c r="BS209" s="358"/>
      <c r="BT209" s="385">
        <v>2064</v>
      </c>
      <c r="BU209" s="385"/>
      <c r="BV209" s="358"/>
      <c r="BW209" s="385">
        <v>2064</v>
      </c>
      <c r="BX209" s="385"/>
      <c r="BY209" s="358"/>
      <c r="BZ209" s="385">
        <v>2064</v>
      </c>
      <c r="CA209" s="385"/>
      <c r="CB209" s="358"/>
      <c r="CC209" s="385">
        <v>2064</v>
      </c>
      <c r="CD209" s="385"/>
      <c r="CE209" s="358"/>
      <c r="CF209" s="385">
        <v>2064</v>
      </c>
      <c r="CG209" s="385"/>
      <c r="CH209" s="358"/>
      <c r="CI209" s="385">
        <v>2064</v>
      </c>
      <c r="CJ209" s="385"/>
      <c r="CK209" s="358"/>
      <c r="CL209" s="385">
        <v>2064</v>
      </c>
      <c r="CM209" s="385"/>
      <c r="CN209" s="358"/>
      <c r="CO209" s="385">
        <v>2064</v>
      </c>
      <c r="CP209" s="385"/>
      <c r="CQ209" s="358"/>
      <c r="CR209" s="385">
        <v>2064</v>
      </c>
      <c r="CS209" s="385"/>
      <c r="CT209" s="358"/>
      <c r="CU209" s="385">
        <v>2064</v>
      </c>
      <c r="CV209" s="385"/>
      <c r="CW209" s="358"/>
      <c r="CX209" s="385">
        <v>2064</v>
      </c>
      <c r="CY209" s="385"/>
      <c r="CZ209" s="358"/>
      <c r="DA209" s="385">
        <v>2064</v>
      </c>
      <c r="DB209" s="385"/>
      <c r="DC209" s="358"/>
      <c r="DD209" s="385">
        <v>2064</v>
      </c>
      <c r="DE209" s="385"/>
      <c r="DF209" s="358"/>
      <c r="DG209" s="385">
        <v>2064</v>
      </c>
      <c r="DH209" s="385"/>
      <c r="DI209" s="358"/>
      <c r="DJ209" s="385">
        <v>2064</v>
      </c>
      <c r="DK209" s="385"/>
      <c r="DL209" s="358"/>
      <c r="DM209" s="385">
        <v>2064</v>
      </c>
      <c r="DN209" s="385"/>
      <c r="DO209" s="358"/>
      <c r="DP209" s="385">
        <v>2064</v>
      </c>
      <c r="DQ209" s="385"/>
      <c r="DR209" s="358"/>
      <c r="DS209" s="385">
        <v>2064</v>
      </c>
      <c r="DT209" s="385"/>
      <c r="DU209" s="358"/>
      <c r="DV209" s="385">
        <v>2064</v>
      </c>
      <c r="DW209" s="385"/>
      <c r="DX209" s="358"/>
      <c r="DY209" s="385">
        <v>2064</v>
      </c>
      <c r="DZ209" s="385"/>
      <c r="EA209" s="358"/>
      <c r="EB209" s="385">
        <v>2064</v>
      </c>
      <c r="EC209" s="385"/>
      <c r="ED209" s="358"/>
      <c r="EE209" s="385">
        <v>2064</v>
      </c>
      <c r="EF209" s="385"/>
      <c r="EG209" s="358"/>
      <c r="EH209" s="385">
        <v>2064</v>
      </c>
      <c r="EI209" s="385"/>
      <c r="EJ209" s="358"/>
      <c r="EK209" s="385">
        <v>2064</v>
      </c>
      <c r="EL209" s="385"/>
      <c r="EM209" s="358"/>
      <c r="EN209" s="385">
        <v>2064</v>
      </c>
      <c r="EO209" s="385"/>
      <c r="EP209" s="358"/>
      <c r="EQ209" s="385">
        <v>2064</v>
      </c>
      <c r="ER209" s="385"/>
      <c r="ES209" s="358"/>
      <c r="ET209" s="385">
        <v>2064</v>
      </c>
      <c r="EU209" s="385"/>
      <c r="EV209" s="358"/>
      <c r="EW209" s="385">
        <v>2064</v>
      </c>
      <c r="EX209" s="385"/>
      <c r="EY209" s="358"/>
      <c r="EZ209" s="385">
        <v>2064</v>
      </c>
      <c r="FA209" s="385"/>
      <c r="FB209" s="358"/>
      <c r="FC209" s="385">
        <v>2064</v>
      </c>
      <c r="FD209" s="385"/>
      <c r="FE209" s="358"/>
      <c r="FF209" s="385">
        <v>2064</v>
      </c>
      <c r="FG209" s="385"/>
      <c r="FH209" s="358"/>
      <c r="FI209" s="385">
        <v>2064</v>
      </c>
      <c r="FJ209" s="385"/>
      <c r="FK209" s="358"/>
      <c r="FL209" s="385">
        <v>2064</v>
      </c>
      <c r="FM209" s="385"/>
      <c r="FN209" s="358"/>
      <c r="FO209" s="385">
        <v>2064</v>
      </c>
      <c r="FP209" s="385"/>
      <c r="FQ209" s="358"/>
      <c r="FR209" s="385">
        <v>2064</v>
      </c>
      <c r="FS209" s="385"/>
      <c r="FT209" s="358"/>
      <c r="FU209" s="385">
        <v>2064</v>
      </c>
      <c r="FV209" s="385"/>
      <c r="FW209" s="358"/>
      <c r="FX209" s="385">
        <v>2064</v>
      </c>
      <c r="FY209" s="385"/>
      <c r="FZ209" s="358"/>
      <c r="GA209" s="385">
        <v>2064</v>
      </c>
      <c r="GB209" s="385"/>
      <c r="GC209" s="358"/>
      <c r="GD209" s="385">
        <v>2064</v>
      </c>
      <c r="GE209" s="385"/>
      <c r="GF209" s="358"/>
      <c r="GG209" s="385">
        <v>2064</v>
      </c>
      <c r="GH209" s="385"/>
      <c r="GI209" s="358"/>
      <c r="GJ209" s="385">
        <v>2064</v>
      </c>
      <c r="GK209" s="385"/>
      <c r="GL209" s="358"/>
      <c r="GM209" s="385">
        <v>2064</v>
      </c>
      <c r="GN209" s="385"/>
      <c r="GO209" s="358"/>
      <c r="GP209" s="385">
        <v>2064</v>
      </c>
      <c r="GQ209" s="385"/>
      <c r="GR209" s="358"/>
      <c r="GS209" s="385">
        <v>2064</v>
      </c>
      <c r="GT209" s="385"/>
      <c r="GU209" s="358"/>
      <c r="GV209" s="385">
        <v>2064</v>
      </c>
      <c r="GW209" s="385"/>
      <c r="GX209" s="358"/>
      <c r="GY209" s="385">
        <v>2064</v>
      </c>
      <c r="GZ209" s="385"/>
      <c r="HA209" s="358"/>
      <c r="HB209" s="385">
        <v>2064</v>
      </c>
      <c r="HC209" s="385"/>
      <c r="HD209" s="358"/>
      <c r="HE209" s="385">
        <v>2064</v>
      </c>
      <c r="HF209" s="385"/>
      <c r="HG209" s="358"/>
      <c r="HH209" s="385">
        <v>2064</v>
      </c>
      <c r="HI209" s="358"/>
      <c r="HJ209" s="385">
        <v>2064</v>
      </c>
      <c r="HK209" s="358"/>
      <c r="HL209" s="385">
        <v>2064</v>
      </c>
      <c r="HM209" s="358"/>
      <c r="HN209" s="385">
        <v>2064</v>
      </c>
      <c r="HO209" s="358"/>
      <c r="HP209" s="385">
        <v>2064</v>
      </c>
      <c r="HQ209" s="358"/>
      <c r="HR209" s="385">
        <v>2064</v>
      </c>
      <c r="HS209" s="358"/>
      <c r="HT209" s="386">
        <v>2571.5409836065573</v>
      </c>
      <c r="HU209" s="358"/>
      <c r="HV209" s="567"/>
      <c r="HW209" s="567"/>
      <c r="HX209" s="567"/>
      <c r="HY209" s="567"/>
      <c r="HZ209" s="567"/>
      <c r="IA209" s="567"/>
      <c r="IB209" s="567"/>
      <c r="IC209" s="567"/>
      <c r="ID209" s="567"/>
      <c r="IE209" s="567"/>
      <c r="IF209" s="567"/>
      <c r="IG209" s="567"/>
      <c r="IH209" s="568"/>
      <c r="II209" s="569"/>
      <c r="IJ209" s="568"/>
      <c r="IK209" s="569"/>
      <c r="IL209" s="568"/>
      <c r="IM209" s="569"/>
      <c r="IN209" s="568"/>
      <c r="IO209" s="569"/>
      <c r="IP209" s="568"/>
      <c r="IQ209" s="569"/>
      <c r="IR209" s="620" t="s">
        <v>3426</v>
      </c>
      <c r="IS209" s="587" t="s">
        <v>77</v>
      </c>
      <c r="IT209" s="611">
        <v>43762</v>
      </c>
      <c r="IU209" s="518">
        <v>43800</v>
      </c>
      <c r="IV209" s="552"/>
      <c r="IW209" s="526">
        <f t="shared" ref="IW209:IW272" si="27">IU209-IT209</f>
        <v>38</v>
      </c>
      <c r="IX209" s="621">
        <f>HT209/30.5</f>
        <v>84.312819134641231</v>
      </c>
      <c r="IY209" s="621">
        <v>2571.5409836065573</v>
      </c>
      <c r="IZ209" s="374"/>
    </row>
    <row r="210" spans="1:262" s="367" customFormat="1" ht="16.5" customHeight="1" x14ac:dyDescent="0.3">
      <c r="A210" s="526" t="s">
        <v>2743</v>
      </c>
      <c r="B210" s="628" t="s">
        <v>2926</v>
      </c>
      <c r="C210" s="629" t="s">
        <v>1959</v>
      </c>
      <c r="D210" s="630">
        <v>1665</v>
      </c>
      <c r="E210" s="631">
        <v>239</v>
      </c>
      <c r="F210" s="631">
        <v>32</v>
      </c>
      <c r="G210" s="631">
        <v>171</v>
      </c>
      <c r="H210" s="632">
        <v>66</v>
      </c>
      <c r="I210" s="830">
        <v>1936</v>
      </c>
      <c r="J210" s="827">
        <f>171</f>
        <v>171</v>
      </c>
      <c r="K210" s="831">
        <v>66</v>
      </c>
      <c r="L210" s="831">
        <v>1936</v>
      </c>
      <c r="M210" s="827">
        <f>171</f>
        <v>171</v>
      </c>
      <c r="N210" s="831">
        <v>66</v>
      </c>
      <c r="O210" s="831">
        <v>1936</v>
      </c>
      <c r="P210" s="827">
        <f>171</f>
        <v>171</v>
      </c>
      <c r="Q210" s="831">
        <v>66</v>
      </c>
      <c r="R210" s="831">
        <v>1936</v>
      </c>
      <c r="S210" s="827">
        <f>171</f>
        <v>171</v>
      </c>
      <c r="T210" s="831">
        <v>66</v>
      </c>
      <c r="U210" s="831">
        <v>1936</v>
      </c>
      <c r="V210" s="827">
        <f>171</f>
        <v>171</v>
      </c>
      <c r="W210" s="831">
        <v>66</v>
      </c>
      <c r="X210" s="831">
        <v>1936</v>
      </c>
      <c r="Y210" s="827">
        <f>171</f>
        <v>171</v>
      </c>
      <c r="Z210" s="831">
        <v>66</v>
      </c>
      <c r="AA210" s="831">
        <v>1936</v>
      </c>
      <c r="AB210" s="827">
        <f>171</f>
        <v>171</v>
      </c>
      <c r="AC210" s="831">
        <v>66</v>
      </c>
      <c r="AD210" s="831">
        <v>1936</v>
      </c>
      <c r="AE210" s="827">
        <f>171</f>
        <v>171</v>
      </c>
      <c r="AF210" s="831">
        <v>66</v>
      </c>
      <c r="AG210" s="831">
        <v>1936</v>
      </c>
      <c r="AH210" s="827">
        <f>171</f>
        <v>171</v>
      </c>
      <c r="AI210" s="831">
        <v>66</v>
      </c>
      <c r="AJ210" s="831">
        <v>1936</v>
      </c>
      <c r="AK210" s="827">
        <f>171</f>
        <v>171</v>
      </c>
      <c r="AL210" s="831">
        <v>66</v>
      </c>
      <c r="AM210" s="831">
        <v>1936</v>
      </c>
      <c r="AN210" s="827">
        <f>171</f>
        <v>171</v>
      </c>
      <c r="AO210" s="831">
        <v>66</v>
      </c>
      <c r="AP210" s="831">
        <v>1936</v>
      </c>
      <c r="AQ210" s="827">
        <f>171</f>
        <v>171</v>
      </c>
      <c r="AR210" s="831">
        <v>66</v>
      </c>
      <c r="AS210" s="831">
        <v>1936</v>
      </c>
      <c r="AT210" s="827">
        <f>171</f>
        <v>171</v>
      </c>
      <c r="AU210" s="831">
        <v>66</v>
      </c>
      <c r="AV210" s="831">
        <v>1936</v>
      </c>
      <c r="AW210" s="827">
        <f>171</f>
        <v>171</v>
      </c>
      <c r="AX210" s="831">
        <v>66</v>
      </c>
      <c r="AY210" s="831">
        <v>1936</v>
      </c>
      <c r="AZ210" s="827">
        <f>171</f>
        <v>171</v>
      </c>
      <c r="BA210" s="369">
        <v>66</v>
      </c>
      <c r="BB210" s="385">
        <v>1936</v>
      </c>
      <c r="BC210" s="358">
        <f>171</f>
        <v>171</v>
      </c>
      <c r="BD210" s="369">
        <v>66</v>
      </c>
      <c r="BE210" s="385">
        <v>1936</v>
      </c>
      <c r="BF210" s="358">
        <f>171</f>
        <v>171</v>
      </c>
      <c r="BG210" s="369">
        <v>66</v>
      </c>
      <c r="BH210" s="385">
        <v>1936</v>
      </c>
      <c r="BI210" s="385">
        <f>171</f>
        <v>171</v>
      </c>
      <c r="BJ210" s="369">
        <v>66</v>
      </c>
      <c r="BK210" s="385">
        <v>1936</v>
      </c>
      <c r="BL210" s="385">
        <f>171</f>
        <v>171</v>
      </c>
      <c r="BM210" s="369">
        <v>66</v>
      </c>
      <c r="BN210" s="385">
        <v>1936</v>
      </c>
      <c r="BO210" s="385">
        <f>171</f>
        <v>171</v>
      </c>
      <c r="BP210" s="369">
        <v>66</v>
      </c>
      <c r="BQ210" s="385">
        <v>1936</v>
      </c>
      <c r="BR210" s="385">
        <f>171</f>
        <v>171</v>
      </c>
      <c r="BS210" s="369">
        <v>66</v>
      </c>
      <c r="BT210" s="385">
        <v>1936</v>
      </c>
      <c r="BU210" s="385">
        <f>171</f>
        <v>171</v>
      </c>
      <c r="BV210" s="369">
        <v>66</v>
      </c>
      <c r="BW210" s="385">
        <v>1936</v>
      </c>
      <c r="BX210" s="385">
        <f>171</f>
        <v>171</v>
      </c>
      <c r="BY210" s="369">
        <v>66</v>
      </c>
      <c r="BZ210" s="385">
        <v>1936</v>
      </c>
      <c r="CA210" s="385">
        <f>171</f>
        <v>171</v>
      </c>
      <c r="CB210" s="369">
        <v>66</v>
      </c>
      <c r="CC210" s="385">
        <v>1936</v>
      </c>
      <c r="CD210" s="385">
        <f>171</f>
        <v>171</v>
      </c>
      <c r="CE210" s="369">
        <v>66</v>
      </c>
      <c r="CF210" s="385">
        <v>1936</v>
      </c>
      <c r="CG210" s="385">
        <f>171</f>
        <v>171</v>
      </c>
      <c r="CH210" s="369">
        <v>66</v>
      </c>
      <c r="CI210" s="385">
        <v>1936</v>
      </c>
      <c r="CJ210" s="385">
        <f>171</f>
        <v>171</v>
      </c>
      <c r="CK210" s="369">
        <v>66</v>
      </c>
      <c r="CL210" s="385">
        <v>1936</v>
      </c>
      <c r="CM210" s="385">
        <f>171</f>
        <v>171</v>
      </c>
      <c r="CN210" s="369">
        <v>66</v>
      </c>
      <c r="CO210" s="385">
        <v>1936</v>
      </c>
      <c r="CP210" s="385">
        <f>171</f>
        <v>171</v>
      </c>
      <c r="CQ210" s="369">
        <v>66</v>
      </c>
      <c r="CR210" s="385">
        <v>1936</v>
      </c>
      <c r="CS210" s="385">
        <f>171</f>
        <v>171</v>
      </c>
      <c r="CT210" s="369">
        <v>66</v>
      </c>
      <c r="CU210" s="385">
        <v>1936</v>
      </c>
      <c r="CV210" s="385">
        <f>171</f>
        <v>171</v>
      </c>
      <c r="CW210" s="369">
        <v>66</v>
      </c>
      <c r="CX210" s="385">
        <v>1936</v>
      </c>
      <c r="CY210" s="385">
        <f>171</f>
        <v>171</v>
      </c>
      <c r="CZ210" s="369">
        <v>66</v>
      </c>
      <c r="DA210" s="385">
        <v>1936</v>
      </c>
      <c r="DB210" s="385">
        <f>171</f>
        <v>171</v>
      </c>
      <c r="DC210" s="369">
        <v>66</v>
      </c>
      <c r="DD210" s="385">
        <v>1936</v>
      </c>
      <c r="DE210" s="385">
        <f>171</f>
        <v>171</v>
      </c>
      <c r="DF210" s="369">
        <v>66</v>
      </c>
      <c r="DG210" s="385">
        <v>1936</v>
      </c>
      <c r="DH210" s="385">
        <f>171</f>
        <v>171</v>
      </c>
      <c r="DI210" s="369">
        <v>66</v>
      </c>
      <c r="DJ210" s="385">
        <v>1936</v>
      </c>
      <c r="DK210" s="385">
        <f>171</f>
        <v>171</v>
      </c>
      <c r="DL210" s="369">
        <v>66</v>
      </c>
      <c r="DM210" s="385">
        <v>1936</v>
      </c>
      <c r="DN210" s="385">
        <f>171</f>
        <v>171</v>
      </c>
      <c r="DO210" s="369">
        <v>66</v>
      </c>
      <c r="DP210" s="385">
        <v>1936</v>
      </c>
      <c r="DQ210" s="385">
        <f>171</f>
        <v>171</v>
      </c>
      <c r="DR210" s="369">
        <v>66</v>
      </c>
      <c r="DS210" s="385">
        <v>1936</v>
      </c>
      <c r="DT210" s="385">
        <f>171</f>
        <v>171</v>
      </c>
      <c r="DU210" s="369">
        <v>66</v>
      </c>
      <c r="DV210" s="385">
        <v>1936</v>
      </c>
      <c r="DW210" s="385">
        <f>171</f>
        <v>171</v>
      </c>
      <c r="DX210" s="369">
        <v>66</v>
      </c>
      <c r="DY210" s="385">
        <v>1936</v>
      </c>
      <c r="DZ210" s="385">
        <f>171</f>
        <v>171</v>
      </c>
      <c r="EA210" s="369">
        <v>66</v>
      </c>
      <c r="EB210" s="385">
        <v>1936</v>
      </c>
      <c r="EC210" s="385">
        <f>171</f>
        <v>171</v>
      </c>
      <c r="ED210" s="369">
        <v>66</v>
      </c>
      <c r="EE210" s="385">
        <v>1936</v>
      </c>
      <c r="EF210" s="385">
        <f>171</f>
        <v>171</v>
      </c>
      <c r="EG210" s="369">
        <v>66</v>
      </c>
      <c r="EH210" s="385">
        <v>1936</v>
      </c>
      <c r="EI210" s="385">
        <f>171</f>
        <v>171</v>
      </c>
      <c r="EJ210" s="369">
        <v>66</v>
      </c>
      <c r="EK210" s="385">
        <v>1936</v>
      </c>
      <c r="EL210" s="385">
        <f>171</f>
        <v>171</v>
      </c>
      <c r="EM210" s="369">
        <v>66</v>
      </c>
      <c r="EN210" s="385">
        <v>1936</v>
      </c>
      <c r="EO210" s="385">
        <f>171</f>
        <v>171</v>
      </c>
      <c r="EP210" s="369">
        <v>66</v>
      </c>
      <c r="EQ210" s="385">
        <v>1936</v>
      </c>
      <c r="ER210" s="385">
        <f>171</f>
        <v>171</v>
      </c>
      <c r="ES210" s="369">
        <v>66</v>
      </c>
      <c r="ET210" s="385">
        <v>1936</v>
      </c>
      <c r="EU210" s="385">
        <f>171</f>
        <v>171</v>
      </c>
      <c r="EV210" s="369">
        <v>66</v>
      </c>
      <c r="EW210" s="385">
        <v>1936</v>
      </c>
      <c r="EX210" s="385">
        <f>171</f>
        <v>171</v>
      </c>
      <c r="EY210" s="369">
        <v>66</v>
      </c>
      <c r="EZ210" s="385">
        <v>1936</v>
      </c>
      <c r="FA210" s="385">
        <f>171</f>
        <v>171</v>
      </c>
      <c r="FB210" s="369">
        <v>66</v>
      </c>
      <c r="FC210" s="385">
        <v>1936</v>
      </c>
      <c r="FD210" s="385">
        <f>171</f>
        <v>171</v>
      </c>
      <c r="FE210" s="369">
        <v>66</v>
      </c>
      <c r="FF210" s="385">
        <v>1936</v>
      </c>
      <c r="FG210" s="385">
        <f>171</f>
        <v>171</v>
      </c>
      <c r="FH210" s="369">
        <v>66</v>
      </c>
      <c r="FI210" s="385">
        <v>1936</v>
      </c>
      <c r="FJ210" s="385">
        <f>171</f>
        <v>171</v>
      </c>
      <c r="FK210" s="369">
        <v>66</v>
      </c>
      <c r="FL210" s="385">
        <v>1936</v>
      </c>
      <c r="FM210" s="385">
        <f>171</f>
        <v>171</v>
      </c>
      <c r="FN210" s="369">
        <v>66</v>
      </c>
      <c r="FO210" s="385">
        <v>1936</v>
      </c>
      <c r="FP210" s="385">
        <f>171</f>
        <v>171</v>
      </c>
      <c r="FQ210" s="369">
        <v>66</v>
      </c>
      <c r="FR210" s="385">
        <v>1936</v>
      </c>
      <c r="FS210" s="385">
        <f>171</f>
        <v>171</v>
      </c>
      <c r="FT210" s="369">
        <v>66</v>
      </c>
      <c r="FU210" s="385">
        <v>1936</v>
      </c>
      <c r="FV210" s="385">
        <f>171</f>
        <v>171</v>
      </c>
      <c r="FW210" s="369">
        <v>66</v>
      </c>
      <c r="FX210" s="385">
        <v>1936</v>
      </c>
      <c r="FY210" s="385">
        <f>171</f>
        <v>171</v>
      </c>
      <c r="FZ210" s="369">
        <v>66</v>
      </c>
      <c r="GA210" s="385">
        <v>1936</v>
      </c>
      <c r="GB210" s="385">
        <f>171</f>
        <v>171</v>
      </c>
      <c r="GC210" s="369">
        <v>66</v>
      </c>
      <c r="GD210" s="385">
        <v>1936</v>
      </c>
      <c r="GE210" s="385">
        <f>171</f>
        <v>171</v>
      </c>
      <c r="GF210" s="369">
        <v>66</v>
      </c>
      <c r="GG210" s="385">
        <v>1936</v>
      </c>
      <c r="GH210" s="385">
        <f>171</f>
        <v>171</v>
      </c>
      <c r="GI210" s="369">
        <v>66</v>
      </c>
      <c r="GJ210" s="385">
        <v>1936</v>
      </c>
      <c r="GK210" s="385">
        <f>171</f>
        <v>171</v>
      </c>
      <c r="GL210" s="369">
        <v>66</v>
      </c>
      <c r="GM210" s="385">
        <v>1936</v>
      </c>
      <c r="GN210" s="385">
        <f>171</f>
        <v>171</v>
      </c>
      <c r="GO210" s="369">
        <v>66</v>
      </c>
      <c r="GP210" s="385">
        <v>1936</v>
      </c>
      <c r="GQ210" s="385">
        <f>171</f>
        <v>171</v>
      </c>
      <c r="GR210" s="369">
        <v>66</v>
      </c>
      <c r="GS210" s="385">
        <v>1936</v>
      </c>
      <c r="GT210" s="385">
        <f>171</f>
        <v>171</v>
      </c>
      <c r="GU210" s="369">
        <v>66</v>
      </c>
      <c r="GV210" s="385">
        <v>1936</v>
      </c>
      <c r="GW210" s="385">
        <f>171</f>
        <v>171</v>
      </c>
      <c r="GX210" s="369">
        <v>66</v>
      </c>
      <c r="GY210" s="385">
        <v>1936</v>
      </c>
      <c r="GZ210" s="385">
        <f>171</f>
        <v>171</v>
      </c>
      <c r="HA210" s="369">
        <v>66</v>
      </c>
      <c r="HB210" s="385">
        <v>1936</v>
      </c>
      <c r="HC210" s="385">
        <f>171</f>
        <v>171</v>
      </c>
      <c r="HD210" s="369">
        <v>66</v>
      </c>
      <c r="HE210" s="385">
        <v>1936</v>
      </c>
      <c r="HF210" s="386">
        <f>171*6</f>
        <v>1026</v>
      </c>
      <c r="HG210" s="369">
        <v>66</v>
      </c>
      <c r="HH210" s="385">
        <v>1936</v>
      </c>
      <c r="HI210" s="369">
        <v>66</v>
      </c>
      <c r="HJ210" s="385">
        <v>1936</v>
      </c>
      <c r="HK210" s="369">
        <v>66</v>
      </c>
      <c r="HL210" s="385">
        <v>1936</v>
      </c>
      <c r="HM210" s="369">
        <v>66</v>
      </c>
      <c r="HN210" s="385">
        <v>1936</v>
      </c>
      <c r="HO210" s="369">
        <v>66</v>
      </c>
      <c r="HP210" s="385">
        <v>1936</v>
      </c>
      <c r="HQ210" s="369">
        <v>66</v>
      </c>
      <c r="HR210" s="385">
        <v>1936</v>
      </c>
      <c r="HS210" s="369">
        <v>66</v>
      </c>
      <c r="HT210" s="386">
        <v>2094.749575997841</v>
      </c>
      <c r="HU210" s="370">
        <v>70.987868852459016</v>
      </c>
      <c r="HV210" s="567"/>
      <c r="HW210" s="567"/>
      <c r="HX210" s="567"/>
      <c r="HY210" s="567"/>
      <c r="HZ210" s="567"/>
      <c r="IA210" s="567"/>
      <c r="IB210" s="567"/>
      <c r="IC210" s="567"/>
      <c r="ID210" s="567"/>
      <c r="IE210" s="567"/>
      <c r="IF210" s="567"/>
      <c r="IG210" s="567"/>
      <c r="IH210" s="568"/>
      <c r="II210" s="569"/>
      <c r="IJ210" s="568"/>
      <c r="IK210" s="569"/>
      <c r="IL210" s="568"/>
      <c r="IM210" s="569"/>
      <c r="IN210" s="568"/>
      <c r="IO210" s="569"/>
      <c r="IP210" s="568"/>
      <c r="IQ210" s="569"/>
      <c r="IR210" s="620" t="s">
        <v>3046</v>
      </c>
      <c r="IS210" s="587" t="s">
        <v>77</v>
      </c>
      <c r="IT210" s="611">
        <v>43767</v>
      </c>
      <c r="IU210" s="518">
        <v>43800</v>
      </c>
      <c r="IV210" s="552"/>
      <c r="IW210" s="526">
        <f t="shared" si="27"/>
        <v>33</v>
      </c>
      <c r="IX210" s="621">
        <f>HT210/30.5</f>
        <v>68.680313967142325</v>
      </c>
      <c r="IY210" s="621">
        <v>2094.749575997841</v>
      </c>
      <c r="IZ210" s="374"/>
    </row>
    <row r="211" spans="1:262" s="367" customFormat="1" ht="16.5" customHeight="1" x14ac:dyDescent="0.3">
      <c r="A211" s="526" t="s">
        <v>2758</v>
      </c>
      <c r="B211" s="470" t="s">
        <v>2765</v>
      </c>
      <c r="C211" s="623" t="s">
        <v>2168</v>
      </c>
      <c r="D211" s="624">
        <v>1249</v>
      </c>
      <c r="E211" s="625">
        <v>44</v>
      </c>
      <c r="F211" s="625">
        <v>40</v>
      </c>
      <c r="G211" s="625">
        <v>14</v>
      </c>
      <c r="H211" s="626">
        <v>0</v>
      </c>
      <c r="I211" s="841">
        <v>1333</v>
      </c>
      <c r="J211" s="835">
        <v>14</v>
      </c>
      <c r="K211" s="827"/>
      <c r="L211" s="835">
        <v>1333</v>
      </c>
      <c r="M211" s="835">
        <v>14</v>
      </c>
      <c r="N211" s="827"/>
      <c r="O211" s="835">
        <v>1333</v>
      </c>
      <c r="P211" s="835">
        <v>14</v>
      </c>
      <c r="Q211" s="827"/>
      <c r="R211" s="835">
        <v>1333</v>
      </c>
      <c r="S211" s="835">
        <v>14</v>
      </c>
      <c r="T211" s="827"/>
      <c r="U211" s="835">
        <v>1333</v>
      </c>
      <c r="V211" s="835">
        <v>14</v>
      </c>
      <c r="W211" s="827"/>
      <c r="X211" s="842">
        <f>((1333-1063)/30.5*45)+1333</f>
        <v>1731.360655737705</v>
      </c>
      <c r="Y211" s="842">
        <f>((14/30.5)*45+14)</f>
        <v>34.655737704918032</v>
      </c>
      <c r="Z211" s="827"/>
      <c r="AA211" s="831">
        <v>1063</v>
      </c>
      <c r="AB211" s="827"/>
      <c r="AC211" s="827"/>
      <c r="AD211" s="831">
        <v>1063</v>
      </c>
      <c r="AE211" s="827"/>
      <c r="AF211" s="827"/>
      <c r="AG211" s="831">
        <v>1063</v>
      </c>
      <c r="AH211" s="827"/>
      <c r="AI211" s="827"/>
      <c r="AJ211" s="831">
        <v>1063</v>
      </c>
      <c r="AK211" s="827"/>
      <c r="AL211" s="827"/>
      <c r="AM211" s="831">
        <v>1063</v>
      </c>
      <c r="AN211" s="827"/>
      <c r="AO211" s="827"/>
      <c r="AP211" s="831">
        <v>1063</v>
      </c>
      <c r="AQ211" s="827"/>
      <c r="AR211" s="827"/>
      <c r="AS211" s="831">
        <v>1063</v>
      </c>
      <c r="AT211" s="827"/>
      <c r="AU211" s="827"/>
      <c r="AV211" s="831">
        <v>1063</v>
      </c>
      <c r="AW211" s="827"/>
      <c r="AX211" s="827"/>
      <c r="AY211" s="831">
        <v>1063</v>
      </c>
      <c r="AZ211" s="827"/>
      <c r="BA211" s="358"/>
      <c r="BB211" s="385">
        <v>1063</v>
      </c>
      <c r="BC211" s="358"/>
      <c r="BD211" s="358"/>
      <c r="BE211" s="385">
        <v>1063</v>
      </c>
      <c r="BF211" s="358"/>
      <c r="BG211" s="358"/>
      <c r="BH211" s="385">
        <v>1063</v>
      </c>
      <c r="BI211" s="385"/>
      <c r="BJ211" s="358"/>
      <c r="BK211" s="385">
        <v>1063</v>
      </c>
      <c r="BL211" s="385"/>
      <c r="BM211" s="358"/>
      <c r="BN211" s="385">
        <v>1063</v>
      </c>
      <c r="BO211" s="385"/>
      <c r="BP211" s="358"/>
      <c r="BQ211" s="385">
        <v>1063</v>
      </c>
      <c r="BR211" s="385"/>
      <c r="BS211" s="358"/>
      <c r="BT211" s="385">
        <v>1063</v>
      </c>
      <c r="BU211" s="385"/>
      <c r="BV211" s="358"/>
      <c r="BW211" s="385">
        <v>1063</v>
      </c>
      <c r="BX211" s="385"/>
      <c r="BY211" s="358"/>
      <c r="BZ211" s="385">
        <v>1063</v>
      </c>
      <c r="CA211" s="385"/>
      <c r="CB211" s="358"/>
      <c r="CC211" s="385">
        <v>1063</v>
      </c>
      <c r="CD211" s="385"/>
      <c r="CE211" s="358"/>
      <c r="CF211" s="385">
        <v>1063</v>
      </c>
      <c r="CG211" s="385"/>
      <c r="CH211" s="358"/>
      <c r="CI211" s="385">
        <v>1063</v>
      </c>
      <c r="CJ211" s="385"/>
      <c r="CK211" s="358"/>
      <c r="CL211" s="385">
        <v>1063</v>
      </c>
      <c r="CM211" s="385"/>
      <c r="CN211" s="358"/>
      <c r="CO211" s="385">
        <v>1063</v>
      </c>
      <c r="CP211" s="385"/>
      <c r="CQ211" s="358"/>
      <c r="CR211" s="385">
        <v>1063</v>
      </c>
      <c r="CS211" s="385"/>
      <c r="CT211" s="358"/>
      <c r="CU211" s="385">
        <v>1063</v>
      </c>
      <c r="CV211" s="385"/>
      <c r="CW211" s="358"/>
      <c r="CX211" s="385">
        <v>1063</v>
      </c>
      <c r="CY211" s="385"/>
      <c r="CZ211" s="358"/>
      <c r="DA211" s="385">
        <v>1063</v>
      </c>
      <c r="DB211" s="385"/>
      <c r="DC211" s="358"/>
      <c r="DD211" s="385">
        <v>1063</v>
      </c>
      <c r="DE211" s="385"/>
      <c r="DF211" s="358"/>
      <c r="DG211" s="385">
        <v>1063</v>
      </c>
      <c r="DH211" s="385"/>
      <c r="DI211" s="358"/>
      <c r="DJ211" s="385">
        <v>1063</v>
      </c>
      <c r="DK211" s="385"/>
      <c r="DL211" s="358"/>
      <c r="DM211" s="385">
        <v>1063</v>
      </c>
      <c r="DN211" s="385"/>
      <c r="DO211" s="358"/>
      <c r="DP211" s="385">
        <v>1063</v>
      </c>
      <c r="DQ211" s="385"/>
      <c r="DR211" s="358"/>
      <c r="DS211" s="385">
        <v>1063</v>
      </c>
      <c r="DT211" s="385"/>
      <c r="DU211" s="358"/>
      <c r="DV211" s="385">
        <v>1063</v>
      </c>
      <c r="DW211" s="385"/>
      <c r="DX211" s="358"/>
      <c r="DY211" s="385">
        <v>1063</v>
      </c>
      <c r="DZ211" s="385"/>
      <c r="EA211" s="358"/>
      <c r="EB211" s="385">
        <v>1063</v>
      </c>
      <c r="EC211" s="385"/>
      <c r="ED211" s="358"/>
      <c r="EE211" s="385">
        <v>1063</v>
      </c>
      <c r="EF211" s="385"/>
      <c r="EG211" s="358"/>
      <c r="EH211" s="385">
        <v>1063</v>
      </c>
      <c r="EI211" s="385"/>
      <c r="EJ211" s="358"/>
      <c r="EK211" s="385">
        <v>1063</v>
      </c>
      <c r="EL211" s="385"/>
      <c r="EM211" s="358"/>
      <c r="EN211" s="385">
        <v>1063</v>
      </c>
      <c r="EO211" s="385"/>
      <c r="EP211" s="358"/>
      <c r="EQ211" s="385">
        <v>1063</v>
      </c>
      <c r="ER211" s="385"/>
      <c r="ES211" s="358"/>
      <c r="ET211" s="385">
        <v>1063</v>
      </c>
      <c r="EU211" s="385"/>
      <c r="EV211" s="358"/>
      <c r="EW211" s="385">
        <v>1063</v>
      </c>
      <c r="EX211" s="385"/>
      <c r="EY211" s="358"/>
      <c r="EZ211" s="385">
        <v>1063</v>
      </c>
      <c r="FA211" s="385"/>
      <c r="FB211" s="358"/>
      <c r="FC211" s="385">
        <v>1063</v>
      </c>
      <c r="FD211" s="385"/>
      <c r="FE211" s="358"/>
      <c r="FF211" s="385">
        <v>1063</v>
      </c>
      <c r="FG211" s="385"/>
      <c r="FH211" s="358"/>
      <c r="FI211" s="385">
        <v>1063</v>
      </c>
      <c r="FJ211" s="385"/>
      <c r="FK211" s="358"/>
      <c r="FL211" s="385">
        <v>1063</v>
      </c>
      <c r="FM211" s="385"/>
      <c r="FN211" s="358"/>
      <c r="FO211" s="385">
        <v>1063</v>
      </c>
      <c r="FP211" s="385"/>
      <c r="FQ211" s="358"/>
      <c r="FR211" s="385">
        <v>1063</v>
      </c>
      <c r="FS211" s="385"/>
      <c r="FT211" s="358"/>
      <c r="FU211" s="385">
        <v>1063</v>
      </c>
      <c r="FV211" s="385"/>
      <c r="FW211" s="358"/>
      <c r="FX211" s="385">
        <v>1063</v>
      </c>
      <c r="FY211" s="385"/>
      <c r="FZ211" s="358"/>
      <c r="GA211" s="385">
        <v>1063</v>
      </c>
      <c r="GB211" s="385"/>
      <c r="GC211" s="358"/>
      <c r="GD211" s="385">
        <v>1063</v>
      </c>
      <c r="GE211" s="385"/>
      <c r="GF211" s="358"/>
      <c r="GG211" s="385">
        <v>1063</v>
      </c>
      <c r="GH211" s="385"/>
      <c r="GI211" s="358"/>
      <c r="GJ211" s="385">
        <v>1063</v>
      </c>
      <c r="GK211" s="385"/>
      <c r="GL211" s="358"/>
      <c r="GM211" s="385">
        <v>1063</v>
      </c>
      <c r="GN211" s="385"/>
      <c r="GO211" s="358"/>
      <c r="GP211" s="385">
        <v>1063</v>
      </c>
      <c r="GQ211" s="385"/>
      <c r="GR211" s="358"/>
      <c r="GS211" s="385">
        <v>1063</v>
      </c>
      <c r="GT211" s="385"/>
      <c r="GU211" s="358"/>
      <c r="GV211" s="385">
        <v>1063</v>
      </c>
      <c r="GW211" s="385"/>
      <c r="GX211" s="358"/>
      <c r="GY211" s="385">
        <v>1063</v>
      </c>
      <c r="GZ211" s="385"/>
      <c r="HA211" s="358"/>
      <c r="HB211" s="385">
        <v>1063</v>
      </c>
      <c r="HC211" s="385"/>
      <c r="HD211" s="358"/>
      <c r="HE211" s="385">
        <v>1063</v>
      </c>
      <c r="HF211" s="385"/>
      <c r="HG211" s="358"/>
      <c r="HH211" s="385">
        <v>1063</v>
      </c>
      <c r="HI211" s="358"/>
      <c r="HJ211" s="385">
        <v>1063</v>
      </c>
      <c r="HK211" s="358"/>
      <c r="HL211" s="385">
        <v>1063</v>
      </c>
      <c r="HM211" s="358"/>
      <c r="HN211" s="385">
        <v>1063</v>
      </c>
      <c r="HO211" s="358"/>
      <c r="HP211" s="385">
        <v>1063</v>
      </c>
      <c r="HQ211" s="358"/>
      <c r="HR211" s="385">
        <v>1063</v>
      </c>
      <c r="HS211" s="358"/>
      <c r="HT211" s="386">
        <v>1080.4835808305595</v>
      </c>
      <c r="HU211" s="358"/>
      <c r="HV211" s="567"/>
      <c r="HW211" s="567"/>
      <c r="HX211" s="567"/>
      <c r="HY211" s="567"/>
      <c r="HZ211" s="567"/>
      <c r="IA211" s="567"/>
      <c r="IB211" s="567"/>
      <c r="IC211" s="567"/>
      <c r="ID211" s="567"/>
      <c r="IE211" s="567"/>
      <c r="IF211" s="567"/>
      <c r="IG211" s="567"/>
      <c r="IH211" s="568"/>
      <c r="II211" s="569"/>
      <c r="IJ211" s="568"/>
      <c r="IK211" s="569"/>
      <c r="IL211" s="568"/>
      <c r="IM211" s="569"/>
      <c r="IN211" s="568"/>
      <c r="IO211" s="569"/>
      <c r="IP211" s="568"/>
      <c r="IQ211" s="569"/>
      <c r="IR211" s="620" t="s">
        <v>3190</v>
      </c>
      <c r="IS211" s="587" t="s">
        <v>77</v>
      </c>
      <c r="IT211" s="611">
        <v>43769</v>
      </c>
      <c r="IU211" s="518">
        <v>43800</v>
      </c>
      <c r="IV211" s="552"/>
      <c r="IW211" s="526">
        <f t="shared" si="27"/>
        <v>31</v>
      </c>
      <c r="IX211" s="621">
        <f>HT211/30.5</f>
        <v>35.425691174772446</v>
      </c>
      <c r="IY211" s="621">
        <v>1080.4835808305595</v>
      </c>
      <c r="IZ211" s="374"/>
    </row>
    <row r="212" spans="1:262" s="367" customFormat="1" ht="16.5" customHeight="1" x14ac:dyDescent="0.3">
      <c r="A212" s="401" t="s">
        <v>3315</v>
      </c>
      <c r="B212" s="402" t="s">
        <v>3315</v>
      </c>
      <c r="C212" s="619" t="s">
        <v>3835</v>
      </c>
      <c r="D212" s="901"/>
      <c r="E212" s="902"/>
      <c r="F212" s="902"/>
      <c r="G212" s="902"/>
      <c r="H212" s="903"/>
      <c r="I212" s="908"/>
      <c r="J212" s="902"/>
      <c r="K212" s="902"/>
      <c r="L212" s="902"/>
      <c r="M212" s="902"/>
      <c r="N212" s="902"/>
      <c r="O212" s="902">
        <v>611</v>
      </c>
      <c r="P212" s="902">
        <v>5</v>
      </c>
      <c r="Q212" s="827"/>
      <c r="R212" s="597">
        <v>611</v>
      </c>
      <c r="S212" s="597">
        <v>5</v>
      </c>
      <c r="T212" s="827"/>
      <c r="U212" s="597">
        <v>611</v>
      </c>
      <c r="V212" s="597">
        <v>5</v>
      </c>
      <c r="W212" s="827"/>
      <c r="X212" s="597">
        <v>611</v>
      </c>
      <c r="Y212" s="597">
        <v>5</v>
      </c>
      <c r="Z212" s="827"/>
      <c r="AA212" s="597">
        <v>611</v>
      </c>
      <c r="AB212" s="597">
        <v>5</v>
      </c>
      <c r="AC212" s="827"/>
      <c r="AD212" s="597">
        <v>611</v>
      </c>
      <c r="AE212" s="597">
        <v>5</v>
      </c>
      <c r="AF212" s="827"/>
      <c r="AG212" s="597">
        <v>611</v>
      </c>
      <c r="AH212" s="597">
        <v>5</v>
      </c>
      <c r="AI212" s="827"/>
      <c r="AJ212" s="597">
        <v>611</v>
      </c>
      <c r="AK212" s="597">
        <v>5</v>
      </c>
      <c r="AL212" s="827"/>
      <c r="AM212" s="597">
        <v>611</v>
      </c>
      <c r="AN212" s="597">
        <v>5</v>
      </c>
      <c r="AO212" s="827"/>
      <c r="AP212" s="597">
        <v>611</v>
      </c>
      <c r="AQ212" s="597">
        <v>5</v>
      </c>
      <c r="AR212" s="827"/>
      <c r="AS212" s="597">
        <v>611</v>
      </c>
      <c r="AT212" s="597">
        <v>5</v>
      </c>
      <c r="AU212" s="827"/>
      <c r="AV212" s="597">
        <v>611</v>
      </c>
      <c r="AW212" s="597">
        <v>5</v>
      </c>
      <c r="AX212" s="827"/>
      <c r="AY212" s="597">
        <v>611</v>
      </c>
      <c r="AZ212" s="597">
        <v>5</v>
      </c>
      <c r="BA212" s="358"/>
      <c r="BB212" s="421">
        <v>611</v>
      </c>
      <c r="BC212" s="421">
        <v>5</v>
      </c>
      <c r="BD212" s="358"/>
      <c r="BE212" s="421">
        <v>611</v>
      </c>
      <c r="BF212" s="421">
        <v>5</v>
      </c>
      <c r="BG212" s="358"/>
      <c r="BH212" s="421">
        <v>611</v>
      </c>
      <c r="BI212" s="421">
        <v>5</v>
      </c>
      <c r="BJ212" s="369"/>
      <c r="BK212" s="421">
        <v>611</v>
      </c>
      <c r="BL212" s="421">
        <v>5</v>
      </c>
      <c r="BM212" s="369"/>
      <c r="BN212" s="421">
        <v>611</v>
      </c>
      <c r="BO212" s="421">
        <v>5</v>
      </c>
      <c r="BP212" s="369"/>
      <c r="BQ212" s="421">
        <v>611</v>
      </c>
      <c r="BR212" s="421">
        <v>5</v>
      </c>
      <c r="BS212" s="369"/>
      <c r="BT212" s="421">
        <v>611</v>
      </c>
      <c r="BU212" s="421">
        <v>5</v>
      </c>
      <c r="BV212" s="369"/>
      <c r="BW212" s="421">
        <v>611</v>
      </c>
      <c r="BX212" s="421">
        <v>5</v>
      </c>
      <c r="BY212" s="369"/>
      <c r="BZ212" s="421">
        <v>611</v>
      </c>
      <c r="CA212" s="421">
        <v>5</v>
      </c>
      <c r="CB212" s="369"/>
      <c r="CC212" s="421">
        <v>611</v>
      </c>
      <c r="CD212" s="421">
        <v>5</v>
      </c>
      <c r="CE212" s="369"/>
      <c r="CF212" s="421">
        <v>611</v>
      </c>
      <c r="CG212" s="421">
        <v>5</v>
      </c>
      <c r="CH212" s="369"/>
      <c r="CI212" s="421">
        <v>611</v>
      </c>
      <c r="CJ212" s="421">
        <v>5</v>
      </c>
      <c r="CK212" s="369"/>
      <c r="CL212" s="421">
        <v>611</v>
      </c>
      <c r="CM212" s="421">
        <v>5</v>
      </c>
      <c r="CN212" s="369"/>
      <c r="CO212" s="421">
        <v>611</v>
      </c>
      <c r="CP212" s="421">
        <v>5</v>
      </c>
      <c r="CQ212" s="369"/>
      <c r="CR212" s="421">
        <v>611</v>
      </c>
      <c r="CS212" s="421">
        <v>5</v>
      </c>
      <c r="CT212" s="369"/>
      <c r="CU212" s="421">
        <v>611</v>
      </c>
      <c r="CV212" s="421">
        <v>5</v>
      </c>
      <c r="CW212" s="369"/>
      <c r="CX212" s="421">
        <v>611</v>
      </c>
      <c r="CY212" s="421">
        <v>5</v>
      </c>
      <c r="CZ212" s="369"/>
      <c r="DA212" s="421">
        <v>611</v>
      </c>
      <c r="DB212" s="421">
        <v>5</v>
      </c>
      <c r="DC212" s="369"/>
      <c r="DD212" s="421">
        <v>611</v>
      </c>
      <c r="DE212" s="421">
        <v>5</v>
      </c>
      <c r="DF212" s="369"/>
      <c r="DG212" s="421">
        <v>611</v>
      </c>
      <c r="DH212" s="421">
        <v>5</v>
      </c>
      <c r="DI212" s="369"/>
      <c r="DJ212" s="421">
        <v>611</v>
      </c>
      <c r="DK212" s="421">
        <v>5</v>
      </c>
      <c r="DL212" s="369"/>
      <c r="DM212" s="421">
        <v>611</v>
      </c>
      <c r="DN212" s="421">
        <v>5</v>
      </c>
      <c r="DO212" s="369"/>
      <c r="DP212" s="422">
        <f>((611-1335)/30.5)*12+611</f>
        <v>326.14754098360658</v>
      </c>
      <c r="DQ212" s="422">
        <f>(5/30.5)*12+5</f>
        <v>6.9672131147540988</v>
      </c>
      <c r="DR212" s="370"/>
      <c r="DS212" s="385">
        <v>1335</v>
      </c>
      <c r="DT212" s="385"/>
      <c r="DU212" s="358"/>
      <c r="DV212" s="385">
        <v>1335</v>
      </c>
      <c r="DW212" s="385"/>
      <c r="DX212" s="358"/>
      <c r="DY212" s="385">
        <v>1335</v>
      </c>
      <c r="DZ212" s="385"/>
      <c r="EA212" s="358"/>
      <c r="EB212" s="385">
        <v>1335</v>
      </c>
      <c r="EC212" s="385"/>
      <c r="ED212" s="358"/>
      <c r="EE212" s="385">
        <v>1335</v>
      </c>
      <c r="EF212" s="385"/>
      <c r="EG212" s="358"/>
      <c r="EH212" s="385">
        <v>1335</v>
      </c>
      <c r="EI212" s="385"/>
      <c r="EJ212" s="358"/>
      <c r="EK212" s="385">
        <v>1335</v>
      </c>
      <c r="EL212" s="385"/>
      <c r="EM212" s="358"/>
      <c r="EN212" s="385">
        <v>1335</v>
      </c>
      <c r="EO212" s="385"/>
      <c r="EP212" s="358"/>
      <c r="EQ212" s="385">
        <v>1335</v>
      </c>
      <c r="ER212" s="385"/>
      <c r="ES212" s="358"/>
      <c r="ET212" s="385">
        <v>1335</v>
      </c>
      <c r="EU212" s="385"/>
      <c r="EV212" s="358"/>
      <c r="EW212" s="385">
        <v>1335</v>
      </c>
      <c r="EX212" s="385"/>
      <c r="EY212" s="358"/>
      <c r="EZ212" s="385">
        <v>1335</v>
      </c>
      <c r="FA212" s="385"/>
      <c r="FB212" s="358"/>
      <c r="FC212" s="385">
        <v>1335</v>
      </c>
      <c r="FD212" s="385"/>
      <c r="FE212" s="358"/>
      <c r="FF212" s="385">
        <v>1335</v>
      </c>
      <c r="FG212" s="385"/>
      <c r="FH212" s="358"/>
      <c r="FI212" s="385">
        <v>1335</v>
      </c>
      <c r="FJ212" s="385"/>
      <c r="FK212" s="358"/>
      <c r="FL212" s="385">
        <v>1335</v>
      </c>
      <c r="FM212" s="385"/>
      <c r="FN212" s="358"/>
      <c r="FO212" s="385">
        <v>1335</v>
      </c>
      <c r="FP212" s="385"/>
      <c r="FQ212" s="358"/>
      <c r="FR212" s="385">
        <v>1335</v>
      </c>
      <c r="FS212" s="385"/>
      <c r="FT212" s="358"/>
      <c r="FU212" s="385">
        <v>1335</v>
      </c>
      <c r="FV212" s="385"/>
      <c r="FW212" s="358"/>
      <c r="FX212" s="385">
        <v>1335</v>
      </c>
      <c r="FY212" s="385"/>
      <c r="FZ212" s="358"/>
      <c r="GA212" s="385">
        <v>1335</v>
      </c>
      <c r="GB212" s="385"/>
      <c r="GC212" s="358"/>
      <c r="GD212" s="385">
        <v>1335</v>
      </c>
      <c r="GE212" s="385"/>
      <c r="GF212" s="358"/>
      <c r="GG212" s="385">
        <v>1335</v>
      </c>
      <c r="GH212" s="385"/>
      <c r="GI212" s="358"/>
      <c r="GJ212" s="385">
        <v>1335</v>
      </c>
      <c r="GK212" s="385"/>
      <c r="GL212" s="358"/>
      <c r="GM212" s="385">
        <v>1335</v>
      </c>
      <c r="GN212" s="385"/>
      <c r="GO212" s="358"/>
      <c r="GP212" s="385">
        <v>1335</v>
      </c>
      <c r="GQ212" s="385"/>
      <c r="GR212" s="358"/>
      <c r="GS212" s="385">
        <v>1335</v>
      </c>
      <c r="GT212" s="385"/>
      <c r="GU212" s="358"/>
      <c r="GV212" s="385">
        <v>1335</v>
      </c>
      <c r="GW212" s="385"/>
      <c r="GX212" s="358"/>
      <c r="GY212" s="385">
        <v>1335</v>
      </c>
      <c r="GZ212" s="385"/>
      <c r="HA212" s="358"/>
      <c r="HB212" s="385">
        <v>1335</v>
      </c>
      <c r="HC212" s="385"/>
      <c r="HD212" s="358"/>
      <c r="HE212" s="385">
        <v>1335</v>
      </c>
      <c r="HF212" s="385"/>
      <c r="HG212" s="358"/>
      <c r="HH212" s="385">
        <v>1335</v>
      </c>
      <c r="HI212" s="358"/>
      <c r="HJ212" s="385">
        <v>1335</v>
      </c>
      <c r="HK212" s="358"/>
      <c r="HL212" s="385">
        <v>1335</v>
      </c>
      <c r="HM212" s="358"/>
      <c r="HN212" s="385">
        <v>1335</v>
      </c>
      <c r="HO212" s="358"/>
      <c r="HP212" s="385">
        <v>1335</v>
      </c>
      <c r="HQ212" s="358"/>
      <c r="HR212" s="385">
        <v>1335</v>
      </c>
      <c r="HS212" s="358"/>
      <c r="HT212" s="386">
        <v>2320.6291998017978</v>
      </c>
      <c r="HU212" s="358"/>
      <c r="HV212" s="567"/>
      <c r="HW212" s="567"/>
      <c r="HX212" s="567"/>
      <c r="HY212" s="567"/>
      <c r="HZ212" s="567"/>
      <c r="IA212" s="567"/>
      <c r="IB212" s="567"/>
      <c r="IC212" s="567"/>
      <c r="ID212" s="567"/>
      <c r="IE212" s="567"/>
      <c r="IF212" s="567"/>
      <c r="IG212" s="567"/>
      <c r="IH212" s="568"/>
      <c r="II212" s="569"/>
      <c r="IJ212" s="568"/>
      <c r="IK212" s="569"/>
      <c r="IL212" s="568"/>
      <c r="IM212" s="569"/>
      <c r="IN212" s="568"/>
      <c r="IO212" s="569"/>
      <c r="IP212" s="568"/>
      <c r="IQ212" s="569"/>
      <c r="IR212" s="620" t="s">
        <v>2764</v>
      </c>
      <c r="IS212" s="587" t="s">
        <v>77</v>
      </c>
      <c r="IT212" s="611">
        <v>43747</v>
      </c>
      <c r="IU212" s="518">
        <v>43800</v>
      </c>
      <c r="IV212" s="552"/>
      <c r="IW212" s="526">
        <f t="shared" si="27"/>
        <v>53</v>
      </c>
      <c r="IX212" s="621">
        <f>HT212/30.5</f>
        <v>76.08620327219009</v>
      </c>
      <c r="IY212" s="621">
        <v>2320.6291998017978</v>
      </c>
      <c r="IZ212" s="374"/>
    </row>
    <row r="213" spans="1:262" s="367" customFormat="1" ht="16.5" customHeight="1" x14ac:dyDescent="0.3">
      <c r="A213" s="401" t="s">
        <v>3315</v>
      </c>
      <c r="B213" s="402" t="s">
        <v>3315</v>
      </c>
      <c r="C213" s="608" t="s">
        <v>3427</v>
      </c>
      <c r="D213" s="634"/>
      <c r="E213" s="635"/>
      <c r="F213" s="635"/>
      <c r="G213" s="635"/>
      <c r="H213" s="636"/>
      <c r="I213" s="853">
        <v>0</v>
      </c>
      <c r="J213" s="833">
        <v>0</v>
      </c>
      <c r="K213" s="833">
        <v>0</v>
      </c>
      <c r="L213" s="833">
        <v>0</v>
      </c>
      <c r="M213" s="833">
        <v>0</v>
      </c>
      <c r="N213" s="833">
        <v>0</v>
      </c>
      <c r="O213" s="833">
        <v>0</v>
      </c>
      <c r="P213" s="833">
        <v>0</v>
      </c>
      <c r="Q213" s="833">
        <v>0</v>
      </c>
      <c r="R213" s="833">
        <v>0</v>
      </c>
      <c r="S213" s="833">
        <v>0</v>
      </c>
      <c r="T213" s="833">
        <v>0</v>
      </c>
      <c r="U213" s="833">
        <v>0</v>
      </c>
      <c r="V213" s="833">
        <v>0</v>
      </c>
      <c r="W213" s="833">
        <v>0</v>
      </c>
      <c r="X213" s="833">
        <v>0</v>
      </c>
      <c r="Y213" s="833">
        <v>0</v>
      </c>
      <c r="Z213" s="833">
        <v>0</v>
      </c>
      <c r="AA213" s="833">
        <v>0</v>
      </c>
      <c r="AB213" s="833">
        <v>0</v>
      </c>
      <c r="AC213" s="833">
        <v>0</v>
      </c>
      <c r="AD213" s="833">
        <v>0</v>
      </c>
      <c r="AE213" s="833">
        <v>0</v>
      </c>
      <c r="AF213" s="833">
        <v>0</v>
      </c>
      <c r="AG213" s="833">
        <v>0</v>
      </c>
      <c r="AH213" s="833">
        <v>0</v>
      </c>
      <c r="AI213" s="833">
        <v>0</v>
      </c>
      <c r="AJ213" s="833">
        <v>0</v>
      </c>
      <c r="AK213" s="833">
        <v>0</v>
      </c>
      <c r="AL213" s="833">
        <v>0</v>
      </c>
      <c r="AM213" s="833">
        <v>0</v>
      </c>
      <c r="AN213" s="833">
        <v>0</v>
      </c>
      <c r="AO213" s="833">
        <v>0</v>
      </c>
      <c r="AP213" s="833">
        <v>0</v>
      </c>
      <c r="AQ213" s="833">
        <v>0</v>
      </c>
      <c r="AR213" s="833">
        <v>0</v>
      </c>
      <c r="AS213" s="833">
        <v>0</v>
      </c>
      <c r="AT213" s="833">
        <v>0</v>
      </c>
      <c r="AU213" s="833">
        <v>0</v>
      </c>
      <c r="AV213" s="635"/>
      <c r="AW213" s="635"/>
      <c r="AX213" s="660"/>
      <c r="AY213" s="635"/>
      <c r="AZ213" s="635"/>
      <c r="BA213" s="652"/>
      <c r="BB213" s="651"/>
      <c r="BC213" s="651"/>
      <c r="BD213" s="652"/>
      <c r="BE213" s="651"/>
      <c r="BF213" s="651"/>
      <c r="BG213" s="652"/>
      <c r="BH213" s="651"/>
      <c r="BI213" s="651"/>
      <c r="BJ213" s="652"/>
      <c r="BK213" s="651"/>
      <c r="BL213" s="651"/>
      <c r="BM213" s="652"/>
      <c r="BN213" s="651"/>
      <c r="BO213" s="651"/>
      <c r="BP213" s="652"/>
      <c r="BQ213" s="651"/>
      <c r="BR213" s="651"/>
      <c r="BS213" s="652"/>
      <c r="BT213" s="651"/>
      <c r="BU213" s="651"/>
      <c r="BV213" s="652"/>
      <c r="BW213" s="651"/>
      <c r="BX213" s="651"/>
      <c r="BY213" s="652"/>
      <c r="BZ213" s="651"/>
      <c r="CA213" s="651"/>
      <c r="CB213" s="652"/>
      <c r="CC213" s="651"/>
      <c r="CD213" s="651"/>
      <c r="CE213" s="652"/>
      <c r="CF213" s="651"/>
      <c r="CG213" s="651"/>
      <c r="CH213" s="652"/>
      <c r="CI213" s="651"/>
      <c r="CJ213" s="651"/>
      <c r="CK213" s="652"/>
      <c r="CL213" s="651"/>
      <c r="CM213" s="651"/>
      <c r="CN213" s="652"/>
      <c r="CO213" s="651"/>
      <c r="CP213" s="651"/>
      <c r="CQ213" s="652"/>
      <c r="CR213" s="651"/>
      <c r="CS213" s="651"/>
      <c r="CT213" s="652"/>
      <c r="CU213" s="651"/>
      <c r="CV213" s="651"/>
      <c r="CW213" s="652"/>
      <c r="CX213" s="651"/>
      <c r="CY213" s="651"/>
      <c r="CZ213" s="652"/>
      <c r="DA213" s="651"/>
      <c r="DB213" s="651"/>
      <c r="DC213" s="652"/>
      <c r="DD213" s="651"/>
      <c r="DE213" s="651"/>
      <c r="DF213" s="652"/>
      <c r="DG213" s="651"/>
      <c r="DH213" s="651"/>
      <c r="DI213" s="652"/>
      <c r="DJ213" s="651"/>
      <c r="DK213" s="651"/>
      <c r="DL213" s="652"/>
      <c r="DM213" s="651"/>
      <c r="DN213" s="651"/>
      <c r="DO213" s="652"/>
      <c r="DP213" s="651"/>
      <c r="DQ213" s="651"/>
      <c r="DR213" s="652"/>
      <c r="DS213" s="651"/>
      <c r="DT213" s="651"/>
      <c r="DU213" s="652"/>
      <c r="DV213" s="651"/>
      <c r="DW213" s="651"/>
      <c r="DX213" s="652"/>
      <c r="DY213" s="651"/>
      <c r="DZ213" s="651"/>
      <c r="EA213" s="652"/>
      <c r="EB213" s="651"/>
      <c r="EC213" s="651"/>
      <c r="ED213" s="652"/>
      <c r="EE213" s="651"/>
      <c r="EF213" s="651"/>
      <c r="EG213" s="652"/>
      <c r="EH213" s="651"/>
      <c r="EI213" s="651"/>
      <c r="EJ213" s="652"/>
      <c r="EK213" s="651"/>
      <c r="EL213" s="651"/>
      <c r="EM213" s="652"/>
      <c r="EN213" s="651"/>
      <c r="EO213" s="651"/>
      <c r="EP213" s="652"/>
      <c r="EQ213" s="651"/>
      <c r="ER213" s="651"/>
      <c r="ES213" s="652"/>
      <c r="ET213" s="651"/>
      <c r="EU213" s="651"/>
      <c r="EV213" s="652"/>
      <c r="EW213" s="651"/>
      <c r="EX213" s="651"/>
      <c r="EY213" s="652"/>
      <c r="EZ213" s="651"/>
      <c r="FA213" s="651"/>
      <c r="FB213" s="652"/>
      <c r="FC213" s="651"/>
      <c r="FD213" s="651"/>
      <c r="FE213" s="652"/>
      <c r="FF213" s="651"/>
      <c r="FG213" s="651"/>
      <c r="FH213" s="652"/>
      <c r="FI213" s="651"/>
      <c r="FJ213" s="651"/>
      <c r="FK213" s="652"/>
      <c r="FL213" s="647">
        <v>368</v>
      </c>
      <c r="FM213" s="647"/>
      <c r="FN213" s="567"/>
      <c r="FO213" s="647">
        <v>368</v>
      </c>
      <c r="FP213" s="647"/>
      <c r="FQ213" s="567"/>
      <c r="FR213" s="647">
        <v>368</v>
      </c>
      <c r="FS213" s="647"/>
      <c r="FT213" s="567"/>
      <c r="FU213" s="647">
        <v>368</v>
      </c>
      <c r="FV213" s="647"/>
      <c r="FW213" s="567"/>
      <c r="FX213" s="647">
        <v>368</v>
      </c>
      <c r="FY213" s="647"/>
      <c r="FZ213" s="567"/>
      <c r="GA213" s="647">
        <v>368</v>
      </c>
      <c r="GB213" s="647"/>
      <c r="GC213" s="567"/>
      <c r="GD213" s="647">
        <v>368</v>
      </c>
      <c r="GE213" s="647"/>
      <c r="GF213" s="567"/>
      <c r="GG213" s="647">
        <v>368</v>
      </c>
      <c r="GH213" s="647"/>
      <c r="GI213" s="567"/>
      <c r="GJ213" s="647">
        <v>368</v>
      </c>
      <c r="GK213" s="647"/>
      <c r="GL213" s="567"/>
      <c r="GM213" s="647">
        <v>368</v>
      </c>
      <c r="GN213" s="647"/>
      <c r="GO213" s="567"/>
      <c r="GP213" s="647">
        <v>368</v>
      </c>
      <c r="GQ213" s="647"/>
      <c r="GR213" s="567"/>
      <c r="GS213" s="647">
        <v>368</v>
      </c>
      <c r="GT213" s="647"/>
      <c r="GU213" s="567"/>
      <c r="GV213" s="647">
        <v>368</v>
      </c>
      <c r="GW213" s="647"/>
      <c r="GX213" s="567"/>
      <c r="GY213" s="647">
        <v>368</v>
      </c>
      <c r="GZ213" s="647"/>
      <c r="HA213" s="567"/>
      <c r="HB213" s="647">
        <v>368</v>
      </c>
      <c r="HC213" s="647"/>
      <c r="HD213" s="567"/>
      <c r="HE213" s="647">
        <v>368</v>
      </c>
      <c r="HF213" s="647"/>
      <c r="HG213" s="567"/>
      <c r="HH213" s="647">
        <v>368</v>
      </c>
      <c r="HI213" s="567"/>
      <c r="HJ213" s="647">
        <v>368</v>
      </c>
      <c r="HK213" s="567"/>
      <c r="HL213" s="647">
        <v>368</v>
      </c>
      <c r="HM213" s="567"/>
      <c r="HN213" s="647">
        <v>368</v>
      </c>
      <c r="HO213" s="567"/>
      <c r="HP213" s="647">
        <v>368</v>
      </c>
      <c r="HQ213" s="567"/>
      <c r="HR213" s="648">
        <v>410.22950819672127</v>
      </c>
      <c r="HS213" s="567"/>
      <c r="HT213" s="567"/>
      <c r="HU213" s="567"/>
      <c r="HV213" s="567"/>
      <c r="HW213" s="567"/>
      <c r="HX213" s="587"/>
      <c r="HY213" s="587"/>
      <c r="HZ213" s="587"/>
      <c r="IA213" s="587"/>
      <c r="IB213" s="587"/>
      <c r="IC213" s="587"/>
      <c r="ID213" s="587"/>
      <c r="IE213" s="587"/>
      <c r="IF213" s="587"/>
      <c r="IG213" s="587"/>
      <c r="IH213" s="588"/>
      <c r="II213" s="589"/>
      <c r="IJ213" s="588"/>
      <c r="IK213" s="589"/>
      <c r="IL213" s="588"/>
      <c r="IM213" s="589"/>
      <c r="IN213" s="588"/>
      <c r="IO213" s="589"/>
      <c r="IP213" s="588"/>
      <c r="IQ213" s="589"/>
      <c r="IR213" s="552" t="s">
        <v>3428</v>
      </c>
      <c r="IS213" s="587" t="s">
        <v>77</v>
      </c>
      <c r="IT213" s="611">
        <v>43797</v>
      </c>
      <c r="IU213" s="518">
        <v>43831</v>
      </c>
      <c r="IV213" s="552"/>
      <c r="IW213" s="526">
        <f t="shared" si="27"/>
        <v>34</v>
      </c>
      <c r="IX213" s="621">
        <f t="shared" ref="IX213:IX233" si="28">HR213/30.5</f>
        <v>13.450147809728566</v>
      </c>
      <c r="IY213" s="621">
        <v>410.22950819672127</v>
      </c>
      <c r="IZ213" s="374"/>
      <c r="JB213" s="653"/>
    </row>
    <row r="214" spans="1:262" s="367" customFormat="1" ht="16.5" customHeight="1" x14ac:dyDescent="0.3">
      <c r="A214" s="526" t="s">
        <v>2758</v>
      </c>
      <c r="B214" s="603" t="s">
        <v>2757</v>
      </c>
      <c r="C214" s="604" t="s">
        <v>2283</v>
      </c>
      <c r="D214" s="605">
        <v>356</v>
      </c>
      <c r="E214" s="606">
        <v>12</v>
      </c>
      <c r="F214" s="606">
        <v>0</v>
      </c>
      <c r="G214" s="606">
        <v>0</v>
      </c>
      <c r="H214" s="607">
        <v>0</v>
      </c>
      <c r="I214" s="844">
        <v>368</v>
      </c>
      <c r="J214" s="600"/>
      <c r="K214" s="600"/>
      <c r="L214" s="606">
        <v>368</v>
      </c>
      <c r="M214" s="600"/>
      <c r="N214" s="600"/>
      <c r="O214" s="606">
        <v>368</v>
      </c>
      <c r="P214" s="600"/>
      <c r="Q214" s="600"/>
      <c r="R214" s="606">
        <v>368</v>
      </c>
      <c r="S214" s="600"/>
      <c r="T214" s="600"/>
      <c r="U214" s="606">
        <v>368</v>
      </c>
      <c r="V214" s="600"/>
      <c r="W214" s="600"/>
      <c r="X214" s="606">
        <v>368</v>
      </c>
      <c r="Y214" s="600"/>
      <c r="Z214" s="600"/>
      <c r="AA214" s="606">
        <v>368</v>
      </c>
      <c r="AB214" s="600"/>
      <c r="AC214" s="600"/>
      <c r="AD214" s="606">
        <v>368</v>
      </c>
      <c r="AE214" s="600"/>
      <c r="AF214" s="600"/>
      <c r="AG214" s="606">
        <v>368</v>
      </c>
      <c r="AH214" s="600"/>
      <c r="AI214" s="600"/>
      <c r="AJ214" s="606">
        <v>368</v>
      </c>
      <c r="AK214" s="600"/>
      <c r="AL214" s="600"/>
      <c r="AM214" s="606">
        <v>368</v>
      </c>
      <c r="AN214" s="600"/>
      <c r="AO214" s="600"/>
      <c r="AP214" s="606">
        <v>368</v>
      </c>
      <c r="AQ214" s="600"/>
      <c r="AR214" s="600"/>
      <c r="AS214" s="909">
        <f>((368-254)/30.5)*31+368</f>
        <v>483.86885245901641</v>
      </c>
      <c r="AT214" s="600"/>
      <c r="AU214" s="600"/>
      <c r="AV214" s="597">
        <v>254</v>
      </c>
      <c r="AW214" s="600"/>
      <c r="AX214" s="600"/>
      <c r="AY214" s="597">
        <v>254</v>
      </c>
      <c r="AZ214" s="600"/>
      <c r="BA214" s="600"/>
      <c r="BB214" s="647">
        <v>254</v>
      </c>
      <c r="BC214" s="600"/>
      <c r="BD214" s="600"/>
      <c r="BE214" s="647">
        <v>254</v>
      </c>
      <c r="BF214" s="600"/>
      <c r="BG214" s="600"/>
      <c r="BH214" s="647">
        <v>254</v>
      </c>
      <c r="BI214" s="647"/>
      <c r="BJ214" s="600"/>
      <c r="BK214" s="647">
        <v>254</v>
      </c>
      <c r="BL214" s="647"/>
      <c r="BM214" s="600"/>
      <c r="BN214" s="647">
        <v>254</v>
      </c>
      <c r="BO214" s="647"/>
      <c r="BP214" s="600"/>
      <c r="BQ214" s="647">
        <v>254</v>
      </c>
      <c r="BR214" s="647"/>
      <c r="BS214" s="600"/>
      <c r="BT214" s="647">
        <v>254</v>
      </c>
      <c r="BU214" s="647"/>
      <c r="BV214" s="600"/>
      <c r="BW214" s="647">
        <v>254</v>
      </c>
      <c r="BX214" s="647"/>
      <c r="BY214" s="600"/>
      <c r="BZ214" s="647">
        <v>254</v>
      </c>
      <c r="CA214" s="647"/>
      <c r="CB214" s="600"/>
      <c r="CC214" s="647">
        <v>254</v>
      </c>
      <c r="CD214" s="647"/>
      <c r="CE214" s="600"/>
      <c r="CF214" s="647">
        <v>254</v>
      </c>
      <c r="CG214" s="647"/>
      <c r="CH214" s="600"/>
      <c r="CI214" s="647">
        <v>254</v>
      </c>
      <c r="CJ214" s="647"/>
      <c r="CK214" s="600"/>
      <c r="CL214" s="647">
        <v>254</v>
      </c>
      <c r="CM214" s="647"/>
      <c r="CN214" s="600"/>
      <c r="CO214" s="647">
        <v>254</v>
      </c>
      <c r="CP214" s="647"/>
      <c r="CQ214" s="600"/>
      <c r="CR214" s="647">
        <v>254</v>
      </c>
      <c r="CS214" s="647"/>
      <c r="CT214" s="600"/>
      <c r="CU214" s="647">
        <v>254</v>
      </c>
      <c r="CV214" s="647"/>
      <c r="CW214" s="600"/>
      <c r="CX214" s="647">
        <v>254</v>
      </c>
      <c r="CY214" s="647"/>
      <c r="CZ214" s="600"/>
      <c r="DA214" s="647">
        <v>254</v>
      </c>
      <c r="DB214" s="647"/>
      <c r="DC214" s="600"/>
      <c r="DD214" s="647">
        <v>254</v>
      </c>
      <c r="DE214" s="647"/>
      <c r="DF214" s="600"/>
      <c r="DG214" s="647">
        <v>254</v>
      </c>
      <c r="DH214" s="647"/>
      <c r="DI214" s="600"/>
      <c r="DJ214" s="647">
        <v>254</v>
      </c>
      <c r="DK214" s="647"/>
      <c r="DL214" s="600"/>
      <c r="DM214" s="647">
        <v>254</v>
      </c>
      <c r="DN214" s="647"/>
      <c r="DO214" s="600"/>
      <c r="DP214" s="647">
        <v>254</v>
      </c>
      <c r="DQ214" s="647"/>
      <c r="DR214" s="600"/>
      <c r="DS214" s="647">
        <v>254</v>
      </c>
      <c r="DT214" s="647"/>
      <c r="DU214" s="600"/>
      <c r="DV214" s="647">
        <v>254</v>
      </c>
      <c r="DW214" s="647"/>
      <c r="DX214" s="600"/>
      <c r="DY214" s="647">
        <v>254</v>
      </c>
      <c r="DZ214" s="647"/>
      <c r="EA214" s="600"/>
      <c r="EB214" s="647">
        <v>254</v>
      </c>
      <c r="EC214" s="647"/>
      <c r="ED214" s="600"/>
      <c r="EE214" s="647">
        <v>254</v>
      </c>
      <c r="EF214" s="647"/>
      <c r="EG214" s="600"/>
      <c r="EH214" s="647">
        <v>254</v>
      </c>
      <c r="EI214" s="647"/>
      <c r="EJ214" s="600"/>
      <c r="EK214" s="647">
        <v>254</v>
      </c>
      <c r="EL214" s="647"/>
      <c r="EM214" s="600"/>
      <c r="EN214" s="647">
        <v>254</v>
      </c>
      <c r="EO214" s="647"/>
      <c r="EP214" s="600"/>
      <c r="EQ214" s="647">
        <v>254</v>
      </c>
      <c r="ER214" s="647"/>
      <c r="ES214" s="600"/>
      <c r="ET214" s="647">
        <v>254</v>
      </c>
      <c r="EU214" s="647"/>
      <c r="EV214" s="600"/>
      <c r="EW214" s="647">
        <v>254</v>
      </c>
      <c r="EX214" s="647"/>
      <c r="EY214" s="600"/>
      <c r="EZ214" s="647">
        <v>254</v>
      </c>
      <c r="FA214" s="647"/>
      <c r="FB214" s="600"/>
      <c r="FC214" s="647">
        <v>254</v>
      </c>
      <c r="FD214" s="647"/>
      <c r="FE214" s="600"/>
      <c r="FF214" s="647">
        <v>254</v>
      </c>
      <c r="FG214" s="647"/>
      <c r="FH214" s="600"/>
      <c r="FI214" s="647">
        <v>254</v>
      </c>
      <c r="FJ214" s="647"/>
      <c r="FK214" s="600"/>
      <c r="FL214" s="647">
        <v>254</v>
      </c>
      <c r="FM214" s="647"/>
      <c r="FN214" s="600"/>
      <c r="FO214" s="647">
        <v>254</v>
      </c>
      <c r="FP214" s="647"/>
      <c r="FQ214" s="600"/>
      <c r="FR214" s="647">
        <v>254</v>
      </c>
      <c r="FS214" s="647"/>
      <c r="FT214" s="600"/>
      <c r="FU214" s="647">
        <v>254</v>
      </c>
      <c r="FV214" s="647"/>
      <c r="FW214" s="600"/>
      <c r="FX214" s="647">
        <v>254</v>
      </c>
      <c r="FY214" s="647"/>
      <c r="FZ214" s="600"/>
      <c r="GA214" s="647">
        <v>254</v>
      </c>
      <c r="GB214" s="647"/>
      <c r="GC214" s="600"/>
      <c r="GD214" s="647">
        <v>254</v>
      </c>
      <c r="GE214" s="647"/>
      <c r="GF214" s="600"/>
      <c r="GG214" s="647">
        <v>254</v>
      </c>
      <c r="GH214" s="647"/>
      <c r="GI214" s="600"/>
      <c r="GJ214" s="647">
        <v>254</v>
      </c>
      <c r="GK214" s="647"/>
      <c r="GL214" s="600"/>
      <c r="GM214" s="647">
        <v>254</v>
      </c>
      <c r="GN214" s="647"/>
      <c r="GO214" s="600"/>
      <c r="GP214" s="647">
        <v>254</v>
      </c>
      <c r="GQ214" s="647"/>
      <c r="GR214" s="600"/>
      <c r="GS214" s="647">
        <v>254</v>
      </c>
      <c r="GT214" s="647"/>
      <c r="GU214" s="600"/>
      <c r="GV214" s="647">
        <v>254</v>
      </c>
      <c r="GW214" s="647"/>
      <c r="GX214" s="600"/>
      <c r="GY214" s="647">
        <v>254</v>
      </c>
      <c r="GZ214" s="647"/>
      <c r="HA214" s="600"/>
      <c r="HB214" s="647">
        <v>254</v>
      </c>
      <c r="HC214" s="647"/>
      <c r="HD214" s="600"/>
      <c r="HE214" s="647">
        <v>254</v>
      </c>
      <c r="HF214" s="647"/>
      <c r="HG214" s="600"/>
      <c r="HH214" s="647">
        <v>254</v>
      </c>
      <c r="HI214" s="600"/>
      <c r="HJ214" s="647">
        <v>254</v>
      </c>
      <c r="HK214" s="600"/>
      <c r="HL214" s="647">
        <v>254</v>
      </c>
      <c r="HM214" s="600"/>
      <c r="HN214" s="647">
        <v>254</v>
      </c>
      <c r="HO214" s="600"/>
      <c r="HP214" s="647">
        <v>254</v>
      </c>
      <c r="HQ214" s="600"/>
      <c r="HR214" s="648">
        <v>291.47540983606558</v>
      </c>
      <c r="HS214" s="600"/>
      <c r="HT214" s="567"/>
      <c r="HU214" s="567"/>
      <c r="HV214" s="567"/>
      <c r="HW214" s="567"/>
      <c r="HX214" s="587"/>
      <c r="HY214" s="587"/>
      <c r="HZ214" s="587"/>
      <c r="IA214" s="587"/>
      <c r="IB214" s="587"/>
      <c r="IC214" s="587"/>
      <c r="ID214" s="587"/>
      <c r="IE214" s="587"/>
      <c r="IF214" s="587"/>
      <c r="IG214" s="587"/>
      <c r="IH214" s="588"/>
      <c r="II214" s="589"/>
      <c r="IJ214" s="588"/>
      <c r="IK214" s="589"/>
      <c r="IL214" s="588"/>
      <c r="IM214" s="589"/>
      <c r="IN214" s="588"/>
      <c r="IO214" s="589"/>
      <c r="IP214" s="588"/>
      <c r="IQ214" s="589"/>
      <c r="IR214" s="552" t="s">
        <v>3429</v>
      </c>
      <c r="IS214" s="587" t="s">
        <v>77</v>
      </c>
      <c r="IT214" s="611">
        <v>43796</v>
      </c>
      <c r="IU214" s="518">
        <v>43831</v>
      </c>
      <c r="IV214" s="552"/>
      <c r="IW214" s="526">
        <f t="shared" si="27"/>
        <v>35</v>
      </c>
      <c r="IX214" s="621">
        <f t="shared" si="28"/>
        <v>9.556570814297233</v>
      </c>
      <c r="IY214" s="621">
        <v>291.47540983606558</v>
      </c>
      <c r="IZ214" s="374"/>
      <c r="JB214" s="653"/>
    </row>
    <row r="215" spans="1:262" s="367" customFormat="1" ht="16.5" customHeight="1" x14ac:dyDescent="0.3">
      <c r="A215" s="526" t="s">
        <v>2735</v>
      </c>
      <c r="B215" s="594" t="s">
        <v>2953</v>
      </c>
      <c r="C215" s="595" t="s">
        <v>302</v>
      </c>
      <c r="D215" s="596">
        <v>2266</v>
      </c>
      <c r="E215" s="597">
        <v>299</v>
      </c>
      <c r="F215" s="597">
        <v>32</v>
      </c>
      <c r="G215" s="597">
        <v>414</v>
      </c>
      <c r="H215" s="598"/>
      <c r="I215" s="855">
        <v>2597</v>
      </c>
      <c r="J215" s="600">
        <f>414</f>
        <v>414</v>
      </c>
      <c r="K215" s="655">
        <v>0</v>
      </c>
      <c r="L215" s="597">
        <v>2597</v>
      </c>
      <c r="M215" s="600">
        <f>414</f>
        <v>414</v>
      </c>
      <c r="N215" s="655">
        <v>0</v>
      </c>
      <c r="O215" s="597">
        <v>2597</v>
      </c>
      <c r="P215" s="600">
        <f>414</f>
        <v>414</v>
      </c>
      <c r="Q215" s="655">
        <v>0</v>
      </c>
      <c r="R215" s="597">
        <v>2597</v>
      </c>
      <c r="S215" s="600">
        <f>414</f>
        <v>414</v>
      </c>
      <c r="T215" s="655">
        <v>0</v>
      </c>
      <c r="U215" s="597">
        <v>2597</v>
      </c>
      <c r="V215" s="600">
        <f>414</f>
        <v>414</v>
      </c>
      <c r="W215" s="655">
        <v>0</v>
      </c>
      <c r="X215" s="597">
        <v>2597</v>
      </c>
      <c r="Y215" s="600">
        <f>414</f>
        <v>414</v>
      </c>
      <c r="Z215" s="655">
        <v>0</v>
      </c>
      <c r="AA215" s="597">
        <v>2597</v>
      </c>
      <c r="AB215" s="600">
        <f>414</f>
        <v>414</v>
      </c>
      <c r="AC215" s="655">
        <v>0</v>
      </c>
      <c r="AD215" s="597">
        <v>2597</v>
      </c>
      <c r="AE215" s="600">
        <f>414</f>
        <v>414</v>
      </c>
      <c r="AF215" s="655">
        <v>0</v>
      </c>
      <c r="AG215" s="597">
        <v>2597</v>
      </c>
      <c r="AH215" s="600">
        <f>414</f>
        <v>414</v>
      </c>
      <c r="AI215" s="655">
        <v>0</v>
      </c>
      <c r="AJ215" s="597">
        <v>2597</v>
      </c>
      <c r="AK215" s="600">
        <f>414</f>
        <v>414</v>
      </c>
      <c r="AL215" s="655">
        <v>0</v>
      </c>
      <c r="AM215" s="597">
        <v>2597</v>
      </c>
      <c r="AN215" s="600">
        <f>414</f>
        <v>414</v>
      </c>
      <c r="AO215" s="655">
        <v>0</v>
      </c>
      <c r="AP215" s="597">
        <v>2597</v>
      </c>
      <c r="AQ215" s="600">
        <f>414</f>
        <v>414</v>
      </c>
      <c r="AR215" s="655">
        <v>0</v>
      </c>
      <c r="AS215" s="597">
        <v>2597</v>
      </c>
      <c r="AT215" s="600">
        <f>414</f>
        <v>414</v>
      </c>
      <c r="AU215" s="655">
        <v>0</v>
      </c>
      <c r="AV215" s="597">
        <v>2597</v>
      </c>
      <c r="AW215" s="600">
        <f>414</f>
        <v>414</v>
      </c>
      <c r="AX215" s="655">
        <v>0</v>
      </c>
      <c r="AY215" s="597">
        <v>2597</v>
      </c>
      <c r="AZ215" s="600">
        <f>414</f>
        <v>414</v>
      </c>
      <c r="BA215" s="655">
        <v>0</v>
      </c>
      <c r="BB215" s="647">
        <v>2597</v>
      </c>
      <c r="BC215" s="600">
        <f>414</f>
        <v>414</v>
      </c>
      <c r="BD215" s="655">
        <v>0</v>
      </c>
      <c r="BE215" s="647">
        <v>2597</v>
      </c>
      <c r="BF215" s="600">
        <f>414</f>
        <v>414</v>
      </c>
      <c r="BG215" s="655">
        <v>0</v>
      </c>
      <c r="BH215" s="647">
        <v>2597</v>
      </c>
      <c r="BI215" s="647">
        <f>414</f>
        <v>414</v>
      </c>
      <c r="BJ215" s="655">
        <v>0</v>
      </c>
      <c r="BK215" s="647">
        <v>2597</v>
      </c>
      <c r="BL215" s="647">
        <f>414</f>
        <v>414</v>
      </c>
      <c r="BM215" s="655">
        <v>0</v>
      </c>
      <c r="BN215" s="647">
        <v>2597</v>
      </c>
      <c r="BO215" s="647">
        <f>414</f>
        <v>414</v>
      </c>
      <c r="BP215" s="655">
        <v>0</v>
      </c>
      <c r="BQ215" s="647">
        <v>2597</v>
      </c>
      <c r="BR215" s="647">
        <f>414</f>
        <v>414</v>
      </c>
      <c r="BS215" s="655">
        <v>0</v>
      </c>
      <c r="BT215" s="647">
        <v>2597</v>
      </c>
      <c r="BU215" s="647">
        <f>414</f>
        <v>414</v>
      </c>
      <c r="BV215" s="655">
        <v>0</v>
      </c>
      <c r="BW215" s="647">
        <v>2597</v>
      </c>
      <c r="BX215" s="647">
        <f>414</f>
        <v>414</v>
      </c>
      <c r="BY215" s="655">
        <v>0</v>
      </c>
      <c r="BZ215" s="647">
        <v>2597</v>
      </c>
      <c r="CA215" s="647">
        <f>414</f>
        <v>414</v>
      </c>
      <c r="CB215" s="655">
        <v>0</v>
      </c>
      <c r="CC215" s="647">
        <v>2597</v>
      </c>
      <c r="CD215" s="647">
        <f>414</f>
        <v>414</v>
      </c>
      <c r="CE215" s="655">
        <v>0</v>
      </c>
      <c r="CF215" s="647">
        <v>2597</v>
      </c>
      <c r="CG215" s="647">
        <f>414</f>
        <v>414</v>
      </c>
      <c r="CH215" s="655">
        <v>0</v>
      </c>
      <c r="CI215" s="647">
        <v>2597</v>
      </c>
      <c r="CJ215" s="647">
        <f>414</f>
        <v>414</v>
      </c>
      <c r="CK215" s="655">
        <v>0</v>
      </c>
      <c r="CL215" s="647">
        <v>2597</v>
      </c>
      <c r="CM215" s="647">
        <f>414</f>
        <v>414</v>
      </c>
      <c r="CN215" s="655">
        <v>0</v>
      </c>
      <c r="CO215" s="647">
        <v>2597</v>
      </c>
      <c r="CP215" s="647">
        <f>414</f>
        <v>414</v>
      </c>
      <c r="CQ215" s="655">
        <v>0</v>
      </c>
      <c r="CR215" s="647">
        <v>2597</v>
      </c>
      <c r="CS215" s="647">
        <f>414</f>
        <v>414</v>
      </c>
      <c r="CT215" s="655">
        <v>0</v>
      </c>
      <c r="CU215" s="647">
        <v>2597</v>
      </c>
      <c r="CV215" s="647">
        <f>414</f>
        <v>414</v>
      </c>
      <c r="CW215" s="655">
        <v>0</v>
      </c>
      <c r="CX215" s="647">
        <v>2597</v>
      </c>
      <c r="CY215" s="647">
        <f>414</f>
        <v>414</v>
      </c>
      <c r="CZ215" s="655">
        <v>0</v>
      </c>
      <c r="DA215" s="647">
        <v>2597</v>
      </c>
      <c r="DB215" s="647">
        <f>414</f>
        <v>414</v>
      </c>
      <c r="DC215" s="655">
        <v>0</v>
      </c>
      <c r="DD215" s="647">
        <v>2597</v>
      </c>
      <c r="DE215" s="647">
        <f>414</f>
        <v>414</v>
      </c>
      <c r="DF215" s="655">
        <v>0</v>
      </c>
      <c r="DG215" s="647">
        <v>2597</v>
      </c>
      <c r="DH215" s="647">
        <f>414</f>
        <v>414</v>
      </c>
      <c r="DI215" s="655">
        <v>0</v>
      </c>
      <c r="DJ215" s="647">
        <v>2597</v>
      </c>
      <c r="DK215" s="647">
        <f>414</f>
        <v>414</v>
      </c>
      <c r="DL215" s="655">
        <v>0</v>
      </c>
      <c r="DM215" s="647">
        <v>2597</v>
      </c>
      <c r="DN215" s="647">
        <f>414</f>
        <v>414</v>
      </c>
      <c r="DO215" s="655">
        <v>0</v>
      </c>
      <c r="DP215" s="647">
        <v>2597</v>
      </c>
      <c r="DQ215" s="647">
        <f>414</f>
        <v>414</v>
      </c>
      <c r="DR215" s="655">
        <v>0</v>
      </c>
      <c r="DS215" s="647">
        <v>2597</v>
      </c>
      <c r="DT215" s="647">
        <f>414</f>
        <v>414</v>
      </c>
      <c r="DU215" s="655">
        <v>0</v>
      </c>
      <c r="DV215" s="647">
        <v>2597</v>
      </c>
      <c r="DW215" s="647">
        <f>414</f>
        <v>414</v>
      </c>
      <c r="DX215" s="655">
        <v>0</v>
      </c>
      <c r="DY215" s="647">
        <v>2597</v>
      </c>
      <c r="DZ215" s="647">
        <f>414</f>
        <v>414</v>
      </c>
      <c r="EA215" s="655">
        <v>0</v>
      </c>
      <c r="EB215" s="647">
        <v>2597</v>
      </c>
      <c r="EC215" s="647">
        <f>414</f>
        <v>414</v>
      </c>
      <c r="ED215" s="655">
        <v>0</v>
      </c>
      <c r="EE215" s="647">
        <v>2597</v>
      </c>
      <c r="EF215" s="647">
        <f>414</f>
        <v>414</v>
      </c>
      <c r="EG215" s="655">
        <v>0</v>
      </c>
      <c r="EH215" s="647">
        <v>2597</v>
      </c>
      <c r="EI215" s="647">
        <f>414</f>
        <v>414</v>
      </c>
      <c r="EJ215" s="655">
        <v>0</v>
      </c>
      <c r="EK215" s="647">
        <v>2597</v>
      </c>
      <c r="EL215" s="647">
        <f>414</f>
        <v>414</v>
      </c>
      <c r="EM215" s="655">
        <v>0</v>
      </c>
      <c r="EN215" s="647">
        <v>2597</v>
      </c>
      <c r="EO215" s="647">
        <f>414</f>
        <v>414</v>
      </c>
      <c r="EP215" s="655">
        <v>0</v>
      </c>
      <c r="EQ215" s="647">
        <v>2597</v>
      </c>
      <c r="ER215" s="647">
        <f>414</f>
        <v>414</v>
      </c>
      <c r="ES215" s="655">
        <v>0</v>
      </c>
      <c r="ET215" s="647">
        <v>2597</v>
      </c>
      <c r="EU215" s="647">
        <f>414</f>
        <v>414</v>
      </c>
      <c r="EV215" s="655">
        <v>0</v>
      </c>
      <c r="EW215" s="647">
        <v>2597</v>
      </c>
      <c r="EX215" s="647">
        <f>414</f>
        <v>414</v>
      </c>
      <c r="EY215" s="655">
        <v>0</v>
      </c>
      <c r="EZ215" s="647">
        <v>2597</v>
      </c>
      <c r="FA215" s="647">
        <f>414</f>
        <v>414</v>
      </c>
      <c r="FB215" s="655">
        <v>0</v>
      </c>
      <c r="FC215" s="647">
        <v>2597</v>
      </c>
      <c r="FD215" s="647">
        <f>414</f>
        <v>414</v>
      </c>
      <c r="FE215" s="655">
        <v>0</v>
      </c>
      <c r="FF215" s="647">
        <v>2597</v>
      </c>
      <c r="FG215" s="647">
        <f>414</f>
        <v>414</v>
      </c>
      <c r="FH215" s="655">
        <v>0</v>
      </c>
      <c r="FI215" s="647">
        <v>2597</v>
      </c>
      <c r="FJ215" s="647">
        <f>414</f>
        <v>414</v>
      </c>
      <c r="FK215" s="655">
        <v>0</v>
      </c>
      <c r="FL215" s="647">
        <v>2597</v>
      </c>
      <c r="FM215" s="647">
        <f>414</f>
        <v>414</v>
      </c>
      <c r="FN215" s="655">
        <v>0</v>
      </c>
      <c r="FO215" s="647">
        <v>2597</v>
      </c>
      <c r="FP215" s="647">
        <f>414</f>
        <v>414</v>
      </c>
      <c r="FQ215" s="655">
        <v>0</v>
      </c>
      <c r="FR215" s="647">
        <v>2597</v>
      </c>
      <c r="FS215" s="647">
        <f>414</f>
        <v>414</v>
      </c>
      <c r="FT215" s="655">
        <v>0</v>
      </c>
      <c r="FU215" s="647">
        <v>2597</v>
      </c>
      <c r="FV215" s="647">
        <f>414</f>
        <v>414</v>
      </c>
      <c r="FW215" s="655">
        <v>0</v>
      </c>
      <c r="FX215" s="647">
        <v>2597</v>
      </c>
      <c r="FY215" s="647">
        <f>414</f>
        <v>414</v>
      </c>
      <c r="FZ215" s="655">
        <v>0</v>
      </c>
      <c r="GA215" s="647">
        <v>2597</v>
      </c>
      <c r="GB215" s="647">
        <f>414</f>
        <v>414</v>
      </c>
      <c r="GC215" s="655">
        <v>0</v>
      </c>
      <c r="GD215" s="647">
        <v>2597</v>
      </c>
      <c r="GE215" s="647">
        <f>414</f>
        <v>414</v>
      </c>
      <c r="GF215" s="655">
        <v>0</v>
      </c>
      <c r="GG215" s="647">
        <v>2597</v>
      </c>
      <c r="GH215" s="647">
        <f>414</f>
        <v>414</v>
      </c>
      <c r="GI215" s="655">
        <v>0</v>
      </c>
      <c r="GJ215" s="647">
        <v>2597</v>
      </c>
      <c r="GK215" s="647">
        <f>414</f>
        <v>414</v>
      </c>
      <c r="GL215" s="655">
        <v>0</v>
      </c>
      <c r="GM215" s="647">
        <v>2597</v>
      </c>
      <c r="GN215" s="647">
        <f>414</f>
        <v>414</v>
      </c>
      <c r="GO215" s="655">
        <v>0</v>
      </c>
      <c r="GP215" s="647">
        <v>2597</v>
      </c>
      <c r="GQ215" s="647">
        <f>414</f>
        <v>414</v>
      </c>
      <c r="GR215" s="655">
        <v>0</v>
      </c>
      <c r="GS215" s="647">
        <v>2597</v>
      </c>
      <c r="GT215" s="647">
        <f>414</f>
        <v>414</v>
      </c>
      <c r="GU215" s="655">
        <v>0</v>
      </c>
      <c r="GV215" s="647">
        <v>2597</v>
      </c>
      <c r="GW215" s="647">
        <f>414</f>
        <v>414</v>
      </c>
      <c r="GX215" s="655">
        <v>0</v>
      </c>
      <c r="GY215" s="647">
        <v>2597</v>
      </c>
      <c r="GZ215" s="647">
        <f>414</f>
        <v>414</v>
      </c>
      <c r="HA215" s="655">
        <v>0</v>
      </c>
      <c r="HB215" s="647">
        <v>2597</v>
      </c>
      <c r="HC215" s="647">
        <f>414</f>
        <v>414</v>
      </c>
      <c r="HD215" s="655">
        <v>0</v>
      </c>
      <c r="HE215" s="647">
        <v>2597</v>
      </c>
      <c r="HF215" s="648">
        <f>414*6</f>
        <v>2484</v>
      </c>
      <c r="HG215" s="517">
        <v>0</v>
      </c>
      <c r="HH215" s="647">
        <v>2597</v>
      </c>
      <c r="HI215" s="655">
        <v>66</v>
      </c>
      <c r="HJ215" s="647">
        <v>2597</v>
      </c>
      <c r="HK215" s="655">
        <v>66</v>
      </c>
      <c r="HL215" s="647">
        <v>2597</v>
      </c>
      <c r="HM215" s="655">
        <v>66</v>
      </c>
      <c r="HN215" s="647">
        <v>2597</v>
      </c>
      <c r="HO215" s="655">
        <v>66</v>
      </c>
      <c r="HP215" s="647">
        <v>2597</v>
      </c>
      <c r="HQ215" s="655">
        <v>66</v>
      </c>
      <c r="HR215" s="648">
        <v>4001.9344262295085</v>
      </c>
      <c r="HS215" s="517">
        <v>101.11163934426227</v>
      </c>
      <c r="HT215" s="567"/>
      <c r="HU215" s="567"/>
      <c r="HV215" s="567"/>
      <c r="HW215" s="567"/>
      <c r="HX215" s="587"/>
      <c r="HY215" s="587"/>
      <c r="HZ215" s="587"/>
      <c r="IA215" s="587"/>
      <c r="IB215" s="587"/>
      <c r="IC215" s="587"/>
      <c r="ID215" s="587"/>
      <c r="IE215" s="587"/>
      <c r="IF215" s="587"/>
      <c r="IG215" s="587"/>
      <c r="IH215" s="588"/>
      <c r="II215" s="589"/>
      <c r="IJ215" s="588"/>
      <c r="IK215" s="589"/>
      <c r="IL215" s="588"/>
      <c r="IM215" s="589"/>
      <c r="IN215" s="588"/>
      <c r="IO215" s="589"/>
      <c r="IP215" s="588"/>
      <c r="IQ215" s="589"/>
      <c r="IR215" s="552" t="s">
        <v>3430</v>
      </c>
      <c r="IS215" s="587" t="s">
        <v>77</v>
      </c>
      <c r="IT215" s="611">
        <v>43784</v>
      </c>
      <c r="IU215" s="518">
        <v>43831</v>
      </c>
      <c r="IV215" s="552"/>
      <c r="IW215" s="526">
        <f t="shared" si="27"/>
        <v>47</v>
      </c>
      <c r="IX215" s="621">
        <f t="shared" si="28"/>
        <v>131.2109647944101</v>
      </c>
      <c r="IY215" s="621">
        <v>4001.9344262295085</v>
      </c>
      <c r="IZ215" s="374"/>
      <c r="JB215" s="653"/>
    </row>
    <row r="216" spans="1:262" s="367" customFormat="1" ht="16.5" customHeight="1" x14ac:dyDescent="0.3">
      <c r="A216" s="526" t="s">
        <v>2758</v>
      </c>
      <c r="B216" s="594" t="s">
        <v>3144</v>
      </c>
      <c r="C216" s="604" t="s">
        <v>2021</v>
      </c>
      <c r="D216" s="605">
        <v>701</v>
      </c>
      <c r="E216" s="606">
        <v>54</v>
      </c>
      <c r="F216" s="606">
        <v>0</v>
      </c>
      <c r="G216" s="606">
        <v>0</v>
      </c>
      <c r="H216" s="607">
        <v>0</v>
      </c>
      <c r="I216" s="844">
        <v>755</v>
      </c>
      <c r="J216" s="600"/>
      <c r="K216" s="600"/>
      <c r="L216" s="606">
        <v>755</v>
      </c>
      <c r="M216" s="600"/>
      <c r="N216" s="600"/>
      <c r="O216" s="606">
        <v>755</v>
      </c>
      <c r="P216" s="600"/>
      <c r="Q216" s="600"/>
      <c r="R216" s="606">
        <v>755</v>
      </c>
      <c r="S216" s="600"/>
      <c r="T216" s="600"/>
      <c r="U216" s="606">
        <v>755</v>
      </c>
      <c r="V216" s="600"/>
      <c r="W216" s="600"/>
      <c r="X216" s="606">
        <v>755</v>
      </c>
      <c r="Y216" s="600"/>
      <c r="Z216" s="600"/>
      <c r="AA216" s="606">
        <v>755</v>
      </c>
      <c r="AB216" s="600"/>
      <c r="AC216" s="600"/>
      <c r="AD216" s="606">
        <v>755</v>
      </c>
      <c r="AE216" s="600"/>
      <c r="AF216" s="600"/>
      <c r="AG216" s="606">
        <v>755</v>
      </c>
      <c r="AH216" s="600"/>
      <c r="AI216" s="600"/>
      <c r="AJ216" s="606">
        <v>755</v>
      </c>
      <c r="AK216" s="600"/>
      <c r="AL216" s="600"/>
      <c r="AM216" s="606">
        <v>755</v>
      </c>
      <c r="AN216" s="600"/>
      <c r="AO216" s="600"/>
      <c r="AP216" s="606">
        <v>755</v>
      </c>
      <c r="AQ216" s="600"/>
      <c r="AR216" s="600"/>
      <c r="AS216" s="909">
        <v>755</v>
      </c>
      <c r="AT216" s="600"/>
      <c r="AU216" s="600"/>
      <c r="AV216" s="597">
        <v>755</v>
      </c>
      <c r="AW216" s="600"/>
      <c r="AX216" s="600"/>
      <c r="AY216" s="597">
        <v>755</v>
      </c>
      <c r="AZ216" s="600"/>
      <c r="BA216" s="600"/>
      <c r="BB216" s="647">
        <v>755</v>
      </c>
      <c r="BC216" s="600"/>
      <c r="BD216" s="600"/>
      <c r="BE216" s="647">
        <v>755</v>
      </c>
      <c r="BF216" s="600"/>
      <c r="BG216" s="600"/>
      <c r="BH216" s="647">
        <v>755</v>
      </c>
      <c r="BI216" s="647"/>
      <c r="BJ216" s="600"/>
      <c r="BK216" s="647">
        <v>755</v>
      </c>
      <c r="BL216" s="647"/>
      <c r="BM216" s="600"/>
      <c r="BN216" s="647">
        <v>755</v>
      </c>
      <c r="BO216" s="647"/>
      <c r="BP216" s="600"/>
      <c r="BQ216" s="647">
        <v>755</v>
      </c>
      <c r="BR216" s="647"/>
      <c r="BS216" s="600"/>
      <c r="BT216" s="647">
        <v>755</v>
      </c>
      <c r="BU216" s="647"/>
      <c r="BV216" s="600"/>
      <c r="BW216" s="647">
        <v>755</v>
      </c>
      <c r="BX216" s="647"/>
      <c r="BY216" s="600"/>
      <c r="BZ216" s="647">
        <v>755</v>
      </c>
      <c r="CA216" s="647"/>
      <c r="CB216" s="600"/>
      <c r="CC216" s="647">
        <v>755</v>
      </c>
      <c r="CD216" s="647"/>
      <c r="CE216" s="600"/>
      <c r="CF216" s="647">
        <v>755</v>
      </c>
      <c r="CG216" s="647"/>
      <c r="CH216" s="600"/>
      <c r="CI216" s="647">
        <v>755</v>
      </c>
      <c r="CJ216" s="647"/>
      <c r="CK216" s="600"/>
      <c r="CL216" s="647">
        <v>755</v>
      </c>
      <c r="CM216" s="647"/>
      <c r="CN216" s="600"/>
      <c r="CO216" s="647">
        <v>755</v>
      </c>
      <c r="CP216" s="647"/>
      <c r="CQ216" s="600"/>
      <c r="CR216" s="647">
        <v>755</v>
      </c>
      <c r="CS216" s="647"/>
      <c r="CT216" s="600"/>
      <c r="CU216" s="647">
        <v>755</v>
      </c>
      <c r="CV216" s="647"/>
      <c r="CW216" s="600"/>
      <c r="CX216" s="647">
        <v>755</v>
      </c>
      <c r="CY216" s="647"/>
      <c r="CZ216" s="600"/>
      <c r="DA216" s="647">
        <v>755</v>
      </c>
      <c r="DB216" s="647"/>
      <c r="DC216" s="600"/>
      <c r="DD216" s="647">
        <v>755</v>
      </c>
      <c r="DE216" s="647"/>
      <c r="DF216" s="600"/>
      <c r="DG216" s="647">
        <v>755</v>
      </c>
      <c r="DH216" s="647"/>
      <c r="DI216" s="600"/>
      <c r="DJ216" s="647">
        <v>755</v>
      </c>
      <c r="DK216" s="647"/>
      <c r="DL216" s="600"/>
      <c r="DM216" s="647">
        <v>755</v>
      </c>
      <c r="DN216" s="647"/>
      <c r="DO216" s="600"/>
      <c r="DP216" s="647">
        <v>755</v>
      </c>
      <c r="DQ216" s="647"/>
      <c r="DR216" s="600"/>
      <c r="DS216" s="647">
        <v>755</v>
      </c>
      <c r="DT216" s="647"/>
      <c r="DU216" s="600"/>
      <c r="DV216" s="647">
        <v>755</v>
      </c>
      <c r="DW216" s="647"/>
      <c r="DX216" s="600"/>
      <c r="DY216" s="647">
        <v>755</v>
      </c>
      <c r="DZ216" s="647"/>
      <c r="EA216" s="600"/>
      <c r="EB216" s="647">
        <v>755</v>
      </c>
      <c r="EC216" s="647"/>
      <c r="ED216" s="600"/>
      <c r="EE216" s="647">
        <v>755</v>
      </c>
      <c r="EF216" s="647"/>
      <c r="EG216" s="600"/>
      <c r="EH216" s="647">
        <v>755</v>
      </c>
      <c r="EI216" s="647"/>
      <c r="EJ216" s="600"/>
      <c r="EK216" s="647">
        <v>755</v>
      </c>
      <c r="EL216" s="647"/>
      <c r="EM216" s="600"/>
      <c r="EN216" s="647">
        <v>755</v>
      </c>
      <c r="EO216" s="647"/>
      <c r="EP216" s="600"/>
      <c r="EQ216" s="647">
        <v>755</v>
      </c>
      <c r="ER216" s="647"/>
      <c r="ES216" s="600"/>
      <c r="ET216" s="647">
        <v>755</v>
      </c>
      <c r="EU216" s="647"/>
      <c r="EV216" s="600"/>
      <c r="EW216" s="647">
        <v>755</v>
      </c>
      <c r="EX216" s="647"/>
      <c r="EY216" s="600"/>
      <c r="EZ216" s="647">
        <v>755</v>
      </c>
      <c r="FA216" s="647"/>
      <c r="FB216" s="600"/>
      <c r="FC216" s="647">
        <v>755</v>
      </c>
      <c r="FD216" s="647"/>
      <c r="FE216" s="600"/>
      <c r="FF216" s="647">
        <v>755</v>
      </c>
      <c r="FG216" s="647"/>
      <c r="FH216" s="600"/>
      <c r="FI216" s="647">
        <v>755</v>
      </c>
      <c r="FJ216" s="647"/>
      <c r="FK216" s="600"/>
      <c r="FL216" s="647">
        <v>755</v>
      </c>
      <c r="FM216" s="647"/>
      <c r="FN216" s="600"/>
      <c r="FO216" s="647">
        <v>755</v>
      </c>
      <c r="FP216" s="647"/>
      <c r="FQ216" s="600"/>
      <c r="FR216" s="647">
        <v>755</v>
      </c>
      <c r="FS216" s="647"/>
      <c r="FT216" s="600"/>
      <c r="FU216" s="647">
        <v>755</v>
      </c>
      <c r="FV216" s="647"/>
      <c r="FW216" s="600"/>
      <c r="FX216" s="647">
        <v>755</v>
      </c>
      <c r="FY216" s="647"/>
      <c r="FZ216" s="600"/>
      <c r="GA216" s="647">
        <v>755</v>
      </c>
      <c r="GB216" s="647"/>
      <c r="GC216" s="600"/>
      <c r="GD216" s="647">
        <v>755</v>
      </c>
      <c r="GE216" s="647"/>
      <c r="GF216" s="600"/>
      <c r="GG216" s="647">
        <v>755</v>
      </c>
      <c r="GH216" s="647"/>
      <c r="GI216" s="600"/>
      <c r="GJ216" s="647">
        <v>755</v>
      </c>
      <c r="GK216" s="647"/>
      <c r="GL216" s="600"/>
      <c r="GM216" s="647">
        <v>755</v>
      </c>
      <c r="GN216" s="647"/>
      <c r="GO216" s="600"/>
      <c r="GP216" s="647">
        <v>755</v>
      </c>
      <c r="GQ216" s="647"/>
      <c r="GR216" s="600"/>
      <c r="GS216" s="647">
        <v>755</v>
      </c>
      <c r="GT216" s="647"/>
      <c r="GU216" s="600"/>
      <c r="GV216" s="647">
        <v>755</v>
      </c>
      <c r="GW216" s="647"/>
      <c r="GX216" s="600"/>
      <c r="GY216" s="647">
        <v>755</v>
      </c>
      <c r="GZ216" s="647"/>
      <c r="HA216" s="600"/>
      <c r="HB216" s="647">
        <v>755</v>
      </c>
      <c r="HC216" s="647"/>
      <c r="HD216" s="600"/>
      <c r="HE216" s="647">
        <v>755</v>
      </c>
      <c r="HF216" s="647"/>
      <c r="HG216" s="600"/>
      <c r="HH216" s="647">
        <v>755</v>
      </c>
      <c r="HI216" s="600"/>
      <c r="HJ216" s="647">
        <v>755</v>
      </c>
      <c r="HK216" s="600"/>
      <c r="HL216" s="647">
        <v>755</v>
      </c>
      <c r="HM216" s="600"/>
      <c r="HN216" s="647">
        <v>755</v>
      </c>
      <c r="HO216" s="600"/>
      <c r="HP216" s="647">
        <v>755</v>
      </c>
      <c r="HQ216" s="600"/>
      <c r="HR216" s="648">
        <v>1163.4426229508197</v>
      </c>
      <c r="HS216" s="600"/>
      <c r="HT216" s="567"/>
      <c r="HU216" s="567"/>
      <c r="HV216" s="567"/>
      <c r="HW216" s="567"/>
      <c r="HX216" s="587"/>
      <c r="HY216" s="587"/>
      <c r="HZ216" s="587"/>
      <c r="IA216" s="587"/>
      <c r="IB216" s="587"/>
      <c r="IC216" s="587"/>
      <c r="ID216" s="587"/>
      <c r="IE216" s="587"/>
      <c r="IF216" s="587"/>
      <c r="IG216" s="587"/>
      <c r="IH216" s="588"/>
      <c r="II216" s="589"/>
      <c r="IJ216" s="588"/>
      <c r="IK216" s="589"/>
      <c r="IL216" s="588"/>
      <c r="IM216" s="589"/>
      <c r="IN216" s="588"/>
      <c r="IO216" s="589"/>
      <c r="IP216" s="588"/>
      <c r="IQ216" s="589"/>
      <c r="IR216" s="552" t="s">
        <v>3143</v>
      </c>
      <c r="IS216" s="587" t="s">
        <v>77</v>
      </c>
      <c r="IT216" s="611">
        <v>43784</v>
      </c>
      <c r="IU216" s="518">
        <v>43831</v>
      </c>
      <c r="IV216" s="552"/>
      <c r="IW216" s="526">
        <f t="shared" si="27"/>
        <v>47</v>
      </c>
      <c r="IX216" s="621">
        <f t="shared" si="28"/>
        <v>38.145659768879334</v>
      </c>
      <c r="IY216" s="621">
        <v>1163.4426229508197</v>
      </c>
      <c r="IZ216" s="374"/>
      <c r="JB216" s="653"/>
    </row>
    <row r="217" spans="1:262" s="367" customFormat="1" ht="16.5" customHeight="1" x14ac:dyDescent="0.3">
      <c r="A217" s="526" t="s">
        <v>2758</v>
      </c>
      <c r="B217" s="603" t="s">
        <v>2909</v>
      </c>
      <c r="C217" s="604" t="s">
        <v>2098</v>
      </c>
      <c r="D217" s="605">
        <v>979</v>
      </c>
      <c r="E217" s="606">
        <v>84</v>
      </c>
      <c r="F217" s="606">
        <v>0</v>
      </c>
      <c r="G217" s="606">
        <v>5</v>
      </c>
      <c r="H217" s="607">
        <v>0</v>
      </c>
      <c r="I217" s="844">
        <v>1063</v>
      </c>
      <c r="J217" s="835">
        <v>5</v>
      </c>
      <c r="K217" s="516"/>
      <c r="L217" s="606">
        <v>1063</v>
      </c>
      <c r="M217" s="835">
        <v>5</v>
      </c>
      <c r="N217" s="516"/>
      <c r="O217" s="606">
        <v>1063</v>
      </c>
      <c r="P217" s="835">
        <v>5</v>
      </c>
      <c r="Q217" s="516"/>
      <c r="R217" s="845">
        <f>((1063-755)/30.5)*22+1063</f>
        <v>1285.1639344262296</v>
      </c>
      <c r="S217" s="842">
        <f>(5/30.5)*22+5</f>
        <v>8.6065573770491799</v>
      </c>
      <c r="T217" s="516"/>
      <c r="U217" s="606">
        <v>755</v>
      </c>
      <c r="V217" s="516"/>
      <c r="W217" s="516"/>
      <c r="X217" s="606">
        <v>755</v>
      </c>
      <c r="Y217" s="516"/>
      <c r="Z217" s="516"/>
      <c r="AA217" s="606">
        <v>755</v>
      </c>
      <c r="AB217" s="516"/>
      <c r="AC217" s="516"/>
      <c r="AD217" s="606">
        <v>755</v>
      </c>
      <c r="AE217" s="516"/>
      <c r="AF217" s="516"/>
      <c r="AG217" s="845">
        <v>755</v>
      </c>
      <c r="AH217" s="600"/>
      <c r="AI217" s="600"/>
      <c r="AJ217" s="606">
        <v>755</v>
      </c>
      <c r="AK217" s="600"/>
      <c r="AL217" s="600"/>
      <c r="AM217" s="606">
        <v>755</v>
      </c>
      <c r="AN217" s="600"/>
      <c r="AO217" s="600"/>
      <c r="AP217" s="606">
        <v>755</v>
      </c>
      <c r="AQ217" s="600"/>
      <c r="AR217" s="600"/>
      <c r="AS217" s="909">
        <v>755</v>
      </c>
      <c r="AT217" s="600"/>
      <c r="AU217" s="600"/>
      <c r="AV217" s="597">
        <v>755</v>
      </c>
      <c r="AW217" s="600"/>
      <c r="AX217" s="600"/>
      <c r="AY217" s="597">
        <v>755</v>
      </c>
      <c r="AZ217" s="600"/>
      <c r="BA217" s="600"/>
      <c r="BB217" s="647">
        <v>755</v>
      </c>
      <c r="BC217" s="600"/>
      <c r="BD217" s="600"/>
      <c r="BE217" s="647">
        <v>755</v>
      </c>
      <c r="BF217" s="600"/>
      <c r="BG217" s="600"/>
      <c r="BH217" s="647">
        <v>755</v>
      </c>
      <c r="BI217" s="647"/>
      <c r="BJ217" s="600"/>
      <c r="BK217" s="647">
        <v>755</v>
      </c>
      <c r="BL217" s="647"/>
      <c r="BM217" s="600"/>
      <c r="BN217" s="647">
        <v>755</v>
      </c>
      <c r="BO217" s="647"/>
      <c r="BP217" s="600"/>
      <c r="BQ217" s="647">
        <v>755</v>
      </c>
      <c r="BR217" s="647"/>
      <c r="BS217" s="600"/>
      <c r="BT217" s="647">
        <v>755</v>
      </c>
      <c r="BU217" s="647"/>
      <c r="BV217" s="600"/>
      <c r="BW217" s="647">
        <v>755</v>
      </c>
      <c r="BX217" s="647"/>
      <c r="BY217" s="600"/>
      <c r="BZ217" s="647">
        <v>755</v>
      </c>
      <c r="CA217" s="647"/>
      <c r="CB217" s="600"/>
      <c r="CC217" s="647">
        <v>755</v>
      </c>
      <c r="CD217" s="647"/>
      <c r="CE217" s="600"/>
      <c r="CF217" s="647">
        <v>755</v>
      </c>
      <c r="CG217" s="647"/>
      <c r="CH217" s="600"/>
      <c r="CI217" s="647">
        <v>755</v>
      </c>
      <c r="CJ217" s="647"/>
      <c r="CK217" s="600"/>
      <c r="CL217" s="647">
        <v>755</v>
      </c>
      <c r="CM217" s="647"/>
      <c r="CN217" s="600"/>
      <c r="CO217" s="647">
        <v>755</v>
      </c>
      <c r="CP217" s="647"/>
      <c r="CQ217" s="600"/>
      <c r="CR217" s="647">
        <v>755</v>
      </c>
      <c r="CS217" s="647"/>
      <c r="CT217" s="600"/>
      <c r="CU217" s="647">
        <v>755</v>
      </c>
      <c r="CV217" s="647"/>
      <c r="CW217" s="600"/>
      <c r="CX217" s="647">
        <v>755</v>
      </c>
      <c r="CY217" s="647"/>
      <c r="CZ217" s="600"/>
      <c r="DA217" s="647">
        <v>755</v>
      </c>
      <c r="DB217" s="647"/>
      <c r="DC217" s="600"/>
      <c r="DD217" s="647">
        <v>755</v>
      </c>
      <c r="DE217" s="647"/>
      <c r="DF217" s="600"/>
      <c r="DG217" s="647">
        <v>755</v>
      </c>
      <c r="DH217" s="647"/>
      <c r="DI217" s="600"/>
      <c r="DJ217" s="647">
        <v>755</v>
      </c>
      <c r="DK217" s="647"/>
      <c r="DL217" s="600"/>
      <c r="DM217" s="647">
        <v>755</v>
      </c>
      <c r="DN217" s="647"/>
      <c r="DO217" s="600"/>
      <c r="DP217" s="647">
        <v>755</v>
      </c>
      <c r="DQ217" s="647"/>
      <c r="DR217" s="600"/>
      <c r="DS217" s="647">
        <v>755</v>
      </c>
      <c r="DT217" s="647"/>
      <c r="DU217" s="600"/>
      <c r="DV217" s="647">
        <v>755</v>
      </c>
      <c r="DW217" s="647"/>
      <c r="DX217" s="600"/>
      <c r="DY217" s="647">
        <v>755</v>
      </c>
      <c r="DZ217" s="647"/>
      <c r="EA217" s="600"/>
      <c r="EB217" s="647">
        <v>755</v>
      </c>
      <c r="EC217" s="647"/>
      <c r="ED217" s="600"/>
      <c r="EE217" s="647">
        <v>755</v>
      </c>
      <c r="EF217" s="647"/>
      <c r="EG217" s="600"/>
      <c r="EH217" s="647">
        <v>755</v>
      </c>
      <c r="EI217" s="647"/>
      <c r="EJ217" s="600"/>
      <c r="EK217" s="647">
        <v>755</v>
      </c>
      <c r="EL217" s="647"/>
      <c r="EM217" s="600"/>
      <c r="EN217" s="647">
        <v>755</v>
      </c>
      <c r="EO217" s="647"/>
      <c r="EP217" s="600"/>
      <c r="EQ217" s="647">
        <v>755</v>
      </c>
      <c r="ER217" s="647"/>
      <c r="ES217" s="600"/>
      <c r="ET217" s="647">
        <v>755</v>
      </c>
      <c r="EU217" s="647"/>
      <c r="EV217" s="600"/>
      <c r="EW217" s="647">
        <v>755</v>
      </c>
      <c r="EX217" s="647"/>
      <c r="EY217" s="600"/>
      <c r="EZ217" s="647">
        <v>755</v>
      </c>
      <c r="FA217" s="647"/>
      <c r="FB217" s="600"/>
      <c r="FC217" s="647">
        <v>755</v>
      </c>
      <c r="FD217" s="647"/>
      <c r="FE217" s="600"/>
      <c r="FF217" s="647">
        <v>755</v>
      </c>
      <c r="FG217" s="647"/>
      <c r="FH217" s="600"/>
      <c r="FI217" s="647">
        <v>755</v>
      </c>
      <c r="FJ217" s="647"/>
      <c r="FK217" s="600"/>
      <c r="FL217" s="647">
        <v>755</v>
      </c>
      <c r="FM217" s="647"/>
      <c r="FN217" s="600"/>
      <c r="FO217" s="647">
        <v>755</v>
      </c>
      <c r="FP217" s="647"/>
      <c r="FQ217" s="600"/>
      <c r="FR217" s="647">
        <v>755</v>
      </c>
      <c r="FS217" s="647"/>
      <c r="FT217" s="600"/>
      <c r="FU217" s="647">
        <v>755</v>
      </c>
      <c r="FV217" s="647"/>
      <c r="FW217" s="600"/>
      <c r="FX217" s="647">
        <v>755</v>
      </c>
      <c r="FY217" s="647"/>
      <c r="FZ217" s="600"/>
      <c r="GA217" s="647">
        <v>755</v>
      </c>
      <c r="GB217" s="647"/>
      <c r="GC217" s="600"/>
      <c r="GD217" s="647">
        <v>755</v>
      </c>
      <c r="GE217" s="647"/>
      <c r="GF217" s="600"/>
      <c r="GG217" s="647">
        <v>755</v>
      </c>
      <c r="GH217" s="647"/>
      <c r="GI217" s="600"/>
      <c r="GJ217" s="647">
        <v>755</v>
      </c>
      <c r="GK217" s="647"/>
      <c r="GL217" s="600"/>
      <c r="GM217" s="647">
        <v>755</v>
      </c>
      <c r="GN217" s="647"/>
      <c r="GO217" s="600"/>
      <c r="GP217" s="647">
        <v>755</v>
      </c>
      <c r="GQ217" s="647"/>
      <c r="GR217" s="600"/>
      <c r="GS217" s="647">
        <v>755</v>
      </c>
      <c r="GT217" s="647"/>
      <c r="GU217" s="600"/>
      <c r="GV217" s="647">
        <v>755</v>
      </c>
      <c r="GW217" s="647"/>
      <c r="GX217" s="600"/>
      <c r="GY217" s="647">
        <v>755</v>
      </c>
      <c r="GZ217" s="647"/>
      <c r="HA217" s="600"/>
      <c r="HB217" s="647">
        <v>755</v>
      </c>
      <c r="HC217" s="647"/>
      <c r="HD217" s="600"/>
      <c r="HE217" s="647">
        <v>755</v>
      </c>
      <c r="HF217" s="647"/>
      <c r="HG217" s="600"/>
      <c r="HH217" s="647">
        <v>755</v>
      </c>
      <c r="HI217" s="600"/>
      <c r="HJ217" s="647">
        <v>755</v>
      </c>
      <c r="HK217" s="600"/>
      <c r="HL217" s="647">
        <v>755</v>
      </c>
      <c r="HM217" s="600"/>
      <c r="HN217" s="647">
        <v>755</v>
      </c>
      <c r="HO217" s="600"/>
      <c r="HP217" s="647">
        <v>755</v>
      </c>
      <c r="HQ217" s="600"/>
      <c r="HR217" s="648">
        <v>1386.2295081967213</v>
      </c>
      <c r="HS217" s="600"/>
      <c r="HT217" s="567"/>
      <c r="HU217" s="567"/>
      <c r="HV217" s="567"/>
      <c r="HW217" s="567"/>
      <c r="HX217" s="587"/>
      <c r="HY217" s="587"/>
      <c r="HZ217" s="587"/>
      <c r="IA217" s="587"/>
      <c r="IB217" s="587"/>
      <c r="IC217" s="587"/>
      <c r="ID217" s="587"/>
      <c r="IE217" s="587"/>
      <c r="IF217" s="587"/>
      <c r="IG217" s="587"/>
      <c r="IH217" s="588"/>
      <c r="II217" s="589"/>
      <c r="IJ217" s="588"/>
      <c r="IK217" s="589"/>
      <c r="IL217" s="588"/>
      <c r="IM217" s="589"/>
      <c r="IN217" s="588"/>
      <c r="IO217" s="589"/>
      <c r="IP217" s="588"/>
      <c r="IQ217" s="589"/>
      <c r="IR217" s="552" t="s">
        <v>3140</v>
      </c>
      <c r="IS217" s="587" t="s">
        <v>77</v>
      </c>
      <c r="IT217" s="611">
        <v>43775</v>
      </c>
      <c r="IU217" s="518">
        <v>43831</v>
      </c>
      <c r="IV217" s="552"/>
      <c r="IW217" s="526">
        <f t="shared" si="27"/>
        <v>56</v>
      </c>
      <c r="IX217" s="621">
        <f t="shared" si="28"/>
        <v>45.45014780972857</v>
      </c>
      <c r="IY217" s="621">
        <v>1386.2295081967213</v>
      </c>
      <c r="IZ217" s="374"/>
      <c r="JB217" s="653"/>
    </row>
    <row r="218" spans="1:262" s="367" customFormat="1" ht="16.5" customHeight="1" x14ac:dyDescent="0.3">
      <c r="A218" s="526" t="s">
        <v>2758</v>
      </c>
      <c r="B218" s="603" t="s">
        <v>2940</v>
      </c>
      <c r="C218" s="604" t="s">
        <v>2106</v>
      </c>
      <c r="D218" s="605">
        <v>1249</v>
      </c>
      <c r="E218" s="606">
        <v>60</v>
      </c>
      <c r="F218" s="606">
        <v>40</v>
      </c>
      <c r="G218" s="606">
        <v>14</v>
      </c>
      <c r="H218" s="607">
        <v>0</v>
      </c>
      <c r="I218" s="844">
        <v>1349</v>
      </c>
      <c r="J218" s="835">
        <v>14</v>
      </c>
      <c r="K218" s="516"/>
      <c r="L218" s="606">
        <v>1349</v>
      </c>
      <c r="M218" s="835">
        <v>14</v>
      </c>
      <c r="N218" s="516"/>
      <c r="O218" s="606">
        <v>1349</v>
      </c>
      <c r="P218" s="835">
        <v>14</v>
      </c>
      <c r="Q218" s="516"/>
      <c r="R218" s="845">
        <f>((1349-1063)/30.5)*11+1349</f>
        <v>1452.1475409836066</v>
      </c>
      <c r="S218" s="842">
        <f>(14/30.5)*11+14</f>
        <v>19.049180327868854</v>
      </c>
      <c r="T218" s="600"/>
      <c r="U218" s="597">
        <v>1063</v>
      </c>
      <c r="V218" s="600"/>
      <c r="W218" s="600"/>
      <c r="X218" s="597">
        <v>1063</v>
      </c>
      <c r="Y218" s="600"/>
      <c r="Z218" s="600"/>
      <c r="AA218" s="597">
        <v>1063</v>
      </c>
      <c r="AB218" s="600"/>
      <c r="AC218" s="600"/>
      <c r="AD218" s="597">
        <v>1063</v>
      </c>
      <c r="AE218" s="600"/>
      <c r="AF218" s="600"/>
      <c r="AG218" s="597">
        <v>1063</v>
      </c>
      <c r="AH218" s="600"/>
      <c r="AI218" s="600"/>
      <c r="AJ218" s="597">
        <v>1063</v>
      </c>
      <c r="AK218" s="600"/>
      <c r="AL218" s="600"/>
      <c r="AM218" s="597">
        <v>1063</v>
      </c>
      <c r="AN218" s="600"/>
      <c r="AO218" s="600"/>
      <c r="AP218" s="597">
        <v>1063</v>
      </c>
      <c r="AQ218" s="600"/>
      <c r="AR218" s="600"/>
      <c r="AS218" s="597">
        <v>1063</v>
      </c>
      <c r="AT218" s="600"/>
      <c r="AU218" s="600"/>
      <c r="AV218" s="597">
        <v>1063</v>
      </c>
      <c r="AW218" s="600"/>
      <c r="AX218" s="600"/>
      <c r="AY218" s="597">
        <v>1063</v>
      </c>
      <c r="AZ218" s="600"/>
      <c r="BA218" s="600"/>
      <c r="BB218" s="647">
        <v>1063</v>
      </c>
      <c r="BC218" s="600"/>
      <c r="BD218" s="600"/>
      <c r="BE218" s="647">
        <v>1063</v>
      </c>
      <c r="BF218" s="600"/>
      <c r="BG218" s="600"/>
      <c r="BH218" s="647">
        <v>1063</v>
      </c>
      <c r="BI218" s="647"/>
      <c r="BJ218" s="600"/>
      <c r="BK218" s="647">
        <v>1063</v>
      </c>
      <c r="BL218" s="647"/>
      <c r="BM218" s="600"/>
      <c r="BN218" s="647">
        <v>1063</v>
      </c>
      <c r="BO218" s="647"/>
      <c r="BP218" s="600"/>
      <c r="BQ218" s="647">
        <v>1063</v>
      </c>
      <c r="BR218" s="647"/>
      <c r="BS218" s="600"/>
      <c r="BT218" s="647">
        <v>1063</v>
      </c>
      <c r="BU218" s="647"/>
      <c r="BV218" s="600"/>
      <c r="BW218" s="647">
        <v>1063</v>
      </c>
      <c r="BX218" s="647"/>
      <c r="BY218" s="600"/>
      <c r="BZ218" s="647">
        <v>1063</v>
      </c>
      <c r="CA218" s="647"/>
      <c r="CB218" s="600"/>
      <c r="CC218" s="647">
        <v>1063</v>
      </c>
      <c r="CD218" s="647"/>
      <c r="CE218" s="600"/>
      <c r="CF218" s="647">
        <v>1063</v>
      </c>
      <c r="CG218" s="647"/>
      <c r="CH218" s="600"/>
      <c r="CI218" s="647">
        <v>1063</v>
      </c>
      <c r="CJ218" s="647"/>
      <c r="CK218" s="600"/>
      <c r="CL218" s="647">
        <v>1063</v>
      </c>
      <c r="CM218" s="647"/>
      <c r="CN218" s="600"/>
      <c r="CO218" s="647">
        <v>1063</v>
      </c>
      <c r="CP218" s="647"/>
      <c r="CQ218" s="600"/>
      <c r="CR218" s="647">
        <v>1063</v>
      </c>
      <c r="CS218" s="647"/>
      <c r="CT218" s="600"/>
      <c r="CU218" s="647">
        <v>1063</v>
      </c>
      <c r="CV218" s="647"/>
      <c r="CW218" s="600"/>
      <c r="CX218" s="647">
        <v>1063</v>
      </c>
      <c r="CY218" s="647"/>
      <c r="CZ218" s="600"/>
      <c r="DA218" s="647">
        <v>1063</v>
      </c>
      <c r="DB218" s="647"/>
      <c r="DC218" s="600"/>
      <c r="DD218" s="647">
        <v>1063</v>
      </c>
      <c r="DE218" s="647"/>
      <c r="DF218" s="600"/>
      <c r="DG218" s="647">
        <v>1063</v>
      </c>
      <c r="DH218" s="647"/>
      <c r="DI218" s="600"/>
      <c r="DJ218" s="647">
        <v>1063</v>
      </c>
      <c r="DK218" s="647"/>
      <c r="DL218" s="600"/>
      <c r="DM218" s="647">
        <v>1063</v>
      </c>
      <c r="DN218" s="647"/>
      <c r="DO218" s="600"/>
      <c r="DP218" s="647">
        <v>1063</v>
      </c>
      <c r="DQ218" s="647"/>
      <c r="DR218" s="600"/>
      <c r="DS218" s="647">
        <v>1063</v>
      </c>
      <c r="DT218" s="647"/>
      <c r="DU218" s="600"/>
      <c r="DV218" s="647">
        <v>1063</v>
      </c>
      <c r="DW218" s="647"/>
      <c r="DX218" s="600"/>
      <c r="DY218" s="647">
        <v>1063</v>
      </c>
      <c r="DZ218" s="647"/>
      <c r="EA218" s="600"/>
      <c r="EB218" s="647">
        <v>1063</v>
      </c>
      <c r="EC218" s="647"/>
      <c r="ED218" s="600"/>
      <c r="EE218" s="647">
        <v>1063</v>
      </c>
      <c r="EF218" s="647"/>
      <c r="EG218" s="600"/>
      <c r="EH218" s="647">
        <v>1063</v>
      </c>
      <c r="EI218" s="647"/>
      <c r="EJ218" s="600"/>
      <c r="EK218" s="647">
        <v>1063</v>
      </c>
      <c r="EL218" s="647"/>
      <c r="EM218" s="600"/>
      <c r="EN218" s="647">
        <v>1063</v>
      </c>
      <c r="EO218" s="647"/>
      <c r="EP218" s="600"/>
      <c r="EQ218" s="647">
        <v>1063</v>
      </c>
      <c r="ER218" s="647"/>
      <c r="ES218" s="600"/>
      <c r="ET218" s="647">
        <v>1063</v>
      </c>
      <c r="EU218" s="647"/>
      <c r="EV218" s="600"/>
      <c r="EW218" s="647">
        <v>1063</v>
      </c>
      <c r="EX218" s="647"/>
      <c r="EY218" s="600"/>
      <c r="EZ218" s="647">
        <v>1063</v>
      </c>
      <c r="FA218" s="647"/>
      <c r="FB218" s="600"/>
      <c r="FC218" s="647">
        <v>1063</v>
      </c>
      <c r="FD218" s="647"/>
      <c r="FE218" s="600"/>
      <c r="FF218" s="647">
        <v>1063</v>
      </c>
      <c r="FG218" s="647"/>
      <c r="FH218" s="600"/>
      <c r="FI218" s="647">
        <v>1063</v>
      </c>
      <c r="FJ218" s="647"/>
      <c r="FK218" s="600"/>
      <c r="FL218" s="647">
        <v>1063</v>
      </c>
      <c r="FM218" s="647"/>
      <c r="FN218" s="600"/>
      <c r="FO218" s="647">
        <v>1063</v>
      </c>
      <c r="FP218" s="647"/>
      <c r="FQ218" s="600"/>
      <c r="FR218" s="647">
        <v>1063</v>
      </c>
      <c r="FS218" s="647"/>
      <c r="FT218" s="600"/>
      <c r="FU218" s="647">
        <v>1063</v>
      </c>
      <c r="FV218" s="647"/>
      <c r="FW218" s="600"/>
      <c r="FX218" s="647">
        <v>1063</v>
      </c>
      <c r="FY218" s="647"/>
      <c r="FZ218" s="600"/>
      <c r="GA218" s="647">
        <v>1063</v>
      </c>
      <c r="GB218" s="647"/>
      <c r="GC218" s="600"/>
      <c r="GD218" s="647">
        <v>1063</v>
      </c>
      <c r="GE218" s="647"/>
      <c r="GF218" s="600"/>
      <c r="GG218" s="647">
        <v>1063</v>
      </c>
      <c r="GH218" s="647"/>
      <c r="GI218" s="600"/>
      <c r="GJ218" s="647">
        <v>1063</v>
      </c>
      <c r="GK218" s="647"/>
      <c r="GL218" s="600"/>
      <c r="GM218" s="647">
        <v>1063</v>
      </c>
      <c r="GN218" s="647"/>
      <c r="GO218" s="600"/>
      <c r="GP218" s="647">
        <v>1063</v>
      </c>
      <c r="GQ218" s="647"/>
      <c r="GR218" s="600"/>
      <c r="GS218" s="647">
        <v>1063</v>
      </c>
      <c r="GT218" s="647"/>
      <c r="GU218" s="600"/>
      <c r="GV218" s="647">
        <v>1063</v>
      </c>
      <c r="GW218" s="647"/>
      <c r="GX218" s="600"/>
      <c r="GY218" s="647">
        <v>1063</v>
      </c>
      <c r="GZ218" s="647"/>
      <c r="HA218" s="600"/>
      <c r="HB218" s="647">
        <v>1063</v>
      </c>
      <c r="HC218" s="647"/>
      <c r="HD218" s="600"/>
      <c r="HE218" s="647">
        <v>1063</v>
      </c>
      <c r="HF218" s="647"/>
      <c r="HG218" s="600"/>
      <c r="HH218" s="647">
        <v>1063</v>
      </c>
      <c r="HI218" s="600"/>
      <c r="HJ218" s="647">
        <v>1063</v>
      </c>
      <c r="HK218" s="600"/>
      <c r="HL218" s="647">
        <v>1063</v>
      </c>
      <c r="HM218" s="600"/>
      <c r="HN218" s="647">
        <v>1063</v>
      </c>
      <c r="HO218" s="600"/>
      <c r="HP218" s="647">
        <v>1063</v>
      </c>
      <c r="HQ218" s="600"/>
      <c r="HR218" s="648">
        <v>1184.983606557377</v>
      </c>
      <c r="HS218" s="600"/>
      <c r="HT218" s="567"/>
      <c r="HU218" s="567"/>
      <c r="HV218" s="567"/>
      <c r="HW218" s="567"/>
      <c r="HX218" s="587"/>
      <c r="HY218" s="587"/>
      <c r="HZ218" s="587"/>
      <c r="IA218" s="587"/>
      <c r="IB218" s="587"/>
      <c r="IC218" s="587"/>
      <c r="ID218" s="587"/>
      <c r="IE218" s="587"/>
      <c r="IF218" s="587"/>
      <c r="IG218" s="587"/>
      <c r="IH218" s="588"/>
      <c r="II218" s="589"/>
      <c r="IJ218" s="588"/>
      <c r="IK218" s="589"/>
      <c r="IL218" s="588"/>
      <c r="IM218" s="589"/>
      <c r="IN218" s="588"/>
      <c r="IO218" s="589"/>
      <c r="IP218" s="588"/>
      <c r="IQ218" s="589"/>
      <c r="IR218" s="552" t="s">
        <v>3137</v>
      </c>
      <c r="IS218" s="587" t="s">
        <v>77</v>
      </c>
      <c r="IT218" s="611">
        <v>43797</v>
      </c>
      <c r="IU218" s="518">
        <v>43831</v>
      </c>
      <c r="IV218" s="552"/>
      <c r="IW218" s="526">
        <f t="shared" si="27"/>
        <v>34</v>
      </c>
      <c r="IX218" s="621">
        <f t="shared" si="28"/>
        <v>38.851921526471379</v>
      </c>
      <c r="IY218" s="621">
        <v>1184.983606557377</v>
      </c>
      <c r="IZ218" s="374"/>
      <c r="JB218" s="653"/>
    </row>
    <row r="219" spans="1:262" s="367" customFormat="1" ht="16.5" customHeight="1" x14ac:dyDescent="0.3">
      <c r="A219" s="526" t="s">
        <v>2743</v>
      </c>
      <c r="B219" s="395" t="s">
        <v>2777</v>
      </c>
      <c r="C219" s="604" t="s">
        <v>2418</v>
      </c>
      <c r="D219" s="605">
        <v>1288</v>
      </c>
      <c r="E219" s="606">
        <v>22</v>
      </c>
      <c r="F219" s="606">
        <v>8</v>
      </c>
      <c r="G219" s="606">
        <v>5</v>
      </c>
      <c r="H219" s="607">
        <v>0</v>
      </c>
      <c r="I219" s="910">
        <v>1318</v>
      </c>
      <c r="J219" s="656">
        <v>5</v>
      </c>
      <c r="K219" s="657"/>
      <c r="L219" s="640">
        <v>1318</v>
      </c>
      <c r="M219" s="656">
        <v>5</v>
      </c>
      <c r="N219" s="657"/>
      <c r="O219" s="640">
        <v>1318</v>
      </c>
      <c r="P219" s="656">
        <v>5</v>
      </c>
      <c r="Q219" s="657"/>
      <c r="R219" s="640">
        <v>1318</v>
      </c>
      <c r="S219" s="656">
        <v>5</v>
      </c>
      <c r="T219" s="657"/>
      <c r="U219" s="640">
        <v>1318</v>
      </c>
      <c r="V219" s="656">
        <v>5</v>
      </c>
      <c r="W219" s="657"/>
      <c r="X219" s="640">
        <v>1318</v>
      </c>
      <c r="Y219" s="656">
        <v>5</v>
      </c>
      <c r="Z219" s="657"/>
      <c r="AA219" s="640">
        <v>1318</v>
      </c>
      <c r="AB219" s="656">
        <v>5</v>
      </c>
      <c r="AC219" s="657"/>
      <c r="AD219" s="640">
        <v>1318</v>
      </c>
      <c r="AE219" s="656">
        <v>5</v>
      </c>
      <c r="AF219" s="657"/>
      <c r="AG219" s="640">
        <v>1318</v>
      </c>
      <c r="AH219" s="656">
        <v>5</v>
      </c>
      <c r="AI219" s="657"/>
      <c r="AJ219" s="640">
        <v>1318</v>
      </c>
      <c r="AK219" s="656">
        <v>5</v>
      </c>
      <c r="AL219" s="657"/>
      <c r="AM219" s="606">
        <v>1318</v>
      </c>
      <c r="AN219" s="516">
        <v>5</v>
      </c>
      <c r="AO219" s="600"/>
      <c r="AP219" s="845">
        <f>((1318-1102)/30.5)*23+1318</f>
        <v>1480.8852459016393</v>
      </c>
      <c r="AQ219" s="517">
        <f>((5/30.5)*23)+5</f>
        <v>8.7704918032786878</v>
      </c>
      <c r="AR219" s="600"/>
      <c r="AS219" s="597">
        <v>1102</v>
      </c>
      <c r="AT219" s="600"/>
      <c r="AU219" s="600"/>
      <c r="AV219" s="597">
        <v>1102</v>
      </c>
      <c r="AW219" s="600"/>
      <c r="AX219" s="600"/>
      <c r="AY219" s="597">
        <v>1102</v>
      </c>
      <c r="AZ219" s="600"/>
      <c r="BA219" s="600"/>
      <c r="BB219" s="647">
        <v>1102</v>
      </c>
      <c r="BC219" s="600"/>
      <c r="BD219" s="600"/>
      <c r="BE219" s="647">
        <v>1102</v>
      </c>
      <c r="BF219" s="600"/>
      <c r="BG219" s="600"/>
      <c r="BH219" s="647">
        <v>1102</v>
      </c>
      <c r="BI219" s="647"/>
      <c r="BJ219" s="600"/>
      <c r="BK219" s="647">
        <v>1102</v>
      </c>
      <c r="BL219" s="647"/>
      <c r="BM219" s="600"/>
      <c r="BN219" s="647">
        <v>1102</v>
      </c>
      <c r="BO219" s="647"/>
      <c r="BP219" s="600"/>
      <c r="BQ219" s="647">
        <v>1102</v>
      </c>
      <c r="BR219" s="647"/>
      <c r="BS219" s="600"/>
      <c r="BT219" s="647">
        <v>1102</v>
      </c>
      <c r="BU219" s="647"/>
      <c r="BV219" s="600"/>
      <c r="BW219" s="647">
        <v>1102</v>
      </c>
      <c r="BX219" s="647"/>
      <c r="BY219" s="600"/>
      <c r="BZ219" s="647">
        <v>1102</v>
      </c>
      <c r="CA219" s="647"/>
      <c r="CB219" s="600"/>
      <c r="CC219" s="647">
        <v>1102</v>
      </c>
      <c r="CD219" s="647"/>
      <c r="CE219" s="600"/>
      <c r="CF219" s="647">
        <v>1102</v>
      </c>
      <c r="CG219" s="647"/>
      <c r="CH219" s="600"/>
      <c r="CI219" s="647">
        <v>1102</v>
      </c>
      <c r="CJ219" s="647"/>
      <c r="CK219" s="600"/>
      <c r="CL219" s="647">
        <v>1102</v>
      </c>
      <c r="CM219" s="647"/>
      <c r="CN219" s="600"/>
      <c r="CO219" s="647">
        <v>1102</v>
      </c>
      <c r="CP219" s="647"/>
      <c r="CQ219" s="600"/>
      <c r="CR219" s="647">
        <v>1102</v>
      </c>
      <c r="CS219" s="647"/>
      <c r="CT219" s="600"/>
      <c r="CU219" s="647">
        <v>1102</v>
      </c>
      <c r="CV219" s="647"/>
      <c r="CW219" s="600"/>
      <c r="CX219" s="647">
        <v>1102</v>
      </c>
      <c r="CY219" s="647"/>
      <c r="CZ219" s="600"/>
      <c r="DA219" s="647">
        <v>1102</v>
      </c>
      <c r="DB219" s="647"/>
      <c r="DC219" s="600"/>
      <c r="DD219" s="647">
        <v>1102</v>
      </c>
      <c r="DE219" s="647"/>
      <c r="DF219" s="600"/>
      <c r="DG219" s="647">
        <v>1102</v>
      </c>
      <c r="DH219" s="647"/>
      <c r="DI219" s="600"/>
      <c r="DJ219" s="647">
        <v>1102</v>
      </c>
      <c r="DK219" s="647"/>
      <c r="DL219" s="600"/>
      <c r="DM219" s="647">
        <v>1102</v>
      </c>
      <c r="DN219" s="647"/>
      <c r="DO219" s="600"/>
      <c r="DP219" s="647">
        <v>1102</v>
      </c>
      <c r="DQ219" s="647"/>
      <c r="DR219" s="600"/>
      <c r="DS219" s="647">
        <v>1102</v>
      </c>
      <c r="DT219" s="647"/>
      <c r="DU219" s="600"/>
      <c r="DV219" s="647">
        <v>1102</v>
      </c>
      <c r="DW219" s="647"/>
      <c r="DX219" s="600"/>
      <c r="DY219" s="647">
        <v>1102</v>
      </c>
      <c r="DZ219" s="647"/>
      <c r="EA219" s="600"/>
      <c r="EB219" s="647">
        <v>1102</v>
      </c>
      <c r="EC219" s="647"/>
      <c r="ED219" s="600"/>
      <c r="EE219" s="647">
        <v>1102</v>
      </c>
      <c r="EF219" s="647"/>
      <c r="EG219" s="600"/>
      <c r="EH219" s="647">
        <v>1102</v>
      </c>
      <c r="EI219" s="647"/>
      <c r="EJ219" s="600"/>
      <c r="EK219" s="647">
        <v>1102</v>
      </c>
      <c r="EL219" s="647"/>
      <c r="EM219" s="600"/>
      <c r="EN219" s="647">
        <v>1102</v>
      </c>
      <c r="EO219" s="647"/>
      <c r="EP219" s="600"/>
      <c r="EQ219" s="647">
        <v>1102</v>
      </c>
      <c r="ER219" s="647"/>
      <c r="ES219" s="600"/>
      <c r="ET219" s="647">
        <v>1102</v>
      </c>
      <c r="EU219" s="647"/>
      <c r="EV219" s="600"/>
      <c r="EW219" s="647">
        <v>1102</v>
      </c>
      <c r="EX219" s="647"/>
      <c r="EY219" s="600"/>
      <c r="EZ219" s="647">
        <v>1102</v>
      </c>
      <c r="FA219" s="647"/>
      <c r="FB219" s="600"/>
      <c r="FC219" s="647">
        <v>1102</v>
      </c>
      <c r="FD219" s="647"/>
      <c r="FE219" s="600"/>
      <c r="FF219" s="647">
        <v>1102</v>
      </c>
      <c r="FG219" s="647"/>
      <c r="FH219" s="600"/>
      <c r="FI219" s="647">
        <v>1102</v>
      </c>
      <c r="FJ219" s="647"/>
      <c r="FK219" s="600"/>
      <c r="FL219" s="647">
        <v>1102</v>
      </c>
      <c r="FM219" s="647"/>
      <c r="FN219" s="600"/>
      <c r="FO219" s="647">
        <v>1102</v>
      </c>
      <c r="FP219" s="647"/>
      <c r="FQ219" s="600"/>
      <c r="FR219" s="647">
        <v>1102</v>
      </c>
      <c r="FS219" s="647"/>
      <c r="FT219" s="600"/>
      <c r="FU219" s="647">
        <v>1102</v>
      </c>
      <c r="FV219" s="647"/>
      <c r="FW219" s="600"/>
      <c r="FX219" s="647">
        <v>1102</v>
      </c>
      <c r="FY219" s="647"/>
      <c r="FZ219" s="600"/>
      <c r="GA219" s="647">
        <v>1102</v>
      </c>
      <c r="GB219" s="647"/>
      <c r="GC219" s="600"/>
      <c r="GD219" s="647">
        <v>1102</v>
      </c>
      <c r="GE219" s="647"/>
      <c r="GF219" s="600"/>
      <c r="GG219" s="647">
        <v>1102</v>
      </c>
      <c r="GH219" s="647"/>
      <c r="GI219" s="600"/>
      <c r="GJ219" s="647">
        <v>1102</v>
      </c>
      <c r="GK219" s="647"/>
      <c r="GL219" s="600"/>
      <c r="GM219" s="647">
        <v>1102</v>
      </c>
      <c r="GN219" s="647"/>
      <c r="GO219" s="600"/>
      <c r="GP219" s="647">
        <v>1102</v>
      </c>
      <c r="GQ219" s="647"/>
      <c r="GR219" s="600"/>
      <c r="GS219" s="647">
        <v>1102</v>
      </c>
      <c r="GT219" s="647"/>
      <c r="GU219" s="600"/>
      <c r="GV219" s="647">
        <v>1102</v>
      </c>
      <c r="GW219" s="647"/>
      <c r="GX219" s="600"/>
      <c r="GY219" s="647">
        <v>1102</v>
      </c>
      <c r="GZ219" s="647"/>
      <c r="HA219" s="600"/>
      <c r="HB219" s="647">
        <v>1102</v>
      </c>
      <c r="HC219" s="647"/>
      <c r="HD219" s="600"/>
      <c r="HE219" s="647">
        <v>1102</v>
      </c>
      <c r="HF219" s="647"/>
      <c r="HG219" s="600"/>
      <c r="HH219" s="647">
        <v>1102</v>
      </c>
      <c r="HI219" s="600"/>
      <c r="HJ219" s="647">
        <v>1102</v>
      </c>
      <c r="HK219" s="600"/>
      <c r="HL219" s="647">
        <v>1102</v>
      </c>
      <c r="HM219" s="600"/>
      <c r="HN219" s="647">
        <v>1102</v>
      </c>
      <c r="HO219" s="600"/>
      <c r="HP219" s="647">
        <v>1102</v>
      </c>
      <c r="HQ219" s="600"/>
      <c r="HR219" s="648">
        <v>1300.7213114754097</v>
      </c>
      <c r="HS219" s="600"/>
      <c r="HT219" s="567"/>
      <c r="HU219" s="567"/>
      <c r="HV219" s="567"/>
      <c r="HW219" s="567"/>
      <c r="HX219" s="587"/>
      <c r="HY219" s="587"/>
      <c r="HZ219" s="587"/>
      <c r="IA219" s="587"/>
      <c r="IB219" s="587"/>
      <c r="IC219" s="587"/>
      <c r="ID219" s="587"/>
      <c r="IE219" s="587"/>
      <c r="IF219" s="587"/>
      <c r="IG219" s="587"/>
      <c r="IH219" s="588"/>
      <c r="II219" s="589"/>
      <c r="IJ219" s="588"/>
      <c r="IK219" s="589"/>
      <c r="IL219" s="588"/>
      <c r="IM219" s="589"/>
      <c r="IN219" s="588"/>
      <c r="IO219" s="589"/>
      <c r="IP219" s="588"/>
      <c r="IQ219" s="589"/>
      <c r="IR219" s="552" t="s">
        <v>3431</v>
      </c>
      <c r="IS219" s="587" t="s">
        <v>77</v>
      </c>
      <c r="IT219" s="611">
        <v>43795</v>
      </c>
      <c r="IU219" s="518">
        <v>43831</v>
      </c>
      <c r="IV219" s="552"/>
      <c r="IW219" s="526">
        <f t="shared" si="27"/>
        <v>36</v>
      </c>
      <c r="IX219" s="621">
        <f t="shared" si="28"/>
        <v>42.646600376242944</v>
      </c>
      <c r="IY219" s="621">
        <v>1300.7213114754097</v>
      </c>
      <c r="IZ219" s="374"/>
      <c r="JB219" s="653"/>
    </row>
    <row r="220" spans="1:262" s="367" customFormat="1" ht="16.5" customHeight="1" x14ac:dyDescent="0.3">
      <c r="A220" s="526" t="s">
        <v>2743</v>
      </c>
      <c r="B220" s="603" t="s">
        <v>2765</v>
      </c>
      <c r="C220" s="604" t="s">
        <v>2460</v>
      </c>
      <c r="D220" s="605">
        <v>2623</v>
      </c>
      <c r="E220" s="606">
        <v>60</v>
      </c>
      <c r="F220" s="606">
        <v>32</v>
      </c>
      <c r="G220" s="606">
        <v>14</v>
      </c>
      <c r="H220" s="607">
        <v>0</v>
      </c>
      <c r="I220" s="844">
        <v>2715</v>
      </c>
      <c r="J220" s="516">
        <v>14</v>
      </c>
      <c r="K220" s="516"/>
      <c r="L220" s="606">
        <v>2715</v>
      </c>
      <c r="M220" s="516">
        <v>14</v>
      </c>
      <c r="N220" s="516"/>
      <c r="O220" s="606">
        <v>2715</v>
      </c>
      <c r="P220" s="516">
        <v>14</v>
      </c>
      <c r="Q220" s="516"/>
      <c r="R220" s="606">
        <v>2715</v>
      </c>
      <c r="S220" s="516">
        <v>14</v>
      </c>
      <c r="T220" s="516"/>
      <c r="U220" s="606">
        <v>2715</v>
      </c>
      <c r="V220" s="516">
        <v>14</v>
      </c>
      <c r="W220" s="516"/>
      <c r="X220" s="606">
        <v>2715</v>
      </c>
      <c r="Y220" s="516">
        <v>14</v>
      </c>
      <c r="Z220" s="516"/>
      <c r="AA220" s="606">
        <v>2715</v>
      </c>
      <c r="AB220" s="516">
        <v>14</v>
      </c>
      <c r="AC220" s="516"/>
      <c r="AD220" s="606">
        <v>2715</v>
      </c>
      <c r="AE220" s="516">
        <v>14</v>
      </c>
      <c r="AF220" s="516"/>
      <c r="AG220" s="606">
        <v>2715</v>
      </c>
      <c r="AH220" s="516">
        <v>14</v>
      </c>
      <c r="AI220" s="516"/>
      <c r="AJ220" s="845">
        <f>((2715-2064)/30.5)*21+2715</f>
        <v>3163.2295081967213</v>
      </c>
      <c r="AK220" s="517">
        <f>((14/30.5)*21+14)</f>
        <v>23.639344262295083</v>
      </c>
      <c r="AL220" s="517"/>
      <c r="AM220" s="855">
        <v>2064</v>
      </c>
      <c r="AN220" s="600"/>
      <c r="AO220" s="600"/>
      <c r="AP220" s="597">
        <v>2064</v>
      </c>
      <c r="AQ220" s="600"/>
      <c r="AR220" s="600"/>
      <c r="AS220" s="597">
        <v>2064</v>
      </c>
      <c r="AT220" s="600"/>
      <c r="AU220" s="600"/>
      <c r="AV220" s="597">
        <v>2064</v>
      </c>
      <c r="AW220" s="600"/>
      <c r="AX220" s="600"/>
      <c r="AY220" s="597">
        <v>2064</v>
      </c>
      <c r="AZ220" s="600"/>
      <c r="BA220" s="600"/>
      <c r="BB220" s="647">
        <v>2064</v>
      </c>
      <c r="BC220" s="600"/>
      <c r="BD220" s="600"/>
      <c r="BE220" s="647">
        <v>2064</v>
      </c>
      <c r="BF220" s="600"/>
      <c r="BG220" s="600"/>
      <c r="BH220" s="647">
        <v>2064</v>
      </c>
      <c r="BI220" s="647"/>
      <c r="BJ220" s="600"/>
      <c r="BK220" s="647">
        <v>2064</v>
      </c>
      <c r="BL220" s="647"/>
      <c r="BM220" s="600"/>
      <c r="BN220" s="647">
        <v>2064</v>
      </c>
      <c r="BO220" s="647"/>
      <c r="BP220" s="600"/>
      <c r="BQ220" s="647">
        <v>2064</v>
      </c>
      <c r="BR220" s="647"/>
      <c r="BS220" s="600"/>
      <c r="BT220" s="647">
        <v>2064</v>
      </c>
      <c r="BU220" s="647"/>
      <c r="BV220" s="600"/>
      <c r="BW220" s="647">
        <v>2064</v>
      </c>
      <c r="BX220" s="647"/>
      <c r="BY220" s="600"/>
      <c r="BZ220" s="647">
        <v>2064</v>
      </c>
      <c r="CA220" s="647"/>
      <c r="CB220" s="600"/>
      <c r="CC220" s="647">
        <v>2064</v>
      </c>
      <c r="CD220" s="647"/>
      <c r="CE220" s="600"/>
      <c r="CF220" s="647">
        <v>2064</v>
      </c>
      <c r="CG220" s="647"/>
      <c r="CH220" s="600"/>
      <c r="CI220" s="647">
        <v>2064</v>
      </c>
      <c r="CJ220" s="647"/>
      <c r="CK220" s="600"/>
      <c r="CL220" s="647">
        <v>2064</v>
      </c>
      <c r="CM220" s="647"/>
      <c r="CN220" s="600"/>
      <c r="CO220" s="647">
        <v>2064</v>
      </c>
      <c r="CP220" s="647"/>
      <c r="CQ220" s="600"/>
      <c r="CR220" s="647">
        <v>2064</v>
      </c>
      <c r="CS220" s="647"/>
      <c r="CT220" s="600"/>
      <c r="CU220" s="647">
        <v>2064</v>
      </c>
      <c r="CV220" s="647"/>
      <c r="CW220" s="600"/>
      <c r="CX220" s="647">
        <v>2064</v>
      </c>
      <c r="CY220" s="647"/>
      <c r="CZ220" s="600"/>
      <c r="DA220" s="647">
        <v>2064</v>
      </c>
      <c r="DB220" s="647"/>
      <c r="DC220" s="600"/>
      <c r="DD220" s="647">
        <v>2064</v>
      </c>
      <c r="DE220" s="647"/>
      <c r="DF220" s="600"/>
      <c r="DG220" s="647">
        <v>2064</v>
      </c>
      <c r="DH220" s="647"/>
      <c r="DI220" s="600"/>
      <c r="DJ220" s="647">
        <v>2064</v>
      </c>
      <c r="DK220" s="647"/>
      <c r="DL220" s="600"/>
      <c r="DM220" s="647">
        <v>2064</v>
      </c>
      <c r="DN220" s="647"/>
      <c r="DO220" s="600"/>
      <c r="DP220" s="647">
        <v>2064</v>
      </c>
      <c r="DQ220" s="647"/>
      <c r="DR220" s="600"/>
      <c r="DS220" s="647">
        <v>2064</v>
      </c>
      <c r="DT220" s="647"/>
      <c r="DU220" s="600"/>
      <c r="DV220" s="647">
        <v>2064</v>
      </c>
      <c r="DW220" s="647"/>
      <c r="DX220" s="600"/>
      <c r="DY220" s="647">
        <v>2064</v>
      </c>
      <c r="DZ220" s="647"/>
      <c r="EA220" s="600"/>
      <c r="EB220" s="647">
        <v>2064</v>
      </c>
      <c r="EC220" s="647"/>
      <c r="ED220" s="600"/>
      <c r="EE220" s="647">
        <v>2064</v>
      </c>
      <c r="EF220" s="647"/>
      <c r="EG220" s="600"/>
      <c r="EH220" s="647">
        <v>2064</v>
      </c>
      <c r="EI220" s="647"/>
      <c r="EJ220" s="600"/>
      <c r="EK220" s="647">
        <v>2064</v>
      </c>
      <c r="EL220" s="647"/>
      <c r="EM220" s="600"/>
      <c r="EN220" s="647">
        <v>2064</v>
      </c>
      <c r="EO220" s="647"/>
      <c r="EP220" s="600"/>
      <c r="EQ220" s="647">
        <v>2064</v>
      </c>
      <c r="ER220" s="647"/>
      <c r="ES220" s="600"/>
      <c r="ET220" s="647">
        <v>2064</v>
      </c>
      <c r="EU220" s="647"/>
      <c r="EV220" s="600"/>
      <c r="EW220" s="647">
        <v>2064</v>
      </c>
      <c r="EX220" s="647"/>
      <c r="EY220" s="600"/>
      <c r="EZ220" s="647">
        <v>2064</v>
      </c>
      <c r="FA220" s="647"/>
      <c r="FB220" s="600"/>
      <c r="FC220" s="647">
        <v>2064</v>
      </c>
      <c r="FD220" s="647"/>
      <c r="FE220" s="600"/>
      <c r="FF220" s="647">
        <v>2064</v>
      </c>
      <c r="FG220" s="647"/>
      <c r="FH220" s="600"/>
      <c r="FI220" s="647">
        <v>2064</v>
      </c>
      <c r="FJ220" s="647"/>
      <c r="FK220" s="600"/>
      <c r="FL220" s="647">
        <v>2064</v>
      </c>
      <c r="FM220" s="647"/>
      <c r="FN220" s="600"/>
      <c r="FO220" s="647">
        <v>2064</v>
      </c>
      <c r="FP220" s="647"/>
      <c r="FQ220" s="600"/>
      <c r="FR220" s="647">
        <v>2064</v>
      </c>
      <c r="FS220" s="647"/>
      <c r="FT220" s="600"/>
      <c r="FU220" s="647">
        <v>2064</v>
      </c>
      <c r="FV220" s="647"/>
      <c r="FW220" s="600"/>
      <c r="FX220" s="647">
        <v>2064</v>
      </c>
      <c r="FY220" s="647"/>
      <c r="FZ220" s="600"/>
      <c r="GA220" s="647">
        <v>2064</v>
      </c>
      <c r="GB220" s="647"/>
      <c r="GC220" s="600"/>
      <c r="GD220" s="647">
        <v>2064</v>
      </c>
      <c r="GE220" s="647"/>
      <c r="GF220" s="600"/>
      <c r="GG220" s="647">
        <v>2064</v>
      </c>
      <c r="GH220" s="647"/>
      <c r="GI220" s="600"/>
      <c r="GJ220" s="647">
        <v>2064</v>
      </c>
      <c r="GK220" s="647"/>
      <c r="GL220" s="600"/>
      <c r="GM220" s="647">
        <v>2064</v>
      </c>
      <c r="GN220" s="647"/>
      <c r="GO220" s="600"/>
      <c r="GP220" s="647">
        <v>2064</v>
      </c>
      <c r="GQ220" s="647"/>
      <c r="GR220" s="600"/>
      <c r="GS220" s="647">
        <v>2064</v>
      </c>
      <c r="GT220" s="647"/>
      <c r="GU220" s="600"/>
      <c r="GV220" s="647">
        <v>2064</v>
      </c>
      <c r="GW220" s="647"/>
      <c r="GX220" s="600"/>
      <c r="GY220" s="647">
        <v>2064</v>
      </c>
      <c r="GZ220" s="647"/>
      <c r="HA220" s="600"/>
      <c r="HB220" s="647">
        <v>2064</v>
      </c>
      <c r="HC220" s="647"/>
      <c r="HD220" s="600"/>
      <c r="HE220" s="647">
        <v>2064</v>
      </c>
      <c r="HF220" s="647"/>
      <c r="HG220" s="600"/>
      <c r="HH220" s="647">
        <v>2064</v>
      </c>
      <c r="HI220" s="600"/>
      <c r="HJ220" s="647">
        <v>2064</v>
      </c>
      <c r="HK220" s="600"/>
      <c r="HL220" s="647">
        <v>2064</v>
      </c>
      <c r="HM220" s="600"/>
      <c r="HN220" s="647">
        <v>2064</v>
      </c>
      <c r="HO220" s="600"/>
      <c r="HP220" s="647">
        <v>2064</v>
      </c>
      <c r="HQ220" s="600"/>
      <c r="HR220" s="648">
        <v>3721.967213114754</v>
      </c>
      <c r="HS220" s="600"/>
      <c r="HT220" s="567"/>
      <c r="HU220" s="567"/>
      <c r="HV220" s="567"/>
      <c r="HW220" s="567"/>
      <c r="HX220" s="587"/>
      <c r="HY220" s="587"/>
      <c r="HZ220" s="587"/>
      <c r="IA220" s="587"/>
      <c r="IB220" s="587"/>
      <c r="IC220" s="587"/>
      <c r="ID220" s="587"/>
      <c r="IE220" s="587"/>
      <c r="IF220" s="587"/>
      <c r="IG220" s="587"/>
      <c r="IH220" s="588"/>
      <c r="II220" s="589"/>
      <c r="IJ220" s="588"/>
      <c r="IK220" s="589"/>
      <c r="IL220" s="588"/>
      <c r="IM220" s="589"/>
      <c r="IN220" s="588"/>
      <c r="IO220" s="589"/>
      <c r="IP220" s="588"/>
      <c r="IQ220" s="589"/>
      <c r="IR220" s="552" t="s">
        <v>3432</v>
      </c>
      <c r="IS220" s="587" t="s">
        <v>77</v>
      </c>
      <c r="IT220" s="611">
        <v>43776</v>
      </c>
      <c r="IU220" s="518">
        <v>43831</v>
      </c>
      <c r="IV220" s="552"/>
      <c r="IW220" s="526">
        <f t="shared" si="27"/>
        <v>55</v>
      </c>
      <c r="IX220" s="621">
        <f t="shared" si="28"/>
        <v>122.03171190540178</v>
      </c>
      <c r="IY220" s="621">
        <v>3721.967213114754</v>
      </c>
      <c r="IZ220" s="374"/>
      <c r="JB220" s="653"/>
    </row>
    <row r="221" spans="1:262" s="367" customFormat="1" ht="16.5" customHeight="1" x14ac:dyDescent="0.3">
      <c r="A221" s="526" t="s">
        <v>2758</v>
      </c>
      <c r="B221" s="594" t="s">
        <v>2926</v>
      </c>
      <c r="C221" s="595" t="s">
        <v>2030</v>
      </c>
      <c r="D221" s="596">
        <v>1665</v>
      </c>
      <c r="E221" s="597">
        <v>239</v>
      </c>
      <c r="F221" s="597">
        <v>16</v>
      </c>
      <c r="G221" s="597">
        <v>0</v>
      </c>
      <c r="H221" s="598">
        <v>0</v>
      </c>
      <c r="I221" s="911">
        <v>1920</v>
      </c>
      <c r="J221" s="658"/>
      <c r="K221" s="658"/>
      <c r="L221" s="677">
        <v>1920</v>
      </c>
      <c r="M221" s="658"/>
      <c r="N221" s="658"/>
      <c r="O221" s="677">
        <v>1920</v>
      </c>
      <c r="P221" s="658"/>
      <c r="Q221" s="658"/>
      <c r="R221" s="677">
        <v>1920</v>
      </c>
      <c r="S221" s="658"/>
      <c r="T221" s="658"/>
      <c r="U221" s="677">
        <v>1920</v>
      </c>
      <c r="V221" s="658"/>
      <c r="W221" s="658"/>
      <c r="X221" s="677">
        <v>1920</v>
      </c>
      <c r="Y221" s="658"/>
      <c r="Z221" s="658"/>
      <c r="AA221" s="677">
        <v>1920</v>
      </c>
      <c r="AB221" s="658"/>
      <c r="AC221" s="658"/>
      <c r="AD221" s="677">
        <v>1920</v>
      </c>
      <c r="AE221" s="658"/>
      <c r="AF221" s="658"/>
      <c r="AG221" s="677">
        <v>1920</v>
      </c>
      <c r="AH221" s="658"/>
      <c r="AI221" s="658"/>
      <c r="AJ221" s="677">
        <v>1920</v>
      </c>
      <c r="AK221" s="658"/>
      <c r="AL221" s="658"/>
      <c r="AM221" s="597">
        <v>1920</v>
      </c>
      <c r="AN221" s="600"/>
      <c r="AO221" s="600"/>
      <c r="AP221" s="597">
        <v>1920</v>
      </c>
      <c r="AQ221" s="600"/>
      <c r="AR221" s="600"/>
      <c r="AS221" s="597">
        <v>1920</v>
      </c>
      <c r="AT221" s="600"/>
      <c r="AU221" s="600"/>
      <c r="AV221" s="597">
        <v>1920</v>
      </c>
      <c r="AW221" s="600"/>
      <c r="AX221" s="600"/>
      <c r="AY221" s="597">
        <v>1920</v>
      </c>
      <c r="AZ221" s="600"/>
      <c r="BA221" s="600"/>
      <c r="BB221" s="647">
        <v>1920</v>
      </c>
      <c r="BC221" s="600"/>
      <c r="BD221" s="600"/>
      <c r="BE221" s="647">
        <v>1920</v>
      </c>
      <c r="BF221" s="600"/>
      <c r="BG221" s="600"/>
      <c r="BH221" s="647">
        <v>1920</v>
      </c>
      <c r="BI221" s="647"/>
      <c r="BJ221" s="600"/>
      <c r="BK221" s="647">
        <v>1920</v>
      </c>
      <c r="BL221" s="647"/>
      <c r="BM221" s="600"/>
      <c r="BN221" s="647">
        <v>1920</v>
      </c>
      <c r="BO221" s="647"/>
      <c r="BP221" s="600"/>
      <c r="BQ221" s="647">
        <v>1920</v>
      </c>
      <c r="BR221" s="647"/>
      <c r="BS221" s="600"/>
      <c r="BT221" s="647">
        <v>1920</v>
      </c>
      <c r="BU221" s="647"/>
      <c r="BV221" s="600"/>
      <c r="BW221" s="647">
        <v>1920</v>
      </c>
      <c r="BX221" s="647"/>
      <c r="BY221" s="600"/>
      <c r="BZ221" s="647">
        <v>1920</v>
      </c>
      <c r="CA221" s="647"/>
      <c r="CB221" s="600"/>
      <c r="CC221" s="647">
        <v>1920</v>
      </c>
      <c r="CD221" s="647"/>
      <c r="CE221" s="600"/>
      <c r="CF221" s="647">
        <v>1920</v>
      </c>
      <c r="CG221" s="647"/>
      <c r="CH221" s="600"/>
      <c r="CI221" s="647">
        <v>1920</v>
      </c>
      <c r="CJ221" s="647"/>
      <c r="CK221" s="600"/>
      <c r="CL221" s="647">
        <v>1920</v>
      </c>
      <c r="CM221" s="647"/>
      <c r="CN221" s="600"/>
      <c r="CO221" s="647">
        <v>1920</v>
      </c>
      <c r="CP221" s="647"/>
      <c r="CQ221" s="600"/>
      <c r="CR221" s="647">
        <v>1920</v>
      </c>
      <c r="CS221" s="647"/>
      <c r="CT221" s="600"/>
      <c r="CU221" s="647">
        <v>1920</v>
      </c>
      <c r="CV221" s="647"/>
      <c r="CW221" s="600"/>
      <c r="CX221" s="647">
        <v>1920</v>
      </c>
      <c r="CY221" s="647"/>
      <c r="CZ221" s="600"/>
      <c r="DA221" s="647">
        <v>1920</v>
      </c>
      <c r="DB221" s="647"/>
      <c r="DC221" s="600"/>
      <c r="DD221" s="647">
        <v>1920</v>
      </c>
      <c r="DE221" s="647"/>
      <c r="DF221" s="600"/>
      <c r="DG221" s="647">
        <v>1920</v>
      </c>
      <c r="DH221" s="647"/>
      <c r="DI221" s="600"/>
      <c r="DJ221" s="647">
        <v>1920</v>
      </c>
      <c r="DK221" s="647"/>
      <c r="DL221" s="600"/>
      <c r="DM221" s="647">
        <v>1920</v>
      </c>
      <c r="DN221" s="647"/>
      <c r="DO221" s="600"/>
      <c r="DP221" s="647">
        <v>1920</v>
      </c>
      <c r="DQ221" s="647"/>
      <c r="DR221" s="600"/>
      <c r="DS221" s="647">
        <v>1920</v>
      </c>
      <c r="DT221" s="647"/>
      <c r="DU221" s="600"/>
      <c r="DV221" s="647">
        <v>1920</v>
      </c>
      <c r="DW221" s="647"/>
      <c r="DX221" s="600"/>
      <c r="DY221" s="647">
        <v>1920</v>
      </c>
      <c r="DZ221" s="647"/>
      <c r="EA221" s="600"/>
      <c r="EB221" s="647">
        <v>1920</v>
      </c>
      <c r="EC221" s="647"/>
      <c r="ED221" s="600"/>
      <c r="EE221" s="647">
        <v>1920</v>
      </c>
      <c r="EF221" s="647"/>
      <c r="EG221" s="600"/>
      <c r="EH221" s="647">
        <v>1920</v>
      </c>
      <c r="EI221" s="647"/>
      <c r="EJ221" s="600"/>
      <c r="EK221" s="647">
        <v>1920</v>
      </c>
      <c r="EL221" s="647"/>
      <c r="EM221" s="600"/>
      <c r="EN221" s="647">
        <v>1920</v>
      </c>
      <c r="EO221" s="647"/>
      <c r="EP221" s="600"/>
      <c r="EQ221" s="647">
        <v>1920</v>
      </c>
      <c r="ER221" s="647"/>
      <c r="ES221" s="600"/>
      <c r="ET221" s="647">
        <v>1920</v>
      </c>
      <c r="EU221" s="647"/>
      <c r="EV221" s="600"/>
      <c r="EW221" s="647">
        <v>1920</v>
      </c>
      <c r="EX221" s="647"/>
      <c r="EY221" s="600"/>
      <c r="EZ221" s="647">
        <v>1920</v>
      </c>
      <c r="FA221" s="647"/>
      <c r="FB221" s="600"/>
      <c r="FC221" s="647">
        <v>1920</v>
      </c>
      <c r="FD221" s="647"/>
      <c r="FE221" s="600"/>
      <c r="FF221" s="647">
        <v>1920</v>
      </c>
      <c r="FG221" s="647"/>
      <c r="FH221" s="600"/>
      <c r="FI221" s="647">
        <v>1920</v>
      </c>
      <c r="FJ221" s="647"/>
      <c r="FK221" s="600"/>
      <c r="FL221" s="647">
        <v>1920</v>
      </c>
      <c r="FM221" s="647"/>
      <c r="FN221" s="600"/>
      <c r="FO221" s="647">
        <v>1920</v>
      </c>
      <c r="FP221" s="647"/>
      <c r="FQ221" s="600"/>
      <c r="FR221" s="647">
        <v>1920</v>
      </c>
      <c r="FS221" s="647"/>
      <c r="FT221" s="600"/>
      <c r="FU221" s="647">
        <v>1920</v>
      </c>
      <c r="FV221" s="647"/>
      <c r="FW221" s="600"/>
      <c r="FX221" s="647">
        <v>1920</v>
      </c>
      <c r="FY221" s="647"/>
      <c r="FZ221" s="600"/>
      <c r="GA221" s="647">
        <v>1920</v>
      </c>
      <c r="GB221" s="647"/>
      <c r="GC221" s="600"/>
      <c r="GD221" s="647">
        <v>1920</v>
      </c>
      <c r="GE221" s="647"/>
      <c r="GF221" s="600"/>
      <c r="GG221" s="647">
        <v>1920</v>
      </c>
      <c r="GH221" s="647"/>
      <c r="GI221" s="600"/>
      <c r="GJ221" s="647">
        <v>1920</v>
      </c>
      <c r="GK221" s="647"/>
      <c r="GL221" s="600"/>
      <c r="GM221" s="647">
        <v>1920</v>
      </c>
      <c r="GN221" s="647"/>
      <c r="GO221" s="600"/>
      <c r="GP221" s="647">
        <v>1920</v>
      </c>
      <c r="GQ221" s="647"/>
      <c r="GR221" s="600"/>
      <c r="GS221" s="647">
        <v>1920</v>
      </c>
      <c r="GT221" s="647"/>
      <c r="GU221" s="600"/>
      <c r="GV221" s="647">
        <v>1920</v>
      </c>
      <c r="GW221" s="647"/>
      <c r="GX221" s="600"/>
      <c r="GY221" s="647">
        <v>1920</v>
      </c>
      <c r="GZ221" s="647"/>
      <c r="HA221" s="600"/>
      <c r="HB221" s="647">
        <v>1920</v>
      </c>
      <c r="HC221" s="647"/>
      <c r="HD221" s="600"/>
      <c r="HE221" s="647">
        <v>1920</v>
      </c>
      <c r="HF221" s="647"/>
      <c r="HG221" s="600"/>
      <c r="HH221" s="647">
        <v>1920</v>
      </c>
      <c r="HI221" s="600"/>
      <c r="HJ221" s="647">
        <v>1920</v>
      </c>
      <c r="HK221" s="600"/>
      <c r="HL221" s="647">
        <v>1920</v>
      </c>
      <c r="HM221" s="600"/>
      <c r="HN221" s="647">
        <v>1920</v>
      </c>
      <c r="HO221" s="600"/>
      <c r="HP221" s="647">
        <v>1920</v>
      </c>
      <c r="HQ221" s="600"/>
      <c r="HR221" s="648">
        <v>2203.2786885245901</v>
      </c>
      <c r="HS221" s="600"/>
      <c r="HT221" s="567"/>
      <c r="HU221" s="567"/>
      <c r="HV221" s="567"/>
      <c r="HW221" s="567"/>
      <c r="HX221" s="587"/>
      <c r="HY221" s="587"/>
      <c r="HZ221" s="587"/>
      <c r="IA221" s="587"/>
      <c r="IB221" s="587"/>
      <c r="IC221" s="587"/>
      <c r="ID221" s="587"/>
      <c r="IE221" s="587"/>
      <c r="IF221" s="587"/>
      <c r="IG221" s="587"/>
      <c r="IH221" s="588"/>
      <c r="II221" s="589"/>
      <c r="IJ221" s="588"/>
      <c r="IK221" s="589"/>
      <c r="IL221" s="588"/>
      <c r="IM221" s="589"/>
      <c r="IN221" s="588"/>
      <c r="IO221" s="589"/>
      <c r="IP221" s="588"/>
      <c r="IQ221" s="589"/>
      <c r="IR221" s="552" t="s">
        <v>3433</v>
      </c>
      <c r="IS221" s="587" t="s">
        <v>77</v>
      </c>
      <c r="IT221" s="611">
        <v>43796</v>
      </c>
      <c r="IU221" s="518">
        <v>43831</v>
      </c>
      <c r="IV221" s="552"/>
      <c r="IW221" s="526">
        <f t="shared" si="27"/>
        <v>35</v>
      </c>
      <c r="IX221" s="621">
        <f t="shared" si="28"/>
        <v>72.238645525396393</v>
      </c>
      <c r="IY221" s="621">
        <v>2203.2786885245901</v>
      </c>
      <c r="IZ221" s="374"/>
      <c r="JB221" s="653"/>
    </row>
    <row r="222" spans="1:262" s="367" customFormat="1" ht="16.5" customHeight="1" x14ac:dyDescent="0.3">
      <c r="A222" s="526" t="s">
        <v>2758</v>
      </c>
      <c r="B222" s="603" t="s">
        <v>2751</v>
      </c>
      <c r="C222" s="604" t="s">
        <v>2124</v>
      </c>
      <c r="D222" s="605">
        <v>568</v>
      </c>
      <c r="E222" s="606">
        <v>22</v>
      </c>
      <c r="F222" s="606">
        <v>20</v>
      </c>
      <c r="G222" s="606">
        <v>5</v>
      </c>
      <c r="H222" s="607">
        <v>0</v>
      </c>
      <c r="I222" s="844">
        <v>610</v>
      </c>
      <c r="J222" s="835">
        <v>5</v>
      </c>
      <c r="K222" s="600"/>
      <c r="L222" s="606">
        <v>610</v>
      </c>
      <c r="M222" s="835">
        <v>5</v>
      </c>
      <c r="N222" s="600"/>
      <c r="O222" s="606">
        <v>610</v>
      </c>
      <c r="P222" s="835">
        <v>5</v>
      </c>
      <c r="Q222" s="600"/>
      <c r="R222" s="606">
        <v>610</v>
      </c>
      <c r="S222" s="835">
        <v>5</v>
      </c>
      <c r="T222" s="600"/>
      <c r="U222" s="606">
        <v>610</v>
      </c>
      <c r="V222" s="835">
        <v>5</v>
      </c>
      <c r="W222" s="600"/>
      <c r="X222" s="606">
        <v>610</v>
      </c>
      <c r="Y222" s="835">
        <v>5</v>
      </c>
      <c r="Z222" s="600"/>
      <c r="AA222" s="606">
        <v>610</v>
      </c>
      <c r="AB222" s="835">
        <v>5</v>
      </c>
      <c r="AC222" s="600"/>
      <c r="AD222" s="606">
        <v>610</v>
      </c>
      <c r="AE222" s="835">
        <v>5</v>
      </c>
      <c r="AF222" s="600"/>
      <c r="AG222" s="606">
        <v>610</v>
      </c>
      <c r="AH222" s="835">
        <v>5</v>
      </c>
      <c r="AI222" s="600"/>
      <c r="AJ222" s="606">
        <v>610</v>
      </c>
      <c r="AK222" s="835">
        <v>5</v>
      </c>
      <c r="AL222" s="600"/>
      <c r="AM222" s="606">
        <v>610</v>
      </c>
      <c r="AN222" s="835">
        <v>5</v>
      </c>
      <c r="AO222" s="600"/>
      <c r="AP222" s="606">
        <v>610</v>
      </c>
      <c r="AQ222" s="835">
        <v>5</v>
      </c>
      <c r="AR222" s="600"/>
      <c r="AS222" s="606">
        <v>610</v>
      </c>
      <c r="AT222" s="835">
        <v>5</v>
      </c>
      <c r="AU222" s="600"/>
      <c r="AV222" s="606">
        <v>610</v>
      </c>
      <c r="AW222" s="835">
        <v>5</v>
      </c>
      <c r="AX222" s="600"/>
      <c r="AY222" s="606">
        <v>610</v>
      </c>
      <c r="AZ222" s="835">
        <v>5</v>
      </c>
      <c r="BA222" s="600"/>
      <c r="BB222" s="654">
        <v>610</v>
      </c>
      <c r="BC222" s="384">
        <v>5</v>
      </c>
      <c r="BD222" s="600"/>
      <c r="BE222" s="654">
        <v>610</v>
      </c>
      <c r="BF222" s="384">
        <v>5</v>
      </c>
      <c r="BG222" s="600"/>
      <c r="BH222" s="654">
        <v>610</v>
      </c>
      <c r="BI222" s="384">
        <v>5</v>
      </c>
      <c r="BJ222" s="516"/>
      <c r="BK222" s="647">
        <v>610</v>
      </c>
      <c r="BL222" s="385">
        <v>5</v>
      </c>
      <c r="BM222" s="655"/>
      <c r="BN222" s="647">
        <v>610</v>
      </c>
      <c r="BO222" s="385">
        <v>5</v>
      </c>
      <c r="BP222" s="655"/>
      <c r="BQ222" s="647">
        <v>610</v>
      </c>
      <c r="BR222" s="385">
        <v>5</v>
      </c>
      <c r="BS222" s="655"/>
      <c r="BT222" s="647">
        <v>610</v>
      </c>
      <c r="BU222" s="385">
        <v>5</v>
      </c>
      <c r="BV222" s="655"/>
      <c r="BW222" s="647">
        <v>610</v>
      </c>
      <c r="BX222" s="385">
        <v>5</v>
      </c>
      <c r="BY222" s="655"/>
      <c r="BZ222" s="647">
        <v>610</v>
      </c>
      <c r="CA222" s="385">
        <v>5</v>
      </c>
      <c r="CB222" s="655"/>
      <c r="CC222" s="647">
        <v>610</v>
      </c>
      <c r="CD222" s="385">
        <v>5</v>
      </c>
      <c r="CE222" s="655"/>
      <c r="CF222" s="647">
        <v>610</v>
      </c>
      <c r="CG222" s="385">
        <v>5</v>
      </c>
      <c r="CH222" s="655"/>
      <c r="CI222" s="647">
        <v>610</v>
      </c>
      <c r="CJ222" s="385">
        <v>5</v>
      </c>
      <c r="CK222" s="655"/>
      <c r="CL222" s="647">
        <v>610</v>
      </c>
      <c r="CM222" s="385">
        <v>5</v>
      </c>
      <c r="CN222" s="655"/>
      <c r="CO222" s="647">
        <v>610</v>
      </c>
      <c r="CP222" s="385">
        <v>5</v>
      </c>
      <c r="CQ222" s="655"/>
      <c r="CR222" s="647">
        <v>610</v>
      </c>
      <c r="CS222" s="385">
        <v>5</v>
      </c>
      <c r="CT222" s="655"/>
      <c r="CU222" s="647">
        <v>610</v>
      </c>
      <c r="CV222" s="385">
        <v>5</v>
      </c>
      <c r="CW222" s="655"/>
      <c r="CX222" s="648">
        <f>(((610-368)/30.5)*18+(610-368)*2+610)-1772-1251</f>
        <v>-1786.1803278688526</v>
      </c>
      <c r="CY222" s="386">
        <f>5-((5/30.5)*7)</f>
        <v>3.8524590163934427</v>
      </c>
      <c r="CZ222" s="517"/>
      <c r="DA222" s="647">
        <v>1251</v>
      </c>
      <c r="DB222" s="385">
        <v>5</v>
      </c>
      <c r="DC222" s="655"/>
      <c r="DD222" s="648">
        <f>((1251-368)/30.5)*18+1251</f>
        <v>1772.1147540983607</v>
      </c>
      <c r="DE222" s="386">
        <f>(5/30.5)*18+5</f>
        <v>7.9508196721311473</v>
      </c>
      <c r="DF222" s="517"/>
      <c r="DG222" s="647">
        <v>368</v>
      </c>
      <c r="DH222" s="647"/>
      <c r="DI222" s="655"/>
      <c r="DJ222" s="647">
        <v>368</v>
      </c>
      <c r="DK222" s="647"/>
      <c r="DL222" s="655"/>
      <c r="DM222" s="647">
        <v>368</v>
      </c>
      <c r="DN222" s="647"/>
      <c r="DO222" s="655"/>
      <c r="DP222" s="647">
        <v>368</v>
      </c>
      <c r="DQ222" s="647"/>
      <c r="DR222" s="655"/>
      <c r="DS222" s="647">
        <v>368</v>
      </c>
      <c r="DT222" s="647"/>
      <c r="DU222" s="655"/>
      <c r="DV222" s="647">
        <v>368</v>
      </c>
      <c r="DW222" s="647"/>
      <c r="DX222" s="655"/>
      <c r="DY222" s="647">
        <v>368</v>
      </c>
      <c r="DZ222" s="647"/>
      <c r="EA222" s="655"/>
      <c r="EB222" s="647">
        <v>368</v>
      </c>
      <c r="EC222" s="647"/>
      <c r="ED222" s="655"/>
      <c r="EE222" s="647">
        <v>368</v>
      </c>
      <c r="EF222" s="647"/>
      <c r="EG222" s="655"/>
      <c r="EH222" s="647">
        <v>368</v>
      </c>
      <c r="EI222" s="647"/>
      <c r="EJ222" s="655"/>
      <c r="EK222" s="647">
        <v>368</v>
      </c>
      <c r="EL222" s="647"/>
      <c r="EM222" s="655"/>
      <c r="EN222" s="647">
        <v>368</v>
      </c>
      <c r="EO222" s="647"/>
      <c r="EP222" s="655"/>
      <c r="EQ222" s="647">
        <v>368</v>
      </c>
      <c r="ER222" s="647"/>
      <c r="ES222" s="655"/>
      <c r="ET222" s="647">
        <v>368</v>
      </c>
      <c r="EU222" s="647"/>
      <c r="EV222" s="655"/>
      <c r="EW222" s="647">
        <v>368</v>
      </c>
      <c r="EX222" s="647"/>
      <c r="EY222" s="655"/>
      <c r="EZ222" s="647">
        <v>368</v>
      </c>
      <c r="FA222" s="647"/>
      <c r="FB222" s="655"/>
      <c r="FC222" s="647">
        <v>368</v>
      </c>
      <c r="FD222" s="647"/>
      <c r="FE222" s="655"/>
      <c r="FF222" s="647">
        <f>(((368-254)/30.5)*17)+368</f>
        <v>431.5409836065574</v>
      </c>
      <c r="FG222" s="647"/>
      <c r="FH222" s="655"/>
      <c r="FI222" s="648">
        <f>(((368-254)/30.5)*17)+368</f>
        <v>431.5409836065574</v>
      </c>
      <c r="FJ222" s="648"/>
      <c r="FK222" s="517"/>
      <c r="FL222" s="647">
        <v>254</v>
      </c>
      <c r="FM222" s="647"/>
      <c r="FN222" s="600"/>
      <c r="FO222" s="647">
        <v>254</v>
      </c>
      <c r="FP222" s="647"/>
      <c r="FQ222" s="600"/>
      <c r="FR222" s="647">
        <v>254</v>
      </c>
      <c r="FS222" s="647"/>
      <c r="FT222" s="600"/>
      <c r="FU222" s="647">
        <v>254</v>
      </c>
      <c r="FV222" s="647"/>
      <c r="FW222" s="600"/>
      <c r="FX222" s="647">
        <v>254</v>
      </c>
      <c r="FY222" s="647"/>
      <c r="FZ222" s="600"/>
      <c r="GA222" s="647">
        <v>254</v>
      </c>
      <c r="GB222" s="647"/>
      <c r="GC222" s="600"/>
      <c r="GD222" s="647">
        <v>254</v>
      </c>
      <c r="GE222" s="647"/>
      <c r="GF222" s="600"/>
      <c r="GG222" s="647">
        <v>254</v>
      </c>
      <c r="GH222" s="647"/>
      <c r="GI222" s="600"/>
      <c r="GJ222" s="647">
        <v>254</v>
      </c>
      <c r="GK222" s="647"/>
      <c r="GL222" s="600"/>
      <c r="GM222" s="647">
        <v>254</v>
      </c>
      <c r="GN222" s="647"/>
      <c r="GO222" s="600"/>
      <c r="GP222" s="647">
        <v>254</v>
      </c>
      <c r="GQ222" s="647"/>
      <c r="GR222" s="600"/>
      <c r="GS222" s="647">
        <v>254</v>
      </c>
      <c r="GT222" s="647"/>
      <c r="GU222" s="600"/>
      <c r="GV222" s="647">
        <v>254</v>
      </c>
      <c r="GW222" s="647"/>
      <c r="GX222" s="600"/>
      <c r="GY222" s="647">
        <v>254</v>
      </c>
      <c r="GZ222" s="647"/>
      <c r="HA222" s="600"/>
      <c r="HB222" s="647">
        <v>254</v>
      </c>
      <c r="HC222" s="647"/>
      <c r="HD222" s="600"/>
      <c r="HE222" s="647">
        <v>254</v>
      </c>
      <c r="HF222" s="647"/>
      <c r="HG222" s="600"/>
      <c r="HH222" s="647">
        <v>254</v>
      </c>
      <c r="HI222" s="600"/>
      <c r="HJ222" s="647">
        <v>254</v>
      </c>
      <c r="HK222" s="600"/>
      <c r="HL222" s="647">
        <v>254</v>
      </c>
      <c r="HM222" s="600"/>
      <c r="HN222" s="647">
        <v>254</v>
      </c>
      <c r="HO222" s="600"/>
      <c r="HP222" s="647">
        <v>254</v>
      </c>
      <c r="HQ222" s="600"/>
      <c r="HR222" s="648">
        <v>358.09836065573768</v>
      </c>
      <c r="HS222" s="600"/>
      <c r="HT222" s="567"/>
      <c r="HU222" s="567"/>
      <c r="HV222" s="567"/>
      <c r="HW222" s="567"/>
      <c r="HX222" s="587"/>
      <c r="HY222" s="587"/>
      <c r="HZ222" s="587"/>
      <c r="IA222" s="587"/>
      <c r="IB222" s="587"/>
      <c r="IC222" s="587"/>
      <c r="ID222" s="587"/>
      <c r="IE222" s="587"/>
      <c r="IF222" s="587"/>
      <c r="IG222" s="587"/>
      <c r="IH222" s="588"/>
      <c r="II222" s="589"/>
      <c r="IJ222" s="588"/>
      <c r="IK222" s="589"/>
      <c r="IL222" s="588"/>
      <c r="IM222" s="589"/>
      <c r="IN222" s="588"/>
      <c r="IO222" s="589"/>
      <c r="IP222" s="588"/>
      <c r="IQ222" s="589"/>
      <c r="IR222" s="552" t="s">
        <v>3073</v>
      </c>
      <c r="IS222" s="587" t="s">
        <v>77</v>
      </c>
      <c r="IT222" s="611">
        <v>43788</v>
      </c>
      <c r="IU222" s="518">
        <v>43831</v>
      </c>
      <c r="IV222" s="518">
        <v>44453</v>
      </c>
      <c r="IW222" s="526">
        <f t="shared" si="27"/>
        <v>43</v>
      </c>
      <c r="IX222" s="621">
        <f t="shared" si="28"/>
        <v>11.74092985756517</v>
      </c>
      <c r="IY222" s="621">
        <v>358.09836065573768</v>
      </c>
      <c r="IZ222" s="374"/>
      <c r="JB222" s="653"/>
    </row>
    <row r="223" spans="1:262" s="367" customFormat="1" ht="16.5" customHeight="1" x14ac:dyDescent="0.3">
      <c r="A223" s="526" t="s">
        <v>2758</v>
      </c>
      <c r="B223" s="594" t="s">
        <v>2867</v>
      </c>
      <c r="C223" s="604" t="s">
        <v>2494</v>
      </c>
      <c r="D223" s="605">
        <v>290</v>
      </c>
      <c r="E223" s="606">
        <v>12</v>
      </c>
      <c r="F223" s="606">
        <v>0</v>
      </c>
      <c r="G223" s="606">
        <v>0</v>
      </c>
      <c r="H223" s="607">
        <v>0</v>
      </c>
      <c r="I223" s="844">
        <v>302</v>
      </c>
      <c r="J223" s="600"/>
      <c r="K223" s="600"/>
      <c r="L223" s="606">
        <v>302</v>
      </c>
      <c r="M223" s="600"/>
      <c r="N223" s="600"/>
      <c r="O223" s="606">
        <v>302</v>
      </c>
      <c r="P223" s="600"/>
      <c r="Q223" s="600"/>
      <c r="R223" s="606">
        <v>302</v>
      </c>
      <c r="S223" s="600"/>
      <c r="T223" s="600"/>
      <c r="U223" s="606">
        <v>302</v>
      </c>
      <c r="V223" s="600"/>
      <c r="W223" s="600"/>
      <c r="X223" s="606">
        <v>302</v>
      </c>
      <c r="Y223" s="600"/>
      <c r="Z223" s="600"/>
      <c r="AA223" s="606">
        <v>302</v>
      </c>
      <c r="AB223" s="600"/>
      <c r="AC223" s="600"/>
      <c r="AD223" s="606">
        <v>302</v>
      </c>
      <c r="AE223" s="600"/>
      <c r="AF223" s="600"/>
      <c r="AG223" s="606">
        <v>302</v>
      </c>
      <c r="AH223" s="600"/>
      <c r="AI223" s="600"/>
      <c r="AJ223" s="606">
        <v>302</v>
      </c>
      <c r="AK223" s="600"/>
      <c r="AL223" s="600"/>
      <c r="AM223" s="606">
        <v>302</v>
      </c>
      <c r="AN223" s="600"/>
      <c r="AO223" s="600"/>
      <c r="AP223" s="606">
        <v>302</v>
      </c>
      <c r="AQ223" s="600"/>
      <c r="AR223" s="600"/>
      <c r="AS223" s="909">
        <f>((302-225)/30.5)*31+302</f>
        <v>380.26229508196724</v>
      </c>
      <c r="AT223" s="600"/>
      <c r="AU223" s="600"/>
      <c r="AV223" s="597">
        <v>225</v>
      </c>
      <c r="AW223" s="600"/>
      <c r="AX223" s="600"/>
      <c r="AY223" s="597">
        <v>225</v>
      </c>
      <c r="AZ223" s="600"/>
      <c r="BA223" s="600"/>
      <c r="BB223" s="647">
        <v>225</v>
      </c>
      <c r="BC223" s="600"/>
      <c r="BD223" s="600"/>
      <c r="BE223" s="647">
        <v>225</v>
      </c>
      <c r="BF223" s="600"/>
      <c r="BG223" s="600"/>
      <c r="BH223" s="647">
        <v>225</v>
      </c>
      <c r="BI223" s="647"/>
      <c r="BJ223" s="600"/>
      <c r="BK223" s="647">
        <v>225</v>
      </c>
      <c r="BL223" s="647"/>
      <c r="BM223" s="600"/>
      <c r="BN223" s="647">
        <v>225</v>
      </c>
      <c r="BO223" s="647"/>
      <c r="BP223" s="600"/>
      <c r="BQ223" s="647">
        <v>225</v>
      </c>
      <c r="BR223" s="647"/>
      <c r="BS223" s="600"/>
      <c r="BT223" s="647">
        <v>225</v>
      </c>
      <c r="BU223" s="647"/>
      <c r="BV223" s="600"/>
      <c r="BW223" s="647">
        <v>225</v>
      </c>
      <c r="BX223" s="647"/>
      <c r="BY223" s="600"/>
      <c r="BZ223" s="647">
        <v>225</v>
      </c>
      <c r="CA223" s="647"/>
      <c r="CB223" s="600"/>
      <c r="CC223" s="647">
        <v>225</v>
      </c>
      <c r="CD223" s="647"/>
      <c r="CE223" s="600"/>
      <c r="CF223" s="647">
        <v>225</v>
      </c>
      <c r="CG223" s="647"/>
      <c r="CH223" s="600"/>
      <c r="CI223" s="647">
        <v>225</v>
      </c>
      <c r="CJ223" s="647"/>
      <c r="CK223" s="600"/>
      <c r="CL223" s="647">
        <v>225</v>
      </c>
      <c r="CM223" s="647"/>
      <c r="CN223" s="600"/>
      <c r="CO223" s="647">
        <v>225</v>
      </c>
      <c r="CP223" s="647"/>
      <c r="CQ223" s="600"/>
      <c r="CR223" s="647">
        <v>225</v>
      </c>
      <c r="CS223" s="647"/>
      <c r="CT223" s="600"/>
      <c r="CU223" s="647">
        <v>225</v>
      </c>
      <c r="CV223" s="647"/>
      <c r="CW223" s="600"/>
      <c r="CX223" s="647">
        <v>225</v>
      </c>
      <c r="CY223" s="647"/>
      <c r="CZ223" s="600"/>
      <c r="DA223" s="647">
        <v>225</v>
      </c>
      <c r="DB223" s="647"/>
      <c r="DC223" s="600"/>
      <c r="DD223" s="647">
        <v>225</v>
      </c>
      <c r="DE223" s="647"/>
      <c r="DF223" s="600"/>
      <c r="DG223" s="647">
        <v>225</v>
      </c>
      <c r="DH223" s="647"/>
      <c r="DI223" s="600"/>
      <c r="DJ223" s="647">
        <v>225</v>
      </c>
      <c r="DK223" s="647"/>
      <c r="DL223" s="600"/>
      <c r="DM223" s="647">
        <v>225</v>
      </c>
      <c r="DN223" s="647"/>
      <c r="DO223" s="600"/>
      <c r="DP223" s="647">
        <v>225</v>
      </c>
      <c r="DQ223" s="647"/>
      <c r="DR223" s="600"/>
      <c r="DS223" s="647">
        <v>225</v>
      </c>
      <c r="DT223" s="647"/>
      <c r="DU223" s="600"/>
      <c r="DV223" s="647">
        <v>225</v>
      </c>
      <c r="DW223" s="647"/>
      <c r="DX223" s="600"/>
      <c r="DY223" s="647">
        <v>225</v>
      </c>
      <c r="DZ223" s="647"/>
      <c r="EA223" s="600"/>
      <c r="EB223" s="647">
        <v>225</v>
      </c>
      <c r="EC223" s="647"/>
      <c r="ED223" s="600"/>
      <c r="EE223" s="647">
        <v>225</v>
      </c>
      <c r="EF223" s="647"/>
      <c r="EG223" s="600"/>
      <c r="EH223" s="647">
        <v>225</v>
      </c>
      <c r="EI223" s="647"/>
      <c r="EJ223" s="600"/>
      <c r="EK223" s="647">
        <v>225</v>
      </c>
      <c r="EL223" s="647"/>
      <c r="EM223" s="600"/>
      <c r="EN223" s="647">
        <v>225</v>
      </c>
      <c r="EO223" s="647"/>
      <c r="EP223" s="600"/>
      <c r="EQ223" s="647">
        <v>225</v>
      </c>
      <c r="ER223" s="647"/>
      <c r="ES223" s="600"/>
      <c r="ET223" s="647">
        <v>225</v>
      </c>
      <c r="EU223" s="647"/>
      <c r="EV223" s="600"/>
      <c r="EW223" s="647">
        <v>225</v>
      </c>
      <c r="EX223" s="647"/>
      <c r="EY223" s="600"/>
      <c r="EZ223" s="647">
        <v>225</v>
      </c>
      <c r="FA223" s="647"/>
      <c r="FB223" s="600"/>
      <c r="FC223" s="647">
        <v>225</v>
      </c>
      <c r="FD223" s="647"/>
      <c r="FE223" s="600"/>
      <c r="FF223" s="647">
        <v>225</v>
      </c>
      <c r="FG223" s="647"/>
      <c r="FH223" s="600"/>
      <c r="FI223" s="647">
        <v>225</v>
      </c>
      <c r="FJ223" s="647"/>
      <c r="FK223" s="600"/>
      <c r="FL223" s="647">
        <v>225</v>
      </c>
      <c r="FM223" s="647"/>
      <c r="FN223" s="600"/>
      <c r="FO223" s="647">
        <v>225</v>
      </c>
      <c r="FP223" s="647"/>
      <c r="FQ223" s="600"/>
      <c r="FR223" s="647">
        <v>225</v>
      </c>
      <c r="FS223" s="647"/>
      <c r="FT223" s="600"/>
      <c r="FU223" s="647">
        <v>225</v>
      </c>
      <c r="FV223" s="647"/>
      <c r="FW223" s="600"/>
      <c r="FX223" s="647">
        <v>225</v>
      </c>
      <c r="FY223" s="647"/>
      <c r="FZ223" s="600"/>
      <c r="GA223" s="647">
        <v>225</v>
      </c>
      <c r="GB223" s="647"/>
      <c r="GC223" s="600"/>
      <c r="GD223" s="647">
        <v>225</v>
      </c>
      <c r="GE223" s="647"/>
      <c r="GF223" s="600"/>
      <c r="GG223" s="647">
        <v>225</v>
      </c>
      <c r="GH223" s="647"/>
      <c r="GI223" s="600"/>
      <c r="GJ223" s="647">
        <v>225</v>
      </c>
      <c r="GK223" s="647"/>
      <c r="GL223" s="600"/>
      <c r="GM223" s="647">
        <v>225</v>
      </c>
      <c r="GN223" s="647"/>
      <c r="GO223" s="600"/>
      <c r="GP223" s="647">
        <v>225</v>
      </c>
      <c r="GQ223" s="647"/>
      <c r="GR223" s="600"/>
      <c r="GS223" s="647">
        <v>225</v>
      </c>
      <c r="GT223" s="647"/>
      <c r="GU223" s="600"/>
      <c r="GV223" s="647">
        <v>225</v>
      </c>
      <c r="GW223" s="647"/>
      <c r="GX223" s="600"/>
      <c r="GY223" s="647">
        <v>225</v>
      </c>
      <c r="GZ223" s="647"/>
      <c r="HA223" s="600"/>
      <c r="HB223" s="647">
        <v>225</v>
      </c>
      <c r="HC223" s="647"/>
      <c r="HD223" s="600"/>
      <c r="HE223" s="647">
        <v>225</v>
      </c>
      <c r="HF223" s="647"/>
      <c r="HG223" s="600"/>
      <c r="HH223" s="647">
        <v>225</v>
      </c>
      <c r="HI223" s="600"/>
      <c r="HJ223" s="647">
        <v>225</v>
      </c>
      <c r="HK223" s="600"/>
      <c r="HL223" s="647">
        <v>225</v>
      </c>
      <c r="HM223" s="600"/>
      <c r="HN223" s="647">
        <v>225</v>
      </c>
      <c r="HO223" s="600"/>
      <c r="HP223" s="647">
        <v>225</v>
      </c>
      <c r="HQ223" s="600"/>
      <c r="HR223" s="648">
        <v>317.21311475409834</v>
      </c>
      <c r="HS223" s="600"/>
      <c r="HT223" s="567"/>
      <c r="HU223" s="567"/>
      <c r="HV223" s="567"/>
      <c r="HW223" s="567"/>
      <c r="HX223" s="587"/>
      <c r="HY223" s="587"/>
      <c r="HZ223" s="587"/>
      <c r="IA223" s="587"/>
      <c r="IB223" s="587"/>
      <c r="IC223" s="587"/>
      <c r="ID223" s="587"/>
      <c r="IE223" s="587"/>
      <c r="IF223" s="587"/>
      <c r="IG223" s="587"/>
      <c r="IH223" s="588"/>
      <c r="II223" s="589"/>
      <c r="IJ223" s="588"/>
      <c r="IK223" s="589"/>
      <c r="IL223" s="588"/>
      <c r="IM223" s="589"/>
      <c r="IN223" s="588"/>
      <c r="IO223" s="589"/>
      <c r="IP223" s="588"/>
      <c r="IQ223" s="589"/>
      <c r="IR223" s="552" t="s">
        <v>3069</v>
      </c>
      <c r="IS223" s="587" t="s">
        <v>77</v>
      </c>
      <c r="IT223" s="611">
        <v>43788</v>
      </c>
      <c r="IU223" s="518">
        <v>43831</v>
      </c>
      <c r="IV223" s="552"/>
      <c r="IW223" s="526">
        <f t="shared" si="27"/>
        <v>43</v>
      </c>
      <c r="IX223" s="621">
        <f t="shared" si="28"/>
        <v>10.400429991937651</v>
      </c>
      <c r="IY223" s="621">
        <v>317.21311475409834</v>
      </c>
      <c r="IZ223" s="374"/>
      <c r="JB223" s="653"/>
    </row>
    <row r="224" spans="1:262" s="367" customFormat="1" ht="16.5" customHeight="1" x14ac:dyDescent="0.3">
      <c r="A224" s="526" t="s">
        <v>2743</v>
      </c>
      <c r="B224" s="594" t="s">
        <v>2748</v>
      </c>
      <c r="C224" s="595" t="s">
        <v>1080</v>
      </c>
      <c r="D224" s="596">
        <v>1149</v>
      </c>
      <c r="E224" s="597">
        <v>71</v>
      </c>
      <c r="F224" s="597">
        <v>16</v>
      </c>
      <c r="G224" s="597">
        <v>5</v>
      </c>
      <c r="H224" s="598">
        <v>0</v>
      </c>
      <c r="I224" s="659">
        <v>1235</v>
      </c>
      <c r="J224" s="655">
        <v>5</v>
      </c>
      <c r="K224" s="600"/>
      <c r="L224" s="655">
        <v>1235</v>
      </c>
      <c r="M224" s="655">
        <v>5</v>
      </c>
      <c r="N224" s="600"/>
      <c r="O224" s="655">
        <v>1235</v>
      </c>
      <c r="P224" s="655">
        <v>5</v>
      </c>
      <c r="Q224" s="600"/>
      <c r="R224" s="655">
        <v>1235</v>
      </c>
      <c r="S224" s="655">
        <v>5</v>
      </c>
      <c r="T224" s="600"/>
      <c r="U224" s="655">
        <v>1235</v>
      </c>
      <c r="V224" s="655">
        <v>5</v>
      </c>
      <c r="W224" s="600"/>
      <c r="X224" s="655">
        <v>1235</v>
      </c>
      <c r="Y224" s="655">
        <v>5</v>
      </c>
      <c r="Z224" s="600"/>
      <c r="AA224" s="655">
        <v>1235</v>
      </c>
      <c r="AB224" s="655">
        <v>5</v>
      </c>
      <c r="AC224" s="600"/>
      <c r="AD224" s="655">
        <v>1235</v>
      </c>
      <c r="AE224" s="655">
        <v>5</v>
      </c>
      <c r="AF224" s="600"/>
      <c r="AG224" s="655">
        <v>1235</v>
      </c>
      <c r="AH224" s="655">
        <v>5</v>
      </c>
      <c r="AI224" s="600"/>
      <c r="AJ224" s="655">
        <v>1235</v>
      </c>
      <c r="AK224" s="655">
        <v>5</v>
      </c>
      <c r="AL224" s="600"/>
      <c r="AM224" s="655">
        <v>1235</v>
      </c>
      <c r="AN224" s="655">
        <v>5</v>
      </c>
      <c r="AO224" s="600"/>
      <c r="AP224" s="655">
        <v>1235</v>
      </c>
      <c r="AQ224" s="655">
        <v>5</v>
      </c>
      <c r="AR224" s="600"/>
      <c r="AS224" s="655">
        <v>1235</v>
      </c>
      <c r="AT224" s="655">
        <v>5</v>
      </c>
      <c r="AU224" s="600"/>
      <c r="AV224" s="655">
        <v>1235</v>
      </c>
      <c r="AW224" s="655">
        <v>5</v>
      </c>
      <c r="AX224" s="600"/>
      <c r="AY224" s="655">
        <v>1235</v>
      </c>
      <c r="AZ224" s="655">
        <v>5</v>
      </c>
      <c r="BA224" s="600"/>
      <c r="BB224" s="655">
        <v>1235</v>
      </c>
      <c r="BC224" s="655">
        <v>5</v>
      </c>
      <c r="BD224" s="600"/>
      <c r="BE224" s="655">
        <v>1235</v>
      </c>
      <c r="BF224" s="655">
        <v>5</v>
      </c>
      <c r="BG224" s="600"/>
      <c r="BH224" s="655">
        <v>1235</v>
      </c>
      <c r="BI224" s="655">
        <v>5</v>
      </c>
      <c r="BJ224" s="655"/>
      <c r="BK224" s="655">
        <v>1235</v>
      </c>
      <c r="BL224" s="655">
        <v>5</v>
      </c>
      <c r="BM224" s="655"/>
      <c r="BN224" s="655">
        <v>1235</v>
      </c>
      <c r="BO224" s="655">
        <v>5</v>
      </c>
      <c r="BP224" s="655"/>
      <c r="BQ224" s="655">
        <v>1235</v>
      </c>
      <c r="BR224" s="655">
        <v>5</v>
      </c>
      <c r="BS224" s="655"/>
      <c r="BT224" s="655">
        <v>1235</v>
      </c>
      <c r="BU224" s="655">
        <v>5</v>
      </c>
      <c r="BV224" s="655"/>
      <c r="BW224" s="655">
        <v>1235</v>
      </c>
      <c r="BX224" s="655">
        <v>5</v>
      </c>
      <c r="BY224" s="655"/>
      <c r="BZ224" s="655">
        <v>1235</v>
      </c>
      <c r="CA224" s="655">
        <v>5</v>
      </c>
      <c r="CB224" s="655"/>
      <c r="CC224" s="655">
        <v>1235</v>
      </c>
      <c r="CD224" s="655">
        <v>5</v>
      </c>
      <c r="CE224" s="655"/>
      <c r="CF224" s="655">
        <v>1235</v>
      </c>
      <c r="CG224" s="655">
        <v>5</v>
      </c>
      <c r="CH224" s="655"/>
      <c r="CI224" s="655">
        <v>1235</v>
      </c>
      <c r="CJ224" s="655">
        <v>5</v>
      </c>
      <c r="CK224" s="655"/>
      <c r="CL224" s="655">
        <v>1235</v>
      </c>
      <c r="CM224" s="655">
        <v>5</v>
      </c>
      <c r="CN224" s="655"/>
      <c r="CO224" s="655">
        <v>1235</v>
      </c>
      <c r="CP224" s="655">
        <v>5</v>
      </c>
      <c r="CQ224" s="655"/>
      <c r="CR224" s="655">
        <v>1235</v>
      </c>
      <c r="CS224" s="655">
        <v>5</v>
      </c>
      <c r="CT224" s="655"/>
      <c r="CU224" s="655">
        <v>1235</v>
      </c>
      <c r="CV224" s="655">
        <v>5</v>
      </c>
      <c r="CW224" s="655"/>
      <c r="CX224" s="655">
        <v>1235</v>
      </c>
      <c r="CY224" s="655">
        <v>5</v>
      </c>
      <c r="CZ224" s="655"/>
      <c r="DA224" s="655">
        <v>1235</v>
      </c>
      <c r="DB224" s="655">
        <v>5</v>
      </c>
      <c r="DC224" s="655"/>
      <c r="DD224" s="655">
        <v>1235</v>
      </c>
      <c r="DE224" s="655">
        <v>5</v>
      </c>
      <c r="DF224" s="655"/>
      <c r="DG224" s="655">
        <v>1235</v>
      </c>
      <c r="DH224" s="655">
        <v>5</v>
      </c>
      <c r="DI224" s="655"/>
      <c r="DJ224" s="655">
        <v>1235</v>
      </c>
      <c r="DK224" s="655">
        <v>5</v>
      </c>
      <c r="DL224" s="655"/>
      <c r="DM224" s="655">
        <v>1235</v>
      </c>
      <c r="DN224" s="655">
        <v>5</v>
      </c>
      <c r="DO224" s="655"/>
      <c r="DP224" s="655">
        <v>1235</v>
      </c>
      <c r="DQ224" s="655">
        <v>5</v>
      </c>
      <c r="DR224" s="655"/>
      <c r="DS224" s="655">
        <v>1235</v>
      </c>
      <c r="DT224" s="655">
        <v>5</v>
      </c>
      <c r="DU224" s="655"/>
      <c r="DV224" s="517">
        <f>((1235-1564)*3)+1235</f>
        <v>248</v>
      </c>
      <c r="DW224" s="517">
        <f>((5-36)*3)+5</f>
        <v>-88</v>
      </c>
      <c r="DX224" s="517"/>
      <c r="DY224" s="647">
        <v>1564</v>
      </c>
      <c r="DZ224" s="647">
        <f>36</f>
        <v>36</v>
      </c>
      <c r="EA224" s="600"/>
      <c r="EB224" s="647">
        <v>1564</v>
      </c>
      <c r="EC224" s="647">
        <f>36</f>
        <v>36</v>
      </c>
      <c r="ED224" s="600"/>
      <c r="EE224" s="647">
        <v>1564</v>
      </c>
      <c r="EF224" s="647">
        <f>36</f>
        <v>36</v>
      </c>
      <c r="EG224" s="600"/>
      <c r="EH224" s="647">
        <v>1564</v>
      </c>
      <c r="EI224" s="647">
        <f>36</f>
        <v>36</v>
      </c>
      <c r="EJ224" s="600"/>
      <c r="EK224" s="647">
        <v>1564</v>
      </c>
      <c r="EL224" s="647">
        <f>36</f>
        <v>36</v>
      </c>
      <c r="EM224" s="600"/>
      <c r="EN224" s="647">
        <v>1564</v>
      </c>
      <c r="EO224" s="647">
        <f>36</f>
        <v>36</v>
      </c>
      <c r="EP224" s="600"/>
      <c r="EQ224" s="647">
        <v>1564</v>
      </c>
      <c r="ER224" s="647">
        <f>36</f>
        <v>36</v>
      </c>
      <c r="ES224" s="600"/>
      <c r="ET224" s="647">
        <v>1564</v>
      </c>
      <c r="EU224" s="647">
        <f>36</f>
        <v>36</v>
      </c>
      <c r="EV224" s="600"/>
      <c r="EW224" s="647">
        <v>1564</v>
      </c>
      <c r="EX224" s="647">
        <f>36</f>
        <v>36</v>
      </c>
      <c r="EY224" s="600"/>
      <c r="EZ224" s="647">
        <v>1564</v>
      </c>
      <c r="FA224" s="647">
        <f>36</f>
        <v>36</v>
      </c>
      <c r="FB224" s="600"/>
      <c r="FC224" s="647">
        <v>1564</v>
      </c>
      <c r="FD224" s="647">
        <f>36</f>
        <v>36</v>
      </c>
      <c r="FE224" s="600"/>
      <c r="FF224" s="647">
        <v>1564</v>
      </c>
      <c r="FG224" s="647">
        <f>36</f>
        <v>36</v>
      </c>
      <c r="FH224" s="600"/>
      <c r="FI224" s="647">
        <v>1564</v>
      </c>
      <c r="FJ224" s="647">
        <f>36</f>
        <v>36</v>
      </c>
      <c r="FK224" s="600"/>
      <c r="FL224" s="647">
        <v>1564</v>
      </c>
      <c r="FM224" s="647">
        <f>36</f>
        <v>36</v>
      </c>
      <c r="FN224" s="600"/>
      <c r="FO224" s="647">
        <v>1564</v>
      </c>
      <c r="FP224" s="647">
        <f>36</f>
        <v>36</v>
      </c>
      <c r="FQ224" s="600"/>
      <c r="FR224" s="647">
        <v>1564</v>
      </c>
      <c r="FS224" s="647">
        <f>36</f>
        <v>36</v>
      </c>
      <c r="FT224" s="600"/>
      <c r="FU224" s="647">
        <v>1564</v>
      </c>
      <c r="FV224" s="647">
        <f>36</f>
        <v>36</v>
      </c>
      <c r="FW224" s="600"/>
      <c r="FX224" s="647">
        <v>1564</v>
      </c>
      <c r="FY224" s="647">
        <f>36</f>
        <v>36</v>
      </c>
      <c r="FZ224" s="600"/>
      <c r="GA224" s="647">
        <v>1564</v>
      </c>
      <c r="GB224" s="647">
        <f>36</f>
        <v>36</v>
      </c>
      <c r="GC224" s="600"/>
      <c r="GD224" s="647">
        <v>1564</v>
      </c>
      <c r="GE224" s="647">
        <f>36</f>
        <v>36</v>
      </c>
      <c r="GF224" s="600"/>
      <c r="GG224" s="647">
        <v>1564</v>
      </c>
      <c r="GH224" s="647">
        <f>36</f>
        <v>36</v>
      </c>
      <c r="GI224" s="600"/>
      <c r="GJ224" s="647">
        <v>1564</v>
      </c>
      <c r="GK224" s="647">
        <f>36</f>
        <v>36</v>
      </c>
      <c r="GL224" s="600"/>
      <c r="GM224" s="647">
        <v>1564</v>
      </c>
      <c r="GN224" s="647">
        <f>36</f>
        <v>36</v>
      </c>
      <c r="GO224" s="600"/>
      <c r="GP224" s="647">
        <v>1564</v>
      </c>
      <c r="GQ224" s="647">
        <f>36</f>
        <v>36</v>
      </c>
      <c r="GR224" s="600"/>
      <c r="GS224" s="647">
        <v>1564</v>
      </c>
      <c r="GT224" s="647">
        <f>36</f>
        <v>36</v>
      </c>
      <c r="GU224" s="600"/>
      <c r="GV224" s="647">
        <v>1564</v>
      </c>
      <c r="GW224" s="647">
        <f>36</f>
        <v>36</v>
      </c>
      <c r="GX224" s="600"/>
      <c r="GY224" s="647">
        <v>1564</v>
      </c>
      <c r="GZ224" s="647">
        <f>36</f>
        <v>36</v>
      </c>
      <c r="HA224" s="600"/>
      <c r="HB224" s="647">
        <v>1564</v>
      </c>
      <c r="HC224" s="647">
        <f>36</f>
        <v>36</v>
      </c>
      <c r="HD224" s="600"/>
      <c r="HE224" s="647">
        <v>1564</v>
      </c>
      <c r="HF224" s="648">
        <f>36*6</f>
        <v>216</v>
      </c>
      <c r="HG224" s="600"/>
      <c r="HH224" s="647">
        <v>1564</v>
      </c>
      <c r="HI224" s="600"/>
      <c r="HJ224" s="647">
        <v>1564</v>
      </c>
      <c r="HK224" s="600"/>
      <c r="HL224" s="647">
        <v>1564</v>
      </c>
      <c r="HM224" s="600"/>
      <c r="HN224" s="647">
        <v>1564</v>
      </c>
      <c r="HO224" s="600"/>
      <c r="HP224" s="647">
        <v>1564</v>
      </c>
      <c r="HQ224" s="600"/>
      <c r="HR224" s="648">
        <v>2461.377049180328</v>
      </c>
      <c r="HS224" s="600"/>
      <c r="HT224" s="567"/>
      <c r="HU224" s="567"/>
      <c r="HV224" s="567"/>
      <c r="HW224" s="567"/>
      <c r="HX224" s="587"/>
      <c r="HY224" s="587"/>
      <c r="HZ224" s="587"/>
      <c r="IA224" s="587"/>
      <c r="IB224" s="587"/>
      <c r="IC224" s="587"/>
      <c r="ID224" s="587"/>
      <c r="IE224" s="587"/>
      <c r="IF224" s="587"/>
      <c r="IG224" s="587"/>
      <c r="IH224" s="588"/>
      <c r="II224" s="589"/>
      <c r="IJ224" s="588"/>
      <c r="IK224" s="589"/>
      <c r="IL224" s="588"/>
      <c r="IM224" s="589"/>
      <c r="IN224" s="588"/>
      <c r="IO224" s="589"/>
      <c r="IP224" s="588"/>
      <c r="IQ224" s="589"/>
      <c r="IR224" s="552" t="s">
        <v>3434</v>
      </c>
      <c r="IS224" s="587" t="s">
        <v>77</v>
      </c>
      <c r="IT224" s="611">
        <v>43783</v>
      </c>
      <c r="IU224" s="518">
        <v>43831</v>
      </c>
      <c r="IV224" s="518">
        <v>44774</v>
      </c>
      <c r="IW224" s="526">
        <f t="shared" si="27"/>
        <v>48</v>
      </c>
      <c r="IX224" s="621">
        <f t="shared" si="28"/>
        <v>80.700886858371405</v>
      </c>
      <c r="IY224" s="621">
        <v>2461.377049180328</v>
      </c>
      <c r="IZ224" s="374"/>
      <c r="JB224" s="653"/>
    </row>
    <row r="225" spans="1:262" s="367" customFormat="1" ht="16.5" customHeight="1" x14ac:dyDescent="0.3">
      <c r="A225" s="401" t="s">
        <v>3315</v>
      </c>
      <c r="B225" s="402" t="s">
        <v>3315</v>
      </c>
      <c r="C225" s="608" t="s">
        <v>3435</v>
      </c>
      <c r="D225" s="634"/>
      <c r="E225" s="635"/>
      <c r="F225" s="635"/>
      <c r="G225" s="635"/>
      <c r="H225" s="636"/>
      <c r="I225" s="853">
        <v>0</v>
      </c>
      <c r="J225" s="833">
        <v>0</v>
      </c>
      <c r="K225" s="833">
        <v>0</v>
      </c>
      <c r="L225" s="833">
        <v>0</v>
      </c>
      <c r="M225" s="833">
        <v>0</v>
      </c>
      <c r="N225" s="833">
        <v>0</v>
      </c>
      <c r="O225" s="833">
        <v>0</v>
      </c>
      <c r="P225" s="833">
        <v>0</v>
      </c>
      <c r="Q225" s="833">
        <v>0</v>
      </c>
      <c r="R225" s="833">
        <v>0</v>
      </c>
      <c r="S225" s="833">
        <v>0</v>
      </c>
      <c r="T225" s="833">
        <v>0</v>
      </c>
      <c r="U225" s="833">
        <v>0</v>
      </c>
      <c r="V225" s="833">
        <v>0</v>
      </c>
      <c r="W225" s="833">
        <v>0</v>
      </c>
      <c r="X225" s="833">
        <v>0</v>
      </c>
      <c r="Y225" s="833">
        <v>0</v>
      </c>
      <c r="Z225" s="833">
        <v>0</v>
      </c>
      <c r="AA225" s="833">
        <v>0</v>
      </c>
      <c r="AB225" s="833">
        <v>0</v>
      </c>
      <c r="AC225" s="833">
        <v>0</v>
      </c>
      <c r="AD225" s="833">
        <v>0</v>
      </c>
      <c r="AE225" s="833">
        <v>0</v>
      </c>
      <c r="AF225" s="833">
        <v>0</v>
      </c>
      <c r="AG225" s="833">
        <v>0</v>
      </c>
      <c r="AH225" s="833">
        <v>0</v>
      </c>
      <c r="AI225" s="833">
        <v>0</v>
      </c>
      <c r="AJ225" s="833">
        <v>0</v>
      </c>
      <c r="AK225" s="833">
        <v>0</v>
      </c>
      <c r="AL225" s="833">
        <v>0</v>
      </c>
      <c r="AM225" s="833">
        <v>0</v>
      </c>
      <c r="AN225" s="833">
        <v>0</v>
      </c>
      <c r="AO225" s="833">
        <v>0</v>
      </c>
      <c r="AP225" s="833">
        <v>0</v>
      </c>
      <c r="AQ225" s="833">
        <v>0</v>
      </c>
      <c r="AR225" s="833">
        <v>0</v>
      </c>
      <c r="AS225" s="833">
        <v>0</v>
      </c>
      <c r="AT225" s="833">
        <v>0</v>
      </c>
      <c r="AU225" s="833">
        <v>0</v>
      </c>
      <c r="AV225" s="635">
        <v>0</v>
      </c>
      <c r="AW225" s="635">
        <v>0</v>
      </c>
      <c r="AX225" s="660"/>
      <c r="AY225" s="635">
        <v>0</v>
      </c>
      <c r="AZ225" s="635">
        <v>0</v>
      </c>
      <c r="BA225" s="660"/>
      <c r="BB225" s="651">
        <v>0</v>
      </c>
      <c r="BC225" s="651">
        <v>0</v>
      </c>
      <c r="BD225" s="660"/>
      <c r="BE225" s="651">
        <v>0</v>
      </c>
      <c r="BF225" s="651">
        <v>0</v>
      </c>
      <c r="BG225" s="660"/>
      <c r="BH225" s="651">
        <v>0</v>
      </c>
      <c r="BI225" s="651">
        <v>0</v>
      </c>
      <c r="BJ225" s="660"/>
      <c r="BK225" s="651">
        <v>0</v>
      </c>
      <c r="BL225" s="651">
        <v>0</v>
      </c>
      <c r="BM225" s="660"/>
      <c r="BN225" s="651">
        <v>0</v>
      </c>
      <c r="BO225" s="651">
        <v>0</v>
      </c>
      <c r="BP225" s="660"/>
      <c r="BQ225" s="651">
        <v>0</v>
      </c>
      <c r="BR225" s="651">
        <v>0</v>
      </c>
      <c r="BS225" s="660"/>
      <c r="BT225" s="651">
        <v>0</v>
      </c>
      <c r="BU225" s="651">
        <v>0</v>
      </c>
      <c r="BV225" s="660"/>
      <c r="BW225" s="651">
        <v>0</v>
      </c>
      <c r="BX225" s="651">
        <v>0</v>
      </c>
      <c r="BY225" s="660"/>
      <c r="BZ225" s="651">
        <v>0</v>
      </c>
      <c r="CA225" s="651">
        <v>0</v>
      </c>
      <c r="CB225" s="660"/>
      <c r="CC225" s="651">
        <v>0</v>
      </c>
      <c r="CD225" s="651">
        <v>0</v>
      </c>
      <c r="CE225" s="660"/>
      <c r="CF225" s="651">
        <v>0</v>
      </c>
      <c r="CG225" s="651">
        <v>0</v>
      </c>
      <c r="CH225" s="660"/>
      <c r="CI225" s="651">
        <v>0</v>
      </c>
      <c r="CJ225" s="651">
        <v>0</v>
      </c>
      <c r="CK225" s="660"/>
      <c r="CL225" s="651">
        <v>0</v>
      </c>
      <c r="CM225" s="651">
        <v>0</v>
      </c>
      <c r="CN225" s="660"/>
      <c r="CO225" s="651">
        <v>0</v>
      </c>
      <c r="CP225" s="651">
        <v>0</v>
      </c>
      <c r="CQ225" s="660"/>
      <c r="CR225" s="651">
        <v>0</v>
      </c>
      <c r="CS225" s="651">
        <v>0</v>
      </c>
      <c r="CT225" s="660"/>
      <c r="CU225" s="651">
        <v>0</v>
      </c>
      <c r="CV225" s="651">
        <v>0</v>
      </c>
      <c r="CW225" s="660"/>
      <c r="CX225" s="651">
        <v>0</v>
      </c>
      <c r="CY225" s="651">
        <v>0</v>
      </c>
      <c r="CZ225" s="660"/>
      <c r="DA225" s="651">
        <v>0</v>
      </c>
      <c r="DB225" s="651">
        <v>0</v>
      </c>
      <c r="DC225" s="660"/>
      <c r="DD225" s="647">
        <v>1079</v>
      </c>
      <c r="DE225" s="647">
        <f>5</f>
        <v>5</v>
      </c>
      <c r="DF225" s="600"/>
      <c r="DG225" s="647">
        <v>1079</v>
      </c>
      <c r="DH225" s="647">
        <f>5</f>
        <v>5</v>
      </c>
      <c r="DI225" s="600"/>
      <c r="DJ225" s="647">
        <v>1079</v>
      </c>
      <c r="DK225" s="647">
        <f>5</f>
        <v>5</v>
      </c>
      <c r="DL225" s="600"/>
      <c r="DM225" s="647">
        <v>1079</v>
      </c>
      <c r="DN225" s="647">
        <f>5</f>
        <v>5</v>
      </c>
      <c r="DO225" s="600"/>
      <c r="DP225" s="647">
        <v>1079</v>
      </c>
      <c r="DQ225" s="647">
        <f>5</f>
        <v>5</v>
      </c>
      <c r="DR225" s="600"/>
      <c r="DS225" s="647">
        <v>1079</v>
      </c>
      <c r="DT225" s="647">
        <f>5</f>
        <v>5</v>
      </c>
      <c r="DU225" s="600"/>
      <c r="DV225" s="647">
        <v>1079</v>
      </c>
      <c r="DW225" s="647">
        <f>5</f>
        <v>5</v>
      </c>
      <c r="DX225" s="600"/>
      <c r="DY225" s="647">
        <v>1079</v>
      </c>
      <c r="DZ225" s="647">
        <f>5</f>
        <v>5</v>
      </c>
      <c r="EA225" s="600"/>
      <c r="EB225" s="647">
        <v>1079</v>
      </c>
      <c r="EC225" s="647">
        <f>5</f>
        <v>5</v>
      </c>
      <c r="ED225" s="600"/>
      <c r="EE225" s="647">
        <v>1079</v>
      </c>
      <c r="EF225" s="647">
        <f>5</f>
        <v>5</v>
      </c>
      <c r="EG225" s="600"/>
      <c r="EH225" s="647">
        <v>1079</v>
      </c>
      <c r="EI225" s="647">
        <f>5</f>
        <v>5</v>
      </c>
      <c r="EJ225" s="600"/>
      <c r="EK225" s="647">
        <v>1079</v>
      </c>
      <c r="EL225" s="647">
        <f>5</f>
        <v>5</v>
      </c>
      <c r="EM225" s="600"/>
      <c r="EN225" s="647">
        <v>1079</v>
      </c>
      <c r="EO225" s="647">
        <f>5</f>
        <v>5</v>
      </c>
      <c r="EP225" s="600"/>
      <c r="EQ225" s="647">
        <v>1079</v>
      </c>
      <c r="ER225" s="647">
        <f>5</f>
        <v>5</v>
      </c>
      <c r="ES225" s="600"/>
      <c r="ET225" s="647">
        <v>1079</v>
      </c>
      <c r="EU225" s="647">
        <f>5</f>
        <v>5</v>
      </c>
      <c r="EV225" s="600"/>
      <c r="EW225" s="647">
        <v>1079</v>
      </c>
      <c r="EX225" s="647">
        <f>5</f>
        <v>5</v>
      </c>
      <c r="EY225" s="600"/>
      <c r="EZ225" s="647">
        <v>1079</v>
      </c>
      <c r="FA225" s="647">
        <f>5</f>
        <v>5</v>
      </c>
      <c r="FB225" s="600"/>
      <c r="FC225" s="647">
        <v>1079</v>
      </c>
      <c r="FD225" s="647">
        <f>5</f>
        <v>5</v>
      </c>
      <c r="FE225" s="600"/>
      <c r="FF225" s="647">
        <v>1079</v>
      </c>
      <c r="FG225" s="647">
        <f>5</f>
        <v>5</v>
      </c>
      <c r="FH225" s="600"/>
      <c r="FI225" s="647">
        <v>1079</v>
      </c>
      <c r="FJ225" s="647">
        <f>5</f>
        <v>5</v>
      </c>
      <c r="FK225" s="600"/>
      <c r="FL225" s="647">
        <v>1079</v>
      </c>
      <c r="FM225" s="647">
        <f>5</f>
        <v>5</v>
      </c>
      <c r="FN225" s="600"/>
      <c r="FO225" s="647">
        <v>1079</v>
      </c>
      <c r="FP225" s="647">
        <f>5</f>
        <v>5</v>
      </c>
      <c r="FQ225" s="600"/>
      <c r="FR225" s="647">
        <v>1079</v>
      </c>
      <c r="FS225" s="647">
        <f>5</f>
        <v>5</v>
      </c>
      <c r="FT225" s="600"/>
      <c r="FU225" s="647">
        <v>1079</v>
      </c>
      <c r="FV225" s="647">
        <f>5</f>
        <v>5</v>
      </c>
      <c r="FW225" s="600"/>
      <c r="FX225" s="647">
        <v>1079</v>
      </c>
      <c r="FY225" s="647">
        <f>5</f>
        <v>5</v>
      </c>
      <c r="FZ225" s="600"/>
      <c r="GA225" s="647">
        <v>1079</v>
      </c>
      <c r="GB225" s="647">
        <f>5</f>
        <v>5</v>
      </c>
      <c r="GC225" s="600"/>
      <c r="GD225" s="647">
        <v>1079</v>
      </c>
      <c r="GE225" s="647">
        <f>5</f>
        <v>5</v>
      </c>
      <c r="GF225" s="600"/>
      <c r="GG225" s="647">
        <v>1079</v>
      </c>
      <c r="GH225" s="647">
        <f>5</f>
        <v>5</v>
      </c>
      <c r="GI225" s="600"/>
      <c r="GJ225" s="647">
        <v>1079</v>
      </c>
      <c r="GK225" s="647">
        <f>5</f>
        <v>5</v>
      </c>
      <c r="GL225" s="600"/>
      <c r="GM225" s="647">
        <v>1079</v>
      </c>
      <c r="GN225" s="647">
        <f>5</f>
        <v>5</v>
      </c>
      <c r="GO225" s="600"/>
      <c r="GP225" s="647">
        <v>1079</v>
      </c>
      <c r="GQ225" s="647">
        <f>5</f>
        <v>5</v>
      </c>
      <c r="GR225" s="600"/>
      <c r="GS225" s="647">
        <v>1079</v>
      </c>
      <c r="GT225" s="647">
        <f>5</f>
        <v>5</v>
      </c>
      <c r="GU225" s="600"/>
      <c r="GV225" s="647">
        <v>1079</v>
      </c>
      <c r="GW225" s="647">
        <f>5</f>
        <v>5</v>
      </c>
      <c r="GX225" s="600"/>
      <c r="GY225" s="647">
        <v>1079</v>
      </c>
      <c r="GZ225" s="647">
        <f>5</f>
        <v>5</v>
      </c>
      <c r="HA225" s="600"/>
      <c r="HB225" s="647">
        <v>1079</v>
      </c>
      <c r="HC225" s="647">
        <f>5</f>
        <v>5</v>
      </c>
      <c r="HD225" s="600"/>
      <c r="HE225" s="647">
        <v>1079</v>
      </c>
      <c r="HF225" s="648">
        <f>5*6</f>
        <v>30</v>
      </c>
      <c r="HG225" s="600"/>
      <c r="HH225" s="647">
        <v>1079</v>
      </c>
      <c r="HI225" s="600"/>
      <c r="HJ225" s="647">
        <v>1079</v>
      </c>
      <c r="HK225" s="600"/>
      <c r="HL225" s="647">
        <v>1079</v>
      </c>
      <c r="HM225" s="600"/>
      <c r="HN225" s="647">
        <v>1079</v>
      </c>
      <c r="HO225" s="600"/>
      <c r="HP225" s="647">
        <v>1079</v>
      </c>
      <c r="HQ225" s="600"/>
      <c r="HR225" s="648">
        <v>1627.3442622950818</v>
      </c>
      <c r="HS225" s="600"/>
      <c r="HT225" s="567"/>
      <c r="HU225" s="567"/>
      <c r="HV225" s="567"/>
      <c r="HW225" s="567"/>
      <c r="HX225" s="587"/>
      <c r="HY225" s="587"/>
      <c r="HZ225" s="587"/>
      <c r="IA225" s="587"/>
      <c r="IB225" s="587"/>
      <c r="IC225" s="587"/>
      <c r="ID225" s="587"/>
      <c r="IE225" s="587"/>
      <c r="IF225" s="587"/>
      <c r="IG225" s="587"/>
      <c r="IH225" s="588"/>
      <c r="II225" s="589"/>
      <c r="IJ225" s="588"/>
      <c r="IK225" s="589"/>
      <c r="IL225" s="588"/>
      <c r="IM225" s="589"/>
      <c r="IN225" s="588"/>
      <c r="IO225" s="589"/>
      <c r="IP225" s="588"/>
      <c r="IQ225" s="589"/>
      <c r="IR225" s="552" t="s">
        <v>3436</v>
      </c>
      <c r="IS225" s="587" t="s">
        <v>77</v>
      </c>
      <c r="IT225" s="611">
        <v>43785</v>
      </c>
      <c r="IU225" s="518">
        <v>43831</v>
      </c>
      <c r="IV225" s="552"/>
      <c r="IW225" s="526">
        <f t="shared" si="27"/>
        <v>46</v>
      </c>
      <c r="IX225" s="621">
        <f t="shared" si="28"/>
        <v>53.355549583445303</v>
      </c>
      <c r="IY225" s="621">
        <v>1627.3442622950818</v>
      </c>
      <c r="IZ225" s="374"/>
      <c r="JB225" s="653"/>
    </row>
    <row r="226" spans="1:262" s="367" customFormat="1" ht="16.5" customHeight="1" x14ac:dyDescent="0.3">
      <c r="A226" s="526" t="s">
        <v>2758</v>
      </c>
      <c r="B226" s="603" t="s">
        <v>2867</v>
      </c>
      <c r="C226" s="604" t="s">
        <v>2503</v>
      </c>
      <c r="D226" s="605">
        <v>290</v>
      </c>
      <c r="E226" s="606">
        <v>12</v>
      </c>
      <c r="F226" s="606">
        <v>0</v>
      </c>
      <c r="G226" s="606">
        <v>0</v>
      </c>
      <c r="H226" s="607">
        <v>0</v>
      </c>
      <c r="I226" s="844">
        <v>302</v>
      </c>
      <c r="J226" s="600"/>
      <c r="K226" s="600"/>
      <c r="L226" s="606">
        <v>302</v>
      </c>
      <c r="M226" s="600"/>
      <c r="N226" s="600"/>
      <c r="O226" s="606">
        <v>302</v>
      </c>
      <c r="P226" s="600"/>
      <c r="Q226" s="600"/>
      <c r="R226" s="606">
        <v>302</v>
      </c>
      <c r="S226" s="600"/>
      <c r="T226" s="600"/>
      <c r="U226" s="606">
        <v>302</v>
      </c>
      <c r="V226" s="600"/>
      <c r="W226" s="600"/>
      <c r="X226" s="606">
        <v>302</v>
      </c>
      <c r="Y226" s="600"/>
      <c r="Z226" s="600"/>
      <c r="AA226" s="606">
        <v>302</v>
      </c>
      <c r="AB226" s="600"/>
      <c r="AC226" s="600"/>
      <c r="AD226" s="606">
        <v>302</v>
      </c>
      <c r="AE226" s="600"/>
      <c r="AF226" s="600"/>
      <c r="AG226" s="606">
        <v>302</v>
      </c>
      <c r="AH226" s="600"/>
      <c r="AI226" s="600"/>
      <c r="AJ226" s="606">
        <v>302</v>
      </c>
      <c r="AK226" s="600"/>
      <c r="AL226" s="600"/>
      <c r="AM226" s="606">
        <v>302</v>
      </c>
      <c r="AN226" s="600"/>
      <c r="AO226" s="600"/>
      <c r="AP226" s="606">
        <v>302</v>
      </c>
      <c r="AQ226" s="600"/>
      <c r="AR226" s="600"/>
      <c r="AS226" s="909">
        <f>((302-225)/30.5)*31+302</f>
        <v>380.26229508196724</v>
      </c>
      <c r="AT226" s="600"/>
      <c r="AU226" s="600"/>
      <c r="AV226" s="597">
        <v>225</v>
      </c>
      <c r="AW226" s="600"/>
      <c r="AX226" s="600"/>
      <c r="AY226" s="597">
        <v>225</v>
      </c>
      <c r="AZ226" s="600"/>
      <c r="BA226" s="600"/>
      <c r="BB226" s="647">
        <v>225</v>
      </c>
      <c r="BC226" s="600"/>
      <c r="BD226" s="600"/>
      <c r="BE226" s="647">
        <v>225</v>
      </c>
      <c r="BF226" s="600"/>
      <c r="BG226" s="600"/>
      <c r="BH226" s="647">
        <v>225</v>
      </c>
      <c r="BI226" s="647"/>
      <c r="BJ226" s="600"/>
      <c r="BK226" s="647">
        <v>225</v>
      </c>
      <c r="BL226" s="647"/>
      <c r="BM226" s="600"/>
      <c r="BN226" s="647">
        <v>225</v>
      </c>
      <c r="BO226" s="647"/>
      <c r="BP226" s="600"/>
      <c r="BQ226" s="647">
        <v>225</v>
      </c>
      <c r="BR226" s="647"/>
      <c r="BS226" s="600"/>
      <c r="BT226" s="647">
        <v>225</v>
      </c>
      <c r="BU226" s="647"/>
      <c r="BV226" s="600"/>
      <c r="BW226" s="647">
        <v>225</v>
      </c>
      <c r="BX226" s="647"/>
      <c r="BY226" s="600"/>
      <c r="BZ226" s="647">
        <v>225</v>
      </c>
      <c r="CA226" s="647"/>
      <c r="CB226" s="600"/>
      <c r="CC226" s="647">
        <v>225</v>
      </c>
      <c r="CD226" s="647"/>
      <c r="CE226" s="600"/>
      <c r="CF226" s="647">
        <v>225</v>
      </c>
      <c r="CG226" s="647"/>
      <c r="CH226" s="600"/>
      <c r="CI226" s="647">
        <v>225</v>
      </c>
      <c r="CJ226" s="647"/>
      <c r="CK226" s="600"/>
      <c r="CL226" s="647">
        <v>225</v>
      </c>
      <c r="CM226" s="647"/>
      <c r="CN226" s="600"/>
      <c r="CO226" s="647">
        <v>225</v>
      </c>
      <c r="CP226" s="647"/>
      <c r="CQ226" s="600"/>
      <c r="CR226" s="647">
        <v>225</v>
      </c>
      <c r="CS226" s="647"/>
      <c r="CT226" s="600"/>
      <c r="CU226" s="647">
        <v>225</v>
      </c>
      <c r="CV226" s="647"/>
      <c r="CW226" s="600"/>
      <c r="CX226" s="647">
        <v>225</v>
      </c>
      <c r="CY226" s="647"/>
      <c r="CZ226" s="600"/>
      <c r="DA226" s="647">
        <v>225</v>
      </c>
      <c r="DB226" s="647"/>
      <c r="DC226" s="600"/>
      <c r="DD226" s="647">
        <v>225</v>
      </c>
      <c r="DE226" s="647"/>
      <c r="DF226" s="600"/>
      <c r="DG226" s="647">
        <v>225</v>
      </c>
      <c r="DH226" s="647"/>
      <c r="DI226" s="600"/>
      <c r="DJ226" s="647">
        <v>225</v>
      </c>
      <c r="DK226" s="647"/>
      <c r="DL226" s="600"/>
      <c r="DM226" s="647">
        <v>225</v>
      </c>
      <c r="DN226" s="647"/>
      <c r="DO226" s="600"/>
      <c r="DP226" s="647">
        <v>225</v>
      </c>
      <c r="DQ226" s="647"/>
      <c r="DR226" s="600"/>
      <c r="DS226" s="647">
        <v>225</v>
      </c>
      <c r="DT226" s="647"/>
      <c r="DU226" s="600"/>
      <c r="DV226" s="647">
        <v>225</v>
      </c>
      <c r="DW226" s="647"/>
      <c r="DX226" s="600"/>
      <c r="DY226" s="647">
        <v>225</v>
      </c>
      <c r="DZ226" s="647"/>
      <c r="EA226" s="600"/>
      <c r="EB226" s="647">
        <v>225</v>
      </c>
      <c r="EC226" s="647"/>
      <c r="ED226" s="600"/>
      <c r="EE226" s="647">
        <v>225</v>
      </c>
      <c r="EF226" s="647"/>
      <c r="EG226" s="600"/>
      <c r="EH226" s="647">
        <v>225</v>
      </c>
      <c r="EI226" s="647"/>
      <c r="EJ226" s="600"/>
      <c r="EK226" s="647">
        <v>225</v>
      </c>
      <c r="EL226" s="647"/>
      <c r="EM226" s="600"/>
      <c r="EN226" s="647">
        <v>225</v>
      </c>
      <c r="EO226" s="647"/>
      <c r="EP226" s="600"/>
      <c r="EQ226" s="647">
        <v>225</v>
      </c>
      <c r="ER226" s="647"/>
      <c r="ES226" s="600"/>
      <c r="ET226" s="647">
        <v>225</v>
      </c>
      <c r="EU226" s="647"/>
      <c r="EV226" s="600"/>
      <c r="EW226" s="647">
        <v>225</v>
      </c>
      <c r="EX226" s="647"/>
      <c r="EY226" s="600"/>
      <c r="EZ226" s="647">
        <v>225</v>
      </c>
      <c r="FA226" s="647"/>
      <c r="FB226" s="600"/>
      <c r="FC226" s="647">
        <v>225</v>
      </c>
      <c r="FD226" s="647"/>
      <c r="FE226" s="600"/>
      <c r="FF226" s="647">
        <v>225</v>
      </c>
      <c r="FG226" s="647"/>
      <c r="FH226" s="600"/>
      <c r="FI226" s="647">
        <v>225</v>
      </c>
      <c r="FJ226" s="647"/>
      <c r="FK226" s="600"/>
      <c r="FL226" s="647">
        <v>225</v>
      </c>
      <c r="FM226" s="647"/>
      <c r="FN226" s="600"/>
      <c r="FO226" s="647">
        <v>225</v>
      </c>
      <c r="FP226" s="647"/>
      <c r="FQ226" s="600"/>
      <c r="FR226" s="647">
        <v>225</v>
      </c>
      <c r="FS226" s="647"/>
      <c r="FT226" s="600"/>
      <c r="FU226" s="647">
        <v>225</v>
      </c>
      <c r="FV226" s="647"/>
      <c r="FW226" s="600"/>
      <c r="FX226" s="647">
        <v>225</v>
      </c>
      <c r="FY226" s="647"/>
      <c r="FZ226" s="600"/>
      <c r="GA226" s="647">
        <v>225</v>
      </c>
      <c r="GB226" s="647"/>
      <c r="GC226" s="600"/>
      <c r="GD226" s="647">
        <v>225</v>
      </c>
      <c r="GE226" s="647"/>
      <c r="GF226" s="600"/>
      <c r="GG226" s="647">
        <v>225</v>
      </c>
      <c r="GH226" s="647"/>
      <c r="GI226" s="600"/>
      <c r="GJ226" s="647">
        <v>225</v>
      </c>
      <c r="GK226" s="647"/>
      <c r="GL226" s="600"/>
      <c r="GM226" s="647">
        <v>225</v>
      </c>
      <c r="GN226" s="647"/>
      <c r="GO226" s="600"/>
      <c r="GP226" s="647">
        <v>225</v>
      </c>
      <c r="GQ226" s="647"/>
      <c r="GR226" s="600"/>
      <c r="GS226" s="647">
        <v>225</v>
      </c>
      <c r="GT226" s="647"/>
      <c r="GU226" s="600"/>
      <c r="GV226" s="647">
        <v>225</v>
      </c>
      <c r="GW226" s="647"/>
      <c r="GX226" s="600"/>
      <c r="GY226" s="647">
        <v>225</v>
      </c>
      <c r="GZ226" s="647"/>
      <c r="HA226" s="600"/>
      <c r="HB226" s="647">
        <v>225</v>
      </c>
      <c r="HC226" s="647"/>
      <c r="HD226" s="600"/>
      <c r="HE226" s="647">
        <v>225</v>
      </c>
      <c r="HF226" s="647"/>
      <c r="HG226" s="600"/>
      <c r="HH226" s="647">
        <v>225</v>
      </c>
      <c r="HI226" s="600"/>
      <c r="HJ226" s="647">
        <v>225</v>
      </c>
      <c r="HK226" s="600"/>
      <c r="HL226" s="647">
        <v>225</v>
      </c>
      <c r="HM226" s="600"/>
      <c r="HN226" s="647">
        <v>225</v>
      </c>
      <c r="HO226" s="600"/>
      <c r="HP226" s="647">
        <v>225</v>
      </c>
      <c r="HQ226" s="600"/>
      <c r="HR226" s="648">
        <v>272.95081967213116</v>
      </c>
      <c r="HS226" s="600"/>
      <c r="HT226" s="567"/>
      <c r="HU226" s="567"/>
      <c r="HV226" s="567"/>
      <c r="HW226" s="567"/>
      <c r="HX226" s="587"/>
      <c r="HY226" s="587"/>
      <c r="HZ226" s="587"/>
      <c r="IA226" s="587"/>
      <c r="IB226" s="587"/>
      <c r="IC226" s="587"/>
      <c r="ID226" s="587"/>
      <c r="IE226" s="587"/>
      <c r="IF226" s="587"/>
      <c r="IG226" s="587"/>
      <c r="IH226" s="588"/>
      <c r="II226" s="589"/>
      <c r="IJ226" s="588"/>
      <c r="IK226" s="589"/>
      <c r="IL226" s="588"/>
      <c r="IM226" s="589"/>
      <c r="IN226" s="588"/>
      <c r="IO226" s="589"/>
      <c r="IP226" s="588"/>
      <c r="IQ226" s="589"/>
      <c r="IR226" s="552" t="s">
        <v>3031</v>
      </c>
      <c r="IS226" s="587" t="s">
        <v>77</v>
      </c>
      <c r="IT226" s="611">
        <v>43794</v>
      </c>
      <c r="IU226" s="518">
        <v>43831</v>
      </c>
      <c r="IV226" s="552"/>
      <c r="IW226" s="526">
        <f t="shared" si="27"/>
        <v>37</v>
      </c>
      <c r="IX226" s="621">
        <f t="shared" si="28"/>
        <v>8.9492072023649563</v>
      </c>
      <c r="IY226" s="621">
        <v>272.95081967213116</v>
      </c>
      <c r="IZ226" s="374"/>
      <c r="JB226" s="653"/>
    </row>
    <row r="227" spans="1:262" s="367" customFormat="1" ht="16.5" customHeight="1" x14ac:dyDescent="0.3">
      <c r="A227" s="526" t="s">
        <v>2758</v>
      </c>
      <c r="B227" s="603" t="s">
        <v>2751</v>
      </c>
      <c r="C227" s="604" t="s">
        <v>2047</v>
      </c>
      <c r="D227" s="605">
        <v>568</v>
      </c>
      <c r="E227" s="606">
        <v>22</v>
      </c>
      <c r="F227" s="606">
        <v>8</v>
      </c>
      <c r="G227" s="606">
        <v>0</v>
      </c>
      <c r="H227" s="607">
        <v>0</v>
      </c>
      <c r="I227" s="844">
        <v>598</v>
      </c>
      <c r="J227" s="600"/>
      <c r="K227" s="600"/>
      <c r="L227" s="606">
        <v>598</v>
      </c>
      <c r="M227" s="600"/>
      <c r="N227" s="600"/>
      <c r="O227" s="606">
        <v>598</v>
      </c>
      <c r="P227" s="600"/>
      <c r="Q227" s="600"/>
      <c r="R227" s="606">
        <v>598</v>
      </c>
      <c r="S227" s="600"/>
      <c r="T227" s="600"/>
      <c r="U227" s="606">
        <v>598</v>
      </c>
      <c r="V227" s="600"/>
      <c r="W227" s="600"/>
      <c r="X227" s="606">
        <v>598</v>
      </c>
      <c r="Y227" s="600"/>
      <c r="Z227" s="600"/>
      <c r="AA227" s="606">
        <v>598</v>
      </c>
      <c r="AB227" s="600"/>
      <c r="AC227" s="600"/>
      <c r="AD227" s="606">
        <v>598</v>
      </c>
      <c r="AE227" s="600"/>
      <c r="AF227" s="600"/>
      <c r="AG227" s="606">
        <v>598</v>
      </c>
      <c r="AH227" s="600"/>
      <c r="AI227" s="600"/>
      <c r="AJ227" s="606">
        <v>598</v>
      </c>
      <c r="AK227" s="600"/>
      <c r="AL227" s="600"/>
      <c r="AM227" s="606">
        <v>598</v>
      </c>
      <c r="AN227" s="600"/>
      <c r="AO227" s="600"/>
      <c r="AP227" s="606">
        <v>598</v>
      </c>
      <c r="AQ227" s="600"/>
      <c r="AR227" s="600"/>
      <c r="AS227" s="909">
        <f>((598-599)/30.5)*31+598</f>
        <v>596.98360655737702</v>
      </c>
      <c r="AT227" s="600"/>
      <c r="AU227" s="600"/>
      <c r="AV227" s="597">
        <v>599</v>
      </c>
      <c r="AW227" s="600"/>
      <c r="AX227" s="600"/>
      <c r="AY227" s="597">
        <v>599</v>
      </c>
      <c r="AZ227" s="600"/>
      <c r="BA227" s="600"/>
      <c r="BB227" s="647">
        <v>599</v>
      </c>
      <c r="BC227" s="600"/>
      <c r="BD227" s="600"/>
      <c r="BE227" s="647">
        <v>599</v>
      </c>
      <c r="BF227" s="600"/>
      <c r="BG227" s="600"/>
      <c r="BH227" s="647">
        <v>599</v>
      </c>
      <c r="BI227" s="647"/>
      <c r="BJ227" s="600"/>
      <c r="BK227" s="647">
        <v>599</v>
      </c>
      <c r="BL227" s="647"/>
      <c r="BM227" s="600"/>
      <c r="BN227" s="647">
        <v>599</v>
      </c>
      <c r="BO227" s="647"/>
      <c r="BP227" s="600"/>
      <c r="BQ227" s="647">
        <v>599</v>
      </c>
      <c r="BR227" s="647"/>
      <c r="BS227" s="600"/>
      <c r="BT227" s="647">
        <v>599</v>
      </c>
      <c r="BU227" s="647"/>
      <c r="BV227" s="600"/>
      <c r="BW227" s="647">
        <v>599</v>
      </c>
      <c r="BX227" s="647"/>
      <c r="BY227" s="600"/>
      <c r="BZ227" s="647">
        <v>599</v>
      </c>
      <c r="CA227" s="647"/>
      <c r="CB227" s="600"/>
      <c r="CC227" s="647">
        <v>599</v>
      </c>
      <c r="CD227" s="647"/>
      <c r="CE227" s="600"/>
      <c r="CF227" s="647">
        <v>599</v>
      </c>
      <c r="CG227" s="647"/>
      <c r="CH227" s="600"/>
      <c r="CI227" s="647">
        <v>599</v>
      </c>
      <c r="CJ227" s="647"/>
      <c r="CK227" s="600"/>
      <c r="CL227" s="647">
        <v>599</v>
      </c>
      <c r="CM227" s="647"/>
      <c r="CN227" s="600"/>
      <c r="CO227" s="647">
        <v>599</v>
      </c>
      <c r="CP227" s="647"/>
      <c r="CQ227" s="600"/>
      <c r="CR227" s="647">
        <v>599</v>
      </c>
      <c r="CS227" s="647"/>
      <c r="CT227" s="600"/>
      <c r="CU227" s="647">
        <v>599</v>
      </c>
      <c r="CV227" s="647"/>
      <c r="CW227" s="600"/>
      <c r="CX227" s="647">
        <v>599</v>
      </c>
      <c r="CY227" s="647"/>
      <c r="CZ227" s="600"/>
      <c r="DA227" s="647">
        <v>599</v>
      </c>
      <c r="DB227" s="647"/>
      <c r="DC227" s="600"/>
      <c r="DD227" s="647">
        <v>599</v>
      </c>
      <c r="DE227" s="647"/>
      <c r="DF227" s="600"/>
      <c r="DG227" s="647">
        <v>599</v>
      </c>
      <c r="DH227" s="647"/>
      <c r="DI227" s="600"/>
      <c r="DJ227" s="647">
        <v>599</v>
      </c>
      <c r="DK227" s="647"/>
      <c r="DL227" s="600"/>
      <c r="DM227" s="647">
        <v>599</v>
      </c>
      <c r="DN227" s="647"/>
      <c r="DO227" s="600"/>
      <c r="DP227" s="647">
        <v>599</v>
      </c>
      <c r="DQ227" s="647"/>
      <c r="DR227" s="600"/>
      <c r="DS227" s="647">
        <v>599</v>
      </c>
      <c r="DT227" s="647"/>
      <c r="DU227" s="600"/>
      <c r="DV227" s="647">
        <v>599</v>
      </c>
      <c r="DW227" s="647"/>
      <c r="DX227" s="600"/>
      <c r="DY227" s="647">
        <v>599</v>
      </c>
      <c r="DZ227" s="647"/>
      <c r="EA227" s="600"/>
      <c r="EB227" s="647">
        <v>599</v>
      </c>
      <c r="EC227" s="647"/>
      <c r="ED227" s="600"/>
      <c r="EE227" s="647">
        <v>599</v>
      </c>
      <c r="EF227" s="647"/>
      <c r="EG227" s="600"/>
      <c r="EH227" s="647">
        <v>599</v>
      </c>
      <c r="EI227" s="647"/>
      <c r="EJ227" s="600"/>
      <c r="EK227" s="647">
        <v>599</v>
      </c>
      <c r="EL227" s="647"/>
      <c r="EM227" s="600"/>
      <c r="EN227" s="647">
        <v>599</v>
      </c>
      <c r="EO227" s="647"/>
      <c r="EP227" s="600"/>
      <c r="EQ227" s="647">
        <v>599</v>
      </c>
      <c r="ER227" s="647"/>
      <c r="ES227" s="600"/>
      <c r="ET227" s="647">
        <v>599</v>
      </c>
      <c r="EU227" s="647"/>
      <c r="EV227" s="600"/>
      <c r="EW227" s="647">
        <v>599</v>
      </c>
      <c r="EX227" s="647"/>
      <c r="EY227" s="600"/>
      <c r="EZ227" s="647">
        <v>599</v>
      </c>
      <c r="FA227" s="647"/>
      <c r="FB227" s="600"/>
      <c r="FC227" s="647">
        <v>599</v>
      </c>
      <c r="FD227" s="647"/>
      <c r="FE227" s="600"/>
      <c r="FF227" s="647">
        <v>599</v>
      </c>
      <c r="FG227" s="647"/>
      <c r="FH227" s="600"/>
      <c r="FI227" s="647">
        <v>599</v>
      </c>
      <c r="FJ227" s="647"/>
      <c r="FK227" s="600"/>
      <c r="FL227" s="647">
        <v>599</v>
      </c>
      <c r="FM227" s="647"/>
      <c r="FN227" s="600"/>
      <c r="FO227" s="647">
        <v>599</v>
      </c>
      <c r="FP227" s="647"/>
      <c r="FQ227" s="600"/>
      <c r="FR227" s="647">
        <v>599</v>
      </c>
      <c r="FS227" s="647"/>
      <c r="FT227" s="600"/>
      <c r="FU227" s="647">
        <v>599</v>
      </c>
      <c r="FV227" s="647"/>
      <c r="FW227" s="600"/>
      <c r="FX227" s="647">
        <v>599</v>
      </c>
      <c r="FY227" s="647"/>
      <c r="FZ227" s="600"/>
      <c r="GA227" s="647">
        <v>599</v>
      </c>
      <c r="GB227" s="647"/>
      <c r="GC227" s="600"/>
      <c r="GD227" s="647">
        <v>599</v>
      </c>
      <c r="GE227" s="647"/>
      <c r="GF227" s="600"/>
      <c r="GG227" s="647">
        <v>599</v>
      </c>
      <c r="GH227" s="647"/>
      <c r="GI227" s="600"/>
      <c r="GJ227" s="647">
        <v>599</v>
      </c>
      <c r="GK227" s="647"/>
      <c r="GL227" s="600"/>
      <c r="GM227" s="647">
        <v>599</v>
      </c>
      <c r="GN227" s="647"/>
      <c r="GO227" s="600"/>
      <c r="GP227" s="647">
        <v>599</v>
      </c>
      <c r="GQ227" s="647"/>
      <c r="GR227" s="600"/>
      <c r="GS227" s="647">
        <v>599</v>
      </c>
      <c r="GT227" s="647"/>
      <c r="GU227" s="600"/>
      <c r="GV227" s="647">
        <v>599</v>
      </c>
      <c r="GW227" s="647"/>
      <c r="GX227" s="600"/>
      <c r="GY227" s="647">
        <v>599</v>
      </c>
      <c r="GZ227" s="647"/>
      <c r="HA227" s="600"/>
      <c r="HB227" s="647">
        <v>599</v>
      </c>
      <c r="HC227" s="647"/>
      <c r="HD227" s="600"/>
      <c r="HE227" s="647">
        <v>599</v>
      </c>
      <c r="HF227" s="647"/>
      <c r="HG227" s="600"/>
      <c r="HH227" s="647">
        <v>599</v>
      </c>
      <c r="HI227" s="600"/>
      <c r="HJ227" s="647">
        <v>599</v>
      </c>
      <c r="HK227" s="600"/>
      <c r="HL227" s="647">
        <v>599</v>
      </c>
      <c r="HM227" s="600"/>
      <c r="HN227" s="647">
        <v>599</v>
      </c>
      <c r="HO227" s="600"/>
      <c r="HP227" s="647">
        <v>599</v>
      </c>
      <c r="HQ227" s="600"/>
      <c r="HR227" s="648">
        <v>726.65573770491801</v>
      </c>
      <c r="HS227" s="600"/>
      <c r="HT227" s="567"/>
      <c r="HU227" s="567"/>
      <c r="HV227" s="567"/>
      <c r="HW227" s="567"/>
      <c r="HX227" s="587"/>
      <c r="HY227" s="587"/>
      <c r="HZ227" s="587"/>
      <c r="IA227" s="587"/>
      <c r="IB227" s="587"/>
      <c r="IC227" s="587"/>
      <c r="ID227" s="587"/>
      <c r="IE227" s="587"/>
      <c r="IF227" s="587"/>
      <c r="IG227" s="587"/>
      <c r="IH227" s="588"/>
      <c r="II227" s="589"/>
      <c r="IJ227" s="588"/>
      <c r="IK227" s="589"/>
      <c r="IL227" s="588"/>
      <c r="IM227" s="589"/>
      <c r="IN227" s="588"/>
      <c r="IO227" s="589"/>
      <c r="IP227" s="588"/>
      <c r="IQ227" s="589"/>
      <c r="IR227" s="552" t="s">
        <v>3437</v>
      </c>
      <c r="IS227" s="587" t="s">
        <v>77</v>
      </c>
      <c r="IT227" s="611">
        <v>43794</v>
      </c>
      <c r="IU227" s="518">
        <v>43831</v>
      </c>
      <c r="IV227" s="552"/>
      <c r="IW227" s="526">
        <f t="shared" si="27"/>
        <v>37</v>
      </c>
      <c r="IX227" s="621">
        <f t="shared" si="28"/>
        <v>23.824778285407149</v>
      </c>
      <c r="IY227" s="621">
        <v>726.65573770491801</v>
      </c>
      <c r="IZ227" s="374"/>
      <c r="JB227" s="653"/>
    </row>
    <row r="228" spans="1:262" s="367" customFormat="1" ht="16.5" customHeight="1" x14ac:dyDescent="0.3">
      <c r="A228" s="401" t="s">
        <v>3315</v>
      </c>
      <c r="B228" s="402" t="s">
        <v>3315</v>
      </c>
      <c r="C228" s="608" t="s">
        <v>3438</v>
      </c>
      <c r="D228" s="634"/>
      <c r="E228" s="635"/>
      <c r="F228" s="635"/>
      <c r="G228" s="635"/>
      <c r="H228" s="636"/>
      <c r="I228" s="853">
        <v>0</v>
      </c>
      <c r="J228" s="833">
        <v>0</v>
      </c>
      <c r="K228" s="833">
        <v>0</v>
      </c>
      <c r="L228" s="833">
        <v>0</v>
      </c>
      <c r="M228" s="833">
        <v>0</v>
      </c>
      <c r="N228" s="833">
        <v>0</v>
      </c>
      <c r="O228" s="833">
        <v>0</v>
      </c>
      <c r="P228" s="833">
        <v>0</v>
      </c>
      <c r="Q228" s="833">
        <v>0</v>
      </c>
      <c r="R228" s="833">
        <v>0</v>
      </c>
      <c r="S228" s="833">
        <v>0</v>
      </c>
      <c r="T228" s="833">
        <v>0</v>
      </c>
      <c r="U228" s="833">
        <v>0</v>
      </c>
      <c r="V228" s="833">
        <v>0</v>
      </c>
      <c r="W228" s="833">
        <v>0</v>
      </c>
      <c r="X228" s="833">
        <v>0</v>
      </c>
      <c r="Y228" s="833">
        <v>0</v>
      </c>
      <c r="Z228" s="833">
        <v>0</v>
      </c>
      <c r="AA228" s="833">
        <v>0</v>
      </c>
      <c r="AB228" s="833">
        <v>0</v>
      </c>
      <c r="AC228" s="833">
        <v>0</v>
      </c>
      <c r="AD228" s="833">
        <v>0</v>
      </c>
      <c r="AE228" s="833">
        <v>0</v>
      </c>
      <c r="AF228" s="833">
        <v>0</v>
      </c>
      <c r="AG228" s="833">
        <v>0</v>
      </c>
      <c r="AH228" s="833">
        <v>0</v>
      </c>
      <c r="AI228" s="833">
        <v>0</v>
      </c>
      <c r="AJ228" s="833">
        <v>0</v>
      </c>
      <c r="AK228" s="833">
        <v>0</v>
      </c>
      <c r="AL228" s="833">
        <v>0</v>
      </c>
      <c r="AM228" s="833">
        <v>0</v>
      </c>
      <c r="AN228" s="833">
        <v>0</v>
      </c>
      <c r="AO228" s="833">
        <v>0</v>
      </c>
      <c r="AP228" s="833">
        <v>0</v>
      </c>
      <c r="AQ228" s="833">
        <v>0</v>
      </c>
      <c r="AR228" s="833">
        <v>0</v>
      </c>
      <c r="AS228" s="833">
        <v>0</v>
      </c>
      <c r="AT228" s="833">
        <v>0</v>
      </c>
      <c r="AU228" s="833">
        <v>0</v>
      </c>
      <c r="AV228" s="635"/>
      <c r="AW228" s="635"/>
      <c r="AX228" s="660"/>
      <c r="AY228" s="635"/>
      <c r="AZ228" s="635"/>
      <c r="BA228" s="660"/>
      <c r="BB228" s="651"/>
      <c r="BC228" s="651"/>
      <c r="BD228" s="660"/>
      <c r="BE228" s="651"/>
      <c r="BF228" s="651"/>
      <c r="BG228" s="660"/>
      <c r="BH228" s="651"/>
      <c r="BI228" s="651"/>
      <c r="BJ228" s="660"/>
      <c r="BK228" s="651"/>
      <c r="BL228" s="651"/>
      <c r="BM228" s="660"/>
      <c r="BN228" s="651"/>
      <c r="BO228" s="651"/>
      <c r="BP228" s="660"/>
      <c r="BQ228" s="651"/>
      <c r="BR228" s="651"/>
      <c r="BS228" s="660"/>
      <c r="BT228" s="651"/>
      <c r="BU228" s="651"/>
      <c r="BV228" s="660"/>
      <c r="BW228" s="651"/>
      <c r="BX228" s="651"/>
      <c r="BY228" s="660"/>
      <c r="BZ228" s="651"/>
      <c r="CA228" s="651"/>
      <c r="CB228" s="660"/>
      <c r="CC228" s="651"/>
      <c r="CD228" s="651"/>
      <c r="CE228" s="660"/>
      <c r="CF228" s="651"/>
      <c r="CG228" s="651"/>
      <c r="CH228" s="660"/>
      <c r="CI228" s="651"/>
      <c r="CJ228" s="651"/>
      <c r="CK228" s="660"/>
      <c r="CL228" s="651"/>
      <c r="CM228" s="651"/>
      <c r="CN228" s="660"/>
      <c r="CO228" s="651"/>
      <c r="CP228" s="651"/>
      <c r="CQ228" s="660"/>
      <c r="CR228" s="651"/>
      <c r="CS228" s="651"/>
      <c r="CT228" s="660"/>
      <c r="CU228" s="651"/>
      <c r="CV228" s="651"/>
      <c r="CW228" s="660"/>
      <c r="CX228" s="651"/>
      <c r="CY228" s="651"/>
      <c r="CZ228" s="660"/>
      <c r="DA228" s="651"/>
      <c r="DB228" s="651"/>
      <c r="DC228" s="660"/>
      <c r="DD228" s="651"/>
      <c r="DE228" s="651"/>
      <c r="DF228" s="660"/>
      <c r="DG228" s="651"/>
      <c r="DH228" s="651"/>
      <c r="DI228" s="660"/>
      <c r="DJ228" s="651"/>
      <c r="DK228" s="651"/>
      <c r="DL228" s="660"/>
      <c r="DM228" s="651"/>
      <c r="DN228" s="651"/>
      <c r="DO228" s="660"/>
      <c r="DP228" s="651"/>
      <c r="DQ228" s="651"/>
      <c r="DR228" s="660"/>
      <c r="DS228" s="651"/>
      <c r="DT228" s="651"/>
      <c r="DU228" s="660"/>
      <c r="DV228" s="651"/>
      <c r="DW228" s="651"/>
      <c r="DX228" s="660"/>
      <c r="DY228" s="651"/>
      <c r="DZ228" s="651"/>
      <c r="EA228" s="660"/>
      <c r="EB228" s="651"/>
      <c r="EC228" s="651"/>
      <c r="ED228" s="660"/>
      <c r="EE228" s="651"/>
      <c r="EF228" s="651"/>
      <c r="EG228" s="660"/>
      <c r="EH228" s="651"/>
      <c r="EI228" s="651"/>
      <c r="EJ228" s="660"/>
      <c r="EK228" s="651"/>
      <c r="EL228" s="651"/>
      <c r="EM228" s="660"/>
      <c r="EN228" s="651"/>
      <c r="EO228" s="651"/>
      <c r="EP228" s="660"/>
      <c r="EQ228" s="651"/>
      <c r="ER228" s="651"/>
      <c r="ES228" s="660"/>
      <c r="ET228" s="651"/>
      <c r="EU228" s="651"/>
      <c r="EV228" s="660"/>
      <c r="EW228" s="651"/>
      <c r="EX228" s="651"/>
      <c r="EY228" s="660"/>
      <c r="EZ228" s="651"/>
      <c r="FA228" s="651"/>
      <c r="FB228" s="660"/>
      <c r="FC228" s="651"/>
      <c r="FD228" s="651"/>
      <c r="FE228" s="660"/>
      <c r="FF228" s="651"/>
      <c r="FG228" s="651"/>
      <c r="FH228" s="660"/>
      <c r="FI228" s="651"/>
      <c r="FJ228" s="651"/>
      <c r="FK228" s="660"/>
      <c r="FL228" s="647">
        <v>1081</v>
      </c>
      <c r="FM228" s="647"/>
      <c r="FN228" s="600"/>
      <c r="FO228" s="647">
        <v>1081</v>
      </c>
      <c r="FP228" s="647"/>
      <c r="FQ228" s="600"/>
      <c r="FR228" s="647">
        <v>1081</v>
      </c>
      <c r="FS228" s="647"/>
      <c r="FT228" s="600"/>
      <c r="FU228" s="647">
        <v>1081</v>
      </c>
      <c r="FV228" s="647"/>
      <c r="FW228" s="600"/>
      <c r="FX228" s="647">
        <v>1081</v>
      </c>
      <c r="FY228" s="647"/>
      <c r="FZ228" s="600"/>
      <c r="GA228" s="647">
        <v>1081</v>
      </c>
      <c r="GB228" s="647"/>
      <c r="GC228" s="600"/>
      <c r="GD228" s="647">
        <v>1081</v>
      </c>
      <c r="GE228" s="647"/>
      <c r="GF228" s="600"/>
      <c r="GG228" s="647">
        <v>1081</v>
      </c>
      <c r="GH228" s="647"/>
      <c r="GI228" s="600"/>
      <c r="GJ228" s="647">
        <v>1081</v>
      </c>
      <c r="GK228" s="647"/>
      <c r="GL228" s="600"/>
      <c r="GM228" s="647">
        <v>1081</v>
      </c>
      <c r="GN228" s="647"/>
      <c r="GO228" s="600"/>
      <c r="GP228" s="647">
        <v>1081</v>
      </c>
      <c r="GQ228" s="647"/>
      <c r="GR228" s="600"/>
      <c r="GS228" s="647">
        <v>1081</v>
      </c>
      <c r="GT228" s="647"/>
      <c r="GU228" s="600"/>
      <c r="GV228" s="647">
        <v>1081</v>
      </c>
      <c r="GW228" s="647"/>
      <c r="GX228" s="600"/>
      <c r="GY228" s="647">
        <v>1081</v>
      </c>
      <c r="GZ228" s="647"/>
      <c r="HA228" s="600"/>
      <c r="HB228" s="647">
        <v>1081</v>
      </c>
      <c r="HC228" s="647"/>
      <c r="HD228" s="600"/>
      <c r="HE228" s="647">
        <v>1081</v>
      </c>
      <c r="HF228" s="647"/>
      <c r="HG228" s="600"/>
      <c r="HH228" s="647">
        <v>1081</v>
      </c>
      <c r="HI228" s="600"/>
      <c r="HJ228" s="647">
        <v>1081</v>
      </c>
      <c r="HK228" s="600"/>
      <c r="HL228" s="647">
        <v>1081</v>
      </c>
      <c r="HM228" s="600"/>
      <c r="HN228" s="647">
        <v>1081</v>
      </c>
      <c r="HO228" s="600"/>
      <c r="HP228" s="647">
        <v>1081</v>
      </c>
      <c r="HQ228" s="600"/>
      <c r="HR228" s="648">
        <v>1701.2459016393445</v>
      </c>
      <c r="HS228" s="600"/>
      <c r="HT228" s="567"/>
      <c r="HU228" s="567"/>
      <c r="HV228" s="567"/>
      <c r="HW228" s="567"/>
      <c r="HX228" s="587"/>
      <c r="HY228" s="587"/>
      <c r="HZ228" s="587"/>
      <c r="IA228" s="587"/>
      <c r="IB228" s="587"/>
      <c r="IC228" s="587"/>
      <c r="ID228" s="587"/>
      <c r="IE228" s="587"/>
      <c r="IF228" s="587"/>
      <c r="IG228" s="587"/>
      <c r="IH228" s="588"/>
      <c r="II228" s="589"/>
      <c r="IJ228" s="588"/>
      <c r="IK228" s="589"/>
      <c r="IL228" s="588"/>
      <c r="IM228" s="589"/>
      <c r="IN228" s="588"/>
      <c r="IO228" s="589"/>
      <c r="IP228" s="588"/>
      <c r="IQ228" s="589"/>
      <c r="IR228" s="552" t="s">
        <v>3439</v>
      </c>
      <c r="IS228" s="587" t="s">
        <v>77</v>
      </c>
      <c r="IT228" s="611">
        <v>43783</v>
      </c>
      <c r="IU228" s="518">
        <v>43831</v>
      </c>
      <c r="IV228" s="552"/>
      <c r="IW228" s="526">
        <f t="shared" si="27"/>
        <v>48</v>
      </c>
      <c r="IX228" s="621">
        <f t="shared" si="28"/>
        <v>55.778554152109656</v>
      </c>
      <c r="IY228" s="621">
        <v>1701.2459016393445</v>
      </c>
      <c r="IZ228" s="374"/>
      <c r="JB228" s="653"/>
    </row>
    <row r="229" spans="1:262" s="367" customFormat="1" ht="16.5" customHeight="1" x14ac:dyDescent="0.3">
      <c r="A229" s="526" t="s">
        <v>2743</v>
      </c>
      <c r="B229" s="594" t="s">
        <v>2757</v>
      </c>
      <c r="C229" s="595" t="s">
        <v>2409</v>
      </c>
      <c r="D229" s="596">
        <v>896</v>
      </c>
      <c r="E229" s="597">
        <v>12</v>
      </c>
      <c r="F229" s="597">
        <v>0</v>
      </c>
      <c r="G229" s="597">
        <v>27</v>
      </c>
      <c r="H229" s="598">
        <v>0</v>
      </c>
      <c r="I229" s="855">
        <v>908</v>
      </c>
      <c r="J229" s="597">
        <v>27</v>
      </c>
      <c r="K229" s="600"/>
      <c r="L229" s="597">
        <v>908</v>
      </c>
      <c r="M229" s="597">
        <v>27</v>
      </c>
      <c r="N229" s="600"/>
      <c r="O229" s="597">
        <v>908</v>
      </c>
      <c r="P229" s="597">
        <v>27</v>
      </c>
      <c r="Q229" s="600"/>
      <c r="R229" s="597">
        <v>908</v>
      </c>
      <c r="S229" s="597">
        <v>27</v>
      </c>
      <c r="T229" s="600"/>
      <c r="U229" s="597">
        <v>908</v>
      </c>
      <c r="V229" s="597">
        <v>27</v>
      </c>
      <c r="W229" s="600"/>
      <c r="X229" s="597">
        <v>908</v>
      </c>
      <c r="Y229" s="597">
        <v>27</v>
      </c>
      <c r="Z229" s="600"/>
      <c r="AA229" s="597">
        <v>908</v>
      </c>
      <c r="AB229" s="597">
        <v>27</v>
      </c>
      <c r="AC229" s="600"/>
      <c r="AD229" s="597">
        <v>908</v>
      </c>
      <c r="AE229" s="597">
        <v>27</v>
      </c>
      <c r="AF229" s="600"/>
      <c r="AG229" s="597">
        <v>908</v>
      </c>
      <c r="AH229" s="597">
        <v>27</v>
      </c>
      <c r="AI229" s="600"/>
      <c r="AJ229" s="597">
        <v>908</v>
      </c>
      <c r="AK229" s="597">
        <v>27</v>
      </c>
      <c r="AL229" s="600"/>
      <c r="AM229" s="597">
        <v>908</v>
      </c>
      <c r="AN229" s="597">
        <v>27</v>
      </c>
      <c r="AO229" s="600"/>
      <c r="AP229" s="597">
        <v>908</v>
      </c>
      <c r="AQ229" s="597">
        <v>27</v>
      </c>
      <c r="AR229" s="600"/>
      <c r="AS229" s="597">
        <v>908</v>
      </c>
      <c r="AT229" s="597">
        <v>27</v>
      </c>
      <c r="AU229" s="600"/>
      <c r="AV229" s="597">
        <v>908</v>
      </c>
      <c r="AW229" s="597">
        <v>27</v>
      </c>
      <c r="AX229" s="600"/>
      <c r="AY229" s="597">
        <v>908</v>
      </c>
      <c r="AZ229" s="597">
        <v>27</v>
      </c>
      <c r="BA229" s="600"/>
      <c r="BB229" s="647">
        <v>908</v>
      </c>
      <c r="BC229" s="647">
        <v>27</v>
      </c>
      <c r="BD229" s="600"/>
      <c r="BE229" s="647">
        <v>908</v>
      </c>
      <c r="BF229" s="647">
        <v>27</v>
      </c>
      <c r="BG229" s="600"/>
      <c r="BH229" s="647">
        <v>908</v>
      </c>
      <c r="BI229" s="647">
        <v>27</v>
      </c>
      <c r="BJ229" s="655"/>
      <c r="BK229" s="647">
        <v>908</v>
      </c>
      <c r="BL229" s="647">
        <v>27</v>
      </c>
      <c r="BM229" s="655"/>
      <c r="BN229" s="647">
        <v>908</v>
      </c>
      <c r="BO229" s="647">
        <v>27</v>
      </c>
      <c r="BP229" s="655"/>
      <c r="BQ229" s="647">
        <v>908</v>
      </c>
      <c r="BR229" s="647">
        <v>27</v>
      </c>
      <c r="BS229" s="655"/>
      <c r="BT229" s="647">
        <v>908</v>
      </c>
      <c r="BU229" s="647">
        <v>27</v>
      </c>
      <c r="BV229" s="655"/>
      <c r="BW229" s="647">
        <v>908</v>
      </c>
      <c r="BX229" s="647">
        <v>27</v>
      </c>
      <c r="BY229" s="655"/>
      <c r="BZ229" s="648">
        <f>(((908-272)/30.5)*17)+908</f>
        <v>1262.4918032786886</v>
      </c>
      <c r="CA229" s="648">
        <f>(27/30.5)*17+27</f>
        <v>42.049180327868854</v>
      </c>
      <c r="CB229" s="517"/>
      <c r="CC229" s="647">
        <v>272</v>
      </c>
      <c r="CD229" s="647"/>
      <c r="CE229" s="600"/>
      <c r="CF229" s="647">
        <v>272</v>
      </c>
      <c r="CG229" s="647"/>
      <c r="CH229" s="600"/>
      <c r="CI229" s="647">
        <v>272</v>
      </c>
      <c r="CJ229" s="647"/>
      <c r="CK229" s="600"/>
      <c r="CL229" s="647">
        <v>272</v>
      </c>
      <c r="CM229" s="647"/>
      <c r="CN229" s="600"/>
      <c r="CO229" s="647">
        <v>272</v>
      </c>
      <c r="CP229" s="647"/>
      <c r="CQ229" s="600"/>
      <c r="CR229" s="647">
        <v>272</v>
      </c>
      <c r="CS229" s="647"/>
      <c r="CT229" s="600"/>
      <c r="CU229" s="647">
        <v>272</v>
      </c>
      <c r="CV229" s="647"/>
      <c r="CW229" s="600"/>
      <c r="CX229" s="647">
        <v>272</v>
      </c>
      <c r="CY229" s="647"/>
      <c r="CZ229" s="600"/>
      <c r="DA229" s="647">
        <v>272</v>
      </c>
      <c r="DB229" s="647"/>
      <c r="DC229" s="600"/>
      <c r="DD229" s="647">
        <v>272</v>
      </c>
      <c r="DE229" s="647"/>
      <c r="DF229" s="600"/>
      <c r="DG229" s="647">
        <v>272</v>
      </c>
      <c r="DH229" s="647"/>
      <c r="DI229" s="600"/>
      <c r="DJ229" s="647">
        <v>272</v>
      </c>
      <c r="DK229" s="647"/>
      <c r="DL229" s="600"/>
      <c r="DM229" s="647">
        <v>272</v>
      </c>
      <c r="DN229" s="647"/>
      <c r="DO229" s="600"/>
      <c r="DP229" s="647">
        <v>272</v>
      </c>
      <c r="DQ229" s="647"/>
      <c r="DR229" s="600"/>
      <c r="DS229" s="647">
        <v>272</v>
      </c>
      <c r="DT229" s="647"/>
      <c r="DU229" s="600"/>
      <c r="DV229" s="647">
        <v>272</v>
      </c>
      <c r="DW229" s="647"/>
      <c r="DX229" s="600"/>
      <c r="DY229" s="647">
        <v>272</v>
      </c>
      <c r="DZ229" s="647"/>
      <c r="EA229" s="600"/>
      <c r="EB229" s="647">
        <v>272</v>
      </c>
      <c r="EC229" s="647"/>
      <c r="ED229" s="600"/>
      <c r="EE229" s="647">
        <v>272</v>
      </c>
      <c r="EF229" s="647"/>
      <c r="EG229" s="600"/>
      <c r="EH229" s="647">
        <v>272</v>
      </c>
      <c r="EI229" s="647"/>
      <c r="EJ229" s="600"/>
      <c r="EK229" s="647">
        <v>272</v>
      </c>
      <c r="EL229" s="647"/>
      <c r="EM229" s="600"/>
      <c r="EN229" s="647">
        <v>272</v>
      </c>
      <c r="EO229" s="647"/>
      <c r="EP229" s="600"/>
      <c r="EQ229" s="647">
        <v>272</v>
      </c>
      <c r="ER229" s="647"/>
      <c r="ES229" s="600"/>
      <c r="ET229" s="647">
        <v>272</v>
      </c>
      <c r="EU229" s="647"/>
      <c r="EV229" s="600"/>
      <c r="EW229" s="647">
        <v>272</v>
      </c>
      <c r="EX229" s="647"/>
      <c r="EY229" s="600"/>
      <c r="EZ229" s="647">
        <v>272</v>
      </c>
      <c r="FA229" s="647"/>
      <c r="FB229" s="600"/>
      <c r="FC229" s="647">
        <v>272</v>
      </c>
      <c r="FD229" s="647"/>
      <c r="FE229" s="600"/>
      <c r="FF229" s="647">
        <v>272</v>
      </c>
      <c r="FG229" s="647"/>
      <c r="FH229" s="600"/>
      <c r="FI229" s="647">
        <v>272</v>
      </c>
      <c r="FJ229" s="647"/>
      <c r="FK229" s="600"/>
      <c r="FL229" s="647">
        <v>272</v>
      </c>
      <c r="FM229" s="647"/>
      <c r="FN229" s="600"/>
      <c r="FO229" s="647">
        <v>272</v>
      </c>
      <c r="FP229" s="647"/>
      <c r="FQ229" s="600"/>
      <c r="FR229" s="647">
        <v>272</v>
      </c>
      <c r="FS229" s="647"/>
      <c r="FT229" s="600"/>
      <c r="FU229" s="647">
        <v>272</v>
      </c>
      <c r="FV229" s="647"/>
      <c r="FW229" s="600"/>
      <c r="FX229" s="647">
        <v>272</v>
      </c>
      <c r="FY229" s="647"/>
      <c r="FZ229" s="600"/>
      <c r="GA229" s="647">
        <v>272</v>
      </c>
      <c r="GB229" s="647"/>
      <c r="GC229" s="600"/>
      <c r="GD229" s="647">
        <v>272</v>
      </c>
      <c r="GE229" s="647"/>
      <c r="GF229" s="600"/>
      <c r="GG229" s="647">
        <v>272</v>
      </c>
      <c r="GH229" s="647"/>
      <c r="GI229" s="600"/>
      <c r="GJ229" s="647">
        <v>272</v>
      </c>
      <c r="GK229" s="647"/>
      <c r="GL229" s="600"/>
      <c r="GM229" s="647">
        <v>272</v>
      </c>
      <c r="GN229" s="647"/>
      <c r="GO229" s="600"/>
      <c r="GP229" s="647">
        <v>272</v>
      </c>
      <c r="GQ229" s="647"/>
      <c r="GR229" s="600"/>
      <c r="GS229" s="647">
        <v>272</v>
      </c>
      <c r="GT229" s="647"/>
      <c r="GU229" s="600"/>
      <c r="GV229" s="647">
        <v>272</v>
      </c>
      <c r="GW229" s="647"/>
      <c r="GX229" s="600"/>
      <c r="GY229" s="647">
        <v>272</v>
      </c>
      <c r="GZ229" s="647"/>
      <c r="HA229" s="600"/>
      <c r="HB229" s="647">
        <v>272</v>
      </c>
      <c r="HC229" s="647"/>
      <c r="HD229" s="600"/>
      <c r="HE229" s="647">
        <v>272</v>
      </c>
      <c r="HF229" s="647"/>
      <c r="HG229" s="600"/>
      <c r="HH229" s="647">
        <v>272</v>
      </c>
      <c r="HI229" s="600"/>
      <c r="HJ229" s="647">
        <v>272</v>
      </c>
      <c r="HK229" s="600"/>
      <c r="HL229" s="647">
        <v>272</v>
      </c>
      <c r="HM229" s="600"/>
      <c r="HN229" s="647">
        <v>272</v>
      </c>
      <c r="HO229" s="600"/>
      <c r="HP229" s="647">
        <v>272</v>
      </c>
      <c r="HQ229" s="600"/>
      <c r="HR229" s="648">
        <v>499.4098360655737</v>
      </c>
      <c r="HS229" s="600"/>
      <c r="HT229" s="567"/>
      <c r="HU229" s="567"/>
      <c r="HV229" s="567"/>
      <c r="HW229" s="567"/>
      <c r="HX229" s="587"/>
      <c r="HY229" s="587"/>
      <c r="HZ229" s="587"/>
      <c r="IA229" s="587"/>
      <c r="IB229" s="587"/>
      <c r="IC229" s="587"/>
      <c r="ID229" s="587"/>
      <c r="IE229" s="587"/>
      <c r="IF229" s="587"/>
      <c r="IG229" s="587"/>
      <c r="IH229" s="588"/>
      <c r="II229" s="589"/>
      <c r="IJ229" s="588"/>
      <c r="IK229" s="589"/>
      <c r="IL229" s="588"/>
      <c r="IM229" s="589"/>
      <c r="IN229" s="588"/>
      <c r="IO229" s="589"/>
      <c r="IP229" s="588"/>
      <c r="IQ229" s="589"/>
      <c r="IR229" s="552" t="s">
        <v>3440</v>
      </c>
      <c r="IS229" s="587" t="s">
        <v>77</v>
      </c>
      <c r="IT229" s="611">
        <v>43775</v>
      </c>
      <c r="IU229" s="518">
        <v>43831</v>
      </c>
      <c r="IV229" s="552"/>
      <c r="IW229" s="526">
        <f t="shared" si="27"/>
        <v>56</v>
      </c>
      <c r="IX229" s="621">
        <f t="shared" si="28"/>
        <v>16.374092985756516</v>
      </c>
      <c r="IY229" s="621">
        <v>499.4098360655737</v>
      </c>
      <c r="IZ229" s="374"/>
      <c r="JB229" s="653"/>
    </row>
    <row r="230" spans="1:262" s="367" customFormat="1" ht="16.5" customHeight="1" x14ac:dyDescent="0.3">
      <c r="A230" s="526" t="s">
        <v>2743</v>
      </c>
      <c r="B230" s="594" t="s">
        <v>2953</v>
      </c>
      <c r="C230" s="595" t="s">
        <v>1993</v>
      </c>
      <c r="D230" s="596">
        <v>2266</v>
      </c>
      <c r="E230" s="597">
        <v>299</v>
      </c>
      <c r="F230" s="597">
        <v>114</v>
      </c>
      <c r="G230" s="597">
        <v>414</v>
      </c>
      <c r="H230" s="598">
        <v>66</v>
      </c>
      <c r="I230" s="855">
        <v>2680</v>
      </c>
      <c r="J230" s="597">
        <f>414</f>
        <v>414</v>
      </c>
      <c r="K230" s="600">
        <v>66</v>
      </c>
      <c r="L230" s="597">
        <v>2680</v>
      </c>
      <c r="M230" s="597">
        <f>414</f>
        <v>414</v>
      </c>
      <c r="N230" s="600">
        <v>66</v>
      </c>
      <c r="O230" s="597">
        <v>2680</v>
      </c>
      <c r="P230" s="597">
        <f>414</f>
        <v>414</v>
      </c>
      <c r="Q230" s="600">
        <v>66</v>
      </c>
      <c r="R230" s="597">
        <v>2680</v>
      </c>
      <c r="S230" s="597">
        <f>414</f>
        <v>414</v>
      </c>
      <c r="T230" s="600">
        <v>66</v>
      </c>
      <c r="U230" s="597">
        <v>2680</v>
      </c>
      <c r="V230" s="597">
        <f>414</f>
        <v>414</v>
      </c>
      <c r="W230" s="600">
        <v>66</v>
      </c>
      <c r="X230" s="597">
        <v>2680</v>
      </c>
      <c r="Y230" s="597">
        <f>414</f>
        <v>414</v>
      </c>
      <c r="Z230" s="600">
        <v>66</v>
      </c>
      <c r="AA230" s="597">
        <v>2680</v>
      </c>
      <c r="AB230" s="597">
        <f>414</f>
        <v>414</v>
      </c>
      <c r="AC230" s="600">
        <v>66</v>
      </c>
      <c r="AD230" s="597">
        <v>2680</v>
      </c>
      <c r="AE230" s="597">
        <f>414</f>
        <v>414</v>
      </c>
      <c r="AF230" s="600">
        <v>66</v>
      </c>
      <c r="AG230" s="597">
        <v>2680</v>
      </c>
      <c r="AH230" s="597">
        <f>414</f>
        <v>414</v>
      </c>
      <c r="AI230" s="600">
        <v>66</v>
      </c>
      <c r="AJ230" s="597">
        <v>2680</v>
      </c>
      <c r="AK230" s="597">
        <f>414</f>
        <v>414</v>
      </c>
      <c r="AL230" s="600">
        <v>66</v>
      </c>
      <c r="AM230" s="597">
        <v>2680</v>
      </c>
      <c r="AN230" s="597">
        <f>414</f>
        <v>414</v>
      </c>
      <c r="AO230" s="600">
        <v>66</v>
      </c>
      <c r="AP230" s="597">
        <v>2680</v>
      </c>
      <c r="AQ230" s="597">
        <f>414</f>
        <v>414</v>
      </c>
      <c r="AR230" s="600">
        <v>66</v>
      </c>
      <c r="AS230" s="597">
        <v>2680</v>
      </c>
      <c r="AT230" s="597">
        <f>414</f>
        <v>414</v>
      </c>
      <c r="AU230" s="600">
        <v>66</v>
      </c>
      <c r="AV230" s="597">
        <v>2680</v>
      </c>
      <c r="AW230" s="597">
        <f>414</f>
        <v>414</v>
      </c>
      <c r="AX230" s="600">
        <v>66</v>
      </c>
      <c r="AY230" s="597">
        <v>2680</v>
      </c>
      <c r="AZ230" s="597">
        <f>414</f>
        <v>414</v>
      </c>
      <c r="BA230" s="600">
        <v>66</v>
      </c>
      <c r="BB230" s="647">
        <v>2680</v>
      </c>
      <c r="BC230" s="647">
        <f>414</f>
        <v>414</v>
      </c>
      <c r="BD230" s="600">
        <v>66</v>
      </c>
      <c r="BE230" s="647">
        <v>2680</v>
      </c>
      <c r="BF230" s="647">
        <f>414</f>
        <v>414</v>
      </c>
      <c r="BG230" s="600">
        <v>66</v>
      </c>
      <c r="BH230" s="647">
        <v>2680</v>
      </c>
      <c r="BI230" s="647">
        <f>414</f>
        <v>414</v>
      </c>
      <c r="BJ230" s="655">
        <v>66</v>
      </c>
      <c r="BK230" s="647">
        <v>2680</v>
      </c>
      <c r="BL230" s="647">
        <f>414</f>
        <v>414</v>
      </c>
      <c r="BM230" s="655">
        <v>66</v>
      </c>
      <c r="BN230" s="647">
        <v>2680</v>
      </c>
      <c r="BO230" s="647">
        <f>414</f>
        <v>414</v>
      </c>
      <c r="BP230" s="655">
        <v>66</v>
      </c>
      <c r="BQ230" s="647">
        <v>2680</v>
      </c>
      <c r="BR230" s="647">
        <f>414</f>
        <v>414</v>
      </c>
      <c r="BS230" s="655">
        <v>66</v>
      </c>
      <c r="BT230" s="647">
        <v>2680</v>
      </c>
      <c r="BU230" s="647">
        <f>414</f>
        <v>414</v>
      </c>
      <c r="BV230" s="655">
        <v>66</v>
      </c>
      <c r="BW230" s="647">
        <v>2680</v>
      </c>
      <c r="BX230" s="647">
        <f>414</f>
        <v>414</v>
      </c>
      <c r="BY230" s="655">
        <v>66</v>
      </c>
      <c r="BZ230" s="647">
        <v>2680</v>
      </c>
      <c r="CA230" s="647">
        <f>414</f>
        <v>414</v>
      </c>
      <c r="CB230" s="655">
        <v>66</v>
      </c>
      <c r="CC230" s="647">
        <v>2680</v>
      </c>
      <c r="CD230" s="647">
        <f>414</f>
        <v>414</v>
      </c>
      <c r="CE230" s="655">
        <v>66</v>
      </c>
      <c r="CF230" s="647">
        <v>2680</v>
      </c>
      <c r="CG230" s="647">
        <f>414</f>
        <v>414</v>
      </c>
      <c r="CH230" s="655">
        <v>66</v>
      </c>
      <c r="CI230" s="647">
        <v>2680</v>
      </c>
      <c r="CJ230" s="647">
        <f>414</f>
        <v>414</v>
      </c>
      <c r="CK230" s="655">
        <v>66</v>
      </c>
      <c r="CL230" s="647">
        <v>2680</v>
      </c>
      <c r="CM230" s="647">
        <f>414</f>
        <v>414</v>
      </c>
      <c r="CN230" s="655">
        <v>66</v>
      </c>
      <c r="CO230" s="647">
        <v>2680</v>
      </c>
      <c r="CP230" s="647">
        <f>414</f>
        <v>414</v>
      </c>
      <c r="CQ230" s="655">
        <v>66</v>
      </c>
      <c r="CR230" s="647">
        <v>2680</v>
      </c>
      <c r="CS230" s="647">
        <f>414</f>
        <v>414</v>
      </c>
      <c r="CT230" s="655">
        <v>66</v>
      </c>
      <c r="CU230" s="647">
        <v>2680</v>
      </c>
      <c r="CV230" s="647">
        <f>414</f>
        <v>414</v>
      </c>
      <c r="CW230" s="655">
        <v>66</v>
      </c>
      <c r="CX230" s="647">
        <v>2680</v>
      </c>
      <c r="CY230" s="647">
        <f>414</f>
        <v>414</v>
      </c>
      <c r="CZ230" s="655">
        <v>66</v>
      </c>
      <c r="DA230" s="647">
        <v>2680</v>
      </c>
      <c r="DB230" s="647">
        <f>414</f>
        <v>414</v>
      </c>
      <c r="DC230" s="655">
        <v>66</v>
      </c>
      <c r="DD230" s="647">
        <v>2680</v>
      </c>
      <c r="DE230" s="647">
        <f>414</f>
        <v>414</v>
      </c>
      <c r="DF230" s="655">
        <v>66</v>
      </c>
      <c r="DG230" s="647">
        <v>2680</v>
      </c>
      <c r="DH230" s="647">
        <f>414</f>
        <v>414</v>
      </c>
      <c r="DI230" s="655">
        <v>66</v>
      </c>
      <c r="DJ230" s="647">
        <v>2680</v>
      </c>
      <c r="DK230" s="647">
        <f>414</f>
        <v>414</v>
      </c>
      <c r="DL230" s="655">
        <v>66</v>
      </c>
      <c r="DM230" s="647">
        <v>2680</v>
      </c>
      <c r="DN230" s="647">
        <f>414</f>
        <v>414</v>
      </c>
      <c r="DO230" s="655">
        <v>66</v>
      </c>
      <c r="DP230" s="647">
        <v>2680</v>
      </c>
      <c r="DQ230" s="647">
        <f>414</f>
        <v>414</v>
      </c>
      <c r="DR230" s="655">
        <v>66</v>
      </c>
      <c r="DS230" s="647">
        <v>2680</v>
      </c>
      <c r="DT230" s="647">
        <f>414</f>
        <v>414</v>
      </c>
      <c r="DU230" s="655">
        <v>66</v>
      </c>
      <c r="DV230" s="647">
        <v>2680</v>
      </c>
      <c r="DW230" s="647">
        <f>414</f>
        <v>414</v>
      </c>
      <c r="DX230" s="655">
        <v>66</v>
      </c>
      <c r="DY230" s="647">
        <v>2680</v>
      </c>
      <c r="DZ230" s="647">
        <f>414</f>
        <v>414</v>
      </c>
      <c r="EA230" s="655">
        <v>66</v>
      </c>
      <c r="EB230" s="647">
        <v>2680</v>
      </c>
      <c r="EC230" s="647">
        <f>414</f>
        <v>414</v>
      </c>
      <c r="ED230" s="655">
        <v>66</v>
      </c>
      <c r="EE230" s="647">
        <v>2680</v>
      </c>
      <c r="EF230" s="647">
        <f>414</f>
        <v>414</v>
      </c>
      <c r="EG230" s="655">
        <v>66</v>
      </c>
      <c r="EH230" s="647">
        <v>2680</v>
      </c>
      <c r="EI230" s="647">
        <f>414</f>
        <v>414</v>
      </c>
      <c r="EJ230" s="655">
        <v>66</v>
      </c>
      <c r="EK230" s="647">
        <v>2680</v>
      </c>
      <c r="EL230" s="647">
        <f>414</f>
        <v>414</v>
      </c>
      <c r="EM230" s="655">
        <v>66</v>
      </c>
      <c r="EN230" s="647">
        <v>2680</v>
      </c>
      <c r="EO230" s="647">
        <f>414</f>
        <v>414</v>
      </c>
      <c r="EP230" s="655">
        <v>66</v>
      </c>
      <c r="EQ230" s="647">
        <v>2680</v>
      </c>
      <c r="ER230" s="647">
        <f>414</f>
        <v>414</v>
      </c>
      <c r="ES230" s="655">
        <v>66</v>
      </c>
      <c r="ET230" s="647">
        <v>2680</v>
      </c>
      <c r="EU230" s="647">
        <f>414</f>
        <v>414</v>
      </c>
      <c r="EV230" s="655">
        <v>66</v>
      </c>
      <c r="EW230" s="647">
        <v>2680</v>
      </c>
      <c r="EX230" s="647">
        <f>414</f>
        <v>414</v>
      </c>
      <c r="EY230" s="655">
        <v>66</v>
      </c>
      <c r="EZ230" s="647">
        <v>2680</v>
      </c>
      <c r="FA230" s="647">
        <f>414</f>
        <v>414</v>
      </c>
      <c r="FB230" s="655">
        <v>66</v>
      </c>
      <c r="FC230" s="647">
        <v>2680</v>
      </c>
      <c r="FD230" s="647">
        <f>414</f>
        <v>414</v>
      </c>
      <c r="FE230" s="655">
        <v>66</v>
      </c>
      <c r="FF230" s="647">
        <v>2680</v>
      </c>
      <c r="FG230" s="647">
        <f>414</f>
        <v>414</v>
      </c>
      <c r="FH230" s="655">
        <v>66</v>
      </c>
      <c r="FI230" s="647">
        <v>2680</v>
      </c>
      <c r="FJ230" s="647">
        <f>414</f>
        <v>414</v>
      </c>
      <c r="FK230" s="655">
        <v>66</v>
      </c>
      <c r="FL230" s="647">
        <v>2680</v>
      </c>
      <c r="FM230" s="647">
        <f>414</f>
        <v>414</v>
      </c>
      <c r="FN230" s="655">
        <v>66</v>
      </c>
      <c r="FO230" s="647">
        <v>2680</v>
      </c>
      <c r="FP230" s="647">
        <f>414</f>
        <v>414</v>
      </c>
      <c r="FQ230" s="655">
        <v>66</v>
      </c>
      <c r="FR230" s="647">
        <v>2680</v>
      </c>
      <c r="FS230" s="647">
        <f>414</f>
        <v>414</v>
      </c>
      <c r="FT230" s="655">
        <v>66</v>
      </c>
      <c r="FU230" s="647">
        <v>2680</v>
      </c>
      <c r="FV230" s="647">
        <f>414</f>
        <v>414</v>
      </c>
      <c r="FW230" s="655">
        <v>66</v>
      </c>
      <c r="FX230" s="647">
        <v>2680</v>
      </c>
      <c r="FY230" s="647">
        <f>414</f>
        <v>414</v>
      </c>
      <c r="FZ230" s="655">
        <v>66</v>
      </c>
      <c r="GA230" s="647">
        <v>2680</v>
      </c>
      <c r="GB230" s="647">
        <f>414</f>
        <v>414</v>
      </c>
      <c r="GC230" s="655">
        <v>66</v>
      </c>
      <c r="GD230" s="647">
        <v>2680</v>
      </c>
      <c r="GE230" s="647">
        <f>414</f>
        <v>414</v>
      </c>
      <c r="GF230" s="655">
        <v>66</v>
      </c>
      <c r="GG230" s="647">
        <v>2680</v>
      </c>
      <c r="GH230" s="647">
        <f>414</f>
        <v>414</v>
      </c>
      <c r="GI230" s="655">
        <v>66</v>
      </c>
      <c r="GJ230" s="647">
        <v>2680</v>
      </c>
      <c r="GK230" s="647">
        <f>414</f>
        <v>414</v>
      </c>
      <c r="GL230" s="655">
        <v>66</v>
      </c>
      <c r="GM230" s="647">
        <v>2680</v>
      </c>
      <c r="GN230" s="647">
        <f>414</f>
        <v>414</v>
      </c>
      <c r="GO230" s="655">
        <v>66</v>
      </c>
      <c r="GP230" s="647">
        <v>2680</v>
      </c>
      <c r="GQ230" s="647">
        <f>414</f>
        <v>414</v>
      </c>
      <c r="GR230" s="655">
        <v>66</v>
      </c>
      <c r="GS230" s="647">
        <v>2680</v>
      </c>
      <c r="GT230" s="647">
        <f>414</f>
        <v>414</v>
      </c>
      <c r="GU230" s="655">
        <v>66</v>
      </c>
      <c r="GV230" s="647">
        <v>2680</v>
      </c>
      <c r="GW230" s="647">
        <f>414</f>
        <v>414</v>
      </c>
      <c r="GX230" s="655">
        <v>66</v>
      </c>
      <c r="GY230" s="647">
        <v>2680</v>
      </c>
      <c r="GZ230" s="647">
        <f>414</f>
        <v>414</v>
      </c>
      <c r="HA230" s="655">
        <v>66</v>
      </c>
      <c r="HB230" s="647">
        <v>2680</v>
      </c>
      <c r="HC230" s="647">
        <f>414</f>
        <v>414</v>
      </c>
      <c r="HD230" s="655">
        <v>66</v>
      </c>
      <c r="HE230" s="647">
        <v>2680</v>
      </c>
      <c r="HF230" s="648">
        <f>414*6</f>
        <v>2484</v>
      </c>
      <c r="HG230" s="517">
        <v>66</v>
      </c>
      <c r="HH230" s="647">
        <v>2680</v>
      </c>
      <c r="HI230" s="600"/>
      <c r="HJ230" s="647">
        <v>2680</v>
      </c>
      <c r="HK230" s="600"/>
      <c r="HL230" s="647">
        <v>2680</v>
      </c>
      <c r="HM230" s="600"/>
      <c r="HN230" s="647">
        <v>2680</v>
      </c>
      <c r="HO230" s="600"/>
      <c r="HP230" s="647">
        <v>2680</v>
      </c>
      <c r="HQ230" s="600"/>
      <c r="HR230" s="648">
        <v>4305.5737704918038</v>
      </c>
      <c r="HS230" s="600"/>
      <c r="HT230" s="567"/>
      <c r="HU230" s="567"/>
      <c r="HV230" s="567"/>
      <c r="HW230" s="567"/>
      <c r="HX230" s="587"/>
      <c r="HY230" s="587"/>
      <c r="HZ230" s="587"/>
      <c r="IA230" s="587"/>
      <c r="IB230" s="587"/>
      <c r="IC230" s="587"/>
      <c r="ID230" s="587"/>
      <c r="IE230" s="587"/>
      <c r="IF230" s="587"/>
      <c r="IG230" s="587"/>
      <c r="IH230" s="588"/>
      <c r="II230" s="589"/>
      <c r="IJ230" s="588"/>
      <c r="IK230" s="589"/>
      <c r="IL230" s="588"/>
      <c r="IM230" s="589"/>
      <c r="IN230" s="588"/>
      <c r="IO230" s="589"/>
      <c r="IP230" s="588"/>
      <c r="IQ230" s="589"/>
      <c r="IR230" s="552" t="s">
        <v>3441</v>
      </c>
      <c r="IS230" s="587" t="s">
        <v>77</v>
      </c>
      <c r="IT230" s="611">
        <v>43782</v>
      </c>
      <c r="IU230" s="518">
        <v>43831</v>
      </c>
      <c r="IV230" s="552"/>
      <c r="IW230" s="526">
        <f t="shared" si="27"/>
        <v>49</v>
      </c>
      <c r="IX230" s="621">
        <f t="shared" si="28"/>
        <v>141.1663531308788</v>
      </c>
      <c r="IY230" s="621">
        <v>4305.5737704918038</v>
      </c>
      <c r="IZ230" s="374"/>
      <c r="JB230" s="653"/>
    </row>
    <row r="231" spans="1:262" s="367" customFormat="1" ht="16.5" customHeight="1" x14ac:dyDescent="0.3">
      <c r="A231" s="526" t="s">
        <v>2785</v>
      </c>
      <c r="B231" s="603" t="s">
        <v>2867</v>
      </c>
      <c r="C231" s="604" t="s">
        <v>2687</v>
      </c>
      <c r="D231" s="605">
        <v>290</v>
      </c>
      <c r="E231" s="606">
        <v>12</v>
      </c>
      <c r="F231" s="606">
        <v>0</v>
      </c>
      <c r="G231" s="606">
        <v>0</v>
      </c>
      <c r="H231" s="607">
        <v>0</v>
      </c>
      <c r="I231" s="844">
        <v>302</v>
      </c>
      <c r="J231" s="600"/>
      <c r="K231" s="600"/>
      <c r="L231" s="606">
        <v>302</v>
      </c>
      <c r="M231" s="600"/>
      <c r="N231" s="600"/>
      <c r="O231" s="606">
        <v>302</v>
      </c>
      <c r="P231" s="600"/>
      <c r="Q231" s="600"/>
      <c r="R231" s="606">
        <v>302</v>
      </c>
      <c r="S231" s="600"/>
      <c r="T231" s="600"/>
      <c r="U231" s="606">
        <v>302</v>
      </c>
      <c r="V231" s="600"/>
      <c r="W231" s="600"/>
      <c r="X231" s="606">
        <v>302</v>
      </c>
      <c r="Y231" s="600"/>
      <c r="Z231" s="600"/>
      <c r="AA231" s="606">
        <v>302</v>
      </c>
      <c r="AB231" s="600"/>
      <c r="AC231" s="600"/>
      <c r="AD231" s="606">
        <v>302</v>
      </c>
      <c r="AE231" s="600"/>
      <c r="AF231" s="600"/>
      <c r="AG231" s="606">
        <v>302</v>
      </c>
      <c r="AH231" s="600"/>
      <c r="AI231" s="600"/>
      <c r="AJ231" s="606">
        <v>302</v>
      </c>
      <c r="AK231" s="600"/>
      <c r="AL231" s="600"/>
      <c r="AM231" s="606">
        <v>302</v>
      </c>
      <c r="AN231" s="600"/>
      <c r="AO231" s="600"/>
      <c r="AP231" s="606">
        <v>302</v>
      </c>
      <c r="AQ231" s="600"/>
      <c r="AR231" s="600"/>
      <c r="AS231" s="909">
        <f>((320-254)/30.5)*31+302</f>
        <v>369.08196721311475</v>
      </c>
      <c r="AT231" s="600"/>
      <c r="AU231" s="600"/>
      <c r="AV231" s="597">
        <v>254</v>
      </c>
      <c r="AW231" s="600"/>
      <c r="AX231" s="600"/>
      <c r="AY231" s="597">
        <v>254</v>
      </c>
      <c r="AZ231" s="600"/>
      <c r="BA231" s="600"/>
      <c r="BB231" s="647">
        <v>254</v>
      </c>
      <c r="BC231" s="600"/>
      <c r="BD231" s="600"/>
      <c r="BE231" s="647">
        <v>254</v>
      </c>
      <c r="BF231" s="600"/>
      <c r="BG231" s="600"/>
      <c r="BH231" s="647">
        <v>254</v>
      </c>
      <c r="BI231" s="647"/>
      <c r="BJ231" s="600"/>
      <c r="BK231" s="647">
        <v>254</v>
      </c>
      <c r="BL231" s="647"/>
      <c r="BM231" s="600"/>
      <c r="BN231" s="647">
        <v>254</v>
      </c>
      <c r="BO231" s="647"/>
      <c r="BP231" s="600"/>
      <c r="BQ231" s="647">
        <v>254</v>
      </c>
      <c r="BR231" s="647"/>
      <c r="BS231" s="600"/>
      <c r="BT231" s="647">
        <v>254</v>
      </c>
      <c r="BU231" s="647"/>
      <c r="BV231" s="600"/>
      <c r="BW231" s="647">
        <v>254</v>
      </c>
      <c r="BX231" s="647"/>
      <c r="BY231" s="600"/>
      <c r="BZ231" s="647">
        <v>254</v>
      </c>
      <c r="CA231" s="647"/>
      <c r="CB231" s="600"/>
      <c r="CC231" s="647">
        <v>254</v>
      </c>
      <c r="CD231" s="647"/>
      <c r="CE231" s="600"/>
      <c r="CF231" s="647">
        <v>254</v>
      </c>
      <c r="CG231" s="647"/>
      <c r="CH231" s="600"/>
      <c r="CI231" s="647">
        <v>254</v>
      </c>
      <c r="CJ231" s="647"/>
      <c r="CK231" s="600"/>
      <c r="CL231" s="647">
        <v>254</v>
      </c>
      <c r="CM231" s="647"/>
      <c r="CN231" s="600"/>
      <c r="CO231" s="647">
        <v>254</v>
      </c>
      <c r="CP231" s="647"/>
      <c r="CQ231" s="600"/>
      <c r="CR231" s="647">
        <v>254</v>
      </c>
      <c r="CS231" s="647"/>
      <c r="CT231" s="600"/>
      <c r="CU231" s="647">
        <v>254</v>
      </c>
      <c r="CV231" s="647"/>
      <c r="CW231" s="600"/>
      <c r="CX231" s="647">
        <v>254</v>
      </c>
      <c r="CY231" s="647"/>
      <c r="CZ231" s="600"/>
      <c r="DA231" s="647">
        <v>254</v>
      </c>
      <c r="DB231" s="647"/>
      <c r="DC231" s="600"/>
      <c r="DD231" s="647">
        <v>254</v>
      </c>
      <c r="DE231" s="647"/>
      <c r="DF231" s="600"/>
      <c r="DG231" s="647">
        <v>254</v>
      </c>
      <c r="DH231" s="647"/>
      <c r="DI231" s="600"/>
      <c r="DJ231" s="647">
        <v>254</v>
      </c>
      <c r="DK231" s="647"/>
      <c r="DL231" s="600"/>
      <c r="DM231" s="647">
        <v>254</v>
      </c>
      <c r="DN231" s="647"/>
      <c r="DO231" s="600"/>
      <c r="DP231" s="647">
        <v>254</v>
      </c>
      <c r="DQ231" s="647"/>
      <c r="DR231" s="600"/>
      <c r="DS231" s="647">
        <v>254</v>
      </c>
      <c r="DT231" s="647"/>
      <c r="DU231" s="600"/>
      <c r="DV231" s="647">
        <v>254</v>
      </c>
      <c r="DW231" s="647"/>
      <c r="DX231" s="600"/>
      <c r="DY231" s="647">
        <v>254</v>
      </c>
      <c r="DZ231" s="647"/>
      <c r="EA231" s="600"/>
      <c r="EB231" s="647">
        <v>254</v>
      </c>
      <c r="EC231" s="647"/>
      <c r="ED231" s="600"/>
      <c r="EE231" s="647">
        <v>254</v>
      </c>
      <c r="EF231" s="647"/>
      <c r="EG231" s="600"/>
      <c r="EH231" s="647">
        <v>254</v>
      </c>
      <c r="EI231" s="647"/>
      <c r="EJ231" s="600"/>
      <c r="EK231" s="647">
        <v>254</v>
      </c>
      <c r="EL231" s="647"/>
      <c r="EM231" s="600"/>
      <c r="EN231" s="647">
        <v>254</v>
      </c>
      <c r="EO231" s="647"/>
      <c r="EP231" s="600"/>
      <c r="EQ231" s="647">
        <v>254</v>
      </c>
      <c r="ER231" s="647"/>
      <c r="ES231" s="600"/>
      <c r="ET231" s="647">
        <v>254</v>
      </c>
      <c r="EU231" s="647"/>
      <c r="EV231" s="600"/>
      <c r="EW231" s="647">
        <v>254</v>
      </c>
      <c r="EX231" s="647"/>
      <c r="EY231" s="600"/>
      <c r="EZ231" s="647">
        <v>254</v>
      </c>
      <c r="FA231" s="647"/>
      <c r="FB231" s="600"/>
      <c r="FC231" s="647">
        <v>254</v>
      </c>
      <c r="FD231" s="647"/>
      <c r="FE231" s="600"/>
      <c r="FF231" s="647">
        <v>254</v>
      </c>
      <c r="FG231" s="647"/>
      <c r="FH231" s="600"/>
      <c r="FI231" s="647">
        <v>254</v>
      </c>
      <c r="FJ231" s="647"/>
      <c r="FK231" s="600"/>
      <c r="FL231" s="647">
        <v>254</v>
      </c>
      <c r="FM231" s="647"/>
      <c r="FN231" s="600"/>
      <c r="FO231" s="647">
        <v>254</v>
      </c>
      <c r="FP231" s="647"/>
      <c r="FQ231" s="600"/>
      <c r="FR231" s="647">
        <v>254</v>
      </c>
      <c r="FS231" s="647"/>
      <c r="FT231" s="600"/>
      <c r="FU231" s="647">
        <v>254</v>
      </c>
      <c r="FV231" s="647"/>
      <c r="FW231" s="600"/>
      <c r="FX231" s="647">
        <v>254</v>
      </c>
      <c r="FY231" s="647"/>
      <c r="FZ231" s="600"/>
      <c r="GA231" s="647">
        <v>254</v>
      </c>
      <c r="GB231" s="647"/>
      <c r="GC231" s="600"/>
      <c r="GD231" s="647">
        <v>254</v>
      </c>
      <c r="GE231" s="647"/>
      <c r="GF231" s="600"/>
      <c r="GG231" s="647">
        <v>254</v>
      </c>
      <c r="GH231" s="647"/>
      <c r="GI231" s="600"/>
      <c r="GJ231" s="647">
        <v>254</v>
      </c>
      <c r="GK231" s="647"/>
      <c r="GL231" s="600"/>
      <c r="GM231" s="647">
        <v>254</v>
      </c>
      <c r="GN231" s="647"/>
      <c r="GO231" s="600"/>
      <c r="GP231" s="647">
        <v>254</v>
      </c>
      <c r="GQ231" s="647"/>
      <c r="GR231" s="600"/>
      <c r="GS231" s="647">
        <v>254</v>
      </c>
      <c r="GT231" s="647"/>
      <c r="GU231" s="600"/>
      <c r="GV231" s="647">
        <v>254</v>
      </c>
      <c r="GW231" s="647"/>
      <c r="GX231" s="600"/>
      <c r="GY231" s="647">
        <v>254</v>
      </c>
      <c r="GZ231" s="647"/>
      <c r="HA231" s="600"/>
      <c r="HB231" s="647">
        <v>254</v>
      </c>
      <c r="HC231" s="647"/>
      <c r="HD231" s="600"/>
      <c r="HE231" s="647">
        <v>254</v>
      </c>
      <c r="HF231" s="647"/>
      <c r="HG231" s="600"/>
      <c r="HH231" s="647">
        <v>254</v>
      </c>
      <c r="HI231" s="600"/>
      <c r="HJ231" s="647">
        <v>254</v>
      </c>
      <c r="HK231" s="600"/>
      <c r="HL231" s="647">
        <v>254</v>
      </c>
      <c r="HM231" s="600"/>
      <c r="HN231" s="647">
        <v>254</v>
      </c>
      <c r="HO231" s="600"/>
      <c r="HP231" s="647">
        <v>254</v>
      </c>
      <c r="HQ231" s="600"/>
      <c r="HR231" s="648">
        <v>408.06557377049177</v>
      </c>
      <c r="HS231" s="600"/>
      <c r="HT231" s="567"/>
      <c r="HU231" s="567"/>
      <c r="HV231" s="567"/>
      <c r="HW231" s="567"/>
      <c r="HX231" s="587"/>
      <c r="HY231" s="587"/>
      <c r="HZ231" s="587"/>
      <c r="IA231" s="587"/>
      <c r="IB231" s="587"/>
      <c r="IC231" s="587"/>
      <c r="ID231" s="587"/>
      <c r="IE231" s="587"/>
      <c r="IF231" s="587"/>
      <c r="IG231" s="587"/>
      <c r="IH231" s="588"/>
      <c r="II231" s="589"/>
      <c r="IJ231" s="588"/>
      <c r="IK231" s="589"/>
      <c r="IL231" s="588"/>
      <c r="IM231" s="589"/>
      <c r="IN231" s="588"/>
      <c r="IO231" s="589"/>
      <c r="IP231" s="588"/>
      <c r="IQ231" s="589"/>
      <c r="IR231" s="552" t="s">
        <v>3442</v>
      </c>
      <c r="IS231" s="587" t="s">
        <v>77</v>
      </c>
      <c r="IT231" s="611">
        <v>43782</v>
      </c>
      <c r="IU231" s="518">
        <v>43831</v>
      </c>
      <c r="IV231" s="552"/>
      <c r="IW231" s="526">
        <f t="shared" si="27"/>
        <v>49</v>
      </c>
      <c r="IX231" s="621">
        <f t="shared" si="28"/>
        <v>13.379199140016123</v>
      </c>
      <c r="IY231" s="621">
        <v>408.06557377049177</v>
      </c>
      <c r="IZ231" s="374"/>
      <c r="JB231" s="653"/>
    </row>
    <row r="232" spans="1:262" s="367" customFormat="1" ht="16.5" customHeight="1" x14ac:dyDescent="0.3">
      <c r="A232" s="526" t="s">
        <v>2735</v>
      </c>
      <c r="B232" s="594" t="s">
        <v>2771</v>
      </c>
      <c r="C232" s="595" t="s">
        <v>893</v>
      </c>
      <c r="D232" s="596">
        <v>1995</v>
      </c>
      <c r="E232" s="597">
        <v>239</v>
      </c>
      <c r="F232" s="597">
        <v>16</v>
      </c>
      <c r="G232" s="597">
        <v>108</v>
      </c>
      <c r="H232" s="598">
        <v>66</v>
      </c>
      <c r="I232" s="855">
        <v>2250</v>
      </c>
      <c r="J232" s="600">
        <f>108</f>
        <v>108</v>
      </c>
      <c r="K232" s="600">
        <v>66</v>
      </c>
      <c r="L232" s="597">
        <v>2250</v>
      </c>
      <c r="M232" s="600">
        <f>108</f>
        <v>108</v>
      </c>
      <c r="N232" s="600">
        <v>66</v>
      </c>
      <c r="O232" s="597">
        <v>2250</v>
      </c>
      <c r="P232" s="600">
        <f>108</f>
        <v>108</v>
      </c>
      <c r="Q232" s="600">
        <v>66</v>
      </c>
      <c r="R232" s="597">
        <v>2250</v>
      </c>
      <c r="S232" s="600">
        <f>108</f>
        <v>108</v>
      </c>
      <c r="T232" s="600">
        <v>66</v>
      </c>
      <c r="U232" s="597">
        <v>2250</v>
      </c>
      <c r="V232" s="600">
        <f>108</f>
        <v>108</v>
      </c>
      <c r="W232" s="600">
        <v>66</v>
      </c>
      <c r="X232" s="597">
        <v>2250</v>
      </c>
      <c r="Y232" s="600">
        <f>108</f>
        <v>108</v>
      </c>
      <c r="Z232" s="600">
        <v>66</v>
      </c>
      <c r="AA232" s="597">
        <v>2250</v>
      </c>
      <c r="AB232" s="600">
        <f>108</f>
        <v>108</v>
      </c>
      <c r="AC232" s="600">
        <v>66</v>
      </c>
      <c r="AD232" s="597">
        <v>2250</v>
      </c>
      <c r="AE232" s="600">
        <f>108</f>
        <v>108</v>
      </c>
      <c r="AF232" s="600">
        <v>66</v>
      </c>
      <c r="AG232" s="597">
        <v>2250</v>
      </c>
      <c r="AH232" s="600">
        <f>108</f>
        <v>108</v>
      </c>
      <c r="AI232" s="600">
        <v>66</v>
      </c>
      <c r="AJ232" s="597">
        <v>2250</v>
      </c>
      <c r="AK232" s="600">
        <f>108</f>
        <v>108</v>
      </c>
      <c r="AL232" s="600">
        <v>66</v>
      </c>
      <c r="AM232" s="597">
        <v>2250</v>
      </c>
      <c r="AN232" s="600">
        <f>108</f>
        <v>108</v>
      </c>
      <c r="AO232" s="600">
        <v>66</v>
      </c>
      <c r="AP232" s="597">
        <v>2250</v>
      </c>
      <c r="AQ232" s="600">
        <f>108</f>
        <v>108</v>
      </c>
      <c r="AR232" s="600">
        <v>66</v>
      </c>
      <c r="AS232" s="597">
        <v>2250</v>
      </c>
      <c r="AT232" s="600">
        <f>108</f>
        <v>108</v>
      </c>
      <c r="AU232" s="600">
        <v>66</v>
      </c>
      <c r="AV232" s="597">
        <v>2250</v>
      </c>
      <c r="AW232" s="600">
        <f>108</f>
        <v>108</v>
      </c>
      <c r="AX232" s="600">
        <v>66</v>
      </c>
      <c r="AY232" s="597">
        <v>2250</v>
      </c>
      <c r="AZ232" s="600">
        <f>108</f>
        <v>108</v>
      </c>
      <c r="BA232" s="600">
        <v>66</v>
      </c>
      <c r="BB232" s="647">
        <v>2250</v>
      </c>
      <c r="BC232" s="600">
        <f>108</f>
        <v>108</v>
      </c>
      <c r="BD232" s="600">
        <v>66</v>
      </c>
      <c r="BE232" s="647">
        <v>2250</v>
      </c>
      <c r="BF232" s="600">
        <f>108</f>
        <v>108</v>
      </c>
      <c r="BG232" s="600">
        <v>66</v>
      </c>
      <c r="BH232" s="647">
        <v>2250</v>
      </c>
      <c r="BI232" s="647">
        <f>108</f>
        <v>108</v>
      </c>
      <c r="BJ232" s="655">
        <v>66</v>
      </c>
      <c r="BK232" s="647">
        <v>2250</v>
      </c>
      <c r="BL232" s="647">
        <f>108</f>
        <v>108</v>
      </c>
      <c r="BM232" s="655">
        <v>66</v>
      </c>
      <c r="BN232" s="647">
        <v>2250</v>
      </c>
      <c r="BO232" s="647">
        <f>108</f>
        <v>108</v>
      </c>
      <c r="BP232" s="655">
        <v>66</v>
      </c>
      <c r="BQ232" s="647">
        <v>2250</v>
      </c>
      <c r="BR232" s="647">
        <f>108</f>
        <v>108</v>
      </c>
      <c r="BS232" s="655">
        <v>66</v>
      </c>
      <c r="BT232" s="647">
        <v>2250</v>
      </c>
      <c r="BU232" s="647">
        <f>108</f>
        <v>108</v>
      </c>
      <c r="BV232" s="655">
        <v>66</v>
      </c>
      <c r="BW232" s="647">
        <v>2250</v>
      </c>
      <c r="BX232" s="647">
        <f>108</f>
        <v>108</v>
      </c>
      <c r="BY232" s="655">
        <v>66</v>
      </c>
      <c r="BZ232" s="647">
        <v>2250</v>
      </c>
      <c r="CA232" s="647">
        <f>108</f>
        <v>108</v>
      </c>
      <c r="CB232" s="655">
        <v>66</v>
      </c>
      <c r="CC232" s="647">
        <v>2250</v>
      </c>
      <c r="CD232" s="647">
        <f>108</f>
        <v>108</v>
      </c>
      <c r="CE232" s="655">
        <v>66</v>
      </c>
      <c r="CF232" s="647">
        <v>2250</v>
      </c>
      <c r="CG232" s="647">
        <f>108</f>
        <v>108</v>
      </c>
      <c r="CH232" s="655">
        <v>66</v>
      </c>
      <c r="CI232" s="647">
        <v>2250</v>
      </c>
      <c r="CJ232" s="647">
        <f>108</f>
        <v>108</v>
      </c>
      <c r="CK232" s="655">
        <v>66</v>
      </c>
      <c r="CL232" s="647">
        <v>2250</v>
      </c>
      <c r="CM232" s="647">
        <f>108</f>
        <v>108</v>
      </c>
      <c r="CN232" s="655">
        <v>66</v>
      </c>
      <c r="CO232" s="647">
        <v>2250</v>
      </c>
      <c r="CP232" s="647">
        <f>108</f>
        <v>108</v>
      </c>
      <c r="CQ232" s="655">
        <v>66</v>
      </c>
      <c r="CR232" s="647">
        <v>2250</v>
      </c>
      <c r="CS232" s="647">
        <f>108</f>
        <v>108</v>
      </c>
      <c r="CT232" s="655">
        <v>66</v>
      </c>
      <c r="CU232" s="647">
        <v>2250</v>
      </c>
      <c r="CV232" s="647">
        <f>108</f>
        <v>108</v>
      </c>
      <c r="CW232" s="655">
        <v>66</v>
      </c>
      <c r="CX232" s="647">
        <v>2250</v>
      </c>
      <c r="CY232" s="647">
        <f>108</f>
        <v>108</v>
      </c>
      <c r="CZ232" s="655">
        <v>66</v>
      </c>
      <c r="DA232" s="647">
        <v>2250</v>
      </c>
      <c r="DB232" s="647">
        <f>108</f>
        <v>108</v>
      </c>
      <c r="DC232" s="655">
        <v>66</v>
      </c>
      <c r="DD232" s="647">
        <v>2250</v>
      </c>
      <c r="DE232" s="647">
        <f>108</f>
        <v>108</v>
      </c>
      <c r="DF232" s="655">
        <v>66</v>
      </c>
      <c r="DG232" s="647">
        <v>2250</v>
      </c>
      <c r="DH232" s="647">
        <f>108</f>
        <v>108</v>
      </c>
      <c r="DI232" s="655">
        <v>66</v>
      </c>
      <c r="DJ232" s="647">
        <v>2250</v>
      </c>
      <c r="DK232" s="647">
        <f>108</f>
        <v>108</v>
      </c>
      <c r="DL232" s="655">
        <v>66</v>
      </c>
      <c r="DM232" s="647">
        <v>2250</v>
      </c>
      <c r="DN232" s="647">
        <f>108</f>
        <v>108</v>
      </c>
      <c r="DO232" s="655">
        <v>66</v>
      </c>
      <c r="DP232" s="647">
        <v>2250</v>
      </c>
      <c r="DQ232" s="647">
        <f>108</f>
        <v>108</v>
      </c>
      <c r="DR232" s="655">
        <v>66</v>
      </c>
      <c r="DS232" s="647">
        <v>2250</v>
      </c>
      <c r="DT232" s="647">
        <f>108</f>
        <v>108</v>
      </c>
      <c r="DU232" s="655">
        <v>66</v>
      </c>
      <c r="DV232" s="647">
        <v>2250</v>
      </c>
      <c r="DW232" s="647">
        <f>108</f>
        <v>108</v>
      </c>
      <c r="DX232" s="655">
        <v>66</v>
      </c>
      <c r="DY232" s="647">
        <v>2250</v>
      </c>
      <c r="DZ232" s="647">
        <f>108</f>
        <v>108</v>
      </c>
      <c r="EA232" s="655">
        <v>66</v>
      </c>
      <c r="EB232" s="647">
        <v>2250</v>
      </c>
      <c r="EC232" s="647">
        <f>108</f>
        <v>108</v>
      </c>
      <c r="ED232" s="655">
        <v>66</v>
      </c>
      <c r="EE232" s="647">
        <v>2250</v>
      </c>
      <c r="EF232" s="647">
        <f>108</f>
        <v>108</v>
      </c>
      <c r="EG232" s="655">
        <v>66</v>
      </c>
      <c r="EH232" s="647">
        <v>2250</v>
      </c>
      <c r="EI232" s="647">
        <f>108</f>
        <v>108</v>
      </c>
      <c r="EJ232" s="655">
        <v>66</v>
      </c>
      <c r="EK232" s="647">
        <v>2250</v>
      </c>
      <c r="EL232" s="647">
        <f>108</f>
        <v>108</v>
      </c>
      <c r="EM232" s="655">
        <v>66</v>
      </c>
      <c r="EN232" s="647">
        <v>2250</v>
      </c>
      <c r="EO232" s="647">
        <f>108</f>
        <v>108</v>
      </c>
      <c r="EP232" s="655">
        <v>66</v>
      </c>
      <c r="EQ232" s="647">
        <v>2250</v>
      </c>
      <c r="ER232" s="647">
        <f>108</f>
        <v>108</v>
      </c>
      <c r="ES232" s="655">
        <v>66</v>
      </c>
      <c r="ET232" s="647">
        <v>2250</v>
      </c>
      <c r="EU232" s="647">
        <f>108</f>
        <v>108</v>
      </c>
      <c r="EV232" s="655">
        <v>66</v>
      </c>
      <c r="EW232" s="647">
        <v>2250</v>
      </c>
      <c r="EX232" s="647">
        <f>108</f>
        <v>108</v>
      </c>
      <c r="EY232" s="655">
        <v>66</v>
      </c>
      <c r="EZ232" s="647">
        <v>2250</v>
      </c>
      <c r="FA232" s="647">
        <f>108</f>
        <v>108</v>
      </c>
      <c r="FB232" s="655">
        <v>66</v>
      </c>
      <c r="FC232" s="647">
        <v>2250</v>
      </c>
      <c r="FD232" s="647">
        <f>108</f>
        <v>108</v>
      </c>
      <c r="FE232" s="655">
        <v>66</v>
      </c>
      <c r="FF232" s="647">
        <v>2250</v>
      </c>
      <c r="FG232" s="647">
        <f>108</f>
        <v>108</v>
      </c>
      <c r="FH232" s="655">
        <v>66</v>
      </c>
      <c r="FI232" s="647">
        <v>2250</v>
      </c>
      <c r="FJ232" s="647">
        <f>108</f>
        <v>108</v>
      </c>
      <c r="FK232" s="655">
        <v>66</v>
      </c>
      <c r="FL232" s="647">
        <v>2250</v>
      </c>
      <c r="FM232" s="647">
        <f>108</f>
        <v>108</v>
      </c>
      <c r="FN232" s="655">
        <v>66</v>
      </c>
      <c r="FO232" s="647">
        <v>2250</v>
      </c>
      <c r="FP232" s="647">
        <f>108</f>
        <v>108</v>
      </c>
      <c r="FQ232" s="655">
        <v>66</v>
      </c>
      <c r="FR232" s="647">
        <v>2250</v>
      </c>
      <c r="FS232" s="647">
        <f>108</f>
        <v>108</v>
      </c>
      <c r="FT232" s="655">
        <v>66</v>
      </c>
      <c r="FU232" s="647">
        <v>2250</v>
      </c>
      <c r="FV232" s="647">
        <f>108</f>
        <v>108</v>
      </c>
      <c r="FW232" s="655">
        <v>66</v>
      </c>
      <c r="FX232" s="647">
        <v>2250</v>
      </c>
      <c r="FY232" s="647">
        <f>108</f>
        <v>108</v>
      </c>
      <c r="FZ232" s="655">
        <v>66</v>
      </c>
      <c r="GA232" s="647">
        <v>2250</v>
      </c>
      <c r="GB232" s="647">
        <f>108</f>
        <v>108</v>
      </c>
      <c r="GC232" s="655">
        <v>66</v>
      </c>
      <c r="GD232" s="647">
        <v>2250</v>
      </c>
      <c r="GE232" s="647">
        <f>108</f>
        <v>108</v>
      </c>
      <c r="GF232" s="655">
        <v>66</v>
      </c>
      <c r="GG232" s="647">
        <v>2250</v>
      </c>
      <c r="GH232" s="647">
        <f>108</f>
        <v>108</v>
      </c>
      <c r="GI232" s="655">
        <v>66</v>
      </c>
      <c r="GJ232" s="647">
        <v>2250</v>
      </c>
      <c r="GK232" s="647">
        <f>108</f>
        <v>108</v>
      </c>
      <c r="GL232" s="655">
        <v>66</v>
      </c>
      <c r="GM232" s="647">
        <v>2250</v>
      </c>
      <c r="GN232" s="647">
        <f>108</f>
        <v>108</v>
      </c>
      <c r="GO232" s="655">
        <v>66</v>
      </c>
      <c r="GP232" s="647">
        <v>2250</v>
      </c>
      <c r="GQ232" s="647">
        <f>108</f>
        <v>108</v>
      </c>
      <c r="GR232" s="655">
        <v>66</v>
      </c>
      <c r="GS232" s="647">
        <v>2250</v>
      </c>
      <c r="GT232" s="647">
        <f>108</f>
        <v>108</v>
      </c>
      <c r="GU232" s="655">
        <v>66</v>
      </c>
      <c r="GV232" s="647">
        <v>2250</v>
      </c>
      <c r="GW232" s="647">
        <f>108</f>
        <v>108</v>
      </c>
      <c r="GX232" s="655">
        <v>66</v>
      </c>
      <c r="GY232" s="647">
        <v>2250</v>
      </c>
      <c r="GZ232" s="647">
        <f>108</f>
        <v>108</v>
      </c>
      <c r="HA232" s="655">
        <v>66</v>
      </c>
      <c r="HB232" s="647">
        <v>2250</v>
      </c>
      <c r="HC232" s="647">
        <f>108</f>
        <v>108</v>
      </c>
      <c r="HD232" s="655">
        <v>66</v>
      </c>
      <c r="HE232" s="647">
        <v>2250</v>
      </c>
      <c r="HF232" s="648">
        <f>108*6</f>
        <v>648</v>
      </c>
      <c r="HG232" s="655">
        <v>66</v>
      </c>
      <c r="HH232" s="647">
        <v>2250</v>
      </c>
      <c r="HI232" s="655">
        <v>66</v>
      </c>
      <c r="HJ232" s="647">
        <v>2250</v>
      </c>
      <c r="HK232" s="655">
        <v>66</v>
      </c>
      <c r="HL232" s="647">
        <v>2250</v>
      </c>
      <c r="HM232" s="655">
        <v>66</v>
      </c>
      <c r="HN232" s="647">
        <v>2250</v>
      </c>
      <c r="HO232" s="655">
        <v>66</v>
      </c>
      <c r="HP232" s="647">
        <v>2250</v>
      </c>
      <c r="HQ232" s="655">
        <v>66</v>
      </c>
      <c r="HR232" s="648">
        <v>2655.7377049180327</v>
      </c>
      <c r="HS232" s="517">
        <v>77.447213114754078</v>
      </c>
      <c r="HT232" s="567"/>
      <c r="HU232" s="567"/>
      <c r="HV232" s="567"/>
      <c r="HW232" s="567"/>
      <c r="HX232" s="587"/>
      <c r="HY232" s="587"/>
      <c r="HZ232" s="587"/>
      <c r="IA232" s="587"/>
      <c r="IB232" s="587"/>
      <c r="IC232" s="587"/>
      <c r="ID232" s="587"/>
      <c r="IE232" s="587"/>
      <c r="IF232" s="587"/>
      <c r="IG232" s="587"/>
      <c r="IH232" s="588"/>
      <c r="II232" s="589"/>
      <c r="IJ232" s="588"/>
      <c r="IK232" s="589"/>
      <c r="IL232" s="588"/>
      <c r="IM232" s="589"/>
      <c r="IN232" s="588"/>
      <c r="IO232" s="589"/>
      <c r="IP232" s="588"/>
      <c r="IQ232" s="589"/>
      <c r="IR232" s="552" t="s">
        <v>3443</v>
      </c>
      <c r="IS232" s="587" t="s">
        <v>77</v>
      </c>
      <c r="IT232" s="611">
        <v>43795</v>
      </c>
      <c r="IU232" s="518">
        <v>43831</v>
      </c>
      <c r="IV232" s="552"/>
      <c r="IW232" s="526">
        <f t="shared" si="27"/>
        <v>36</v>
      </c>
      <c r="IX232" s="621">
        <f t="shared" si="28"/>
        <v>87.073367374361723</v>
      </c>
      <c r="IY232" s="621">
        <v>2655.7377049180327</v>
      </c>
      <c r="IZ232" s="374"/>
      <c r="JB232" s="653"/>
    </row>
    <row r="233" spans="1:262" s="367" customFormat="1" ht="16.5" customHeight="1" x14ac:dyDescent="0.3">
      <c r="A233" s="526" t="s">
        <v>2758</v>
      </c>
      <c r="B233" s="594" t="s">
        <v>2909</v>
      </c>
      <c r="C233" s="595" t="s">
        <v>2253</v>
      </c>
      <c r="D233" s="596">
        <v>1229</v>
      </c>
      <c r="E233" s="597">
        <v>44</v>
      </c>
      <c r="F233" s="597">
        <v>40</v>
      </c>
      <c r="G233" s="597">
        <v>5</v>
      </c>
      <c r="H233" s="598">
        <v>66</v>
      </c>
      <c r="I233" s="855">
        <v>1313</v>
      </c>
      <c r="J233" s="600">
        <v>5</v>
      </c>
      <c r="K233" s="600">
        <v>66</v>
      </c>
      <c r="L233" s="597">
        <v>1313</v>
      </c>
      <c r="M233" s="600">
        <v>5</v>
      </c>
      <c r="N233" s="600">
        <v>66</v>
      </c>
      <c r="O233" s="597">
        <v>1313</v>
      </c>
      <c r="P233" s="600">
        <v>5</v>
      </c>
      <c r="Q233" s="600">
        <v>66</v>
      </c>
      <c r="R233" s="597">
        <v>1313</v>
      </c>
      <c r="S233" s="600">
        <v>5</v>
      </c>
      <c r="T233" s="600">
        <v>66</v>
      </c>
      <c r="U233" s="597">
        <v>1313</v>
      </c>
      <c r="V233" s="600">
        <v>5</v>
      </c>
      <c r="W233" s="600">
        <v>66</v>
      </c>
      <c r="X233" s="597">
        <v>1313</v>
      </c>
      <c r="Y233" s="600">
        <v>5</v>
      </c>
      <c r="Z233" s="600">
        <v>66</v>
      </c>
      <c r="AA233" s="597">
        <v>1313</v>
      </c>
      <c r="AB233" s="600">
        <v>5</v>
      </c>
      <c r="AC233" s="600">
        <v>66</v>
      </c>
      <c r="AD233" s="597">
        <v>1313</v>
      </c>
      <c r="AE233" s="600">
        <v>5</v>
      </c>
      <c r="AF233" s="600">
        <v>66</v>
      </c>
      <c r="AG233" s="597">
        <v>1313</v>
      </c>
      <c r="AH233" s="600">
        <v>5</v>
      </c>
      <c r="AI233" s="600">
        <v>66</v>
      </c>
      <c r="AJ233" s="597">
        <v>1313</v>
      </c>
      <c r="AK233" s="600">
        <v>5</v>
      </c>
      <c r="AL233" s="600">
        <v>66</v>
      </c>
      <c r="AM233" s="597">
        <v>1313</v>
      </c>
      <c r="AN233" s="600">
        <v>5</v>
      </c>
      <c r="AO233" s="600">
        <v>66</v>
      </c>
      <c r="AP233" s="597">
        <v>1313</v>
      </c>
      <c r="AQ233" s="600">
        <v>5</v>
      </c>
      <c r="AR233" s="600">
        <v>66</v>
      </c>
      <c r="AS233" s="597">
        <v>1313</v>
      </c>
      <c r="AT233" s="600">
        <v>5</v>
      </c>
      <c r="AU233" s="600">
        <v>66</v>
      </c>
      <c r="AV233" s="597">
        <v>1313</v>
      </c>
      <c r="AW233" s="600">
        <v>5</v>
      </c>
      <c r="AX233" s="600">
        <v>66</v>
      </c>
      <c r="AY233" s="597">
        <v>1313</v>
      </c>
      <c r="AZ233" s="600">
        <v>5</v>
      </c>
      <c r="BA233" s="600">
        <v>66</v>
      </c>
      <c r="BB233" s="647">
        <v>1313</v>
      </c>
      <c r="BC233" s="600">
        <v>5</v>
      </c>
      <c r="BD233" s="600">
        <v>66</v>
      </c>
      <c r="BE233" s="647">
        <v>1313</v>
      </c>
      <c r="BF233" s="600">
        <v>5</v>
      </c>
      <c r="BG233" s="600">
        <v>66</v>
      </c>
      <c r="BH233" s="647">
        <v>1313</v>
      </c>
      <c r="BI233" s="647">
        <v>5</v>
      </c>
      <c r="BJ233" s="655">
        <v>66</v>
      </c>
      <c r="BK233" s="647">
        <v>1313</v>
      </c>
      <c r="BL233" s="647">
        <v>5</v>
      </c>
      <c r="BM233" s="655">
        <v>66</v>
      </c>
      <c r="BN233" s="647">
        <v>1313</v>
      </c>
      <c r="BO233" s="647">
        <v>5</v>
      </c>
      <c r="BP233" s="655">
        <v>66</v>
      </c>
      <c r="BQ233" s="647">
        <v>1313</v>
      </c>
      <c r="BR233" s="647">
        <v>5</v>
      </c>
      <c r="BS233" s="655">
        <v>66</v>
      </c>
      <c r="BT233" s="647">
        <v>1313</v>
      </c>
      <c r="BU233" s="647">
        <v>5</v>
      </c>
      <c r="BV233" s="655">
        <v>66</v>
      </c>
      <c r="BW233" s="647">
        <v>1313</v>
      </c>
      <c r="BX233" s="647">
        <v>5</v>
      </c>
      <c r="BY233" s="655">
        <v>66</v>
      </c>
      <c r="BZ233" s="647">
        <v>1313</v>
      </c>
      <c r="CA233" s="647">
        <v>5</v>
      </c>
      <c r="CB233" s="655">
        <v>66</v>
      </c>
      <c r="CC233" s="647">
        <v>1313</v>
      </c>
      <c r="CD233" s="647">
        <v>5</v>
      </c>
      <c r="CE233" s="655">
        <v>66</v>
      </c>
      <c r="CF233" s="647">
        <v>1313</v>
      </c>
      <c r="CG233" s="647">
        <v>5</v>
      </c>
      <c r="CH233" s="655">
        <v>66</v>
      </c>
      <c r="CI233" s="647">
        <v>1313</v>
      </c>
      <c r="CJ233" s="647">
        <v>5</v>
      </c>
      <c r="CK233" s="655">
        <v>66</v>
      </c>
      <c r="CL233" s="647">
        <v>1313</v>
      </c>
      <c r="CM233" s="647">
        <v>5</v>
      </c>
      <c r="CN233" s="655">
        <v>66</v>
      </c>
      <c r="CO233" s="647">
        <v>1313</v>
      </c>
      <c r="CP233" s="647">
        <v>5</v>
      </c>
      <c r="CQ233" s="655">
        <v>66</v>
      </c>
      <c r="CR233" s="647">
        <v>1313</v>
      </c>
      <c r="CS233" s="647">
        <v>5</v>
      </c>
      <c r="CT233" s="655">
        <v>66</v>
      </c>
      <c r="CU233" s="647">
        <v>1313</v>
      </c>
      <c r="CV233" s="647">
        <v>5</v>
      </c>
      <c r="CW233" s="655">
        <v>66</v>
      </c>
      <c r="CX233" s="647">
        <v>1313</v>
      </c>
      <c r="CY233" s="647">
        <v>5</v>
      </c>
      <c r="CZ233" s="655">
        <v>66</v>
      </c>
      <c r="DA233" s="647">
        <v>1313</v>
      </c>
      <c r="DB233" s="647">
        <v>5</v>
      </c>
      <c r="DC233" s="655">
        <v>66</v>
      </c>
      <c r="DD233" s="647">
        <v>1313</v>
      </c>
      <c r="DE233" s="647">
        <v>5</v>
      </c>
      <c r="DF233" s="655">
        <v>66</v>
      </c>
      <c r="DG233" s="647">
        <v>1313</v>
      </c>
      <c r="DH233" s="647">
        <v>5</v>
      </c>
      <c r="DI233" s="655">
        <v>66</v>
      </c>
      <c r="DJ233" s="647">
        <v>1313</v>
      </c>
      <c r="DK233" s="647">
        <v>5</v>
      </c>
      <c r="DL233" s="655">
        <v>66</v>
      </c>
      <c r="DM233" s="647">
        <v>1313</v>
      </c>
      <c r="DN233" s="647">
        <v>5</v>
      </c>
      <c r="DO233" s="655">
        <v>66</v>
      </c>
      <c r="DP233" s="647">
        <v>1313</v>
      </c>
      <c r="DQ233" s="647">
        <v>5</v>
      </c>
      <c r="DR233" s="655">
        <v>66</v>
      </c>
      <c r="DS233" s="648">
        <f>((1313-953)/30.5*15)+1313</f>
        <v>1490.049180327869</v>
      </c>
      <c r="DT233" s="648">
        <f>(5/30.5*15)+5</f>
        <v>7.4590163934426226</v>
      </c>
      <c r="DU233" s="517">
        <v>66</v>
      </c>
      <c r="DV233" s="647">
        <v>953</v>
      </c>
      <c r="DW233" s="647"/>
      <c r="DX233" s="655">
        <v>66</v>
      </c>
      <c r="DY233" s="647">
        <v>953</v>
      </c>
      <c r="DZ233" s="647"/>
      <c r="EA233" s="655">
        <v>66</v>
      </c>
      <c r="EB233" s="647">
        <v>953</v>
      </c>
      <c r="EC233" s="647"/>
      <c r="ED233" s="655">
        <v>66</v>
      </c>
      <c r="EE233" s="647">
        <v>953</v>
      </c>
      <c r="EF233" s="647"/>
      <c r="EG233" s="655">
        <v>66</v>
      </c>
      <c r="EH233" s="647">
        <v>953</v>
      </c>
      <c r="EI233" s="647"/>
      <c r="EJ233" s="655">
        <v>66</v>
      </c>
      <c r="EK233" s="647">
        <v>953</v>
      </c>
      <c r="EL233" s="647"/>
      <c r="EM233" s="655">
        <v>66</v>
      </c>
      <c r="EN233" s="647">
        <v>953</v>
      </c>
      <c r="EO233" s="647"/>
      <c r="EP233" s="655">
        <v>66</v>
      </c>
      <c r="EQ233" s="647">
        <v>953</v>
      </c>
      <c r="ER233" s="647"/>
      <c r="ES233" s="655">
        <v>66</v>
      </c>
      <c r="ET233" s="647">
        <v>953</v>
      </c>
      <c r="EU233" s="647"/>
      <c r="EV233" s="655">
        <v>66</v>
      </c>
      <c r="EW233" s="647">
        <v>953</v>
      </c>
      <c r="EX233" s="647"/>
      <c r="EY233" s="655">
        <v>66</v>
      </c>
      <c r="EZ233" s="647">
        <v>953</v>
      </c>
      <c r="FA233" s="647"/>
      <c r="FB233" s="655">
        <v>66</v>
      </c>
      <c r="FC233" s="647">
        <v>953</v>
      </c>
      <c r="FD233" s="647"/>
      <c r="FE233" s="655">
        <v>66</v>
      </c>
      <c r="FF233" s="647">
        <v>953</v>
      </c>
      <c r="FG233" s="647"/>
      <c r="FH233" s="655">
        <v>66</v>
      </c>
      <c r="FI233" s="647">
        <v>953</v>
      </c>
      <c r="FJ233" s="647"/>
      <c r="FK233" s="655">
        <v>66</v>
      </c>
      <c r="FL233" s="647">
        <v>953</v>
      </c>
      <c r="FM233" s="647"/>
      <c r="FN233" s="655">
        <v>66</v>
      </c>
      <c r="FO233" s="647">
        <v>953</v>
      </c>
      <c r="FP233" s="647"/>
      <c r="FQ233" s="655">
        <v>66</v>
      </c>
      <c r="FR233" s="647">
        <v>953</v>
      </c>
      <c r="FS233" s="647"/>
      <c r="FT233" s="655">
        <v>66</v>
      </c>
      <c r="FU233" s="648">
        <v>953</v>
      </c>
      <c r="FV233" s="648"/>
      <c r="FW233" s="517">
        <v>66</v>
      </c>
      <c r="FX233" s="647">
        <v>953</v>
      </c>
      <c r="FY233" s="647"/>
      <c r="FZ233" s="600"/>
      <c r="GA233" s="647">
        <v>953</v>
      </c>
      <c r="GB233" s="647"/>
      <c r="GC233" s="600"/>
      <c r="GD233" s="647">
        <v>953</v>
      </c>
      <c r="GE233" s="647"/>
      <c r="GF233" s="600"/>
      <c r="GG233" s="647">
        <v>953</v>
      </c>
      <c r="GH233" s="647"/>
      <c r="GI233" s="600"/>
      <c r="GJ233" s="647">
        <v>953</v>
      </c>
      <c r="GK233" s="647"/>
      <c r="GL233" s="600"/>
      <c r="GM233" s="647">
        <v>953</v>
      </c>
      <c r="GN233" s="647"/>
      <c r="GO233" s="600"/>
      <c r="GP233" s="647">
        <v>953</v>
      </c>
      <c r="GQ233" s="647"/>
      <c r="GR233" s="600"/>
      <c r="GS233" s="647">
        <v>953</v>
      </c>
      <c r="GT233" s="647"/>
      <c r="GU233" s="600"/>
      <c r="GV233" s="647">
        <v>953</v>
      </c>
      <c r="GW233" s="647"/>
      <c r="GX233" s="600"/>
      <c r="GY233" s="647">
        <v>953</v>
      </c>
      <c r="GZ233" s="647"/>
      <c r="HA233" s="600"/>
      <c r="HB233" s="647">
        <v>953</v>
      </c>
      <c r="HC233" s="647"/>
      <c r="HD233" s="600"/>
      <c r="HE233" s="647">
        <v>953</v>
      </c>
      <c r="HF233" s="647"/>
      <c r="HG233" s="600"/>
      <c r="HH233" s="647">
        <v>953</v>
      </c>
      <c r="HI233" s="600"/>
      <c r="HJ233" s="647">
        <v>953</v>
      </c>
      <c r="HK233" s="600"/>
      <c r="HL233" s="647">
        <v>953</v>
      </c>
      <c r="HM233" s="600"/>
      <c r="HN233" s="647">
        <v>953</v>
      </c>
      <c r="HO233" s="600"/>
      <c r="HP233" s="647">
        <v>953</v>
      </c>
      <c r="HQ233" s="600"/>
      <c r="HR233" s="648">
        <v>1124.8524590163934</v>
      </c>
      <c r="HS233" s="600"/>
      <c r="HT233" s="567"/>
      <c r="HU233" s="567"/>
      <c r="HV233" s="567"/>
      <c r="HW233" s="567"/>
      <c r="HX233" s="587"/>
      <c r="HY233" s="587"/>
      <c r="HZ233" s="587"/>
      <c r="IA233" s="587"/>
      <c r="IB233" s="587"/>
      <c r="IC233" s="587"/>
      <c r="ID233" s="587"/>
      <c r="IE233" s="587"/>
      <c r="IF233" s="587"/>
      <c r="IG233" s="587"/>
      <c r="IH233" s="588"/>
      <c r="II233" s="589"/>
      <c r="IJ233" s="588"/>
      <c r="IK233" s="589"/>
      <c r="IL233" s="588"/>
      <c r="IM233" s="589"/>
      <c r="IN233" s="588"/>
      <c r="IO233" s="589"/>
      <c r="IP233" s="588"/>
      <c r="IQ233" s="589"/>
      <c r="IR233" s="552" t="s">
        <v>3444</v>
      </c>
      <c r="IS233" s="587" t="s">
        <v>77</v>
      </c>
      <c r="IT233" s="611">
        <v>43795</v>
      </c>
      <c r="IU233" s="518">
        <v>43831</v>
      </c>
      <c r="IV233" s="518">
        <v>44881</v>
      </c>
      <c r="IW233" s="526">
        <f t="shared" si="27"/>
        <v>36</v>
      </c>
      <c r="IX233" s="621">
        <f t="shared" si="28"/>
        <v>36.880408492340763</v>
      </c>
      <c r="IY233" s="621">
        <v>1124.8524590163934</v>
      </c>
      <c r="IZ233" s="374"/>
      <c r="JB233" s="653"/>
    </row>
    <row r="234" spans="1:262" s="367" customFormat="1" ht="16.5" customHeight="1" x14ac:dyDescent="0.3">
      <c r="A234" s="526" t="s">
        <v>2758</v>
      </c>
      <c r="B234" s="551" t="s">
        <v>2748</v>
      </c>
      <c r="C234" s="998" t="s">
        <v>2159</v>
      </c>
      <c r="D234" s="662">
        <v>1149</v>
      </c>
      <c r="E234" s="516">
        <v>44</v>
      </c>
      <c r="F234" s="516">
        <v>40</v>
      </c>
      <c r="G234" s="516">
        <v>5</v>
      </c>
      <c r="H234" s="663">
        <v>0</v>
      </c>
      <c r="I234" s="664">
        <v>1233</v>
      </c>
      <c r="J234" s="516">
        <v>5</v>
      </c>
      <c r="K234" s="600"/>
      <c r="L234" s="516">
        <v>1233</v>
      </c>
      <c r="M234" s="516">
        <v>5</v>
      </c>
      <c r="N234" s="600"/>
      <c r="O234" s="516">
        <v>1233</v>
      </c>
      <c r="P234" s="516">
        <v>5</v>
      </c>
      <c r="Q234" s="600"/>
      <c r="R234" s="516">
        <v>1233</v>
      </c>
      <c r="S234" s="516">
        <v>5</v>
      </c>
      <c r="T234" s="600"/>
      <c r="U234" s="516">
        <v>1233</v>
      </c>
      <c r="V234" s="516">
        <v>5</v>
      </c>
      <c r="W234" s="600"/>
      <c r="X234" s="516">
        <v>1233</v>
      </c>
      <c r="Y234" s="516">
        <v>5</v>
      </c>
      <c r="Z234" s="600"/>
      <c r="AA234" s="516">
        <v>1233</v>
      </c>
      <c r="AB234" s="516">
        <v>5</v>
      </c>
      <c r="AC234" s="600"/>
      <c r="AD234" s="516">
        <v>1233</v>
      </c>
      <c r="AE234" s="516">
        <v>5</v>
      </c>
      <c r="AF234" s="600"/>
      <c r="AG234" s="516">
        <v>1233</v>
      </c>
      <c r="AH234" s="516">
        <v>5</v>
      </c>
      <c r="AI234" s="600"/>
      <c r="AJ234" s="516">
        <v>1233</v>
      </c>
      <c r="AK234" s="516">
        <v>5</v>
      </c>
      <c r="AL234" s="600"/>
      <c r="AM234" s="516">
        <v>1233</v>
      </c>
      <c r="AN234" s="516">
        <v>5</v>
      </c>
      <c r="AO234" s="600"/>
      <c r="AP234" s="517">
        <f>((1233-1063)/30.5)*23+1233</f>
        <v>1361.1967213114754</v>
      </c>
      <c r="AQ234" s="517">
        <f>((5/30.5)*23)+5</f>
        <v>8.7704918032786878</v>
      </c>
      <c r="AR234" s="600"/>
      <c r="AS234" s="655">
        <v>1063</v>
      </c>
      <c r="AT234" s="600"/>
      <c r="AU234" s="600"/>
      <c r="AV234" s="655">
        <v>1063</v>
      </c>
      <c r="AW234" s="600"/>
      <c r="AX234" s="600"/>
      <c r="AY234" s="655">
        <v>1063</v>
      </c>
      <c r="AZ234" s="600"/>
      <c r="BA234" s="600"/>
      <c r="BB234" s="655">
        <v>1063</v>
      </c>
      <c r="BC234" s="600"/>
      <c r="BD234" s="600"/>
      <c r="BE234" s="655">
        <v>1063</v>
      </c>
      <c r="BF234" s="600"/>
      <c r="BG234" s="600"/>
      <c r="BH234" s="655">
        <v>1063</v>
      </c>
      <c r="BI234" s="655"/>
      <c r="BJ234" s="516"/>
      <c r="BK234" s="655">
        <v>1063</v>
      </c>
      <c r="BL234" s="655"/>
      <c r="BM234" s="516"/>
      <c r="BN234" s="655">
        <v>1063</v>
      </c>
      <c r="BO234" s="655"/>
      <c r="BP234" s="516"/>
      <c r="BQ234" s="655">
        <v>1063</v>
      </c>
      <c r="BR234" s="655"/>
      <c r="BS234" s="516"/>
      <c r="BT234" s="655">
        <v>1063</v>
      </c>
      <c r="BU234" s="655"/>
      <c r="BV234" s="516"/>
      <c r="BW234" s="655">
        <v>1063</v>
      </c>
      <c r="BX234" s="655"/>
      <c r="BY234" s="516"/>
      <c r="BZ234" s="655">
        <v>1063</v>
      </c>
      <c r="CA234" s="655"/>
      <c r="CB234" s="516"/>
      <c r="CC234" s="655">
        <v>1063</v>
      </c>
      <c r="CD234" s="655"/>
      <c r="CE234" s="516"/>
      <c r="CF234" s="655">
        <v>1063</v>
      </c>
      <c r="CG234" s="655"/>
      <c r="CH234" s="516"/>
      <c r="CI234" s="655">
        <v>1063</v>
      </c>
      <c r="CJ234" s="655"/>
      <c r="CK234" s="516"/>
      <c r="CL234" s="655">
        <v>1063</v>
      </c>
      <c r="CM234" s="655"/>
      <c r="CN234" s="516"/>
      <c r="CO234" s="655">
        <v>1063</v>
      </c>
      <c r="CP234" s="655"/>
      <c r="CQ234" s="516"/>
      <c r="CR234" s="655">
        <v>1063</v>
      </c>
      <c r="CS234" s="655"/>
      <c r="CT234" s="516"/>
      <c r="CU234" s="655">
        <v>1063</v>
      </c>
      <c r="CV234" s="655"/>
      <c r="CW234" s="516"/>
      <c r="CX234" s="655">
        <v>1063</v>
      </c>
      <c r="CY234" s="655"/>
      <c r="CZ234" s="516"/>
      <c r="DA234" s="655">
        <v>1063</v>
      </c>
      <c r="DB234" s="655"/>
      <c r="DC234" s="516"/>
      <c r="DD234" s="655">
        <v>1063</v>
      </c>
      <c r="DE234" s="655"/>
      <c r="DF234" s="516"/>
      <c r="DG234" s="655">
        <v>1063</v>
      </c>
      <c r="DH234" s="655"/>
      <c r="DI234" s="516"/>
      <c r="DJ234" s="655">
        <v>1063</v>
      </c>
      <c r="DK234" s="655"/>
      <c r="DL234" s="516"/>
      <c r="DM234" s="655">
        <v>1063</v>
      </c>
      <c r="DN234" s="655"/>
      <c r="DO234" s="516"/>
      <c r="DP234" s="655">
        <v>1063</v>
      </c>
      <c r="DQ234" s="655"/>
      <c r="DR234" s="516"/>
      <c r="DS234" s="655">
        <v>1063</v>
      </c>
      <c r="DT234" s="655"/>
      <c r="DU234" s="516"/>
      <c r="DV234" s="655">
        <v>1063</v>
      </c>
      <c r="DW234" s="655"/>
      <c r="DX234" s="516"/>
      <c r="DY234" s="655">
        <v>1063</v>
      </c>
      <c r="DZ234" s="655"/>
      <c r="EA234" s="516"/>
      <c r="EB234" s="655">
        <v>1063</v>
      </c>
      <c r="EC234" s="655"/>
      <c r="ED234" s="516"/>
      <c r="EE234" s="655">
        <v>1063</v>
      </c>
      <c r="EF234" s="655"/>
      <c r="EG234" s="516"/>
      <c r="EH234" s="655">
        <v>1063</v>
      </c>
      <c r="EI234" s="655"/>
      <c r="EJ234" s="516"/>
      <c r="EK234" s="655">
        <v>1063</v>
      </c>
      <c r="EL234" s="655"/>
      <c r="EM234" s="516"/>
      <c r="EN234" s="655">
        <v>1063</v>
      </c>
      <c r="EO234" s="655"/>
      <c r="EP234" s="516"/>
      <c r="EQ234" s="655">
        <v>1063</v>
      </c>
      <c r="ER234" s="655"/>
      <c r="ES234" s="516"/>
      <c r="ET234" s="655">
        <v>1063</v>
      </c>
      <c r="EU234" s="655"/>
      <c r="EV234" s="516"/>
      <c r="EW234" s="655">
        <v>1063</v>
      </c>
      <c r="EX234" s="655"/>
      <c r="EY234" s="516"/>
      <c r="EZ234" s="655">
        <v>1063</v>
      </c>
      <c r="FA234" s="655"/>
      <c r="FB234" s="516"/>
      <c r="FC234" s="655">
        <v>1063</v>
      </c>
      <c r="FD234" s="655"/>
      <c r="FE234" s="516"/>
      <c r="FF234" s="655">
        <v>1063</v>
      </c>
      <c r="FG234" s="655"/>
      <c r="FH234" s="516"/>
      <c r="FI234" s="655">
        <v>1063</v>
      </c>
      <c r="FJ234" s="655"/>
      <c r="FK234" s="516"/>
      <c r="FL234" s="655">
        <v>1063</v>
      </c>
      <c r="FM234" s="655"/>
      <c r="FN234" s="516"/>
      <c r="FO234" s="655">
        <v>1063</v>
      </c>
      <c r="FP234" s="655"/>
      <c r="FQ234" s="516"/>
      <c r="FR234" s="655">
        <v>1063</v>
      </c>
      <c r="FS234" s="655"/>
      <c r="FT234" s="516"/>
      <c r="FU234" s="655">
        <v>1063</v>
      </c>
      <c r="FV234" s="655"/>
      <c r="FW234" s="516"/>
      <c r="FX234" s="655">
        <v>1063</v>
      </c>
      <c r="FY234" s="655"/>
      <c r="FZ234" s="516"/>
      <c r="GA234" s="655">
        <v>1063</v>
      </c>
      <c r="GB234" s="655"/>
      <c r="GC234" s="516"/>
      <c r="GD234" s="655">
        <v>1063</v>
      </c>
      <c r="GE234" s="655"/>
      <c r="GF234" s="516"/>
      <c r="GG234" s="655">
        <v>1063</v>
      </c>
      <c r="GH234" s="655"/>
      <c r="GI234" s="516"/>
      <c r="GJ234" s="655">
        <v>1063</v>
      </c>
      <c r="GK234" s="655"/>
      <c r="GL234" s="516"/>
      <c r="GM234" s="655">
        <v>1063</v>
      </c>
      <c r="GN234" s="655"/>
      <c r="GO234" s="516"/>
      <c r="GP234" s="655">
        <v>1063</v>
      </c>
      <c r="GQ234" s="655"/>
      <c r="GR234" s="516"/>
      <c r="GS234" s="655">
        <v>1063</v>
      </c>
      <c r="GT234" s="655"/>
      <c r="GU234" s="516"/>
      <c r="GV234" s="655">
        <v>1063</v>
      </c>
      <c r="GW234" s="655"/>
      <c r="GX234" s="516"/>
      <c r="GY234" s="655">
        <v>1063</v>
      </c>
      <c r="GZ234" s="655"/>
      <c r="HA234" s="516"/>
      <c r="HB234" s="655">
        <v>1063</v>
      </c>
      <c r="HC234" s="655"/>
      <c r="HD234" s="516"/>
      <c r="HE234" s="655">
        <v>1063</v>
      </c>
      <c r="HF234" s="655"/>
      <c r="HG234" s="516"/>
      <c r="HH234" s="655">
        <v>1063</v>
      </c>
      <c r="HI234" s="516"/>
      <c r="HJ234" s="655">
        <v>1063</v>
      </c>
      <c r="HK234" s="516"/>
      <c r="HL234" s="655">
        <v>1063</v>
      </c>
      <c r="HM234" s="516"/>
      <c r="HN234" s="655">
        <v>1063</v>
      </c>
      <c r="HO234" s="516"/>
      <c r="HP234" s="517">
        <v>2126.1128526020689</v>
      </c>
      <c r="HQ234" s="516"/>
      <c r="HR234" s="567"/>
      <c r="HS234" s="567"/>
      <c r="HT234" s="567"/>
      <c r="HU234" s="567"/>
      <c r="HV234" s="567"/>
      <c r="HW234" s="567"/>
      <c r="HX234" s="587"/>
      <c r="HY234" s="587"/>
      <c r="HZ234" s="587"/>
      <c r="IA234" s="587"/>
      <c r="IB234" s="587"/>
      <c r="IC234" s="587"/>
      <c r="ID234" s="587"/>
      <c r="IE234" s="587"/>
      <c r="IF234" s="587"/>
      <c r="IG234" s="587"/>
      <c r="IH234" s="588"/>
      <c r="II234" s="589"/>
      <c r="IJ234" s="588"/>
      <c r="IK234" s="589"/>
      <c r="IL234" s="588"/>
      <c r="IM234" s="589"/>
      <c r="IN234" s="588"/>
      <c r="IO234" s="589"/>
      <c r="IP234" s="588"/>
      <c r="IQ234" s="589"/>
      <c r="IR234" s="601" t="s">
        <v>2957</v>
      </c>
      <c r="IS234" s="587" t="s">
        <v>77</v>
      </c>
      <c r="IT234" s="611">
        <v>43801</v>
      </c>
      <c r="IU234" s="518">
        <v>43862</v>
      </c>
      <c r="IV234" s="552"/>
      <c r="IW234" s="526">
        <f t="shared" si="27"/>
        <v>61</v>
      </c>
      <c r="IX234" s="621">
        <f t="shared" ref="IX234:IX249" si="29">HP234/30.5</f>
        <v>69.708618118100617</v>
      </c>
      <c r="IY234" s="665">
        <v>2126.1128526020689</v>
      </c>
      <c r="JA234" s="461"/>
      <c r="JB234" s="666"/>
    </row>
    <row r="235" spans="1:262" s="367" customFormat="1" ht="16.5" customHeight="1" x14ac:dyDescent="0.3">
      <c r="A235" s="526" t="s">
        <v>2758</v>
      </c>
      <c r="B235" s="603" t="s">
        <v>2791</v>
      </c>
      <c r="C235" s="667" t="s">
        <v>1475</v>
      </c>
      <c r="D235" s="668">
        <v>1454</v>
      </c>
      <c r="E235" s="669">
        <v>84</v>
      </c>
      <c r="F235" s="669">
        <v>0</v>
      </c>
      <c r="G235" s="669">
        <v>36</v>
      </c>
      <c r="H235" s="670">
        <v>0</v>
      </c>
      <c r="I235" s="664">
        <v>1538</v>
      </c>
      <c r="J235" s="912">
        <v>36</v>
      </c>
      <c r="K235" s="600"/>
      <c r="L235" s="517">
        <f>((1538-1349)/30.5)*8+1538</f>
        <v>1587.5737704918033</v>
      </c>
      <c r="M235" s="750">
        <f>((36-14)/30.5)*8+14</f>
        <v>19.770491803278688</v>
      </c>
      <c r="N235" s="600"/>
      <c r="O235" s="655">
        <v>1349</v>
      </c>
      <c r="P235" s="895">
        <v>14</v>
      </c>
      <c r="Q235" s="600"/>
      <c r="R235" s="655">
        <v>1349</v>
      </c>
      <c r="S235" s="895">
        <v>14</v>
      </c>
      <c r="T235" s="600"/>
      <c r="U235" s="655">
        <v>1349</v>
      </c>
      <c r="V235" s="895">
        <v>14</v>
      </c>
      <c r="W235" s="600"/>
      <c r="X235" s="655">
        <v>1349</v>
      </c>
      <c r="Y235" s="895">
        <v>14</v>
      </c>
      <c r="Z235" s="600"/>
      <c r="AA235" s="655">
        <v>1349</v>
      </c>
      <c r="AB235" s="895">
        <v>14</v>
      </c>
      <c r="AC235" s="600"/>
      <c r="AD235" s="517">
        <f>((1349-1233)/30.5)*27+1349</f>
        <v>1451.688524590164</v>
      </c>
      <c r="AE235" s="871">
        <f>((14/30.5)*24+14)</f>
        <v>25.016393442622949</v>
      </c>
      <c r="AF235" s="600"/>
      <c r="AG235" s="655">
        <v>1233</v>
      </c>
      <c r="AH235" s="600"/>
      <c r="AI235" s="600"/>
      <c r="AJ235" s="655">
        <v>1233</v>
      </c>
      <c r="AK235" s="600"/>
      <c r="AL235" s="600"/>
      <c r="AM235" s="655">
        <v>1233</v>
      </c>
      <c r="AN235" s="600"/>
      <c r="AO235" s="600"/>
      <c r="AP235" s="655">
        <v>1233</v>
      </c>
      <c r="AQ235" s="600"/>
      <c r="AR235" s="600"/>
      <c r="AS235" s="655">
        <v>1233</v>
      </c>
      <c r="AT235" s="600"/>
      <c r="AU235" s="600"/>
      <c r="AV235" s="655">
        <v>1233</v>
      </c>
      <c r="AW235" s="600"/>
      <c r="AX235" s="600"/>
      <c r="AY235" s="655">
        <v>1233</v>
      </c>
      <c r="AZ235" s="600"/>
      <c r="BA235" s="600"/>
      <c r="BB235" s="655">
        <v>1233</v>
      </c>
      <c r="BC235" s="600"/>
      <c r="BD235" s="600"/>
      <c r="BE235" s="655">
        <v>1233</v>
      </c>
      <c r="BF235" s="600"/>
      <c r="BG235" s="600"/>
      <c r="BH235" s="655">
        <v>1233</v>
      </c>
      <c r="BI235" s="655"/>
      <c r="BJ235" s="516"/>
      <c r="BK235" s="655">
        <v>1233</v>
      </c>
      <c r="BL235" s="655"/>
      <c r="BM235" s="516"/>
      <c r="BN235" s="655">
        <v>1233</v>
      </c>
      <c r="BO235" s="655"/>
      <c r="BP235" s="516"/>
      <c r="BQ235" s="655">
        <v>1233</v>
      </c>
      <c r="BR235" s="655"/>
      <c r="BS235" s="516"/>
      <c r="BT235" s="655">
        <v>1233</v>
      </c>
      <c r="BU235" s="655"/>
      <c r="BV235" s="516"/>
      <c r="BW235" s="655">
        <v>1233</v>
      </c>
      <c r="BX235" s="655"/>
      <c r="BY235" s="516"/>
      <c r="BZ235" s="655">
        <v>1233</v>
      </c>
      <c r="CA235" s="655"/>
      <c r="CB235" s="516"/>
      <c r="CC235" s="655">
        <v>1233</v>
      </c>
      <c r="CD235" s="655"/>
      <c r="CE235" s="516"/>
      <c r="CF235" s="655">
        <v>1233</v>
      </c>
      <c r="CG235" s="655"/>
      <c r="CH235" s="516"/>
      <c r="CI235" s="655">
        <v>1233</v>
      </c>
      <c r="CJ235" s="655"/>
      <c r="CK235" s="516"/>
      <c r="CL235" s="655">
        <v>1233</v>
      </c>
      <c r="CM235" s="655"/>
      <c r="CN235" s="516"/>
      <c r="CO235" s="655">
        <v>1233</v>
      </c>
      <c r="CP235" s="655"/>
      <c r="CQ235" s="516"/>
      <c r="CR235" s="655">
        <v>1233</v>
      </c>
      <c r="CS235" s="655"/>
      <c r="CT235" s="516"/>
      <c r="CU235" s="655">
        <v>1233</v>
      </c>
      <c r="CV235" s="655"/>
      <c r="CW235" s="516"/>
      <c r="CX235" s="655">
        <v>1233</v>
      </c>
      <c r="CY235" s="655"/>
      <c r="CZ235" s="516"/>
      <c r="DA235" s="655">
        <v>1233</v>
      </c>
      <c r="DB235" s="655"/>
      <c r="DC235" s="516"/>
      <c r="DD235" s="655">
        <v>1233</v>
      </c>
      <c r="DE235" s="655"/>
      <c r="DF235" s="516"/>
      <c r="DG235" s="655">
        <v>1233</v>
      </c>
      <c r="DH235" s="655"/>
      <c r="DI235" s="516"/>
      <c r="DJ235" s="655">
        <v>1233</v>
      </c>
      <c r="DK235" s="655"/>
      <c r="DL235" s="516"/>
      <c r="DM235" s="655">
        <v>1233</v>
      </c>
      <c r="DN235" s="655"/>
      <c r="DO235" s="516"/>
      <c r="DP235" s="655">
        <v>1233</v>
      </c>
      <c r="DQ235" s="655"/>
      <c r="DR235" s="516"/>
      <c r="DS235" s="655">
        <v>1233</v>
      </c>
      <c r="DT235" s="655"/>
      <c r="DU235" s="516"/>
      <c r="DV235" s="655">
        <v>1233</v>
      </c>
      <c r="DW235" s="655"/>
      <c r="DX235" s="516"/>
      <c r="DY235" s="655">
        <v>1233</v>
      </c>
      <c r="DZ235" s="655"/>
      <c r="EA235" s="516"/>
      <c r="EB235" s="655">
        <v>1233</v>
      </c>
      <c r="EC235" s="655"/>
      <c r="ED235" s="516"/>
      <c r="EE235" s="655">
        <v>1233</v>
      </c>
      <c r="EF235" s="655"/>
      <c r="EG235" s="516"/>
      <c r="EH235" s="655">
        <v>1233</v>
      </c>
      <c r="EI235" s="655"/>
      <c r="EJ235" s="516"/>
      <c r="EK235" s="655">
        <v>1233</v>
      </c>
      <c r="EL235" s="655"/>
      <c r="EM235" s="516"/>
      <c r="EN235" s="655">
        <v>1233</v>
      </c>
      <c r="EO235" s="655"/>
      <c r="EP235" s="516"/>
      <c r="EQ235" s="655">
        <v>1233</v>
      </c>
      <c r="ER235" s="655"/>
      <c r="ES235" s="516"/>
      <c r="ET235" s="655">
        <v>1233</v>
      </c>
      <c r="EU235" s="655"/>
      <c r="EV235" s="516"/>
      <c r="EW235" s="655">
        <v>1233</v>
      </c>
      <c r="EX235" s="655"/>
      <c r="EY235" s="516"/>
      <c r="EZ235" s="655">
        <v>1233</v>
      </c>
      <c r="FA235" s="655"/>
      <c r="FB235" s="516"/>
      <c r="FC235" s="655">
        <v>1233</v>
      </c>
      <c r="FD235" s="655"/>
      <c r="FE235" s="516"/>
      <c r="FF235" s="655">
        <v>1233</v>
      </c>
      <c r="FG235" s="655"/>
      <c r="FH235" s="516"/>
      <c r="FI235" s="655">
        <v>1233</v>
      </c>
      <c r="FJ235" s="655"/>
      <c r="FK235" s="516"/>
      <c r="FL235" s="655">
        <v>1233</v>
      </c>
      <c r="FM235" s="655"/>
      <c r="FN235" s="516"/>
      <c r="FO235" s="655">
        <v>1233</v>
      </c>
      <c r="FP235" s="655"/>
      <c r="FQ235" s="516"/>
      <c r="FR235" s="655">
        <v>1233</v>
      </c>
      <c r="FS235" s="655"/>
      <c r="FT235" s="516"/>
      <c r="FU235" s="655">
        <v>1233</v>
      </c>
      <c r="FV235" s="655"/>
      <c r="FW235" s="516"/>
      <c r="FX235" s="655">
        <v>1233</v>
      </c>
      <c r="FY235" s="655"/>
      <c r="FZ235" s="516"/>
      <c r="GA235" s="655">
        <v>1233</v>
      </c>
      <c r="GB235" s="655"/>
      <c r="GC235" s="516"/>
      <c r="GD235" s="655">
        <v>1233</v>
      </c>
      <c r="GE235" s="655"/>
      <c r="GF235" s="516"/>
      <c r="GG235" s="655">
        <v>1233</v>
      </c>
      <c r="GH235" s="655"/>
      <c r="GI235" s="516"/>
      <c r="GJ235" s="655">
        <v>1233</v>
      </c>
      <c r="GK235" s="655"/>
      <c r="GL235" s="516"/>
      <c r="GM235" s="655">
        <v>1233</v>
      </c>
      <c r="GN235" s="655"/>
      <c r="GO235" s="516"/>
      <c r="GP235" s="655">
        <v>1233</v>
      </c>
      <c r="GQ235" s="655"/>
      <c r="GR235" s="516"/>
      <c r="GS235" s="655">
        <v>1233</v>
      </c>
      <c r="GT235" s="655"/>
      <c r="GU235" s="516"/>
      <c r="GV235" s="655">
        <v>1233</v>
      </c>
      <c r="GW235" s="655"/>
      <c r="GX235" s="516"/>
      <c r="GY235" s="655">
        <v>1233</v>
      </c>
      <c r="GZ235" s="655"/>
      <c r="HA235" s="516"/>
      <c r="HB235" s="655">
        <v>1233</v>
      </c>
      <c r="HC235" s="655"/>
      <c r="HD235" s="516"/>
      <c r="HE235" s="655">
        <v>1233</v>
      </c>
      <c r="HF235" s="655"/>
      <c r="HG235" s="516"/>
      <c r="HH235" s="655">
        <v>1233</v>
      </c>
      <c r="HI235" s="516"/>
      <c r="HJ235" s="655">
        <v>1233</v>
      </c>
      <c r="HK235" s="516"/>
      <c r="HL235" s="655">
        <v>1233</v>
      </c>
      <c r="HM235" s="516"/>
      <c r="HN235" s="655">
        <v>1233</v>
      </c>
      <c r="HO235" s="516"/>
      <c r="HP235" s="517">
        <v>2425.2913304282647</v>
      </c>
      <c r="HQ235" s="516"/>
      <c r="HR235" s="567"/>
      <c r="HS235" s="567"/>
      <c r="HT235" s="567"/>
      <c r="HU235" s="567"/>
      <c r="HV235" s="567"/>
      <c r="HW235" s="567"/>
      <c r="HX235" s="587"/>
      <c r="HY235" s="587"/>
      <c r="HZ235" s="587"/>
      <c r="IA235" s="587"/>
      <c r="IB235" s="587"/>
      <c r="IC235" s="587"/>
      <c r="ID235" s="587"/>
      <c r="IE235" s="587"/>
      <c r="IF235" s="587"/>
      <c r="IG235" s="587"/>
      <c r="IH235" s="588"/>
      <c r="II235" s="589"/>
      <c r="IJ235" s="588"/>
      <c r="IK235" s="589"/>
      <c r="IL235" s="588"/>
      <c r="IM235" s="589"/>
      <c r="IN235" s="588"/>
      <c r="IO235" s="589"/>
      <c r="IP235" s="588"/>
      <c r="IQ235" s="589"/>
      <c r="IR235" s="601" t="s">
        <v>3445</v>
      </c>
      <c r="IS235" s="587" t="s">
        <v>77</v>
      </c>
      <c r="IT235" s="611">
        <v>43802</v>
      </c>
      <c r="IU235" s="518">
        <v>43862</v>
      </c>
      <c r="IV235" s="552"/>
      <c r="IW235" s="526">
        <f t="shared" si="27"/>
        <v>60</v>
      </c>
      <c r="IX235" s="621">
        <f t="shared" si="29"/>
        <v>79.517748538631636</v>
      </c>
      <c r="IY235" s="665">
        <v>2425.2913304282647</v>
      </c>
      <c r="JA235" s="461"/>
      <c r="JB235" s="666"/>
    </row>
    <row r="236" spans="1:262" s="367" customFormat="1" ht="16.5" customHeight="1" x14ac:dyDescent="0.3">
      <c r="A236" s="401" t="s">
        <v>3315</v>
      </c>
      <c r="B236" s="402" t="s">
        <v>3315</v>
      </c>
      <c r="C236" s="608" t="s">
        <v>3446</v>
      </c>
      <c r="D236" s="634"/>
      <c r="E236" s="635"/>
      <c r="F236" s="635"/>
      <c r="G236" s="635"/>
      <c r="H236" s="636"/>
      <c r="I236" s="853">
        <v>0</v>
      </c>
      <c r="J236" s="833">
        <v>0</v>
      </c>
      <c r="K236" s="833">
        <v>0</v>
      </c>
      <c r="L236" s="833">
        <v>0</v>
      </c>
      <c r="M236" s="833">
        <v>0</v>
      </c>
      <c r="N236" s="833">
        <v>0</v>
      </c>
      <c r="O236" s="833">
        <v>0</v>
      </c>
      <c r="P236" s="833">
        <v>0</v>
      </c>
      <c r="Q236" s="833">
        <v>0</v>
      </c>
      <c r="R236" s="833">
        <v>0</v>
      </c>
      <c r="S236" s="833">
        <v>0</v>
      </c>
      <c r="T236" s="833">
        <v>0</v>
      </c>
      <c r="U236" s="833">
        <v>0</v>
      </c>
      <c r="V236" s="833">
        <v>0</v>
      </c>
      <c r="W236" s="833">
        <v>0</v>
      </c>
      <c r="X236" s="833">
        <v>0</v>
      </c>
      <c r="Y236" s="833">
        <v>0</v>
      </c>
      <c r="Z236" s="833">
        <v>0</v>
      </c>
      <c r="AA236" s="833">
        <v>0</v>
      </c>
      <c r="AB236" s="833">
        <v>0</v>
      </c>
      <c r="AC236" s="833">
        <v>0</v>
      </c>
      <c r="AD236" s="833">
        <v>0</v>
      </c>
      <c r="AE236" s="833">
        <v>0</v>
      </c>
      <c r="AF236" s="833">
        <v>0</v>
      </c>
      <c r="AG236" s="833">
        <v>0</v>
      </c>
      <c r="AH236" s="833">
        <v>0</v>
      </c>
      <c r="AI236" s="833">
        <v>0</v>
      </c>
      <c r="AJ236" s="833">
        <v>0</v>
      </c>
      <c r="AK236" s="833">
        <v>0</v>
      </c>
      <c r="AL236" s="833">
        <v>0</v>
      </c>
      <c r="AM236" s="833">
        <v>0</v>
      </c>
      <c r="AN236" s="833">
        <v>0</v>
      </c>
      <c r="AO236" s="833">
        <v>0</v>
      </c>
      <c r="AP236" s="833">
        <v>0</v>
      </c>
      <c r="AQ236" s="833">
        <v>0</v>
      </c>
      <c r="AR236" s="833">
        <v>0</v>
      </c>
      <c r="AS236" s="833">
        <v>0</v>
      </c>
      <c r="AT236" s="833">
        <v>0</v>
      </c>
      <c r="AU236" s="833">
        <v>0</v>
      </c>
      <c r="AV236" s="660">
        <v>0</v>
      </c>
      <c r="AW236" s="660"/>
      <c r="AX236" s="660"/>
      <c r="AY236" s="660">
        <v>0</v>
      </c>
      <c r="AZ236" s="660"/>
      <c r="BA236" s="660"/>
      <c r="BB236" s="660">
        <v>0</v>
      </c>
      <c r="BC236" s="660"/>
      <c r="BD236" s="660"/>
      <c r="BE236" s="660">
        <v>0</v>
      </c>
      <c r="BF236" s="660"/>
      <c r="BG236" s="660"/>
      <c r="BH236" s="660">
        <v>0</v>
      </c>
      <c r="BI236" s="660"/>
      <c r="BJ236" s="660"/>
      <c r="BK236" s="660">
        <v>0</v>
      </c>
      <c r="BL236" s="660"/>
      <c r="BM236" s="660"/>
      <c r="BN236" s="660">
        <v>0</v>
      </c>
      <c r="BO236" s="660"/>
      <c r="BP236" s="660"/>
      <c r="BQ236" s="660">
        <v>0</v>
      </c>
      <c r="BR236" s="660"/>
      <c r="BS236" s="660"/>
      <c r="BT236" s="660">
        <v>0</v>
      </c>
      <c r="BU236" s="660"/>
      <c r="BV236" s="660"/>
      <c r="BW236" s="660">
        <v>0</v>
      </c>
      <c r="BX236" s="660"/>
      <c r="BY236" s="660"/>
      <c r="BZ236" s="660">
        <v>0</v>
      </c>
      <c r="CA236" s="660"/>
      <c r="CB236" s="660"/>
      <c r="CC236" s="660">
        <v>0</v>
      </c>
      <c r="CD236" s="660"/>
      <c r="CE236" s="660"/>
      <c r="CF236" s="660">
        <v>0</v>
      </c>
      <c r="CG236" s="660"/>
      <c r="CH236" s="660"/>
      <c r="CI236" s="660">
        <v>0</v>
      </c>
      <c r="CJ236" s="660"/>
      <c r="CK236" s="660"/>
      <c r="CL236" s="660">
        <v>0</v>
      </c>
      <c r="CM236" s="660"/>
      <c r="CN236" s="660"/>
      <c r="CO236" s="660">
        <v>0</v>
      </c>
      <c r="CP236" s="660"/>
      <c r="CQ236" s="660"/>
      <c r="CR236" s="660">
        <v>0</v>
      </c>
      <c r="CS236" s="660"/>
      <c r="CT236" s="660"/>
      <c r="CU236" s="660">
        <v>0</v>
      </c>
      <c r="CV236" s="660"/>
      <c r="CW236" s="660"/>
      <c r="CX236" s="660">
        <v>0</v>
      </c>
      <c r="CY236" s="660"/>
      <c r="CZ236" s="660"/>
      <c r="DA236" s="660">
        <v>0</v>
      </c>
      <c r="DB236" s="660"/>
      <c r="DC236" s="660"/>
      <c r="DD236" s="660">
        <v>0</v>
      </c>
      <c r="DE236" s="660"/>
      <c r="DF236" s="660"/>
      <c r="DG236" s="660">
        <v>0</v>
      </c>
      <c r="DH236" s="660"/>
      <c r="DI236" s="660"/>
      <c r="DJ236" s="660">
        <v>0</v>
      </c>
      <c r="DK236" s="660"/>
      <c r="DL236" s="660"/>
      <c r="DM236" s="660">
        <v>0</v>
      </c>
      <c r="DN236" s="660"/>
      <c r="DO236" s="660"/>
      <c r="DP236" s="660">
        <v>0</v>
      </c>
      <c r="DQ236" s="660"/>
      <c r="DR236" s="660"/>
      <c r="DS236" s="660">
        <v>0</v>
      </c>
      <c r="DT236" s="660"/>
      <c r="DU236" s="660"/>
      <c r="DV236" s="655">
        <v>1063</v>
      </c>
      <c r="DW236" s="655"/>
      <c r="DX236" s="516"/>
      <c r="DY236" s="655">
        <v>1063</v>
      </c>
      <c r="DZ236" s="655"/>
      <c r="EA236" s="516"/>
      <c r="EB236" s="655">
        <v>1063</v>
      </c>
      <c r="EC236" s="655"/>
      <c r="ED236" s="516"/>
      <c r="EE236" s="655">
        <v>1063</v>
      </c>
      <c r="EF236" s="655"/>
      <c r="EG236" s="516"/>
      <c r="EH236" s="655">
        <v>1063</v>
      </c>
      <c r="EI236" s="655"/>
      <c r="EJ236" s="516"/>
      <c r="EK236" s="655">
        <v>1063</v>
      </c>
      <c r="EL236" s="655"/>
      <c r="EM236" s="516"/>
      <c r="EN236" s="655">
        <v>1063</v>
      </c>
      <c r="EO236" s="655"/>
      <c r="EP236" s="516"/>
      <c r="EQ236" s="655">
        <v>1063</v>
      </c>
      <c r="ER236" s="655"/>
      <c r="ES236" s="516"/>
      <c r="ET236" s="655">
        <v>1063</v>
      </c>
      <c r="EU236" s="655"/>
      <c r="EV236" s="516"/>
      <c r="EW236" s="655">
        <v>1063</v>
      </c>
      <c r="EX236" s="655"/>
      <c r="EY236" s="516"/>
      <c r="EZ236" s="655">
        <v>1063</v>
      </c>
      <c r="FA236" s="655"/>
      <c r="FB236" s="516"/>
      <c r="FC236" s="655">
        <v>1063</v>
      </c>
      <c r="FD236" s="655"/>
      <c r="FE236" s="516"/>
      <c r="FF236" s="655">
        <v>1063</v>
      </c>
      <c r="FG236" s="655"/>
      <c r="FH236" s="516"/>
      <c r="FI236" s="655">
        <v>1063</v>
      </c>
      <c r="FJ236" s="655"/>
      <c r="FK236" s="516"/>
      <c r="FL236" s="655">
        <v>1063</v>
      </c>
      <c r="FM236" s="655"/>
      <c r="FN236" s="516"/>
      <c r="FO236" s="655">
        <v>1063</v>
      </c>
      <c r="FP236" s="655"/>
      <c r="FQ236" s="516"/>
      <c r="FR236" s="655">
        <v>1063</v>
      </c>
      <c r="FS236" s="655"/>
      <c r="FT236" s="516"/>
      <c r="FU236" s="655">
        <v>1063</v>
      </c>
      <c r="FV236" s="655"/>
      <c r="FW236" s="516"/>
      <c r="FX236" s="655">
        <v>1063</v>
      </c>
      <c r="FY236" s="655"/>
      <c r="FZ236" s="516"/>
      <c r="GA236" s="655">
        <v>1063</v>
      </c>
      <c r="GB236" s="655"/>
      <c r="GC236" s="516"/>
      <c r="GD236" s="655">
        <v>1063</v>
      </c>
      <c r="GE236" s="655"/>
      <c r="GF236" s="516"/>
      <c r="GG236" s="655">
        <v>1063</v>
      </c>
      <c r="GH236" s="655"/>
      <c r="GI236" s="516"/>
      <c r="GJ236" s="655">
        <v>1063</v>
      </c>
      <c r="GK236" s="655"/>
      <c r="GL236" s="516"/>
      <c r="GM236" s="655">
        <v>1063</v>
      </c>
      <c r="GN236" s="655"/>
      <c r="GO236" s="516"/>
      <c r="GP236" s="655">
        <v>1063</v>
      </c>
      <c r="GQ236" s="655"/>
      <c r="GR236" s="516"/>
      <c r="GS236" s="655">
        <v>1063</v>
      </c>
      <c r="GT236" s="655"/>
      <c r="GU236" s="516"/>
      <c r="GV236" s="655">
        <v>1063</v>
      </c>
      <c r="GW236" s="655"/>
      <c r="GX236" s="516"/>
      <c r="GY236" s="655">
        <v>1063</v>
      </c>
      <c r="GZ236" s="655"/>
      <c r="HA236" s="516"/>
      <c r="HB236" s="655">
        <v>1063</v>
      </c>
      <c r="HC236" s="655"/>
      <c r="HD236" s="516"/>
      <c r="HE236" s="655">
        <v>1063</v>
      </c>
      <c r="HF236" s="655"/>
      <c r="HG236" s="516"/>
      <c r="HH236" s="655">
        <v>1063</v>
      </c>
      <c r="HI236" s="516"/>
      <c r="HJ236" s="655">
        <v>1063</v>
      </c>
      <c r="HK236" s="516"/>
      <c r="HL236" s="655">
        <v>1063</v>
      </c>
      <c r="HM236" s="516"/>
      <c r="HN236" s="655">
        <v>1063</v>
      </c>
      <c r="HO236" s="516"/>
      <c r="HP236" s="517">
        <v>2021.4426229508194</v>
      </c>
      <c r="HQ236" s="516"/>
      <c r="HR236" s="567"/>
      <c r="HS236" s="567"/>
      <c r="HT236" s="567"/>
      <c r="HU236" s="567"/>
      <c r="HV236" s="567"/>
      <c r="HW236" s="567"/>
      <c r="HX236" s="587"/>
      <c r="HY236" s="587"/>
      <c r="HZ236" s="587"/>
      <c r="IA236" s="587"/>
      <c r="IB236" s="587"/>
      <c r="IC236" s="587"/>
      <c r="ID236" s="587"/>
      <c r="IE236" s="587"/>
      <c r="IF236" s="587"/>
      <c r="IG236" s="587"/>
      <c r="IH236" s="588"/>
      <c r="II236" s="589"/>
      <c r="IJ236" s="588"/>
      <c r="IK236" s="589"/>
      <c r="IL236" s="588"/>
      <c r="IM236" s="589"/>
      <c r="IN236" s="588"/>
      <c r="IO236" s="589"/>
      <c r="IP236" s="588"/>
      <c r="IQ236" s="589"/>
      <c r="IR236" s="601" t="s">
        <v>3447</v>
      </c>
      <c r="IS236" s="587" t="s">
        <v>77</v>
      </c>
      <c r="IT236" s="611">
        <v>43804</v>
      </c>
      <c r="IU236" s="518">
        <v>43862</v>
      </c>
      <c r="IV236" s="552"/>
      <c r="IW236" s="526">
        <f t="shared" si="27"/>
        <v>58</v>
      </c>
      <c r="IX236" s="621">
        <f t="shared" si="29"/>
        <v>66.276807309862932</v>
      </c>
      <c r="IY236" s="665">
        <v>2021.4426229508194</v>
      </c>
      <c r="JA236" s="461"/>
      <c r="JB236" s="666"/>
    </row>
    <row r="237" spans="1:262" s="367" customFormat="1" ht="16.5" customHeight="1" x14ac:dyDescent="0.3">
      <c r="A237" s="401" t="s">
        <v>3315</v>
      </c>
      <c r="B237" s="402" t="s">
        <v>3315</v>
      </c>
      <c r="C237" s="608" t="s">
        <v>3448</v>
      </c>
      <c r="D237" s="634"/>
      <c r="E237" s="635"/>
      <c r="F237" s="635"/>
      <c r="G237" s="635"/>
      <c r="H237" s="636"/>
      <c r="I237" s="853">
        <v>0</v>
      </c>
      <c r="J237" s="833">
        <v>0</v>
      </c>
      <c r="K237" s="833">
        <v>0</v>
      </c>
      <c r="L237" s="833">
        <v>0</v>
      </c>
      <c r="M237" s="833">
        <v>0</v>
      </c>
      <c r="N237" s="833">
        <v>0</v>
      </c>
      <c r="O237" s="833">
        <v>0</v>
      </c>
      <c r="P237" s="833">
        <v>0</v>
      </c>
      <c r="Q237" s="833">
        <v>0</v>
      </c>
      <c r="R237" s="833">
        <v>0</v>
      </c>
      <c r="S237" s="833">
        <v>0</v>
      </c>
      <c r="T237" s="833">
        <v>0</v>
      </c>
      <c r="U237" s="833">
        <v>0</v>
      </c>
      <c r="V237" s="833">
        <v>0</v>
      </c>
      <c r="W237" s="833">
        <v>0</v>
      </c>
      <c r="X237" s="833">
        <v>0</v>
      </c>
      <c r="Y237" s="833">
        <v>0</v>
      </c>
      <c r="Z237" s="833">
        <v>0</v>
      </c>
      <c r="AA237" s="833">
        <v>0</v>
      </c>
      <c r="AB237" s="833">
        <v>0</v>
      </c>
      <c r="AC237" s="833">
        <v>0</v>
      </c>
      <c r="AD237" s="833">
        <v>0</v>
      </c>
      <c r="AE237" s="833">
        <v>0</v>
      </c>
      <c r="AF237" s="833">
        <v>0</v>
      </c>
      <c r="AG237" s="833">
        <v>0</v>
      </c>
      <c r="AH237" s="833">
        <v>0</v>
      </c>
      <c r="AI237" s="833">
        <v>0</v>
      </c>
      <c r="AJ237" s="833">
        <v>0</v>
      </c>
      <c r="AK237" s="833">
        <v>0</v>
      </c>
      <c r="AL237" s="833">
        <v>0</v>
      </c>
      <c r="AM237" s="833">
        <v>0</v>
      </c>
      <c r="AN237" s="833">
        <v>0</v>
      </c>
      <c r="AO237" s="833">
        <v>0</v>
      </c>
      <c r="AP237" s="833">
        <v>0</v>
      </c>
      <c r="AQ237" s="833">
        <v>0</v>
      </c>
      <c r="AR237" s="833">
        <v>0</v>
      </c>
      <c r="AS237" s="833">
        <v>0</v>
      </c>
      <c r="AT237" s="833">
        <v>0</v>
      </c>
      <c r="AU237" s="833">
        <v>0</v>
      </c>
      <c r="AV237" s="660">
        <v>0</v>
      </c>
      <c r="AW237" s="660"/>
      <c r="AX237" s="660"/>
      <c r="AY237" s="660">
        <v>0</v>
      </c>
      <c r="AZ237" s="660"/>
      <c r="BA237" s="660"/>
      <c r="BB237" s="660">
        <v>0</v>
      </c>
      <c r="BC237" s="660"/>
      <c r="BD237" s="660"/>
      <c r="BE237" s="660">
        <v>0</v>
      </c>
      <c r="BF237" s="660"/>
      <c r="BG237" s="660"/>
      <c r="BH237" s="660">
        <v>0</v>
      </c>
      <c r="BI237" s="660"/>
      <c r="BJ237" s="660"/>
      <c r="BK237" s="660">
        <v>0</v>
      </c>
      <c r="BL237" s="660"/>
      <c r="BM237" s="660"/>
      <c r="BN237" s="660">
        <v>0</v>
      </c>
      <c r="BO237" s="660"/>
      <c r="BP237" s="660"/>
      <c r="BQ237" s="660">
        <v>0</v>
      </c>
      <c r="BR237" s="660"/>
      <c r="BS237" s="660"/>
      <c r="BT237" s="660">
        <v>0</v>
      </c>
      <c r="BU237" s="660"/>
      <c r="BV237" s="660"/>
      <c r="BW237" s="660">
        <v>0</v>
      </c>
      <c r="BX237" s="660"/>
      <c r="BY237" s="660"/>
      <c r="BZ237" s="660">
        <v>0</v>
      </c>
      <c r="CA237" s="660"/>
      <c r="CB237" s="660"/>
      <c r="CC237" s="660">
        <v>0</v>
      </c>
      <c r="CD237" s="660"/>
      <c r="CE237" s="660"/>
      <c r="CF237" s="660">
        <v>0</v>
      </c>
      <c r="CG237" s="660"/>
      <c r="CH237" s="660"/>
      <c r="CI237" s="660">
        <v>0</v>
      </c>
      <c r="CJ237" s="660"/>
      <c r="CK237" s="660"/>
      <c r="CL237" s="660">
        <v>0</v>
      </c>
      <c r="CM237" s="660"/>
      <c r="CN237" s="660"/>
      <c r="CO237" s="660">
        <v>0</v>
      </c>
      <c r="CP237" s="660"/>
      <c r="CQ237" s="660"/>
      <c r="CR237" s="660">
        <v>0</v>
      </c>
      <c r="CS237" s="660"/>
      <c r="CT237" s="660"/>
      <c r="CU237" s="660">
        <v>0</v>
      </c>
      <c r="CV237" s="660"/>
      <c r="CW237" s="660"/>
      <c r="CX237" s="660">
        <v>0</v>
      </c>
      <c r="CY237" s="660"/>
      <c r="CZ237" s="660"/>
      <c r="DA237" s="660">
        <v>0</v>
      </c>
      <c r="DB237" s="660"/>
      <c r="DC237" s="660"/>
      <c r="DD237" s="660">
        <v>0</v>
      </c>
      <c r="DE237" s="660"/>
      <c r="DF237" s="660"/>
      <c r="DG237" s="660">
        <v>0</v>
      </c>
      <c r="DH237" s="660"/>
      <c r="DI237" s="660"/>
      <c r="DJ237" s="660">
        <v>0</v>
      </c>
      <c r="DK237" s="660"/>
      <c r="DL237" s="660"/>
      <c r="DM237" s="660">
        <v>0</v>
      </c>
      <c r="DN237" s="660"/>
      <c r="DO237" s="660"/>
      <c r="DP237" s="660">
        <v>0</v>
      </c>
      <c r="DQ237" s="660"/>
      <c r="DR237" s="660"/>
      <c r="DS237" s="660">
        <v>0</v>
      </c>
      <c r="DT237" s="660"/>
      <c r="DU237" s="660"/>
      <c r="DV237" s="660">
        <v>0</v>
      </c>
      <c r="DW237" s="660"/>
      <c r="DX237" s="660"/>
      <c r="DY237" s="660">
        <v>0</v>
      </c>
      <c r="DZ237" s="660"/>
      <c r="EA237" s="660"/>
      <c r="EB237" s="660">
        <v>0</v>
      </c>
      <c r="EC237" s="660"/>
      <c r="ED237" s="660"/>
      <c r="EE237" s="660">
        <v>0</v>
      </c>
      <c r="EF237" s="660"/>
      <c r="EG237" s="660"/>
      <c r="EH237" s="660">
        <v>0</v>
      </c>
      <c r="EI237" s="660"/>
      <c r="EJ237" s="660"/>
      <c r="EK237" s="660">
        <v>0</v>
      </c>
      <c r="EL237" s="660"/>
      <c r="EM237" s="660"/>
      <c r="EN237" s="660">
        <v>0</v>
      </c>
      <c r="EO237" s="660"/>
      <c r="EP237" s="660"/>
      <c r="EQ237" s="660">
        <v>0</v>
      </c>
      <c r="ER237" s="660"/>
      <c r="ES237" s="660"/>
      <c r="ET237" s="660">
        <v>0</v>
      </c>
      <c r="EU237" s="660"/>
      <c r="EV237" s="660"/>
      <c r="EW237" s="660">
        <v>0</v>
      </c>
      <c r="EX237" s="660"/>
      <c r="EY237" s="660"/>
      <c r="EZ237" s="660">
        <v>0</v>
      </c>
      <c r="FA237" s="660"/>
      <c r="FB237" s="660"/>
      <c r="FC237" s="655">
        <v>1079</v>
      </c>
      <c r="FD237" s="655"/>
      <c r="FE237" s="516"/>
      <c r="FF237" s="655">
        <v>1079</v>
      </c>
      <c r="FG237" s="655"/>
      <c r="FH237" s="516"/>
      <c r="FI237" s="655">
        <v>1079</v>
      </c>
      <c r="FJ237" s="655"/>
      <c r="FK237" s="516"/>
      <c r="FL237" s="655">
        <v>1079</v>
      </c>
      <c r="FM237" s="655"/>
      <c r="FN237" s="516"/>
      <c r="FO237" s="655">
        <v>1079</v>
      </c>
      <c r="FP237" s="655"/>
      <c r="FQ237" s="516"/>
      <c r="FR237" s="655">
        <v>1079</v>
      </c>
      <c r="FS237" s="655"/>
      <c r="FT237" s="516"/>
      <c r="FU237" s="655">
        <v>1079</v>
      </c>
      <c r="FV237" s="655"/>
      <c r="FW237" s="516"/>
      <c r="FX237" s="655">
        <v>1079</v>
      </c>
      <c r="FY237" s="655"/>
      <c r="FZ237" s="516"/>
      <c r="GA237" s="655">
        <v>1079</v>
      </c>
      <c r="GB237" s="655"/>
      <c r="GC237" s="516"/>
      <c r="GD237" s="655">
        <v>1079</v>
      </c>
      <c r="GE237" s="655"/>
      <c r="GF237" s="516"/>
      <c r="GG237" s="655">
        <v>1079</v>
      </c>
      <c r="GH237" s="655"/>
      <c r="GI237" s="516"/>
      <c r="GJ237" s="655">
        <v>1079</v>
      </c>
      <c r="GK237" s="655"/>
      <c r="GL237" s="516"/>
      <c r="GM237" s="655">
        <v>1079</v>
      </c>
      <c r="GN237" s="655"/>
      <c r="GO237" s="516"/>
      <c r="GP237" s="655">
        <v>1079</v>
      </c>
      <c r="GQ237" s="655"/>
      <c r="GR237" s="516"/>
      <c r="GS237" s="655">
        <v>1079</v>
      </c>
      <c r="GT237" s="655"/>
      <c r="GU237" s="516"/>
      <c r="GV237" s="655">
        <v>1079</v>
      </c>
      <c r="GW237" s="655"/>
      <c r="GX237" s="516"/>
      <c r="GY237" s="655">
        <v>1079</v>
      </c>
      <c r="GZ237" s="655"/>
      <c r="HA237" s="516"/>
      <c r="HB237" s="655">
        <v>1079</v>
      </c>
      <c r="HC237" s="655"/>
      <c r="HD237" s="516"/>
      <c r="HE237" s="655">
        <v>1079</v>
      </c>
      <c r="HF237" s="655"/>
      <c r="HG237" s="516"/>
      <c r="HH237" s="655">
        <v>1079</v>
      </c>
      <c r="HI237" s="516"/>
      <c r="HJ237" s="655">
        <v>1079</v>
      </c>
      <c r="HK237" s="516"/>
      <c r="HL237" s="655">
        <v>1079</v>
      </c>
      <c r="HM237" s="516"/>
      <c r="HN237" s="655">
        <v>1079</v>
      </c>
      <c r="HO237" s="516"/>
      <c r="HP237" s="517">
        <v>1875.081658818191</v>
      </c>
      <c r="HQ237" s="516"/>
      <c r="HR237" s="567"/>
      <c r="HS237" s="567"/>
      <c r="HT237" s="567"/>
      <c r="HU237" s="567"/>
      <c r="HV237" s="567"/>
      <c r="HW237" s="567"/>
      <c r="HX237" s="587"/>
      <c r="HY237" s="587"/>
      <c r="HZ237" s="587"/>
      <c r="IA237" s="587"/>
      <c r="IB237" s="587"/>
      <c r="IC237" s="587"/>
      <c r="ID237" s="587"/>
      <c r="IE237" s="587"/>
      <c r="IF237" s="587"/>
      <c r="IG237" s="587"/>
      <c r="IH237" s="588"/>
      <c r="II237" s="589"/>
      <c r="IJ237" s="588"/>
      <c r="IK237" s="589"/>
      <c r="IL237" s="588"/>
      <c r="IM237" s="589"/>
      <c r="IN237" s="588"/>
      <c r="IO237" s="589"/>
      <c r="IP237" s="588"/>
      <c r="IQ237" s="589"/>
      <c r="IR237" s="601" t="s">
        <v>3449</v>
      </c>
      <c r="IS237" s="587" t="s">
        <v>77</v>
      </c>
      <c r="IT237" s="611">
        <v>43809</v>
      </c>
      <c r="IU237" s="518">
        <v>43862</v>
      </c>
      <c r="IV237" s="552"/>
      <c r="IW237" s="526">
        <f t="shared" si="27"/>
        <v>53</v>
      </c>
      <c r="IX237" s="621">
        <f t="shared" si="29"/>
        <v>61.478087174366919</v>
      </c>
      <c r="IY237" s="665">
        <v>1875.081658818191</v>
      </c>
      <c r="JA237" s="461"/>
      <c r="JB237" s="666"/>
    </row>
    <row r="238" spans="1:262" s="367" customFormat="1" ht="16.5" customHeight="1" x14ac:dyDescent="0.3">
      <c r="A238" s="526" t="s">
        <v>2785</v>
      </c>
      <c r="B238" s="594" t="s">
        <v>2765</v>
      </c>
      <c r="C238" s="671" t="s">
        <v>2299</v>
      </c>
      <c r="D238" s="672">
        <v>1249</v>
      </c>
      <c r="E238" s="673">
        <v>44</v>
      </c>
      <c r="F238" s="673">
        <v>40</v>
      </c>
      <c r="G238" s="673">
        <v>14</v>
      </c>
      <c r="H238" s="674">
        <v>0</v>
      </c>
      <c r="I238" s="659">
        <v>1333</v>
      </c>
      <c r="J238" s="655">
        <v>14</v>
      </c>
      <c r="K238" s="600"/>
      <c r="L238" s="655">
        <v>1333</v>
      </c>
      <c r="M238" s="655">
        <v>14</v>
      </c>
      <c r="N238" s="600"/>
      <c r="O238" s="655">
        <v>1333</v>
      </c>
      <c r="P238" s="655">
        <v>14</v>
      </c>
      <c r="Q238" s="600"/>
      <c r="R238" s="655">
        <v>1333</v>
      </c>
      <c r="S238" s="655">
        <v>14</v>
      </c>
      <c r="T238" s="600"/>
      <c r="U238" s="655">
        <v>1333</v>
      </c>
      <c r="V238" s="655">
        <v>14</v>
      </c>
      <c r="W238" s="600"/>
      <c r="X238" s="655">
        <v>1333</v>
      </c>
      <c r="Y238" s="655">
        <v>14</v>
      </c>
      <c r="Z238" s="600"/>
      <c r="AA238" s="655">
        <v>1333</v>
      </c>
      <c r="AB238" s="655">
        <v>14</v>
      </c>
      <c r="AC238" s="600"/>
      <c r="AD238" s="655">
        <v>1333</v>
      </c>
      <c r="AE238" s="655">
        <v>14</v>
      </c>
      <c r="AF238" s="600"/>
      <c r="AG238" s="655">
        <v>1333</v>
      </c>
      <c r="AH238" s="655">
        <v>14</v>
      </c>
      <c r="AI238" s="600"/>
      <c r="AJ238" s="655">
        <v>1333</v>
      </c>
      <c r="AK238" s="655">
        <v>14</v>
      </c>
      <c r="AL238" s="600"/>
      <c r="AM238" s="655">
        <v>1333</v>
      </c>
      <c r="AN238" s="655">
        <v>14</v>
      </c>
      <c r="AO238" s="600"/>
      <c r="AP238" s="655">
        <v>1333</v>
      </c>
      <c r="AQ238" s="655">
        <v>14</v>
      </c>
      <c r="AR238" s="600"/>
      <c r="AS238" s="655">
        <v>1333</v>
      </c>
      <c r="AT238" s="655">
        <v>14</v>
      </c>
      <c r="AU238" s="600"/>
      <c r="AV238" s="655">
        <v>1333</v>
      </c>
      <c r="AW238" s="655">
        <v>14</v>
      </c>
      <c r="AX238" s="600"/>
      <c r="AY238" s="655">
        <v>1333</v>
      </c>
      <c r="AZ238" s="655">
        <v>14</v>
      </c>
      <c r="BA238" s="600"/>
      <c r="BB238" s="655">
        <v>1333</v>
      </c>
      <c r="BC238" s="655">
        <v>14</v>
      </c>
      <c r="BD238" s="600"/>
      <c r="BE238" s="655">
        <v>1333</v>
      </c>
      <c r="BF238" s="655">
        <v>14</v>
      </c>
      <c r="BG238" s="600"/>
      <c r="BH238" s="655">
        <v>1333</v>
      </c>
      <c r="BI238" s="655">
        <v>14</v>
      </c>
      <c r="BJ238" s="655"/>
      <c r="BK238" s="655">
        <v>1333</v>
      </c>
      <c r="BL238" s="655">
        <v>14</v>
      </c>
      <c r="BM238" s="655"/>
      <c r="BN238" s="655">
        <v>1333</v>
      </c>
      <c r="BO238" s="655">
        <v>14</v>
      </c>
      <c r="BP238" s="655"/>
      <c r="BQ238" s="655">
        <v>1333</v>
      </c>
      <c r="BR238" s="655">
        <v>14</v>
      </c>
      <c r="BS238" s="655"/>
      <c r="BT238" s="655">
        <v>1333</v>
      </c>
      <c r="BU238" s="655">
        <v>14</v>
      </c>
      <c r="BV238" s="655"/>
      <c r="BW238" s="517">
        <f>((1333-1063)/30.5)*12+1333</f>
        <v>1439.2295081967213</v>
      </c>
      <c r="BX238" s="517">
        <f>(14/30.5)*12+14</f>
        <v>19.508196721311474</v>
      </c>
      <c r="BY238" s="517"/>
      <c r="BZ238" s="655">
        <v>1063</v>
      </c>
      <c r="CA238" s="655"/>
      <c r="CB238" s="516"/>
      <c r="CC238" s="655">
        <v>1063</v>
      </c>
      <c r="CD238" s="655"/>
      <c r="CE238" s="516"/>
      <c r="CF238" s="655">
        <v>1063</v>
      </c>
      <c r="CG238" s="655"/>
      <c r="CH238" s="516"/>
      <c r="CI238" s="655">
        <v>1063</v>
      </c>
      <c r="CJ238" s="655"/>
      <c r="CK238" s="516"/>
      <c r="CL238" s="655">
        <v>1063</v>
      </c>
      <c r="CM238" s="655"/>
      <c r="CN238" s="516"/>
      <c r="CO238" s="655">
        <v>1063</v>
      </c>
      <c r="CP238" s="655"/>
      <c r="CQ238" s="516"/>
      <c r="CR238" s="655">
        <v>1063</v>
      </c>
      <c r="CS238" s="655"/>
      <c r="CT238" s="516"/>
      <c r="CU238" s="655">
        <v>1063</v>
      </c>
      <c r="CV238" s="655"/>
      <c r="CW238" s="516"/>
      <c r="CX238" s="655">
        <v>1063</v>
      </c>
      <c r="CY238" s="655"/>
      <c r="CZ238" s="516"/>
      <c r="DA238" s="655">
        <v>1063</v>
      </c>
      <c r="DB238" s="655"/>
      <c r="DC238" s="516"/>
      <c r="DD238" s="655">
        <v>1063</v>
      </c>
      <c r="DE238" s="655"/>
      <c r="DF238" s="516"/>
      <c r="DG238" s="655">
        <v>1063</v>
      </c>
      <c r="DH238" s="655"/>
      <c r="DI238" s="516"/>
      <c r="DJ238" s="655">
        <v>1063</v>
      </c>
      <c r="DK238" s="655"/>
      <c r="DL238" s="516"/>
      <c r="DM238" s="655">
        <v>1063</v>
      </c>
      <c r="DN238" s="655"/>
      <c r="DO238" s="516"/>
      <c r="DP238" s="655">
        <v>1063</v>
      </c>
      <c r="DQ238" s="655"/>
      <c r="DR238" s="516"/>
      <c r="DS238" s="655">
        <v>1063</v>
      </c>
      <c r="DT238" s="655"/>
      <c r="DU238" s="516"/>
      <c r="DV238" s="655">
        <v>1063</v>
      </c>
      <c r="DW238" s="655"/>
      <c r="DX238" s="516"/>
      <c r="DY238" s="655">
        <v>1063</v>
      </c>
      <c r="DZ238" s="655"/>
      <c r="EA238" s="516"/>
      <c r="EB238" s="655">
        <v>1063</v>
      </c>
      <c r="EC238" s="655"/>
      <c r="ED238" s="516"/>
      <c r="EE238" s="655">
        <v>1063</v>
      </c>
      <c r="EF238" s="655"/>
      <c r="EG238" s="516"/>
      <c r="EH238" s="655">
        <v>1063</v>
      </c>
      <c r="EI238" s="655"/>
      <c r="EJ238" s="516"/>
      <c r="EK238" s="655">
        <v>1063</v>
      </c>
      <c r="EL238" s="655"/>
      <c r="EM238" s="516"/>
      <c r="EN238" s="655">
        <v>1063</v>
      </c>
      <c r="EO238" s="655"/>
      <c r="EP238" s="516"/>
      <c r="EQ238" s="655">
        <v>1063</v>
      </c>
      <c r="ER238" s="655"/>
      <c r="ES238" s="516"/>
      <c r="ET238" s="655">
        <v>1063</v>
      </c>
      <c r="EU238" s="655"/>
      <c r="EV238" s="516"/>
      <c r="EW238" s="655">
        <v>1063</v>
      </c>
      <c r="EX238" s="655"/>
      <c r="EY238" s="516"/>
      <c r="EZ238" s="655">
        <v>1063</v>
      </c>
      <c r="FA238" s="655"/>
      <c r="FB238" s="516"/>
      <c r="FC238" s="655">
        <v>1063</v>
      </c>
      <c r="FD238" s="655"/>
      <c r="FE238" s="516"/>
      <c r="FF238" s="655">
        <v>1063</v>
      </c>
      <c r="FG238" s="655"/>
      <c r="FH238" s="516"/>
      <c r="FI238" s="655">
        <v>1063</v>
      </c>
      <c r="FJ238" s="655"/>
      <c r="FK238" s="516"/>
      <c r="FL238" s="655">
        <v>1063</v>
      </c>
      <c r="FM238" s="655"/>
      <c r="FN238" s="516"/>
      <c r="FO238" s="655">
        <v>1063</v>
      </c>
      <c r="FP238" s="655"/>
      <c r="FQ238" s="516"/>
      <c r="FR238" s="655">
        <v>1063</v>
      </c>
      <c r="FS238" s="655"/>
      <c r="FT238" s="516"/>
      <c r="FU238" s="655">
        <v>1063</v>
      </c>
      <c r="FV238" s="655"/>
      <c r="FW238" s="516"/>
      <c r="FX238" s="655">
        <v>1063</v>
      </c>
      <c r="FY238" s="655"/>
      <c r="FZ238" s="516"/>
      <c r="GA238" s="655">
        <v>1063</v>
      </c>
      <c r="GB238" s="655"/>
      <c r="GC238" s="516"/>
      <c r="GD238" s="655">
        <v>1063</v>
      </c>
      <c r="GE238" s="655"/>
      <c r="GF238" s="516"/>
      <c r="GG238" s="655">
        <v>1063</v>
      </c>
      <c r="GH238" s="655"/>
      <c r="GI238" s="516"/>
      <c r="GJ238" s="655">
        <v>1063</v>
      </c>
      <c r="GK238" s="655"/>
      <c r="GL238" s="516"/>
      <c r="GM238" s="655">
        <v>1063</v>
      </c>
      <c r="GN238" s="655"/>
      <c r="GO238" s="516"/>
      <c r="GP238" s="655">
        <v>1063</v>
      </c>
      <c r="GQ238" s="655"/>
      <c r="GR238" s="516"/>
      <c r="GS238" s="655">
        <v>1063</v>
      </c>
      <c r="GT238" s="655"/>
      <c r="GU238" s="516"/>
      <c r="GV238" s="655">
        <v>1063</v>
      </c>
      <c r="GW238" s="655"/>
      <c r="GX238" s="516"/>
      <c r="GY238" s="655">
        <v>1063</v>
      </c>
      <c r="GZ238" s="655"/>
      <c r="HA238" s="516"/>
      <c r="HB238" s="655">
        <v>1063</v>
      </c>
      <c r="HC238" s="655"/>
      <c r="HD238" s="516"/>
      <c r="HE238" s="655">
        <v>1063</v>
      </c>
      <c r="HF238" s="655"/>
      <c r="HG238" s="516"/>
      <c r="HH238" s="655">
        <v>1063</v>
      </c>
      <c r="HI238" s="516"/>
      <c r="HJ238" s="655">
        <v>1063</v>
      </c>
      <c r="HK238" s="516"/>
      <c r="HL238" s="655">
        <v>1063</v>
      </c>
      <c r="HM238" s="516"/>
      <c r="HN238" s="655">
        <v>1063</v>
      </c>
      <c r="HO238" s="516"/>
      <c r="HP238" s="517">
        <v>1847.1803278688524</v>
      </c>
      <c r="HQ238" s="516"/>
      <c r="HR238" s="567"/>
      <c r="HS238" s="567"/>
      <c r="HT238" s="567"/>
      <c r="HU238" s="567"/>
      <c r="HV238" s="567"/>
      <c r="HW238" s="567"/>
      <c r="HX238" s="587"/>
      <c r="HY238" s="587"/>
      <c r="HZ238" s="587"/>
      <c r="IA238" s="587"/>
      <c r="IB238" s="587"/>
      <c r="IC238" s="587"/>
      <c r="ID238" s="587"/>
      <c r="IE238" s="587"/>
      <c r="IF238" s="587"/>
      <c r="IG238" s="587"/>
      <c r="IH238" s="588"/>
      <c r="II238" s="589"/>
      <c r="IJ238" s="588"/>
      <c r="IK238" s="589"/>
      <c r="IL238" s="588"/>
      <c r="IM238" s="589"/>
      <c r="IN238" s="588"/>
      <c r="IO238" s="589"/>
      <c r="IP238" s="588"/>
      <c r="IQ238" s="589"/>
      <c r="IR238" s="601" t="s">
        <v>3450</v>
      </c>
      <c r="IS238" s="587" t="s">
        <v>77</v>
      </c>
      <c r="IT238" s="611">
        <v>43809</v>
      </c>
      <c r="IU238" s="518">
        <v>43862</v>
      </c>
      <c r="IV238" s="552"/>
      <c r="IW238" s="526">
        <f t="shared" si="27"/>
        <v>53</v>
      </c>
      <c r="IX238" s="621">
        <f t="shared" si="29"/>
        <v>60.563289438323025</v>
      </c>
      <c r="IY238" s="665">
        <v>1847.1803278688524</v>
      </c>
      <c r="JA238" s="461"/>
      <c r="JB238" s="666"/>
    </row>
    <row r="239" spans="1:262" s="367" customFormat="1" ht="16.5" customHeight="1" x14ac:dyDescent="0.3">
      <c r="A239" s="526" t="s">
        <v>2743</v>
      </c>
      <c r="B239" s="594" t="s">
        <v>2771</v>
      </c>
      <c r="C239" s="378" t="s">
        <v>1143</v>
      </c>
      <c r="D239" s="868">
        <v>1995</v>
      </c>
      <c r="E239" s="868">
        <v>239</v>
      </c>
      <c r="F239" s="868">
        <v>16</v>
      </c>
      <c r="G239" s="868">
        <v>108</v>
      </c>
      <c r="H239" s="659">
        <f>(-66*12)</f>
        <v>-792</v>
      </c>
      <c r="I239" s="659">
        <v>2250</v>
      </c>
      <c r="J239" s="655">
        <f>108</f>
        <v>108</v>
      </c>
      <c r="K239" s="600">
        <v>66</v>
      </c>
      <c r="L239" s="655">
        <v>2250</v>
      </c>
      <c r="M239" s="655">
        <f>108</f>
        <v>108</v>
      </c>
      <c r="N239" s="600">
        <v>66</v>
      </c>
      <c r="O239" s="655">
        <v>2250</v>
      </c>
      <c r="P239" s="655">
        <f>108</f>
        <v>108</v>
      </c>
      <c r="Q239" s="600">
        <v>66</v>
      </c>
      <c r="R239" s="655">
        <v>2250</v>
      </c>
      <c r="S239" s="655">
        <f>108</f>
        <v>108</v>
      </c>
      <c r="T239" s="600">
        <v>66</v>
      </c>
      <c r="U239" s="655">
        <v>2250</v>
      </c>
      <c r="V239" s="655">
        <f>108</f>
        <v>108</v>
      </c>
      <c r="W239" s="600">
        <v>66</v>
      </c>
      <c r="X239" s="655">
        <v>2250</v>
      </c>
      <c r="Y239" s="655">
        <f>108</f>
        <v>108</v>
      </c>
      <c r="Z239" s="600">
        <v>66</v>
      </c>
      <c r="AA239" s="655">
        <v>2250</v>
      </c>
      <c r="AB239" s="655">
        <f>108</f>
        <v>108</v>
      </c>
      <c r="AC239" s="600">
        <v>66</v>
      </c>
      <c r="AD239" s="655">
        <v>2250</v>
      </c>
      <c r="AE239" s="655">
        <f>108</f>
        <v>108</v>
      </c>
      <c r="AF239" s="600">
        <v>66</v>
      </c>
      <c r="AG239" s="655">
        <v>2250</v>
      </c>
      <c r="AH239" s="655">
        <f>108</f>
        <v>108</v>
      </c>
      <c r="AI239" s="600">
        <v>66</v>
      </c>
      <c r="AJ239" s="655">
        <v>2250</v>
      </c>
      <c r="AK239" s="655">
        <f>108</f>
        <v>108</v>
      </c>
      <c r="AL239" s="600">
        <v>66</v>
      </c>
      <c r="AM239" s="655">
        <v>2250</v>
      </c>
      <c r="AN239" s="655">
        <f>108</f>
        <v>108</v>
      </c>
      <c r="AO239" s="600">
        <v>66</v>
      </c>
      <c r="AP239" s="655">
        <v>2250</v>
      </c>
      <c r="AQ239" s="655">
        <f>108</f>
        <v>108</v>
      </c>
      <c r="AR239" s="600">
        <v>66</v>
      </c>
      <c r="AS239" s="655">
        <v>2250</v>
      </c>
      <c r="AT239" s="655">
        <f>108</f>
        <v>108</v>
      </c>
      <c r="AU239" s="600">
        <v>66</v>
      </c>
      <c r="AV239" s="655">
        <v>2250</v>
      </c>
      <c r="AW239" s="655">
        <f>108</f>
        <v>108</v>
      </c>
      <c r="AX239" s="600">
        <v>66</v>
      </c>
      <c r="AY239" s="655">
        <v>2250</v>
      </c>
      <c r="AZ239" s="655">
        <f>108</f>
        <v>108</v>
      </c>
      <c r="BA239" s="600">
        <v>66</v>
      </c>
      <c r="BB239" s="655">
        <v>2250</v>
      </c>
      <c r="BC239" s="655">
        <f>108</f>
        <v>108</v>
      </c>
      <c r="BD239" s="600">
        <v>66</v>
      </c>
      <c r="BE239" s="655">
        <v>2250</v>
      </c>
      <c r="BF239" s="655">
        <f>108</f>
        <v>108</v>
      </c>
      <c r="BG239" s="600">
        <v>66</v>
      </c>
      <c r="BH239" s="655">
        <v>2250</v>
      </c>
      <c r="BI239" s="655">
        <f>108</f>
        <v>108</v>
      </c>
      <c r="BJ239" s="655">
        <v>66</v>
      </c>
      <c r="BK239" s="655">
        <v>2250</v>
      </c>
      <c r="BL239" s="655">
        <f>108</f>
        <v>108</v>
      </c>
      <c r="BM239" s="655">
        <v>66</v>
      </c>
      <c r="BN239" s="655">
        <v>2250</v>
      </c>
      <c r="BO239" s="655">
        <f>108</f>
        <v>108</v>
      </c>
      <c r="BP239" s="655">
        <v>66</v>
      </c>
      <c r="BQ239" s="655">
        <v>2250</v>
      </c>
      <c r="BR239" s="655">
        <f>108</f>
        <v>108</v>
      </c>
      <c r="BS239" s="655">
        <v>66</v>
      </c>
      <c r="BT239" s="655">
        <v>2250</v>
      </c>
      <c r="BU239" s="655">
        <f>108</f>
        <v>108</v>
      </c>
      <c r="BV239" s="655">
        <v>66</v>
      </c>
      <c r="BW239" s="655">
        <v>2250</v>
      </c>
      <c r="BX239" s="655">
        <f>108</f>
        <v>108</v>
      </c>
      <c r="BY239" s="655">
        <v>66</v>
      </c>
      <c r="BZ239" s="655">
        <v>2250</v>
      </c>
      <c r="CA239" s="655">
        <f>108</f>
        <v>108</v>
      </c>
      <c r="CB239" s="655">
        <v>66</v>
      </c>
      <c r="CC239" s="655">
        <v>2250</v>
      </c>
      <c r="CD239" s="655">
        <f>108</f>
        <v>108</v>
      </c>
      <c r="CE239" s="655">
        <v>66</v>
      </c>
      <c r="CF239" s="655">
        <v>2250</v>
      </c>
      <c r="CG239" s="655">
        <f>108</f>
        <v>108</v>
      </c>
      <c r="CH239" s="655">
        <v>66</v>
      </c>
      <c r="CI239" s="655">
        <v>2250</v>
      </c>
      <c r="CJ239" s="655">
        <f>108</f>
        <v>108</v>
      </c>
      <c r="CK239" s="655">
        <v>66</v>
      </c>
      <c r="CL239" s="655">
        <v>2250</v>
      </c>
      <c r="CM239" s="655">
        <f>108</f>
        <v>108</v>
      </c>
      <c r="CN239" s="655">
        <v>66</v>
      </c>
      <c r="CO239" s="655">
        <v>2250</v>
      </c>
      <c r="CP239" s="655">
        <f>108</f>
        <v>108</v>
      </c>
      <c r="CQ239" s="655">
        <v>66</v>
      </c>
      <c r="CR239" s="655">
        <v>2250</v>
      </c>
      <c r="CS239" s="655">
        <f>108</f>
        <v>108</v>
      </c>
      <c r="CT239" s="655">
        <v>66</v>
      </c>
      <c r="CU239" s="655">
        <v>2250</v>
      </c>
      <c r="CV239" s="655">
        <f>108</f>
        <v>108</v>
      </c>
      <c r="CW239" s="655">
        <v>66</v>
      </c>
      <c r="CX239" s="655">
        <v>2250</v>
      </c>
      <c r="CY239" s="655">
        <f>108</f>
        <v>108</v>
      </c>
      <c r="CZ239" s="655">
        <v>66</v>
      </c>
      <c r="DA239" s="655">
        <v>2250</v>
      </c>
      <c r="DB239" s="655">
        <f>108</f>
        <v>108</v>
      </c>
      <c r="DC239" s="655">
        <v>66</v>
      </c>
      <c r="DD239" s="655">
        <v>2250</v>
      </c>
      <c r="DE239" s="655">
        <f>108</f>
        <v>108</v>
      </c>
      <c r="DF239" s="655">
        <v>66</v>
      </c>
      <c r="DG239" s="655">
        <v>2250</v>
      </c>
      <c r="DH239" s="655">
        <f>108</f>
        <v>108</v>
      </c>
      <c r="DI239" s="655">
        <v>66</v>
      </c>
      <c r="DJ239" s="655">
        <v>2250</v>
      </c>
      <c r="DK239" s="655">
        <f>108</f>
        <v>108</v>
      </c>
      <c r="DL239" s="655">
        <v>66</v>
      </c>
      <c r="DM239" s="655">
        <v>2250</v>
      </c>
      <c r="DN239" s="655">
        <f>108</f>
        <v>108</v>
      </c>
      <c r="DO239" s="655">
        <v>66</v>
      </c>
      <c r="DP239" s="655">
        <v>2250</v>
      </c>
      <c r="DQ239" s="655">
        <f>108</f>
        <v>108</v>
      </c>
      <c r="DR239" s="655">
        <v>66</v>
      </c>
      <c r="DS239" s="655">
        <v>2250</v>
      </c>
      <c r="DT239" s="655">
        <f>108</f>
        <v>108</v>
      </c>
      <c r="DU239" s="655">
        <v>66</v>
      </c>
      <c r="DV239" s="655">
        <v>2250</v>
      </c>
      <c r="DW239" s="655">
        <f>108</f>
        <v>108</v>
      </c>
      <c r="DX239" s="655">
        <v>66</v>
      </c>
      <c r="DY239" s="655">
        <v>2250</v>
      </c>
      <c r="DZ239" s="655">
        <f>108</f>
        <v>108</v>
      </c>
      <c r="EA239" s="655">
        <v>66</v>
      </c>
      <c r="EB239" s="655">
        <v>2250</v>
      </c>
      <c r="EC239" s="655">
        <f>108</f>
        <v>108</v>
      </c>
      <c r="ED239" s="655">
        <v>66</v>
      </c>
      <c r="EE239" s="655">
        <v>2250</v>
      </c>
      <c r="EF239" s="655">
        <f>108</f>
        <v>108</v>
      </c>
      <c r="EG239" s="655">
        <v>66</v>
      </c>
      <c r="EH239" s="655">
        <v>2250</v>
      </c>
      <c r="EI239" s="655">
        <f>108</f>
        <v>108</v>
      </c>
      <c r="EJ239" s="655">
        <v>66</v>
      </c>
      <c r="EK239" s="655">
        <v>2250</v>
      </c>
      <c r="EL239" s="655">
        <f>108</f>
        <v>108</v>
      </c>
      <c r="EM239" s="655">
        <v>66</v>
      </c>
      <c r="EN239" s="655">
        <v>2250</v>
      </c>
      <c r="EO239" s="655">
        <f>108</f>
        <v>108</v>
      </c>
      <c r="EP239" s="655">
        <v>66</v>
      </c>
      <c r="EQ239" s="655">
        <v>2250</v>
      </c>
      <c r="ER239" s="655">
        <f>108</f>
        <v>108</v>
      </c>
      <c r="ES239" s="655">
        <v>66</v>
      </c>
      <c r="ET239" s="655">
        <v>2250</v>
      </c>
      <c r="EU239" s="655">
        <f>108</f>
        <v>108</v>
      </c>
      <c r="EV239" s="655">
        <v>66</v>
      </c>
      <c r="EW239" s="655">
        <v>2250</v>
      </c>
      <c r="EX239" s="655">
        <f>108</f>
        <v>108</v>
      </c>
      <c r="EY239" s="655">
        <v>66</v>
      </c>
      <c r="EZ239" s="655">
        <v>2250</v>
      </c>
      <c r="FA239" s="655">
        <f>108</f>
        <v>108</v>
      </c>
      <c r="FB239" s="655">
        <v>66</v>
      </c>
      <c r="FC239" s="655">
        <v>2250</v>
      </c>
      <c r="FD239" s="655">
        <f>108</f>
        <v>108</v>
      </c>
      <c r="FE239" s="655">
        <v>66</v>
      </c>
      <c r="FF239" s="655">
        <v>2250</v>
      </c>
      <c r="FG239" s="655">
        <f>108</f>
        <v>108</v>
      </c>
      <c r="FH239" s="655">
        <v>66</v>
      </c>
      <c r="FI239" s="655">
        <v>2250</v>
      </c>
      <c r="FJ239" s="655">
        <f>108</f>
        <v>108</v>
      </c>
      <c r="FK239" s="655">
        <v>66</v>
      </c>
      <c r="FL239" s="655">
        <v>2250</v>
      </c>
      <c r="FM239" s="655">
        <f>108</f>
        <v>108</v>
      </c>
      <c r="FN239" s="655">
        <v>66</v>
      </c>
      <c r="FO239" s="655">
        <v>2250</v>
      </c>
      <c r="FP239" s="655">
        <f>108</f>
        <v>108</v>
      </c>
      <c r="FQ239" s="655">
        <v>66</v>
      </c>
      <c r="FR239" s="655">
        <v>2250</v>
      </c>
      <c r="FS239" s="655">
        <f>108</f>
        <v>108</v>
      </c>
      <c r="FT239" s="655">
        <v>66</v>
      </c>
      <c r="FU239" s="655">
        <v>2250</v>
      </c>
      <c r="FV239" s="655">
        <f>108</f>
        <v>108</v>
      </c>
      <c r="FW239" s="655">
        <v>66</v>
      </c>
      <c r="FX239" s="655">
        <v>2250</v>
      </c>
      <c r="FY239" s="655">
        <f>108</f>
        <v>108</v>
      </c>
      <c r="FZ239" s="655">
        <v>66</v>
      </c>
      <c r="GA239" s="655">
        <v>2250</v>
      </c>
      <c r="GB239" s="655">
        <f>108</f>
        <v>108</v>
      </c>
      <c r="GC239" s="655">
        <v>66</v>
      </c>
      <c r="GD239" s="655">
        <v>2250</v>
      </c>
      <c r="GE239" s="655">
        <f>108</f>
        <v>108</v>
      </c>
      <c r="GF239" s="655">
        <v>66</v>
      </c>
      <c r="GG239" s="655">
        <v>2250</v>
      </c>
      <c r="GH239" s="655">
        <f>108</f>
        <v>108</v>
      </c>
      <c r="GI239" s="655">
        <v>66</v>
      </c>
      <c r="GJ239" s="655">
        <v>2250</v>
      </c>
      <c r="GK239" s="655">
        <f>108</f>
        <v>108</v>
      </c>
      <c r="GL239" s="655">
        <v>66</v>
      </c>
      <c r="GM239" s="655">
        <v>2250</v>
      </c>
      <c r="GN239" s="655">
        <f>108</f>
        <v>108</v>
      </c>
      <c r="GO239" s="655">
        <v>66</v>
      </c>
      <c r="GP239" s="655">
        <v>2250</v>
      </c>
      <c r="GQ239" s="655">
        <f>108</f>
        <v>108</v>
      </c>
      <c r="GR239" s="655">
        <v>66</v>
      </c>
      <c r="GS239" s="655">
        <v>2250</v>
      </c>
      <c r="GT239" s="655">
        <f>108</f>
        <v>108</v>
      </c>
      <c r="GU239" s="655">
        <v>66</v>
      </c>
      <c r="GV239" s="655">
        <v>2250</v>
      </c>
      <c r="GW239" s="655">
        <f>108</f>
        <v>108</v>
      </c>
      <c r="GX239" s="655">
        <v>66</v>
      </c>
      <c r="GY239" s="655">
        <v>2250</v>
      </c>
      <c r="GZ239" s="655">
        <f>108</f>
        <v>108</v>
      </c>
      <c r="HA239" s="655">
        <v>66</v>
      </c>
      <c r="HB239" s="655">
        <v>2250</v>
      </c>
      <c r="HC239" s="655">
        <f>108</f>
        <v>108</v>
      </c>
      <c r="HD239" s="655">
        <v>66</v>
      </c>
      <c r="HE239" s="655">
        <v>2250</v>
      </c>
      <c r="HF239" s="517">
        <f>108*6</f>
        <v>648</v>
      </c>
      <c r="HG239" s="655">
        <v>66</v>
      </c>
      <c r="HH239" s="655">
        <v>2250</v>
      </c>
      <c r="HI239" s="655">
        <v>66</v>
      </c>
      <c r="HJ239" s="655">
        <v>2250</v>
      </c>
      <c r="HK239" s="655">
        <v>66</v>
      </c>
      <c r="HL239" s="655">
        <v>2250</v>
      </c>
      <c r="HM239" s="655">
        <v>66</v>
      </c>
      <c r="HN239" s="655">
        <v>2250</v>
      </c>
      <c r="HO239" s="655">
        <v>66</v>
      </c>
      <c r="HP239" s="517">
        <v>3762.7238603722212</v>
      </c>
      <c r="HQ239" s="517">
        <v>109.72524590163934</v>
      </c>
      <c r="HR239" s="567"/>
      <c r="HS239" s="567"/>
      <c r="HT239" s="567"/>
      <c r="HU239" s="567"/>
      <c r="HV239" s="567"/>
      <c r="HW239" s="567"/>
      <c r="HX239" s="587"/>
      <c r="HY239" s="587"/>
      <c r="HZ239" s="587"/>
      <c r="IA239" s="587"/>
      <c r="IB239" s="587"/>
      <c r="IC239" s="587"/>
      <c r="ID239" s="587"/>
      <c r="IE239" s="587"/>
      <c r="IF239" s="587"/>
      <c r="IG239" s="587"/>
      <c r="IH239" s="588"/>
      <c r="II239" s="589"/>
      <c r="IJ239" s="588"/>
      <c r="IK239" s="589"/>
      <c r="IL239" s="588"/>
      <c r="IM239" s="589"/>
      <c r="IN239" s="588"/>
      <c r="IO239" s="589"/>
      <c r="IP239" s="588"/>
      <c r="IQ239" s="589"/>
      <c r="IR239" s="601" t="s">
        <v>3014</v>
      </c>
      <c r="IS239" s="587" t="s">
        <v>77</v>
      </c>
      <c r="IT239" s="611">
        <v>43811</v>
      </c>
      <c r="IU239" s="518">
        <v>43862</v>
      </c>
      <c r="IV239" s="552"/>
      <c r="IW239" s="526">
        <f t="shared" si="27"/>
        <v>51</v>
      </c>
      <c r="IX239" s="621">
        <f t="shared" si="29"/>
        <v>123.36799542204004</v>
      </c>
      <c r="IY239" s="665">
        <v>3762.7238603722212</v>
      </c>
      <c r="JA239" s="461"/>
      <c r="JB239" s="666"/>
    </row>
    <row r="240" spans="1:262" s="367" customFormat="1" ht="16.5" customHeight="1" x14ac:dyDescent="0.3">
      <c r="A240" s="526" t="s">
        <v>2735</v>
      </c>
      <c r="B240" s="594" t="s">
        <v>2751</v>
      </c>
      <c r="C240" s="675" t="s">
        <v>884</v>
      </c>
      <c r="D240" s="676">
        <v>568</v>
      </c>
      <c r="E240" s="677">
        <v>35</v>
      </c>
      <c r="F240" s="677">
        <v>8</v>
      </c>
      <c r="G240" s="677">
        <v>5</v>
      </c>
      <c r="H240" s="678">
        <v>0</v>
      </c>
      <c r="I240" s="659">
        <v>612</v>
      </c>
      <c r="J240" s="655">
        <f>5</f>
        <v>5</v>
      </c>
      <c r="K240" s="600"/>
      <c r="L240" s="655">
        <v>612</v>
      </c>
      <c r="M240" s="655">
        <f>5</f>
        <v>5</v>
      </c>
      <c r="N240" s="600"/>
      <c r="O240" s="655">
        <v>612</v>
      </c>
      <c r="P240" s="655">
        <f>5</f>
        <v>5</v>
      </c>
      <c r="Q240" s="600"/>
      <c r="R240" s="655">
        <v>612</v>
      </c>
      <c r="S240" s="655">
        <f>5</f>
        <v>5</v>
      </c>
      <c r="T240" s="600"/>
      <c r="U240" s="655">
        <v>612</v>
      </c>
      <c r="V240" s="655">
        <f>5</f>
        <v>5</v>
      </c>
      <c r="W240" s="600"/>
      <c r="X240" s="655">
        <v>612</v>
      </c>
      <c r="Y240" s="655">
        <f>5</f>
        <v>5</v>
      </c>
      <c r="Z240" s="600"/>
      <c r="AA240" s="655">
        <v>612</v>
      </c>
      <c r="AB240" s="655">
        <f>5</f>
        <v>5</v>
      </c>
      <c r="AC240" s="600"/>
      <c r="AD240" s="655">
        <v>612</v>
      </c>
      <c r="AE240" s="655">
        <f>5</f>
        <v>5</v>
      </c>
      <c r="AF240" s="600"/>
      <c r="AG240" s="655">
        <v>612</v>
      </c>
      <c r="AH240" s="655">
        <f>5</f>
        <v>5</v>
      </c>
      <c r="AI240" s="600"/>
      <c r="AJ240" s="655">
        <v>612</v>
      </c>
      <c r="AK240" s="655">
        <f>5</f>
        <v>5</v>
      </c>
      <c r="AL240" s="600"/>
      <c r="AM240" s="655">
        <v>612</v>
      </c>
      <c r="AN240" s="655">
        <f>5</f>
        <v>5</v>
      </c>
      <c r="AO240" s="600"/>
      <c r="AP240" s="655">
        <v>612</v>
      </c>
      <c r="AQ240" s="655">
        <f>5</f>
        <v>5</v>
      </c>
      <c r="AR240" s="600"/>
      <c r="AS240" s="655">
        <v>612</v>
      </c>
      <c r="AT240" s="655">
        <f>5</f>
        <v>5</v>
      </c>
      <c r="AU240" s="600"/>
      <c r="AV240" s="655">
        <v>612</v>
      </c>
      <c r="AW240" s="655">
        <f>5</f>
        <v>5</v>
      </c>
      <c r="AX240" s="600"/>
      <c r="AY240" s="655">
        <v>612</v>
      </c>
      <c r="AZ240" s="655">
        <f>5</f>
        <v>5</v>
      </c>
      <c r="BA240" s="600"/>
      <c r="BB240" s="655">
        <v>612</v>
      </c>
      <c r="BC240" s="655">
        <f>5</f>
        <v>5</v>
      </c>
      <c r="BD240" s="600"/>
      <c r="BE240" s="655">
        <v>612</v>
      </c>
      <c r="BF240" s="655">
        <f>5</f>
        <v>5</v>
      </c>
      <c r="BG240" s="600"/>
      <c r="BH240" s="655">
        <v>612</v>
      </c>
      <c r="BI240" s="655">
        <f>5</f>
        <v>5</v>
      </c>
      <c r="BJ240" s="516"/>
      <c r="BK240" s="655">
        <v>612</v>
      </c>
      <c r="BL240" s="655">
        <f>5</f>
        <v>5</v>
      </c>
      <c r="BM240" s="516"/>
      <c r="BN240" s="655">
        <v>612</v>
      </c>
      <c r="BO240" s="655">
        <f>5</f>
        <v>5</v>
      </c>
      <c r="BP240" s="516"/>
      <c r="BQ240" s="655">
        <v>612</v>
      </c>
      <c r="BR240" s="655">
        <f>5</f>
        <v>5</v>
      </c>
      <c r="BS240" s="516"/>
      <c r="BT240" s="655">
        <v>612</v>
      </c>
      <c r="BU240" s="655">
        <f>5</f>
        <v>5</v>
      </c>
      <c r="BV240" s="516"/>
      <c r="BW240" s="655">
        <v>612</v>
      </c>
      <c r="BX240" s="655">
        <f>5</f>
        <v>5</v>
      </c>
      <c r="BY240" s="516"/>
      <c r="BZ240" s="655">
        <v>612</v>
      </c>
      <c r="CA240" s="655">
        <f>5</f>
        <v>5</v>
      </c>
      <c r="CB240" s="516"/>
      <c r="CC240" s="655">
        <v>612</v>
      </c>
      <c r="CD240" s="655">
        <f>5</f>
        <v>5</v>
      </c>
      <c r="CE240" s="516"/>
      <c r="CF240" s="655">
        <v>612</v>
      </c>
      <c r="CG240" s="655">
        <f>5</f>
        <v>5</v>
      </c>
      <c r="CH240" s="516"/>
      <c r="CI240" s="655">
        <v>612</v>
      </c>
      <c r="CJ240" s="655">
        <f>5</f>
        <v>5</v>
      </c>
      <c r="CK240" s="516"/>
      <c r="CL240" s="655">
        <v>612</v>
      </c>
      <c r="CM240" s="655">
        <f>5</f>
        <v>5</v>
      </c>
      <c r="CN240" s="516"/>
      <c r="CO240" s="655">
        <v>612</v>
      </c>
      <c r="CP240" s="655">
        <f>5</f>
        <v>5</v>
      </c>
      <c r="CQ240" s="516"/>
      <c r="CR240" s="655">
        <v>612</v>
      </c>
      <c r="CS240" s="655">
        <f>5</f>
        <v>5</v>
      </c>
      <c r="CT240" s="516"/>
      <c r="CU240" s="655">
        <v>612</v>
      </c>
      <c r="CV240" s="655">
        <f>5</f>
        <v>5</v>
      </c>
      <c r="CW240" s="516"/>
      <c r="CX240" s="655">
        <v>612</v>
      </c>
      <c r="CY240" s="655">
        <f>5</f>
        <v>5</v>
      </c>
      <c r="CZ240" s="516"/>
      <c r="DA240" s="655">
        <v>612</v>
      </c>
      <c r="DB240" s="655">
        <f>5</f>
        <v>5</v>
      </c>
      <c r="DC240" s="516"/>
      <c r="DD240" s="655">
        <v>612</v>
      </c>
      <c r="DE240" s="655">
        <f>5</f>
        <v>5</v>
      </c>
      <c r="DF240" s="516"/>
      <c r="DG240" s="655">
        <v>612</v>
      </c>
      <c r="DH240" s="655">
        <f>5</f>
        <v>5</v>
      </c>
      <c r="DI240" s="516"/>
      <c r="DJ240" s="655">
        <v>612</v>
      </c>
      <c r="DK240" s="655">
        <f>5</f>
        <v>5</v>
      </c>
      <c r="DL240" s="516"/>
      <c r="DM240" s="655">
        <v>612</v>
      </c>
      <c r="DN240" s="655">
        <f>5</f>
        <v>5</v>
      </c>
      <c r="DO240" s="516"/>
      <c r="DP240" s="655">
        <v>612</v>
      </c>
      <c r="DQ240" s="655">
        <f>5</f>
        <v>5</v>
      </c>
      <c r="DR240" s="516"/>
      <c r="DS240" s="655">
        <v>612</v>
      </c>
      <c r="DT240" s="655">
        <f>5</f>
        <v>5</v>
      </c>
      <c r="DU240" s="516"/>
      <c r="DV240" s="655">
        <v>612</v>
      </c>
      <c r="DW240" s="655">
        <f>5</f>
        <v>5</v>
      </c>
      <c r="DX240" s="516"/>
      <c r="DY240" s="655">
        <v>612</v>
      </c>
      <c r="DZ240" s="655">
        <f>5</f>
        <v>5</v>
      </c>
      <c r="EA240" s="516"/>
      <c r="EB240" s="655">
        <v>612</v>
      </c>
      <c r="EC240" s="655">
        <f>5</f>
        <v>5</v>
      </c>
      <c r="ED240" s="516"/>
      <c r="EE240" s="655">
        <v>612</v>
      </c>
      <c r="EF240" s="655">
        <f>5</f>
        <v>5</v>
      </c>
      <c r="EG240" s="516"/>
      <c r="EH240" s="655">
        <v>612</v>
      </c>
      <c r="EI240" s="655">
        <f>5</f>
        <v>5</v>
      </c>
      <c r="EJ240" s="516"/>
      <c r="EK240" s="655">
        <v>612</v>
      </c>
      <c r="EL240" s="655">
        <f>5</f>
        <v>5</v>
      </c>
      <c r="EM240" s="516"/>
      <c r="EN240" s="655">
        <v>612</v>
      </c>
      <c r="EO240" s="655">
        <f>5</f>
        <v>5</v>
      </c>
      <c r="EP240" s="516"/>
      <c r="EQ240" s="655">
        <v>612</v>
      </c>
      <c r="ER240" s="655">
        <f>5</f>
        <v>5</v>
      </c>
      <c r="ES240" s="516"/>
      <c r="ET240" s="655">
        <v>612</v>
      </c>
      <c r="EU240" s="655">
        <f>5</f>
        <v>5</v>
      </c>
      <c r="EV240" s="516"/>
      <c r="EW240" s="655">
        <v>612</v>
      </c>
      <c r="EX240" s="655">
        <f>5</f>
        <v>5</v>
      </c>
      <c r="EY240" s="516"/>
      <c r="EZ240" s="655">
        <v>612</v>
      </c>
      <c r="FA240" s="655">
        <f>5</f>
        <v>5</v>
      </c>
      <c r="FB240" s="516"/>
      <c r="FC240" s="655">
        <v>612</v>
      </c>
      <c r="FD240" s="655">
        <f>5</f>
        <v>5</v>
      </c>
      <c r="FE240" s="516"/>
      <c r="FF240" s="655">
        <v>612</v>
      </c>
      <c r="FG240" s="655">
        <f>5</f>
        <v>5</v>
      </c>
      <c r="FH240" s="516"/>
      <c r="FI240" s="655">
        <v>612</v>
      </c>
      <c r="FJ240" s="655">
        <f>5</f>
        <v>5</v>
      </c>
      <c r="FK240" s="516"/>
      <c r="FL240" s="655">
        <v>612</v>
      </c>
      <c r="FM240" s="655">
        <f>5</f>
        <v>5</v>
      </c>
      <c r="FN240" s="516"/>
      <c r="FO240" s="655">
        <v>612</v>
      </c>
      <c r="FP240" s="655">
        <f>5</f>
        <v>5</v>
      </c>
      <c r="FQ240" s="516"/>
      <c r="FR240" s="655">
        <v>612</v>
      </c>
      <c r="FS240" s="655">
        <f>5</f>
        <v>5</v>
      </c>
      <c r="FT240" s="516"/>
      <c r="FU240" s="655">
        <v>612</v>
      </c>
      <c r="FV240" s="655">
        <f>5</f>
        <v>5</v>
      </c>
      <c r="FW240" s="516"/>
      <c r="FX240" s="655">
        <v>612</v>
      </c>
      <c r="FY240" s="655">
        <f>5</f>
        <v>5</v>
      </c>
      <c r="FZ240" s="516"/>
      <c r="GA240" s="655">
        <v>612</v>
      </c>
      <c r="GB240" s="655">
        <f>5</f>
        <v>5</v>
      </c>
      <c r="GC240" s="516"/>
      <c r="GD240" s="655">
        <v>612</v>
      </c>
      <c r="GE240" s="655">
        <f>5</f>
        <v>5</v>
      </c>
      <c r="GF240" s="516"/>
      <c r="GG240" s="655">
        <v>612</v>
      </c>
      <c r="GH240" s="655">
        <f>5</f>
        <v>5</v>
      </c>
      <c r="GI240" s="516"/>
      <c r="GJ240" s="655">
        <v>612</v>
      </c>
      <c r="GK240" s="655">
        <f>5</f>
        <v>5</v>
      </c>
      <c r="GL240" s="516"/>
      <c r="GM240" s="655">
        <v>612</v>
      </c>
      <c r="GN240" s="655">
        <f>5</f>
        <v>5</v>
      </c>
      <c r="GO240" s="516"/>
      <c r="GP240" s="655">
        <v>612</v>
      </c>
      <c r="GQ240" s="655">
        <f>5</f>
        <v>5</v>
      </c>
      <c r="GR240" s="516"/>
      <c r="GS240" s="655">
        <v>612</v>
      </c>
      <c r="GT240" s="655">
        <f>5</f>
        <v>5</v>
      </c>
      <c r="GU240" s="516"/>
      <c r="GV240" s="655">
        <v>612</v>
      </c>
      <c r="GW240" s="655">
        <f>5</f>
        <v>5</v>
      </c>
      <c r="GX240" s="516"/>
      <c r="GY240" s="655">
        <v>612</v>
      </c>
      <c r="GZ240" s="655">
        <f>5</f>
        <v>5</v>
      </c>
      <c r="HA240" s="516"/>
      <c r="HB240" s="655">
        <v>612</v>
      </c>
      <c r="HC240" s="655">
        <f>5</f>
        <v>5</v>
      </c>
      <c r="HD240" s="516"/>
      <c r="HE240" s="655">
        <v>612</v>
      </c>
      <c r="HF240" s="517">
        <f>5*6</f>
        <v>30</v>
      </c>
      <c r="HG240" s="516"/>
      <c r="HH240" s="655">
        <v>612</v>
      </c>
      <c r="HI240" s="516"/>
      <c r="HJ240" s="655">
        <v>612</v>
      </c>
      <c r="HK240" s="516"/>
      <c r="HL240" s="655">
        <v>612</v>
      </c>
      <c r="HM240" s="516"/>
      <c r="HN240" s="655">
        <v>612</v>
      </c>
      <c r="HO240" s="516"/>
      <c r="HP240" s="517">
        <v>942.63813597572891</v>
      </c>
      <c r="HQ240" s="516"/>
      <c r="HR240" s="567"/>
      <c r="HS240" s="567"/>
      <c r="HT240" s="567"/>
      <c r="HU240" s="567"/>
      <c r="HV240" s="567"/>
      <c r="HW240" s="567"/>
      <c r="HX240" s="587"/>
      <c r="HY240" s="587"/>
      <c r="HZ240" s="587"/>
      <c r="IA240" s="587"/>
      <c r="IB240" s="587"/>
      <c r="IC240" s="587"/>
      <c r="ID240" s="587"/>
      <c r="IE240" s="587"/>
      <c r="IF240" s="587"/>
      <c r="IG240" s="587"/>
      <c r="IH240" s="588"/>
      <c r="II240" s="589"/>
      <c r="IJ240" s="588"/>
      <c r="IK240" s="589"/>
      <c r="IL240" s="588"/>
      <c r="IM240" s="589"/>
      <c r="IN240" s="588"/>
      <c r="IO240" s="589"/>
      <c r="IP240" s="588"/>
      <c r="IQ240" s="589"/>
      <c r="IR240" s="601" t="s">
        <v>2972</v>
      </c>
      <c r="IS240" s="587" t="s">
        <v>77</v>
      </c>
      <c r="IT240" s="611">
        <v>43815</v>
      </c>
      <c r="IU240" s="518">
        <v>43862</v>
      </c>
      <c r="IV240" s="552"/>
      <c r="IW240" s="526">
        <f t="shared" si="27"/>
        <v>47</v>
      </c>
      <c r="IX240" s="621">
        <f t="shared" si="29"/>
        <v>30.906168392646851</v>
      </c>
      <c r="IY240" s="665">
        <v>942.63813597572891</v>
      </c>
      <c r="JA240" s="461"/>
      <c r="JB240" s="666"/>
    </row>
    <row r="241" spans="1:262" s="367" customFormat="1" ht="16.5" customHeight="1" x14ac:dyDescent="0.3">
      <c r="A241" s="526" t="s">
        <v>2743</v>
      </c>
      <c r="B241" s="594" t="s">
        <v>2748</v>
      </c>
      <c r="C241" s="595" t="s">
        <v>2081</v>
      </c>
      <c r="D241" s="596">
        <v>1149</v>
      </c>
      <c r="E241" s="597">
        <v>71</v>
      </c>
      <c r="F241" s="597">
        <v>16</v>
      </c>
      <c r="G241" s="597">
        <v>5</v>
      </c>
      <c r="H241" s="598">
        <v>0</v>
      </c>
      <c r="I241" s="659">
        <v>1235</v>
      </c>
      <c r="J241" s="655">
        <v>5</v>
      </c>
      <c r="K241" s="600"/>
      <c r="L241" s="655">
        <v>1235</v>
      </c>
      <c r="M241" s="655">
        <v>5</v>
      </c>
      <c r="N241" s="600"/>
      <c r="O241" s="655">
        <v>1235</v>
      </c>
      <c r="P241" s="655">
        <v>5</v>
      </c>
      <c r="Q241" s="600"/>
      <c r="R241" s="655">
        <v>1235</v>
      </c>
      <c r="S241" s="655">
        <v>5</v>
      </c>
      <c r="T241" s="600"/>
      <c r="U241" s="655">
        <v>1235</v>
      </c>
      <c r="V241" s="655">
        <v>5</v>
      </c>
      <c r="W241" s="600"/>
      <c r="X241" s="655">
        <v>1235</v>
      </c>
      <c r="Y241" s="655">
        <v>5</v>
      </c>
      <c r="Z241" s="600"/>
      <c r="AA241" s="655">
        <v>1235</v>
      </c>
      <c r="AB241" s="655">
        <v>5</v>
      </c>
      <c r="AC241" s="600"/>
      <c r="AD241" s="655">
        <v>1235</v>
      </c>
      <c r="AE241" s="655">
        <v>5</v>
      </c>
      <c r="AF241" s="600"/>
      <c r="AG241" s="655">
        <v>1235</v>
      </c>
      <c r="AH241" s="655">
        <v>5</v>
      </c>
      <c r="AI241" s="600"/>
      <c r="AJ241" s="655">
        <v>1235</v>
      </c>
      <c r="AK241" s="655">
        <v>5</v>
      </c>
      <c r="AL241" s="600"/>
      <c r="AM241" s="655">
        <v>1235</v>
      </c>
      <c r="AN241" s="655">
        <v>5</v>
      </c>
      <c r="AO241" s="600"/>
      <c r="AP241" s="655">
        <v>1235</v>
      </c>
      <c r="AQ241" s="655">
        <v>5</v>
      </c>
      <c r="AR241" s="600"/>
      <c r="AS241" s="655">
        <v>1235</v>
      </c>
      <c r="AT241" s="655">
        <v>5</v>
      </c>
      <c r="AU241" s="600"/>
      <c r="AV241" s="655">
        <v>1235</v>
      </c>
      <c r="AW241" s="655">
        <v>5</v>
      </c>
      <c r="AX241" s="600"/>
      <c r="AY241" s="655">
        <v>1235</v>
      </c>
      <c r="AZ241" s="655">
        <v>5</v>
      </c>
      <c r="BA241" s="600"/>
      <c r="BB241" s="655">
        <v>1235</v>
      </c>
      <c r="BC241" s="655">
        <v>5</v>
      </c>
      <c r="BD241" s="600"/>
      <c r="BE241" s="655">
        <v>1235</v>
      </c>
      <c r="BF241" s="655">
        <v>5</v>
      </c>
      <c r="BG241" s="600"/>
      <c r="BH241" s="655">
        <v>1235</v>
      </c>
      <c r="BI241" s="655">
        <v>5</v>
      </c>
      <c r="BJ241" s="655"/>
      <c r="BK241" s="655">
        <v>1235</v>
      </c>
      <c r="BL241" s="655">
        <v>5</v>
      </c>
      <c r="BM241" s="655"/>
      <c r="BN241" s="655">
        <v>1235</v>
      </c>
      <c r="BO241" s="655">
        <v>5</v>
      </c>
      <c r="BP241" s="655"/>
      <c r="BQ241" s="655">
        <v>1235</v>
      </c>
      <c r="BR241" s="655">
        <v>5</v>
      </c>
      <c r="BS241" s="655"/>
      <c r="BT241" s="655">
        <v>1235</v>
      </c>
      <c r="BU241" s="655">
        <v>5</v>
      </c>
      <c r="BV241" s="655"/>
      <c r="BW241" s="655">
        <v>1235</v>
      </c>
      <c r="BX241" s="655">
        <v>5</v>
      </c>
      <c r="BY241" s="655"/>
      <c r="BZ241" s="655">
        <v>1235</v>
      </c>
      <c r="CA241" s="655">
        <v>5</v>
      </c>
      <c r="CB241" s="655"/>
      <c r="CC241" s="655">
        <v>1235</v>
      </c>
      <c r="CD241" s="655">
        <v>5</v>
      </c>
      <c r="CE241" s="655"/>
      <c r="CF241" s="655">
        <v>1235</v>
      </c>
      <c r="CG241" s="655">
        <v>5</v>
      </c>
      <c r="CH241" s="655"/>
      <c r="CI241" s="655">
        <v>1235</v>
      </c>
      <c r="CJ241" s="655">
        <v>5</v>
      </c>
      <c r="CK241" s="655"/>
      <c r="CL241" s="655">
        <v>1235</v>
      </c>
      <c r="CM241" s="655">
        <v>5</v>
      </c>
      <c r="CN241" s="655"/>
      <c r="CO241" s="655">
        <v>1235</v>
      </c>
      <c r="CP241" s="655">
        <v>5</v>
      </c>
      <c r="CQ241" s="655"/>
      <c r="CR241" s="655">
        <v>1235</v>
      </c>
      <c r="CS241" s="655">
        <v>5</v>
      </c>
      <c r="CT241" s="655"/>
      <c r="CU241" s="655">
        <v>1235</v>
      </c>
      <c r="CV241" s="655">
        <v>5</v>
      </c>
      <c r="CW241" s="655"/>
      <c r="CX241" s="655">
        <v>1235</v>
      </c>
      <c r="CY241" s="655">
        <v>5</v>
      </c>
      <c r="CZ241" s="655"/>
      <c r="DA241" s="655">
        <v>1235</v>
      </c>
      <c r="DB241" s="655">
        <v>5</v>
      </c>
      <c r="DC241" s="655"/>
      <c r="DD241" s="655">
        <v>1235</v>
      </c>
      <c r="DE241" s="655">
        <v>5</v>
      </c>
      <c r="DF241" s="655"/>
      <c r="DG241" s="655">
        <v>1235</v>
      </c>
      <c r="DH241" s="655">
        <v>5</v>
      </c>
      <c r="DI241" s="655"/>
      <c r="DJ241" s="655">
        <v>1235</v>
      </c>
      <c r="DK241" s="655">
        <v>5</v>
      </c>
      <c r="DL241" s="655"/>
      <c r="DM241" s="655">
        <v>1235</v>
      </c>
      <c r="DN241" s="655">
        <v>5</v>
      </c>
      <c r="DO241" s="655"/>
      <c r="DP241" s="655">
        <v>1235</v>
      </c>
      <c r="DQ241" s="655">
        <v>5</v>
      </c>
      <c r="DR241" s="655"/>
      <c r="DS241" s="655">
        <v>1235</v>
      </c>
      <c r="DT241" s="655">
        <v>5</v>
      </c>
      <c r="DU241" s="655"/>
      <c r="DV241" s="517">
        <f>((1235-1564)*3)+1235</f>
        <v>248</v>
      </c>
      <c r="DW241" s="517">
        <f>((5-36)*3)+5</f>
        <v>-88</v>
      </c>
      <c r="DX241" s="517"/>
      <c r="DY241" s="655">
        <v>1564</v>
      </c>
      <c r="DZ241" s="655">
        <f>36</f>
        <v>36</v>
      </c>
      <c r="EA241" s="516"/>
      <c r="EB241" s="655">
        <v>1564</v>
      </c>
      <c r="EC241" s="655">
        <f>36</f>
        <v>36</v>
      </c>
      <c r="ED241" s="516"/>
      <c r="EE241" s="655">
        <v>1564</v>
      </c>
      <c r="EF241" s="655">
        <f>36</f>
        <v>36</v>
      </c>
      <c r="EG241" s="516"/>
      <c r="EH241" s="655">
        <v>1564</v>
      </c>
      <c r="EI241" s="655">
        <f>36</f>
        <v>36</v>
      </c>
      <c r="EJ241" s="516"/>
      <c r="EK241" s="655">
        <v>1564</v>
      </c>
      <c r="EL241" s="655">
        <f>36</f>
        <v>36</v>
      </c>
      <c r="EM241" s="516"/>
      <c r="EN241" s="655">
        <v>1564</v>
      </c>
      <c r="EO241" s="655">
        <f>36</f>
        <v>36</v>
      </c>
      <c r="EP241" s="516"/>
      <c r="EQ241" s="655">
        <v>1564</v>
      </c>
      <c r="ER241" s="655">
        <f>36</f>
        <v>36</v>
      </c>
      <c r="ES241" s="516"/>
      <c r="ET241" s="655">
        <v>1564</v>
      </c>
      <c r="EU241" s="655">
        <f>36</f>
        <v>36</v>
      </c>
      <c r="EV241" s="516"/>
      <c r="EW241" s="655">
        <v>1564</v>
      </c>
      <c r="EX241" s="655">
        <f>36</f>
        <v>36</v>
      </c>
      <c r="EY241" s="516"/>
      <c r="EZ241" s="655">
        <v>1564</v>
      </c>
      <c r="FA241" s="655">
        <f>36</f>
        <v>36</v>
      </c>
      <c r="FB241" s="516"/>
      <c r="FC241" s="655">
        <v>1564</v>
      </c>
      <c r="FD241" s="655">
        <f>36</f>
        <v>36</v>
      </c>
      <c r="FE241" s="516"/>
      <c r="FF241" s="655">
        <v>1564</v>
      </c>
      <c r="FG241" s="655">
        <f>36</f>
        <v>36</v>
      </c>
      <c r="FH241" s="516"/>
      <c r="FI241" s="655">
        <v>1564</v>
      </c>
      <c r="FJ241" s="655">
        <f>36</f>
        <v>36</v>
      </c>
      <c r="FK241" s="516"/>
      <c r="FL241" s="655">
        <v>1564</v>
      </c>
      <c r="FM241" s="655">
        <f>36</f>
        <v>36</v>
      </c>
      <c r="FN241" s="516"/>
      <c r="FO241" s="655">
        <v>1564</v>
      </c>
      <c r="FP241" s="655">
        <f>36</f>
        <v>36</v>
      </c>
      <c r="FQ241" s="516"/>
      <c r="FR241" s="655">
        <v>1564</v>
      </c>
      <c r="FS241" s="655">
        <f>36</f>
        <v>36</v>
      </c>
      <c r="FT241" s="516"/>
      <c r="FU241" s="655">
        <v>1564</v>
      </c>
      <c r="FV241" s="655">
        <f>36</f>
        <v>36</v>
      </c>
      <c r="FW241" s="516"/>
      <c r="FX241" s="655">
        <v>1564</v>
      </c>
      <c r="FY241" s="655">
        <f>36</f>
        <v>36</v>
      </c>
      <c r="FZ241" s="516"/>
      <c r="GA241" s="655">
        <v>1564</v>
      </c>
      <c r="GB241" s="655">
        <f>36</f>
        <v>36</v>
      </c>
      <c r="GC241" s="516"/>
      <c r="GD241" s="655">
        <v>1564</v>
      </c>
      <c r="GE241" s="655">
        <f>36</f>
        <v>36</v>
      </c>
      <c r="GF241" s="516"/>
      <c r="GG241" s="655">
        <v>1564</v>
      </c>
      <c r="GH241" s="655">
        <f>36</f>
        <v>36</v>
      </c>
      <c r="GI241" s="516"/>
      <c r="GJ241" s="655">
        <v>1564</v>
      </c>
      <c r="GK241" s="655">
        <f>36</f>
        <v>36</v>
      </c>
      <c r="GL241" s="516"/>
      <c r="GM241" s="655">
        <v>1564</v>
      </c>
      <c r="GN241" s="655">
        <f>36</f>
        <v>36</v>
      </c>
      <c r="GO241" s="516"/>
      <c r="GP241" s="655">
        <v>1564</v>
      </c>
      <c r="GQ241" s="655">
        <f>36</f>
        <v>36</v>
      </c>
      <c r="GR241" s="516"/>
      <c r="GS241" s="655">
        <v>1564</v>
      </c>
      <c r="GT241" s="655">
        <f>36</f>
        <v>36</v>
      </c>
      <c r="GU241" s="516"/>
      <c r="GV241" s="655">
        <v>1564</v>
      </c>
      <c r="GW241" s="655">
        <f>36</f>
        <v>36</v>
      </c>
      <c r="GX241" s="516"/>
      <c r="GY241" s="655">
        <v>1564</v>
      </c>
      <c r="GZ241" s="655">
        <f>36</f>
        <v>36</v>
      </c>
      <c r="HA241" s="516"/>
      <c r="HB241" s="655">
        <v>1564</v>
      </c>
      <c r="HC241" s="655">
        <f>36</f>
        <v>36</v>
      </c>
      <c r="HD241" s="516"/>
      <c r="HE241" s="655">
        <v>1564</v>
      </c>
      <c r="HF241" s="517">
        <f>36*6</f>
        <v>216</v>
      </c>
      <c r="HG241" s="516"/>
      <c r="HH241" s="655">
        <v>1564</v>
      </c>
      <c r="HI241" s="516"/>
      <c r="HJ241" s="655">
        <v>1564</v>
      </c>
      <c r="HK241" s="516"/>
      <c r="HL241" s="655">
        <v>1564</v>
      </c>
      <c r="HM241" s="516"/>
      <c r="HN241" s="655">
        <v>1564</v>
      </c>
      <c r="HO241" s="516"/>
      <c r="HP241" s="517">
        <v>2359.5080527818882</v>
      </c>
      <c r="HQ241" s="516"/>
      <c r="HR241" s="567"/>
      <c r="HS241" s="567"/>
      <c r="HT241" s="567"/>
      <c r="HU241" s="567"/>
      <c r="HV241" s="567"/>
      <c r="HW241" s="567"/>
      <c r="HX241" s="587"/>
      <c r="HY241" s="587"/>
      <c r="HZ241" s="587"/>
      <c r="IA241" s="587"/>
      <c r="IB241" s="587"/>
      <c r="IC241" s="587"/>
      <c r="ID241" s="587"/>
      <c r="IE241" s="587"/>
      <c r="IF241" s="587"/>
      <c r="IG241" s="587"/>
      <c r="IH241" s="588"/>
      <c r="II241" s="589"/>
      <c r="IJ241" s="588"/>
      <c r="IK241" s="589"/>
      <c r="IL241" s="588"/>
      <c r="IM241" s="589"/>
      <c r="IN241" s="588"/>
      <c r="IO241" s="589"/>
      <c r="IP241" s="588"/>
      <c r="IQ241" s="589"/>
      <c r="IR241" s="601" t="s">
        <v>3056</v>
      </c>
      <c r="IS241" s="587" t="s">
        <v>77</v>
      </c>
      <c r="IT241" s="611">
        <v>43816</v>
      </c>
      <c r="IU241" s="518">
        <v>43862</v>
      </c>
      <c r="IV241" s="518">
        <v>44774</v>
      </c>
      <c r="IW241" s="526">
        <f t="shared" si="27"/>
        <v>46</v>
      </c>
      <c r="IX241" s="621">
        <f t="shared" si="29"/>
        <v>77.36091976334059</v>
      </c>
      <c r="IY241" s="665">
        <v>2359.5080527818882</v>
      </c>
      <c r="JA241" s="461"/>
      <c r="JB241" s="666"/>
    </row>
    <row r="242" spans="1:262" s="367" customFormat="1" ht="16.5" customHeight="1" x14ac:dyDescent="0.3">
      <c r="A242" s="526" t="s">
        <v>2743</v>
      </c>
      <c r="B242" s="594" t="s">
        <v>2813</v>
      </c>
      <c r="C242" s="671" t="s">
        <v>952</v>
      </c>
      <c r="D242" s="672">
        <v>1148.8564263010346</v>
      </c>
      <c r="E242" s="673">
        <v>70.599999999999994</v>
      </c>
      <c r="F242" s="673">
        <v>38.481784972227125</v>
      </c>
      <c r="G242" s="673">
        <v>4.5</v>
      </c>
      <c r="H242" s="674">
        <v>0</v>
      </c>
      <c r="I242" s="830">
        <v>1258</v>
      </c>
      <c r="J242" s="831">
        <v>5</v>
      </c>
      <c r="K242" s="600"/>
      <c r="L242" s="831">
        <v>1258</v>
      </c>
      <c r="M242" s="831">
        <v>5</v>
      </c>
      <c r="N242" s="600"/>
      <c r="O242" s="831">
        <v>1258</v>
      </c>
      <c r="P242" s="831">
        <v>5</v>
      </c>
      <c r="Q242" s="600"/>
      <c r="R242" s="831">
        <v>1258</v>
      </c>
      <c r="S242" s="831">
        <v>5</v>
      </c>
      <c r="T242" s="600"/>
      <c r="U242" s="831">
        <v>1258</v>
      </c>
      <c r="V242" s="831">
        <v>5</v>
      </c>
      <c r="W242" s="600"/>
      <c r="X242" s="831">
        <v>1258</v>
      </c>
      <c r="Y242" s="831">
        <v>5</v>
      </c>
      <c r="Z242" s="600"/>
      <c r="AA242" s="831">
        <v>1258</v>
      </c>
      <c r="AB242" s="831">
        <v>5</v>
      </c>
      <c r="AC242" s="600"/>
      <c r="AD242" s="831">
        <v>1258</v>
      </c>
      <c r="AE242" s="831">
        <v>5</v>
      </c>
      <c r="AF242" s="600"/>
      <c r="AG242" s="831">
        <v>1258</v>
      </c>
      <c r="AH242" s="831">
        <v>5</v>
      </c>
      <c r="AI242" s="600"/>
      <c r="AJ242" s="831">
        <v>1258</v>
      </c>
      <c r="AK242" s="831">
        <v>5</v>
      </c>
      <c r="AL242" s="600"/>
      <c r="AM242" s="831">
        <v>1258</v>
      </c>
      <c r="AN242" s="831">
        <v>5</v>
      </c>
      <c r="AO242" s="600"/>
      <c r="AP242" s="831">
        <v>1258</v>
      </c>
      <c r="AQ242" s="831">
        <v>5</v>
      </c>
      <c r="AR242" s="600"/>
      <c r="AS242" s="831">
        <v>1258</v>
      </c>
      <c r="AT242" s="831">
        <v>5</v>
      </c>
      <c r="AU242" s="600"/>
      <c r="AV242" s="831">
        <v>1258</v>
      </c>
      <c r="AW242" s="831">
        <v>5</v>
      </c>
      <c r="AX242" s="600"/>
      <c r="AY242" s="831">
        <v>1258</v>
      </c>
      <c r="AZ242" s="831">
        <v>5</v>
      </c>
      <c r="BA242" s="600"/>
      <c r="BB242" s="385">
        <v>1258</v>
      </c>
      <c r="BC242" s="385">
        <v>5</v>
      </c>
      <c r="BD242" s="600"/>
      <c r="BE242" s="385">
        <v>1258</v>
      </c>
      <c r="BF242" s="385">
        <v>5</v>
      </c>
      <c r="BG242" s="600"/>
      <c r="BH242" s="385">
        <v>1258</v>
      </c>
      <c r="BI242" s="385">
        <v>5</v>
      </c>
      <c r="BJ242" s="655"/>
      <c r="BK242" s="385">
        <v>1258</v>
      </c>
      <c r="BL242" s="385">
        <v>5</v>
      </c>
      <c r="BM242" s="655"/>
      <c r="BN242" s="385">
        <v>1258</v>
      </c>
      <c r="BO242" s="385">
        <v>5</v>
      </c>
      <c r="BP242" s="655"/>
      <c r="BQ242" s="385">
        <v>1258</v>
      </c>
      <c r="BR242" s="385">
        <v>5</v>
      </c>
      <c r="BS242" s="655"/>
      <c r="BT242" s="385">
        <v>1258</v>
      </c>
      <c r="BU242" s="385">
        <v>5</v>
      </c>
      <c r="BV242" s="655"/>
      <c r="BW242" s="386">
        <f>(1258/30.5)*27</f>
        <v>1113.639344262295</v>
      </c>
      <c r="BX242" s="386">
        <f>(5/30.5)*27</f>
        <v>4.4262295081967213</v>
      </c>
      <c r="BY242" s="517"/>
      <c r="BZ242" s="655">
        <v>1081</v>
      </c>
      <c r="CA242" s="655"/>
      <c r="CB242" s="516"/>
      <c r="CC242" s="655">
        <v>1081</v>
      </c>
      <c r="CD242" s="655"/>
      <c r="CE242" s="516"/>
      <c r="CF242" s="655">
        <v>1081</v>
      </c>
      <c r="CG242" s="655"/>
      <c r="CH242" s="516"/>
      <c r="CI242" s="655">
        <v>1081</v>
      </c>
      <c r="CJ242" s="655"/>
      <c r="CK242" s="516"/>
      <c r="CL242" s="655">
        <v>1081</v>
      </c>
      <c r="CM242" s="655"/>
      <c r="CN242" s="516"/>
      <c r="CO242" s="655">
        <v>1081</v>
      </c>
      <c r="CP242" s="655"/>
      <c r="CQ242" s="516"/>
      <c r="CR242" s="655">
        <v>1081</v>
      </c>
      <c r="CS242" s="655"/>
      <c r="CT242" s="516"/>
      <c r="CU242" s="655">
        <v>1081</v>
      </c>
      <c r="CV242" s="655"/>
      <c r="CW242" s="516"/>
      <c r="CX242" s="655">
        <v>1081</v>
      </c>
      <c r="CY242" s="655"/>
      <c r="CZ242" s="516"/>
      <c r="DA242" s="655">
        <v>1081</v>
      </c>
      <c r="DB242" s="655"/>
      <c r="DC242" s="516"/>
      <c r="DD242" s="655">
        <v>1081</v>
      </c>
      <c r="DE242" s="655"/>
      <c r="DF242" s="516"/>
      <c r="DG242" s="655">
        <v>1081</v>
      </c>
      <c r="DH242" s="655"/>
      <c r="DI242" s="516"/>
      <c r="DJ242" s="655">
        <v>1081</v>
      </c>
      <c r="DK242" s="655"/>
      <c r="DL242" s="516"/>
      <c r="DM242" s="655">
        <v>1081</v>
      </c>
      <c r="DN242" s="655"/>
      <c r="DO242" s="516"/>
      <c r="DP242" s="655">
        <v>1081</v>
      </c>
      <c r="DQ242" s="655"/>
      <c r="DR242" s="516"/>
      <c r="DS242" s="655">
        <v>1081</v>
      </c>
      <c r="DT242" s="655"/>
      <c r="DU242" s="516"/>
      <c r="DV242" s="655">
        <v>1081</v>
      </c>
      <c r="DW242" s="655"/>
      <c r="DX242" s="516"/>
      <c r="DY242" s="655">
        <v>1081</v>
      </c>
      <c r="DZ242" s="655"/>
      <c r="EA242" s="516"/>
      <c r="EB242" s="655">
        <v>1081</v>
      </c>
      <c r="EC242" s="655"/>
      <c r="ED242" s="516"/>
      <c r="EE242" s="655">
        <v>1081</v>
      </c>
      <c r="EF242" s="655"/>
      <c r="EG242" s="516"/>
      <c r="EH242" s="655">
        <v>1081</v>
      </c>
      <c r="EI242" s="655"/>
      <c r="EJ242" s="516"/>
      <c r="EK242" s="655">
        <v>1081</v>
      </c>
      <c r="EL242" s="655"/>
      <c r="EM242" s="516"/>
      <c r="EN242" s="655">
        <v>1081</v>
      </c>
      <c r="EO242" s="655"/>
      <c r="EP242" s="516"/>
      <c r="EQ242" s="655">
        <v>1081</v>
      </c>
      <c r="ER242" s="655"/>
      <c r="ES242" s="516"/>
      <c r="ET242" s="655">
        <v>1081</v>
      </c>
      <c r="EU242" s="655"/>
      <c r="EV242" s="516"/>
      <c r="EW242" s="655">
        <v>1081</v>
      </c>
      <c r="EX242" s="655"/>
      <c r="EY242" s="516"/>
      <c r="EZ242" s="655">
        <v>1081</v>
      </c>
      <c r="FA242" s="655"/>
      <c r="FB242" s="516"/>
      <c r="FC242" s="655">
        <v>1081</v>
      </c>
      <c r="FD242" s="655"/>
      <c r="FE242" s="516"/>
      <c r="FF242" s="655">
        <v>1081</v>
      </c>
      <c r="FG242" s="655"/>
      <c r="FH242" s="516"/>
      <c r="FI242" s="655">
        <v>1081</v>
      </c>
      <c r="FJ242" s="655"/>
      <c r="FK242" s="516"/>
      <c r="FL242" s="655">
        <v>1081</v>
      </c>
      <c r="FM242" s="655"/>
      <c r="FN242" s="516"/>
      <c r="FO242" s="655">
        <v>1081</v>
      </c>
      <c r="FP242" s="655"/>
      <c r="FQ242" s="516"/>
      <c r="FR242" s="655">
        <v>1081</v>
      </c>
      <c r="FS242" s="655"/>
      <c r="FT242" s="516"/>
      <c r="FU242" s="655">
        <v>1081</v>
      </c>
      <c r="FV242" s="655"/>
      <c r="FW242" s="516"/>
      <c r="FX242" s="655">
        <v>1081</v>
      </c>
      <c r="FY242" s="655"/>
      <c r="FZ242" s="516"/>
      <c r="GA242" s="655">
        <v>1081</v>
      </c>
      <c r="GB242" s="655"/>
      <c r="GC242" s="516"/>
      <c r="GD242" s="655">
        <v>1081</v>
      </c>
      <c r="GE242" s="655"/>
      <c r="GF242" s="516"/>
      <c r="GG242" s="655">
        <v>1081</v>
      </c>
      <c r="GH242" s="655"/>
      <c r="GI242" s="516"/>
      <c r="GJ242" s="655">
        <v>1081</v>
      </c>
      <c r="GK242" s="655"/>
      <c r="GL242" s="516"/>
      <c r="GM242" s="655">
        <v>1081</v>
      </c>
      <c r="GN242" s="655"/>
      <c r="GO242" s="516"/>
      <c r="GP242" s="655">
        <v>1081</v>
      </c>
      <c r="GQ242" s="655"/>
      <c r="GR242" s="516"/>
      <c r="GS242" s="655">
        <v>1081</v>
      </c>
      <c r="GT242" s="655"/>
      <c r="GU242" s="516"/>
      <c r="GV242" s="655">
        <v>1081</v>
      </c>
      <c r="GW242" s="655"/>
      <c r="GX242" s="516"/>
      <c r="GY242" s="655">
        <v>1081</v>
      </c>
      <c r="GZ242" s="655"/>
      <c r="HA242" s="516"/>
      <c r="HB242" s="655">
        <v>1081</v>
      </c>
      <c r="HC242" s="655"/>
      <c r="HD242" s="516"/>
      <c r="HE242" s="655">
        <v>1081</v>
      </c>
      <c r="HF242" s="655"/>
      <c r="HG242" s="516"/>
      <c r="HH242" s="655">
        <v>1081</v>
      </c>
      <c r="HI242" s="516"/>
      <c r="HJ242" s="655">
        <v>1081</v>
      </c>
      <c r="HK242" s="516"/>
      <c r="HL242" s="655">
        <v>1081</v>
      </c>
      <c r="HM242" s="516"/>
      <c r="HN242" s="655">
        <v>1081</v>
      </c>
      <c r="HO242" s="516"/>
      <c r="HP242" s="517">
        <v>1630.7473970441831</v>
      </c>
      <c r="HQ242" s="516"/>
      <c r="HR242" s="567"/>
      <c r="HS242" s="567"/>
      <c r="HT242" s="567"/>
      <c r="HU242" s="567"/>
      <c r="HV242" s="567"/>
      <c r="HW242" s="567"/>
      <c r="HX242" s="587"/>
      <c r="HY242" s="587"/>
      <c r="HZ242" s="587"/>
      <c r="IA242" s="587"/>
      <c r="IB242" s="587"/>
      <c r="IC242" s="587"/>
      <c r="ID242" s="587"/>
      <c r="IE242" s="587"/>
      <c r="IF242" s="587"/>
      <c r="IG242" s="587"/>
      <c r="IH242" s="588"/>
      <c r="II242" s="589"/>
      <c r="IJ242" s="588"/>
      <c r="IK242" s="589"/>
      <c r="IL242" s="588"/>
      <c r="IM242" s="589"/>
      <c r="IN242" s="588"/>
      <c r="IO242" s="589"/>
      <c r="IP242" s="588"/>
      <c r="IQ242" s="589"/>
      <c r="IR242" s="601" t="s">
        <v>3177</v>
      </c>
      <c r="IS242" s="587" t="s">
        <v>77</v>
      </c>
      <c r="IT242" s="611">
        <v>43816</v>
      </c>
      <c r="IU242" s="518">
        <v>43862</v>
      </c>
      <c r="IV242" s="552"/>
      <c r="IW242" s="526">
        <f t="shared" si="27"/>
        <v>46</v>
      </c>
      <c r="IX242" s="621">
        <f t="shared" si="29"/>
        <v>53.467127771940433</v>
      </c>
      <c r="IY242" s="665">
        <v>1630.7473970441831</v>
      </c>
      <c r="JA242" s="461"/>
      <c r="JB242" s="666"/>
    </row>
    <row r="243" spans="1:262" s="367" customFormat="1" ht="16.5" customHeight="1" x14ac:dyDescent="0.3">
      <c r="A243" s="526" t="s">
        <v>2735</v>
      </c>
      <c r="B243" s="594" t="s">
        <v>2867</v>
      </c>
      <c r="C243" s="378" t="s">
        <v>741</v>
      </c>
      <c r="D243" s="882">
        <f>(15*12)+290</f>
        <v>470</v>
      </c>
      <c r="E243" s="868">
        <v>27</v>
      </c>
      <c r="F243" s="868">
        <v>0</v>
      </c>
      <c r="G243" s="868">
        <v>0</v>
      </c>
      <c r="H243" s="606">
        <v>0</v>
      </c>
      <c r="I243" s="664">
        <v>302</v>
      </c>
      <c r="J243" s="600"/>
      <c r="K243" s="600"/>
      <c r="L243" s="516">
        <v>302</v>
      </c>
      <c r="M243" s="600"/>
      <c r="N243" s="600"/>
      <c r="O243" s="516">
        <v>302</v>
      </c>
      <c r="P243" s="600"/>
      <c r="Q243" s="600"/>
      <c r="R243" s="516">
        <v>302</v>
      </c>
      <c r="S243" s="600"/>
      <c r="T243" s="600"/>
      <c r="U243" s="516">
        <v>302</v>
      </c>
      <c r="V243" s="600"/>
      <c r="W243" s="600"/>
      <c r="X243" s="516">
        <v>302</v>
      </c>
      <c r="Y243" s="600"/>
      <c r="Z243" s="600"/>
      <c r="AA243" s="516">
        <v>302</v>
      </c>
      <c r="AB243" s="600"/>
      <c r="AC243" s="600"/>
      <c r="AD243" s="516">
        <v>302</v>
      </c>
      <c r="AE243" s="600"/>
      <c r="AF243" s="600"/>
      <c r="AG243" s="516">
        <v>302</v>
      </c>
      <c r="AH243" s="600"/>
      <c r="AI243" s="600"/>
      <c r="AJ243" s="516">
        <v>302</v>
      </c>
      <c r="AK243" s="600"/>
      <c r="AL243" s="600"/>
      <c r="AM243" s="516">
        <v>302</v>
      </c>
      <c r="AN243" s="600"/>
      <c r="AO243" s="600"/>
      <c r="AP243" s="516">
        <v>302</v>
      </c>
      <c r="AQ243" s="600"/>
      <c r="AR243" s="600"/>
      <c r="AS243" s="679">
        <f>((302-269)/30.5)*31+302</f>
        <v>335.5409836065574</v>
      </c>
      <c r="AT243" s="600"/>
      <c r="AU243" s="600"/>
      <c r="AV243" s="655">
        <v>269</v>
      </c>
      <c r="AW243" s="600"/>
      <c r="AX243" s="600"/>
      <c r="AY243" s="655">
        <v>269</v>
      </c>
      <c r="AZ243" s="600"/>
      <c r="BA243" s="600"/>
      <c r="BB243" s="655">
        <v>269</v>
      </c>
      <c r="BC243" s="600"/>
      <c r="BD243" s="600"/>
      <c r="BE243" s="655">
        <v>269</v>
      </c>
      <c r="BF243" s="600"/>
      <c r="BG243" s="600"/>
      <c r="BH243" s="655">
        <v>269</v>
      </c>
      <c r="BI243" s="655"/>
      <c r="BJ243" s="655"/>
      <c r="BK243" s="655">
        <v>269</v>
      </c>
      <c r="BL243" s="655"/>
      <c r="BM243" s="655"/>
      <c r="BN243" s="655">
        <v>269</v>
      </c>
      <c r="BO243" s="655"/>
      <c r="BP243" s="655"/>
      <c r="BQ243" s="655">
        <v>269</v>
      </c>
      <c r="BR243" s="655"/>
      <c r="BS243" s="655"/>
      <c r="BT243" s="655">
        <v>269</v>
      </c>
      <c r="BU243" s="655"/>
      <c r="BV243" s="655"/>
      <c r="BW243" s="655">
        <v>269</v>
      </c>
      <c r="BX243" s="655"/>
      <c r="BY243" s="655"/>
      <c r="BZ243" s="655">
        <v>269</v>
      </c>
      <c r="CA243" s="655"/>
      <c r="CB243" s="655"/>
      <c r="CC243" s="655">
        <v>269</v>
      </c>
      <c r="CD243" s="655"/>
      <c r="CE243" s="655"/>
      <c r="CF243" s="655">
        <v>269</v>
      </c>
      <c r="CG243" s="655"/>
      <c r="CH243" s="655"/>
      <c r="CI243" s="655">
        <v>269</v>
      </c>
      <c r="CJ243" s="655"/>
      <c r="CK243" s="655"/>
      <c r="CL243" s="655">
        <v>269</v>
      </c>
      <c r="CM243" s="655"/>
      <c r="CN243" s="655"/>
      <c r="CO243" s="655">
        <v>269</v>
      </c>
      <c r="CP243" s="655"/>
      <c r="CQ243" s="655"/>
      <c r="CR243" s="655">
        <v>269</v>
      </c>
      <c r="CS243" s="655"/>
      <c r="CT243" s="655"/>
      <c r="CU243" s="655">
        <v>269</v>
      </c>
      <c r="CV243" s="655"/>
      <c r="CW243" s="655"/>
      <c r="CX243" s="655">
        <v>269</v>
      </c>
      <c r="CY243" s="655"/>
      <c r="CZ243" s="655"/>
      <c r="DA243" s="655">
        <v>269</v>
      </c>
      <c r="DB243" s="655"/>
      <c r="DC243" s="655"/>
      <c r="DD243" s="655">
        <v>269</v>
      </c>
      <c r="DE243" s="655"/>
      <c r="DF243" s="655"/>
      <c r="DG243" s="655">
        <v>269</v>
      </c>
      <c r="DH243" s="655"/>
      <c r="DI243" s="655"/>
      <c r="DJ243" s="655">
        <v>269</v>
      </c>
      <c r="DK243" s="655"/>
      <c r="DL243" s="655"/>
      <c r="DM243" s="655">
        <v>269</v>
      </c>
      <c r="DN243" s="655"/>
      <c r="DO243" s="655"/>
      <c r="DP243" s="655">
        <v>269</v>
      </c>
      <c r="DQ243" s="655"/>
      <c r="DR243" s="655"/>
      <c r="DS243" s="655">
        <v>269</v>
      </c>
      <c r="DT243" s="655"/>
      <c r="DU243" s="655"/>
      <c r="DV243" s="655">
        <v>269</v>
      </c>
      <c r="DW243" s="655"/>
      <c r="DX243" s="655"/>
      <c r="DY243" s="655">
        <v>269</v>
      </c>
      <c r="DZ243" s="655"/>
      <c r="EA243" s="655"/>
      <c r="EB243" s="655">
        <v>269</v>
      </c>
      <c r="EC243" s="655"/>
      <c r="ED243" s="655"/>
      <c r="EE243" s="655">
        <v>269</v>
      </c>
      <c r="EF243" s="655"/>
      <c r="EG243" s="655"/>
      <c r="EH243" s="655">
        <v>269</v>
      </c>
      <c r="EI243" s="655"/>
      <c r="EJ243" s="655"/>
      <c r="EK243" s="655">
        <v>269</v>
      </c>
      <c r="EL243" s="655"/>
      <c r="EM243" s="655"/>
      <c r="EN243" s="655">
        <v>269</v>
      </c>
      <c r="EO243" s="655"/>
      <c r="EP243" s="655"/>
      <c r="EQ243" s="655">
        <v>269</v>
      </c>
      <c r="ER243" s="655"/>
      <c r="ES243" s="655"/>
      <c r="ET243" s="655">
        <v>269</v>
      </c>
      <c r="EU243" s="655"/>
      <c r="EV243" s="655"/>
      <c r="EW243" s="655">
        <v>269</v>
      </c>
      <c r="EX243" s="655"/>
      <c r="EY243" s="655"/>
      <c r="EZ243" s="655">
        <v>269</v>
      </c>
      <c r="FA243" s="655"/>
      <c r="FB243" s="655"/>
      <c r="FC243" s="655">
        <v>269</v>
      </c>
      <c r="FD243" s="655"/>
      <c r="FE243" s="655"/>
      <c r="FF243" s="655">
        <v>269</v>
      </c>
      <c r="FG243" s="655"/>
      <c r="FH243" s="655"/>
      <c r="FI243" s="655">
        <v>269</v>
      </c>
      <c r="FJ243" s="655"/>
      <c r="FK243" s="655"/>
      <c r="FL243" s="655">
        <v>269</v>
      </c>
      <c r="FM243" s="655"/>
      <c r="FN243" s="655"/>
      <c r="FO243" s="655">
        <v>269</v>
      </c>
      <c r="FP243" s="655"/>
      <c r="FQ243" s="655"/>
      <c r="FR243" s="655">
        <v>269</v>
      </c>
      <c r="FS243" s="655"/>
      <c r="FT243" s="655"/>
      <c r="FU243" s="655">
        <v>269</v>
      </c>
      <c r="FV243" s="655"/>
      <c r="FW243" s="655"/>
      <c r="FX243" s="655">
        <v>269</v>
      </c>
      <c r="FY243" s="655"/>
      <c r="FZ243" s="655"/>
      <c r="GA243" s="517">
        <f>((269-225)/30.5)*8+269</f>
        <v>280.5409836065574</v>
      </c>
      <c r="GB243" s="517"/>
      <c r="GC243" s="517"/>
      <c r="GD243" s="655">
        <v>225</v>
      </c>
      <c r="GE243" s="655"/>
      <c r="GF243" s="516"/>
      <c r="GG243" s="655">
        <v>225</v>
      </c>
      <c r="GH243" s="655"/>
      <c r="GI243" s="516"/>
      <c r="GJ243" s="655">
        <v>225</v>
      </c>
      <c r="GK243" s="655"/>
      <c r="GL243" s="516"/>
      <c r="GM243" s="655">
        <v>225</v>
      </c>
      <c r="GN243" s="655"/>
      <c r="GO243" s="516"/>
      <c r="GP243" s="655">
        <v>225</v>
      </c>
      <c r="GQ243" s="655"/>
      <c r="GR243" s="516"/>
      <c r="GS243" s="655">
        <v>225</v>
      </c>
      <c r="GT243" s="655"/>
      <c r="GU243" s="516"/>
      <c r="GV243" s="655">
        <v>225</v>
      </c>
      <c r="GW243" s="655"/>
      <c r="GX243" s="516"/>
      <c r="GY243" s="655">
        <v>225</v>
      </c>
      <c r="GZ243" s="655"/>
      <c r="HA243" s="516"/>
      <c r="HB243" s="655">
        <v>225</v>
      </c>
      <c r="HC243" s="655"/>
      <c r="HD243" s="516"/>
      <c r="HE243" s="655">
        <v>225</v>
      </c>
      <c r="HF243" s="655"/>
      <c r="HG243" s="516"/>
      <c r="HH243" s="655">
        <v>225</v>
      </c>
      <c r="HI243" s="516"/>
      <c r="HJ243" s="655">
        <v>225</v>
      </c>
      <c r="HK243" s="516"/>
      <c r="HL243" s="655">
        <v>225</v>
      </c>
      <c r="HM243" s="516"/>
      <c r="HN243" s="655">
        <v>225</v>
      </c>
      <c r="HO243" s="516"/>
      <c r="HP243" s="517">
        <v>331.96721311475409</v>
      </c>
      <c r="HQ243" s="516"/>
      <c r="HR243" s="567"/>
      <c r="HS243" s="567"/>
      <c r="HT243" s="567"/>
      <c r="HU243" s="567"/>
      <c r="HV243" s="567"/>
      <c r="HW243" s="567"/>
      <c r="HX243" s="587"/>
      <c r="HY243" s="587"/>
      <c r="HZ243" s="587"/>
      <c r="IA243" s="587"/>
      <c r="IB243" s="587"/>
      <c r="IC243" s="587"/>
      <c r="ID243" s="587"/>
      <c r="IE243" s="587"/>
      <c r="IF243" s="587"/>
      <c r="IG243" s="587"/>
      <c r="IH243" s="588"/>
      <c r="II243" s="589"/>
      <c r="IJ243" s="588"/>
      <c r="IK243" s="589"/>
      <c r="IL243" s="588"/>
      <c r="IM243" s="589"/>
      <c r="IN243" s="588"/>
      <c r="IO243" s="589"/>
      <c r="IP243" s="588"/>
      <c r="IQ243" s="589"/>
      <c r="IR243" s="601" t="s">
        <v>2866</v>
      </c>
      <c r="IS243" s="587" t="s">
        <v>77</v>
      </c>
      <c r="IT243" s="611">
        <v>43817</v>
      </c>
      <c r="IU243" s="518">
        <v>43862</v>
      </c>
      <c r="IV243" s="518">
        <v>44279</v>
      </c>
      <c r="IW243" s="526">
        <f t="shared" si="27"/>
        <v>45</v>
      </c>
      <c r="IX243" s="621">
        <f t="shared" si="29"/>
        <v>10.884170921795215</v>
      </c>
      <c r="IY243" s="665">
        <v>331.96721311475409</v>
      </c>
      <c r="JA243" s="461"/>
      <c r="JB243" s="666"/>
    </row>
    <row r="244" spans="1:262" s="367" customFormat="1" ht="16.5" customHeight="1" x14ac:dyDescent="0.3">
      <c r="A244" s="401" t="s">
        <v>3315</v>
      </c>
      <c r="B244" s="402" t="s">
        <v>3315</v>
      </c>
      <c r="C244" s="680" t="s">
        <v>3451</v>
      </c>
      <c r="D244" s="913"/>
      <c r="E244" s="914"/>
      <c r="F244" s="914"/>
      <c r="G244" s="914"/>
      <c r="H244" s="915"/>
      <c r="I244" s="853">
        <v>0</v>
      </c>
      <c r="J244" s="833">
        <v>0</v>
      </c>
      <c r="K244" s="833">
        <v>0</v>
      </c>
      <c r="L244" s="833">
        <v>0</v>
      </c>
      <c r="M244" s="833">
        <v>0</v>
      </c>
      <c r="N244" s="833">
        <v>0</v>
      </c>
      <c r="O244" s="833">
        <v>0</v>
      </c>
      <c r="P244" s="833">
        <v>0</v>
      </c>
      <c r="Q244" s="833">
        <v>0</v>
      </c>
      <c r="R244" s="833">
        <v>0</v>
      </c>
      <c r="S244" s="833">
        <v>0</v>
      </c>
      <c r="T244" s="833">
        <v>0</v>
      </c>
      <c r="U244" s="833">
        <v>0</v>
      </c>
      <c r="V244" s="833">
        <v>0</v>
      </c>
      <c r="W244" s="833">
        <v>0</v>
      </c>
      <c r="X244" s="833">
        <v>0</v>
      </c>
      <c r="Y244" s="833">
        <v>0</v>
      </c>
      <c r="Z244" s="833">
        <v>0</v>
      </c>
      <c r="AA244" s="833">
        <v>0</v>
      </c>
      <c r="AB244" s="833">
        <v>0</v>
      </c>
      <c r="AC244" s="833">
        <v>0</v>
      </c>
      <c r="AD244" s="833">
        <v>0</v>
      </c>
      <c r="AE244" s="833">
        <v>0</v>
      </c>
      <c r="AF244" s="833">
        <v>0</v>
      </c>
      <c r="AG244" s="833">
        <v>0</v>
      </c>
      <c r="AH244" s="833">
        <v>0</v>
      </c>
      <c r="AI244" s="833">
        <v>0</v>
      </c>
      <c r="AJ244" s="833">
        <v>0</v>
      </c>
      <c r="AK244" s="833">
        <v>0</v>
      </c>
      <c r="AL244" s="833">
        <v>0</v>
      </c>
      <c r="AM244" s="833">
        <v>0</v>
      </c>
      <c r="AN244" s="833">
        <v>0</v>
      </c>
      <c r="AO244" s="833">
        <v>0</v>
      </c>
      <c r="AP244" s="833">
        <v>0</v>
      </c>
      <c r="AQ244" s="833">
        <v>0</v>
      </c>
      <c r="AR244" s="833">
        <v>0</v>
      </c>
      <c r="AS244" s="833">
        <v>0</v>
      </c>
      <c r="AT244" s="833">
        <v>0</v>
      </c>
      <c r="AU244" s="833">
        <v>0</v>
      </c>
      <c r="AV244" s="660"/>
      <c r="AW244" s="660"/>
      <c r="AX244" s="660"/>
      <c r="AY244" s="660"/>
      <c r="AZ244" s="660"/>
      <c r="BA244" s="660"/>
      <c r="BB244" s="660"/>
      <c r="BC244" s="660"/>
      <c r="BD244" s="660"/>
      <c r="BE244" s="660"/>
      <c r="BF244" s="660"/>
      <c r="BG244" s="660"/>
      <c r="BH244" s="660"/>
      <c r="BI244" s="660"/>
      <c r="BJ244" s="660"/>
      <c r="BK244" s="660"/>
      <c r="BL244" s="660"/>
      <c r="BM244" s="660"/>
      <c r="BN244" s="660"/>
      <c r="BO244" s="660"/>
      <c r="BP244" s="660"/>
      <c r="BQ244" s="660"/>
      <c r="BR244" s="660"/>
      <c r="BS244" s="660"/>
      <c r="BT244" s="660"/>
      <c r="BU244" s="660"/>
      <c r="BV244" s="660"/>
      <c r="BW244" s="660"/>
      <c r="BX244" s="660"/>
      <c r="BY244" s="660"/>
      <c r="BZ244" s="660"/>
      <c r="CA244" s="660"/>
      <c r="CB244" s="660"/>
      <c r="CC244" s="660"/>
      <c r="CD244" s="660"/>
      <c r="CE244" s="660"/>
      <c r="CF244" s="660"/>
      <c r="CG244" s="660"/>
      <c r="CH244" s="660"/>
      <c r="CI244" s="660"/>
      <c r="CJ244" s="660"/>
      <c r="CK244" s="660"/>
      <c r="CL244" s="660"/>
      <c r="CM244" s="660"/>
      <c r="CN244" s="660"/>
      <c r="CO244" s="660"/>
      <c r="CP244" s="660"/>
      <c r="CQ244" s="660"/>
      <c r="CR244" s="660"/>
      <c r="CS244" s="660"/>
      <c r="CT244" s="660"/>
      <c r="CU244" s="660"/>
      <c r="CV244" s="660"/>
      <c r="CW244" s="660"/>
      <c r="CX244" s="660"/>
      <c r="CY244" s="660"/>
      <c r="CZ244" s="660"/>
      <c r="DA244" s="660"/>
      <c r="DB244" s="660"/>
      <c r="DC244" s="660"/>
      <c r="DD244" s="660"/>
      <c r="DE244" s="660"/>
      <c r="DF244" s="660"/>
      <c r="DG244" s="660"/>
      <c r="DH244" s="660"/>
      <c r="DI244" s="660"/>
      <c r="DJ244" s="660"/>
      <c r="DK244" s="660"/>
      <c r="DL244" s="660"/>
      <c r="DM244" s="660"/>
      <c r="DN244" s="660"/>
      <c r="DO244" s="660"/>
      <c r="DP244" s="660"/>
      <c r="DQ244" s="660"/>
      <c r="DR244" s="660"/>
      <c r="DS244" s="660"/>
      <c r="DT244" s="660"/>
      <c r="DU244" s="660"/>
      <c r="DV244" s="660"/>
      <c r="DW244" s="660"/>
      <c r="DX244" s="660"/>
      <c r="DY244" s="660"/>
      <c r="DZ244" s="660"/>
      <c r="EA244" s="660"/>
      <c r="EB244" s="660"/>
      <c r="EC244" s="660"/>
      <c r="ED244" s="660"/>
      <c r="EE244" s="660"/>
      <c r="EF244" s="660"/>
      <c r="EG244" s="660"/>
      <c r="EH244" s="660"/>
      <c r="EI244" s="660"/>
      <c r="EJ244" s="660"/>
      <c r="EK244" s="660"/>
      <c r="EL244" s="660"/>
      <c r="EM244" s="660"/>
      <c r="EN244" s="655">
        <v>1233</v>
      </c>
      <c r="EO244" s="655">
        <f>5</f>
        <v>5</v>
      </c>
      <c r="EP244" s="516"/>
      <c r="EQ244" s="655">
        <v>1233</v>
      </c>
      <c r="ER244" s="655">
        <f>5</f>
        <v>5</v>
      </c>
      <c r="ES244" s="516"/>
      <c r="ET244" s="655">
        <v>1233</v>
      </c>
      <c r="EU244" s="655">
        <f>5</f>
        <v>5</v>
      </c>
      <c r="EV244" s="516"/>
      <c r="EW244" s="655">
        <v>1233</v>
      </c>
      <c r="EX244" s="655">
        <f>5</f>
        <v>5</v>
      </c>
      <c r="EY244" s="516"/>
      <c r="EZ244" s="655">
        <v>1233</v>
      </c>
      <c r="FA244" s="655">
        <f>5</f>
        <v>5</v>
      </c>
      <c r="FB244" s="516"/>
      <c r="FC244" s="655">
        <v>1233</v>
      </c>
      <c r="FD244" s="655">
        <f>5</f>
        <v>5</v>
      </c>
      <c r="FE244" s="516"/>
      <c r="FF244" s="655">
        <v>1233</v>
      </c>
      <c r="FG244" s="655">
        <f>5</f>
        <v>5</v>
      </c>
      <c r="FH244" s="516"/>
      <c r="FI244" s="655">
        <v>1233</v>
      </c>
      <c r="FJ244" s="655">
        <f>5</f>
        <v>5</v>
      </c>
      <c r="FK244" s="516"/>
      <c r="FL244" s="655">
        <v>1233</v>
      </c>
      <c r="FM244" s="655">
        <f>5</f>
        <v>5</v>
      </c>
      <c r="FN244" s="516"/>
      <c r="FO244" s="655">
        <v>1233</v>
      </c>
      <c r="FP244" s="655">
        <f>5</f>
        <v>5</v>
      </c>
      <c r="FQ244" s="516"/>
      <c r="FR244" s="655">
        <v>1233</v>
      </c>
      <c r="FS244" s="655">
        <f>5</f>
        <v>5</v>
      </c>
      <c r="FT244" s="516"/>
      <c r="FU244" s="655">
        <v>1233</v>
      </c>
      <c r="FV244" s="655">
        <f>5</f>
        <v>5</v>
      </c>
      <c r="FW244" s="516"/>
      <c r="FX244" s="655">
        <v>1233</v>
      </c>
      <c r="FY244" s="655">
        <f>5</f>
        <v>5</v>
      </c>
      <c r="FZ244" s="516"/>
      <c r="GA244" s="655">
        <v>1233</v>
      </c>
      <c r="GB244" s="655">
        <f>5</f>
        <v>5</v>
      </c>
      <c r="GC244" s="516"/>
      <c r="GD244" s="655">
        <v>1233</v>
      </c>
      <c r="GE244" s="655">
        <f>5</f>
        <v>5</v>
      </c>
      <c r="GF244" s="516"/>
      <c r="GG244" s="655">
        <v>1233</v>
      </c>
      <c r="GH244" s="655">
        <f>5</f>
        <v>5</v>
      </c>
      <c r="GI244" s="516"/>
      <c r="GJ244" s="655">
        <v>1233</v>
      </c>
      <c r="GK244" s="655">
        <f>5</f>
        <v>5</v>
      </c>
      <c r="GL244" s="516"/>
      <c r="GM244" s="655">
        <v>1233</v>
      </c>
      <c r="GN244" s="655">
        <f>5</f>
        <v>5</v>
      </c>
      <c r="GO244" s="516"/>
      <c r="GP244" s="655">
        <v>1233</v>
      </c>
      <c r="GQ244" s="655">
        <f>5</f>
        <v>5</v>
      </c>
      <c r="GR244" s="516"/>
      <c r="GS244" s="655">
        <v>1233</v>
      </c>
      <c r="GT244" s="655">
        <f>5</f>
        <v>5</v>
      </c>
      <c r="GU244" s="516"/>
      <c r="GV244" s="655">
        <v>1233</v>
      </c>
      <c r="GW244" s="655">
        <f>5</f>
        <v>5</v>
      </c>
      <c r="GX244" s="516"/>
      <c r="GY244" s="655">
        <v>1233</v>
      </c>
      <c r="GZ244" s="655">
        <f>5</f>
        <v>5</v>
      </c>
      <c r="HA244" s="516"/>
      <c r="HB244" s="655">
        <v>1233</v>
      </c>
      <c r="HC244" s="655">
        <f>5</f>
        <v>5</v>
      </c>
      <c r="HD244" s="516"/>
      <c r="HE244" s="655">
        <v>1233</v>
      </c>
      <c r="HF244" s="517">
        <f>5*6</f>
        <v>30</v>
      </c>
      <c r="HG244" s="516"/>
      <c r="HH244" s="655">
        <v>1233</v>
      </c>
      <c r="HI244" s="516"/>
      <c r="HJ244" s="655">
        <v>1233</v>
      </c>
      <c r="HK244" s="516"/>
      <c r="HL244" s="655">
        <v>1233</v>
      </c>
      <c r="HM244" s="516"/>
      <c r="HN244" s="655">
        <v>1233</v>
      </c>
      <c r="HO244" s="516"/>
      <c r="HP244" s="517">
        <v>1778.5469756473942</v>
      </c>
      <c r="HQ244" s="516"/>
      <c r="HR244" s="567"/>
      <c r="HS244" s="567"/>
      <c r="HT244" s="567"/>
      <c r="HU244" s="567"/>
      <c r="HV244" s="567"/>
      <c r="HW244" s="567"/>
      <c r="HX244" s="587"/>
      <c r="HY244" s="587"/>
      <c r="HZ244" s="587"/>
      <c r="IA244" s="587"/>
      <c r="IB244" s="587"/>
      <c r="IC244" s="587"/>
      <c r="ID244" s="587"/>
      <c r="IE244" s="587"/>
      <c r="IF244" s="587"/>
      <c r="IG244" s="587"/>
      <c r="IH244" s="588"/>
      <c r="II244" s="589"/>
      <c r="IJ244" s="588"/>
      <c r="IK244" s="589"/>
      <c r="IL244" s="588"/>
      <c r="IM244" s="589"/>
      <c r="IN244" s="588"/>
      <c r="IO244" s="589"/>
      <c r="IP244" s="588"/>
      <c r="IQ244" s="589"/>
      <c r="IR244" s="601" t="s">
        <v>3452</v>
      </c>
      <c r="IS244" s="587" t="s">
        <v>77</v>
      </c>
      <c r="IT244" s="611">
        <v>43818</v>
      </c>
      <c r="IU244" s="518">
        <v>43862</v>
      </c>
      <c r="IV244" s="552"/>
      <c r="IW244" s="526">
        <f t="shared" si="27"/>
        <v>44</v>
      </c>
      <c r="IX244" s="621">
        <f t="shared" si="29"/>
        <v>58.313015594996529</v>
      </c>
      <c r="IY244" s="665">
        <v>1778.5469756473942</v>
      </c>
      <c r="JA244" s="461"/>
      <c r="JB244" s="666"/>
    </row>
    <row r="245" spans="1:262" s="367" customFormat="1" ht="16.5" customHeight="1" x14ac:dyDescent="0.3">
      <c r="A245" s="401" t="s">
        <v>3315</v>
      </c>
      <c r="B245" s="402" t="s">
        <v>3315</v>
      </c>
      <c r="C245" s="608" t="s">
        <v>2781</v>
      </c>
      <c r="D245" s="634"/>
      <c r="E245" s="635"/>
      <c r="F245" s="635"/>
      <c r="G245" s="635"/>
      <c r="H245" s="636"/>
      <c r="I245" s="853">
        <v>0</v>
      </c>
      <c r="J245" s="660"/>
      <c r="K245" s="660"/>
      <c r="L245" s="833">
        <v>0</v>
      </c>
      <c r="M245" s="660"/>
      <c r="N245" s="660"/>
      <c r="O245" s="833">
        <v>0</v>
      </c>
      <c r="P245" s="660"/>
      <c r="Q245" s="660"/>
      <c r="R245" s="660">
        <f>(1225/30.5)*7</f>
        <v>281.14754098360658</v>
      </c>
      <c r="S245" s="660"/>
      <c r="T245" s="660"/>
      <c r="U245" s="655">
        <v>1225</v>
      </c>
      <c r="V245" s="600"/>
      <c r="W245" s="600"/>
      <c r="X245" s="655">
        <v>1225</v>
      </c>
      <c r="Y245" s="600"/>
      <c r="Z245" s="600"/>
      <c r="AA245" s="655">
        <v>1225</v>
      </c>
      <c r="AB245" s="600"/>
      <c r="AC245" s="600"/>
      <c r="AD245" s="655">
        <v>1225</v>
      </c>
      <c r="AE245" s="600"/>
      <c r="AF245" s="600"/>
      <c r="AG245" s="655">
        <v>1225</v>
      </c>
      <c r="AH245" s="600"/>
      <c r="AI245" s="600"/>
      <c r="AJ245" s="655">
        <v>1225</v>
      </c>
      <c r="AK245" s="600"/>
      <c r="AL245" s="600"/>
      <c r="AM245" s="655">
        <v>1225</v>
      </c>
      <c r="AN245" s="600"/>
      <c r="AO245" s="600"/>
      <c r="AP245" s="655">
        <v>1225</v>
      </c>
      <c r="AQ245" s="600"/>
      <c r="AR245" s="600"/>
      <c r="AS245" s="655">
        <v>1225</v>
      </c>
      <c r="AT245" s="600"/>
      <c r="AU245" s="600"/>
      <c r="AV245" s="655">
        <v>1225</v>
      </c>
      <c r="AW245" s="600"/>
      <c r="AX245" s="600"/>
      <c r="AY245" s="655">
        <v>1225</v>
      </c>
      <c r="AZ245" s="600"/>
      <c r="BA245" s="600"/>
      <c r="BB245" s="655">
        <v>1225</v>
      </c>
      <c r="BC245" s="600"/>
      <c r="BD245" s="600"/>
      <c r="BE245" s="655">
        <v>1225</v>
      </c>
      <c r="BF245" s="600"/>
      <c r="BG245" s="600"/>
      <c r="BH245" s="655">
        <v>1225</v>
      </c>
      <c r="BI245" s="655"/>
      <c r="BJ245" s="516"/>
      <c r="BK245" s="655">
        <v>1225</v>
      </c>
      <c r="BL245" s="655"/>
      <c r="BM245" s="516"/>
      <c r="BN245" s="655">
        <v>1225</v>
      </c>
      <c r="BO245" s="655"/>
      <c r="BP245" s="516"/>
      <c r="BQ245" s="655">
        <v>1225</v>
      </c>
      <c r="BR245" s="655"/>
      <c r="BS245" s="516"/>
      <c r="BT245" s="655">
        <v>1225</v>
      </c>
      <c r="BU245" s="655"/>
      <c r="BV245" s="516"/>
      <c r="BW245" s="655">
        <v>1225</v>
      </c>
      <c r="BX245" s="655"/>
      <c r="BY245" s="516"/>
      <c r="BZ245" s="655">
        <v>1225</v>
      </c>
      <c r="CA245" s="655"/>
      <c r="CB245" s="516"/>
      <c r="CC245" s="655">
        <v>1225</v>
      </c>
      <c r="CD245" s="655"/>
      <c r="CE245" s="516"/>
      <c r="CF245" s="655">
        <v>1225</v>
      </c>
      <c r="CG245" s="655"/>
      <c r="CH245" s="516"/>
      <c r="CI245" s="655">
        <v>1225</v>
      </c>
      <c r="CJ245" s="655"/>
      <c r="CK245" s="516"/>
      <c r="CL245" s="655">
        <v>1225</v>
      </c>
      <c r="CM245" s="655"/>
      <c r="CN245" s="516"/>
      <c r="CO245" s="655">
        <v>1225</v>
      </c>
      <c r="CP245" s="655"/>
      <c r="CQ245" s="516"/>
      <c r="CR245" s="655">
        <v>1225</v>
      </c>
      <c r="CS245" s="655"/>
      <c r="CT245" s="516"/>
      <c r="CU245" s="655">
        <v>1225</v>
      </c>
      <c r="CV245" s="655"/>
      <c r="CW245" s="516"/>
      <c r="CX245" s="655">
        <v>1225</v>
      </c>
      <c r="CY245" s="655"/>
      <c r="CZ245" s="516"/>
      <c r="DA245" s="655">
        <v>1225</v>
      </c>
      <c r="DB245" s="655"/>
      <c r="DC245" s="516"/>
      <c r="DD245" s="655">
        <v>1225</v>
      </c>
      <c r="DE245" s="655"/>
      <c r="DF245" s="516"/>
      <c r="DG245" s="655">
        <v>1225</v>
      </c>
      <c r="DH245" s="655"/>
      <c r="DI245" s="516"/>
      <c r="DJ245" s="655">
        <v>1225</v>
      </c>
      <c r="DK245" s="655"/>
      <c r="DL245" s="516"/>
      <c r="DM245" s="655">
        <v>1225</v>
      </c>
      <c r="DN245" s="655"/>
      <c r="DO245" s="516"/>
      <c r="DP245" s="655">
        <v>1225</v>
      </c>
      <c r="DQ245" s="655"/>
      <c r="DR245" s="516"/>
      <c r="DS245" s="655">
        <v>1225</v>
      </c>
      <c r="DT245" s="655"/>
      <c r="DU245" s="516"/>
      <c r="DV245" s="655">
        <v>1225</v>
      </c>
      <c r="DW245" s="655"/>
      <c r="DX245" s="516"/>
      <c r="DY245" s="655">
        <v>1225</v>
      </c>
      <c r="DZ245" s="655"/>
      <c r="EA245" s="516"/>
      <c r="EB245" s="655">
        <v>1225</v>
      </c>
      <c r="EC245" s="655"/>
      <c r="ED245" s="516"/>
      <c r="EE245" s="655">
        <v>1225</v>
      </c>
      <c r="EF245" s="655"/>
      <c r="EG245" s="516"/>
      <c r="EH245" s="655">
        <v>1225</v>
      </c>
      <c r="EI245" s="655"/>
      <c r="EJ245" s="516"/>
      <c r="EK245" s="655">
        <v>1225</v>
      </c>
      <c r="EL245" s="655"/>
      <c r="EM245" s="516"/>
      <c r="EN245" s="655">
        <v>1225</v>
      </c>
      <c r="EO245" s="655"/>
      <c r="EP245" s="516"/>
      <c r="EQ245" s="655">
        <v>1225</v>
      </c>
      <c r="ER245" s="655"/>
      <c r="ES245" s="516"/>
      <c r="ET245" s="655">
        <v>1225</v>
      </c>
      <c r="EU245" s="655"/>
      <c r="EV245" s="516"/>
      <c r="EW245" s="655">
        <v>1225</v>
      </c>
      <c r="EX245" s="655"/>
      <c r="EY245" s="516"/>
      <c r="EZ245" s="655">
        <v>1225</v>
      </c>
      <c r="FA245" s="655"/>
      <c r="FB245" s="516"/>
      <c r="FC245" s="655">
        <v>1225</v>
      </c>
      <c r="FD245" s="655"/>
      <c r="FE245" s="516"/>
      <c r="FF245" s="655">
        <v>1225</v>
      </c>
      <c r="FG245" s="655"/>
      <c r="FH245" s="516"/>
      <c r="FI245" s="655">
        <v>1225</v>
      </c>
      <c r="FJ245" s="655"/>
      <c r="FK245" s="516"/>
      <c r="FL245" s="655">
        <v>1225</v>
      </c>
      <c r="FM245" s="655"/>
      <c r="FN245" s="516"/>
      <c r="FO245" s="655">
        <v>1225</v>
      </c>
      <c r="FP245" s="655"/>
      <c r="FQ245" s="516"/>
      <c r="FR245" s="655">
        <v>1225</v>
      </c>
      <c r="FS245" s="655"/>
      <c r="FT245" s="516"/>
      <c r="FU245" s="655">
        <v>1225</v>
      </c>
      <c r="FV245" s="655"/>
      <c r="FW245" s="516"/>
      <c r="FX245" s="655">
        <v>1225</v>
      </c>
      <c r="FY245" s="655"/>
      <c r="FZ245" s="516"/>
      <c r="GA245" s="655">
        <v>1225</v>
      </c>
      <c r="GB245" s="655"/>
      <c r="GC245" s="516"/>
      <c r="GD245" s="655">
        <v>1225</v>
      </c>
      <c r="GE245" s="655"/>
      <c r="GF245" s="516"/>
      <c r="GG245" s="655">
        <v>1225</v>
      </c>
      <c r="GH245" s="655"/>
      <c r="GI245" s="516"/>
      <c r="GJ245" s="655">
        <v>1225</v>
      </c>
      <c r="GK245" s="655"/>
      <c r="GL245" s="516"/>
      <c r="GM245" s="655">
        <v>1225</v>
      </c>
      <c r="GN245" s="655"/>
      <c r="GO245" s="516"/>
      <c r="GP245" s="655">
        <v>1225</v>
      </c>
      <c r="GQ245" s="655"/>
      <c r="GR245" s="516"/>
      <c r="GS245" s="655">
        <v>1225</v>
      </c>
      <c r="GT245" s="655"/>
      <c r="GU245" s="516"/>
      <c r="GV245" s="655">
        <v>1225</v>
      </c>
      <c r="GW245" s="655"/>
      <c r="GX245" s="516"/>
      <c r="GY245" s="655">
        <v>1225</v>
      </c>
      <c r="GZ245" s="655"/>
      <c r="HA245" s="516"/>
      <c r="HB245" s="655">
        <v>1225</v>
      </c>
      <c r="HC245" s="655"/>
      <c r="HD245" s="516"/>
      <c r="HE245" s="655">
        <v>1225</v>
      </c>
      <c r="HF245" s="655"/>
      <c r="HG245" s="516"/>
      <c r="HH245" s="655">
        <v>1225</v>
      </c>
      <c r="HI245" s="516"/>
      <c r="HJ245" s="655">
        <v>1225</v>
      </c>
      <c r="HK245" s="516"/>
      <c r="HL245" s="655">
        <v>1225</v>
      </c>
      <c r="HM245" s="516"/>
      <c r="HN245" s="655">
        <v>1225</v>
      </c>
      <c r="HO245" s="516"/>
      <c r="HP245" s="517">
        <v>1767.5830412211649</v>
      </c>
      <c r="HQ245" s="516"/>
      <c r="HR245" s="567"/>
      <c r="HS245" s="567"/>
      <c r="HT245" s="567"/>
      <c r="HU245" s="567"/>
      <c r="HV245" s="567"/>
      <c r="HW245" s="567"/>
      <c r="HX245" s="587"/>
      <c r="HY245" s="587"/>
      <c r="HZ245" s="587"/>
      <c r="IA245" s="587"/>
      <c r="IB245" s="587"/>
      <c r="IC245" s="587"/>
      <c r="ID245" s="587"/>
      <c r="IE245" s="587"/>
      <c r="IF245" s="587"/>
      <c r="IG245" s="587"/>
      <c r="IH245" s="588"/>
      <c r="II245" s="589"/>
      <c r="IJ245" s="588"/>
      <c r="IK245" s="589"/>
      <c r="IL245" s="588"/>
      <c r="IM245" s="589"/>
      <c r="IN245" s="588"/>
      <c r="IO245" s="589"/>
      <c r="IP245" s="588"/>
      <c r="IQ245" s="589"/>
      <c r="IR245" s="601" t="s">
        <v>2780</v>
      </c>
      <c r="IS245" s="587" t="s">
        <v>77</v>
      </c>
      <c r="IT245" s="611">
        <v>43818</v>
      </c>
      <c r="IU245" s="518">
        <v>43862</v>
      </c>
      <c r="IV245" s="552"/>
      <c r="IW245" s="526">
        <f t="shared" si="27"/>
        <v>44</v>
      </c>
      <c r="IX245" s="621">
        <f t="shared" si="29"/>
        <v>57.953542335120162</v>
      </c>
      <c r="IY245" s="665">
        <v>1767.5830412211649</v>
      </c>
      <c r="JA245" s="461"/>
      <c r="JB245" s="666"/>
    </row>
    <row r="246" spans="1:262" s="367" customFormat="1" ht="16.5" customHeight="1" x14ac:dyDescent="0.3">
      <c r="A246" s="526" t="s">
        <v>2758</v>
      </c>
      <c r="B246" s="411" t="s">
        <v>3755</v>
      </c>
      <c r="C246" s="604" t="s">
        <v>2631</v>
      </c>
      <c r="D246" s="605">
        <v>1288</v>
      </c>
      <c r="E246" s="606">
        <v>30</v>
      </c>
      <c r="F246" s="606">
        <v>8</v>
      </c>
      <c r="G246" s="606">
        <v>0</v>
      </c>
      <c r="H246" s="607">
        <v>0</v>
      </c>
      <c r="I246" s="659">
        <v>1326</v>
      </c>
      <c r="J246" s="600"/>
      <c r="K246" s="600"/>
      <c r="L246" s="655">
        <v>1326</v>
      </c>
      <c r="M246" s="600"/>
      <c r="N246" s="600"/>
      <c r="O246" s="655">
        <v>1326</v>
      </c>
      <c r="P246" s="600"/>
      <c r="Q246" s="600"/>
      <c r="R246" s="655">
        <v>1326</v>
      </c>
      <c r="S246" s="600"/>
      <c r="T246" s="600"/>
      <c r="U246" s="655">
        <v>1326</v>
      </c>
      <c r="V246" s="600"/>
      <c r="W246" s="600"/>
      <c r="X246" s="655">
        <v>1326</v>
      </c>
      <c r="Y246" s="600"/>
      <c r="Z246" s="600"/>
      <c r="AA246" s="655">
        <v>1326</v>
      </c>
      <c r="AB246" s="600"/>
      <c r="AC246" s="600"/>
      <c r="AD246" s="655">
        <v>1326</v>
      </c>
      <c r="AE246" s="600"/>
      <c r="AF246" s="600"/>
      <c r="AG246" s="655">
        <v>1326</v>
      </c>
      <c r="AH246" s="600"/>
      <c r="AI246" s="600"/>
      <c r="AJ246" s="655">
        <v>1326</v>
      </c>
      <c r="AK246" s="600"/>
      <c r="AL246" s="600"/>
      <c r="AM246" s="655">
        <v>1326</v>
      </c>
      <c r="AN246" s="600"/>
      <c r="AO246" s="600"/>
      <c r="AP246" s="655">
        <v>1326</v>
      </c>
      <c r="AQ246" s="600"/>
      <c r="AR246" s="600"/>
      <c r="AS246" s="655">
        <v>1326</v>
      </c>
      <c r="AT246" s="600"/>
      <c r="AU246" s="600"/>
      <c r="AV246" s="655">
        <v>1326</v>
      </c>
      <c r="AW246" s="600"/>
      <c r="AX246" s="600"/>
      <c r="AY246" s="655">
        <v>1326</v>
      </c>
      <c r="AZ246" s="600"/>
      <c r="BA246" s="600"/>
      <c r="BB246" s="655">
        <v>1326</v>
      </c>
      <c r="BC246" s="600"/>
      <c r="BD246" s="600"/>
      <c r="BE246" s="655">
        <v>1326</v>
      </c>
      <c r="BF246" s="600"/>
      <c r="BG246" s="600"/>
      <c r="BH246" s="655">
        <v>1326</v>
      </c>
      <c r="BI246" s="655"/>
      <c r="BJ246" s="516"/>
      <c r="BK246" s="655">
        <v>1326</v>
      </c>
      <c r="BL246" s="655"/>
      <c r="BM246" s="516"/>
      <c r="BN246" s="655">
        <v>1326</v>
      </c>
      <c r="BO246" s="655"/>
      <c r="BP246" s="516"/>
      <c r="BQ246" s="655">
        <v>1326</v>
      </c>
      <c r="BR246" s="655"/>
      <c r="BS246" s="516"/>
      <c r="BT246" s="655">
        <v>1326</v>
      </c>
      <c r="BU246" s="655"/>
      <c r="BV246" s="516"/>
      <c r="BW246" s="655">
        <v>1326</v>
      </c>
      <c r="BX246" s="655"/>
      <c r="BY246" s="516"/>
      <c r="BZ246" s="655">
        <v>1326</v>
      </c>
      <c r="CA246" s="655"/>
      <c r="CB246" s="516"/>
      <c r="CC246" s="655">
        <v>1326</v>
      </c>
      <c r="CD246" s="655"/>
      <c r="CE246" s="516"/>
      <c r="CF246" s="655">
        <v>1326</v>
      </c>
      <c r="CG246" s="655"/>
      <c r="CH246" s="516"/>
      <c r="CI246" s="655">
        <v>1326</v>
      </c>
      <c r="CJ246" s="655"/>
      <c r="CK246" s="516"/>
      <c r="CL246" s="655">
        <v>1326</v>
      </c>
      <c r="CM246" s="655"/>
      <c r="CN246" s="516"/>
      <c r="CO246" s="655">
        <v>1326</v>
      </c>
      <c r="CP246" s="655"/>
      <c r="CQ246" s="516"/>
      <c r="CR246" s="655">
        <v>1326</v>
      </c>
      <c r="CS246" s="655"/>
      <c r="CT246" s="516"/>
      <c r="CU246" s="655">
        <v>1326</v>
      </c>
      <c r="CV246" s="655"/>
      <c r="CW246" s="516"/>
      <c r="CX246" s="655">
        <v>1326</v>
      </c>
      <c r="CY246" s="655"/>
      <c r="CZ246" s="516"/>
      <c r="DA246" s="655">
        <v>1326</v>
      </c>
      <c r="DB246" s="655"/>
      <c r="DC246" s="516"/>
      <c r="DD246" s="655">
        <v>1326</v>
      </c>
      <c r="DE246" s="655"/>
      <c r="DF246" s="516"/>
      <c r="DG246" s="655">
        <v>1326</v>
      </c>
      <c r="DH246" s="655"/>
      <c r="DI246" s="516"/>
      <c r="DJ246" s="655">
        <v>1326</v>
      </c>
      <c r="DK246" s="655"/>
      <c r="DL246" s="516"/>
      <c r="DM246" s="655">
        <v>1326</v>
      </c>
      <c r="DN246" s="655"/>
      <c r="DO246" s="516"/>
      <c r="DP246" s="655">
        <v>1326</v>
      </c>
      <c r="DQ246" s="655"/>
      <c r="DR246" s="516"/>
      <c r="DS246" s="655">
        <v>1326</v>
      </c>
      <c r="DT246" s="655"/>
      <c r="DU246" s="516"/>
      <c r="DV246" s="655">
        <v>1326</v>
      </c>
      <c r="DW246" s="655"/>
      <c r="DX246" s="516"/>
      <c r="DY246" s="655">
        <v>1326</v>
      </c>
      <c r="DZ246" s="655"/>
      <c r="EA246" s="516"/>
      <c r="EB246" s="655">
        <v>1326</v>
      </c>
      <c r="EC246" s="655"/>
      <c r="ED246" s="516"/>
      <c r="EE246" s="655">
        <v>1326</v>
      </c>
      <c r="EF246" s="655"/>
      <c r="EG246" s="516"/>
      <c r="EH246" s="655">
        <v>1326</v>
      </c>
      <c r="EI246" s="655"/>
      <c r="EJ246" s="516"/>
      <c r="EK246" s="655">
        <v>1326</v>
      </c>
      <c r="EL246" s="655"/>
      <c r="EM246" s="516"/>
      <c r="EN246" s="655">
        <v>1326</v>
      </c>
      <c r="EO246" s="655"/>
      <c r="EP246" s="516"/>
      <c r="EQ246" s="655">
        <v>1326</v>
      </c>
      <c r="ER246" s="655"/>
      <c r="ES246" s="516"/>
      <c r="ET246" s="655">
        <v>1326</v>
      </c>
      <c r="EU246" s="655"/>
      <c r="EV246" s="516"/>
      <c r="EW246" s="655">
        <v>1326</v>
      </c>
      <c r="EX246" s="655"/>
      <c r="EY246" s="516"/>
      <c r="EZ246" s="655">
        <v>1326</v>
      </c>
      <c r="FA246" s="655"/>
      <c r="FB246" s="516"/>
      <c r="FC246" s="655">
        <v>1326</v>
      </c>
      <c r="FD246" s="655"/>
      <c r="FE246" s="516"/>
      <c r="FF246" s="655">
        <v>1326</v>
      </c>
      <c r="FG246" s="655"/>
      <c r="FH246" s="516"/>
      <c r="FI246" s="655">
        <v>1326</v>
      </c>
      <c r="FJ246" s="655"/>
      <c r="FK246" s="516"/>
      <c r="FL246" s="655">
        <v>1326</v>
      </c>
      <c r="FM246" s="655"/>
      <c r="FN246" s="516"/>
      <c r="FO246" s="655">
        <v>1326</v>
      </c>
      <c r="FP246" s="655"/>
      <c r="FQ246" s="516"/>
      <c r="FR246" s="655">
        <v>1326</v>
      </c>
      <c r="FS246" s="655"/>
      <c r="FT246" s="516"/>
      <c r="FU246" s="655">
        <v>1326</v>
      </c>
      <c r="FV246" s="655"/>
      <c r="FW246" s="516"/>
      <c r="FX246" s="655">
        <v>1326</v>
      </c>
      <c r="FY246" s="655"/>
      <c r="FZ246" s="516"/>
      <c r="GA246" s="655">
        <v>1326</v>
      </c>
      <c r="GB246" s="655"/>
      <c r="GC246" s="516"/>
      <c r="GD246" s="655">
        <v>1326</v>
      </c>
      <c r="GE246" s="655"/>
      <c r="GF246" s="516"/>
      <c r="GG246" s="655">
        <v>1326</v>
      </c>
      <c r="GH246" s="655"/>
      <c r="GI246" s="516"/>
      <c r="GJ246" s="655">
        <v>1326</v>
      </c>
      <c r="GK246" s="655"/>
      <c r="GL246" s="516"/>
      <c r="GM246" s="655">
        <v>1326</v>
      </c>
      <c r="GN246" s="655"/>
      <c r="GO246" s="516"/>
      <c r="GP246" s="655">
        <v>1326</v>
      </c>
      <c r="GQ246" s="655"/>
      <c r="GR246" s="516"/>
      <c r="GS246" s="655">
        <v>1326</v>
      </c>
      <c r="GT246" s="655"/>
      <c r="GU246" s="516"/>
      <c r="GV246" s="655">
        <v>1326</v>
      </c>
      <c r="GW246" s="655"/>
      <c r="GX246" s="516"/>
      <c r="GY246" s="655">
        <v>1326</v>
      </c>
      <c r="GZ246" s="655"/>
      <c r="HA246" s="516"/>
      <c r="HB246" s="655">
        <v>1326</v>
      </c>
      <c r="HC246" s="655"/>
      <c r="HD246" s="516"/>
      <c r="HE246" s="655">
        <v>1326</v>
      </c>
      <c r="HF246" s="655"/>
      <c r="HG246" s="516"/>
      <c r="HH246" s="655">
        <v>1326</v>
      </c>
      <c r="HI246" s="516"/>
      <c r="HJ246" s="655">
        <v>1326</v>
      </c>
      <c r="HK246" s="516"/>
      <c r="HL246" s="655">
        <v>1326</v>
      </c>
      <c r="HM246" s="516"/>
      <c r="HN246" s="655">
        <v>1326</v>
      </c>
      <c r="HO246" s="516"/>
      <c r="HP246" s="517">
        <v>1912.6467934980315</v>
      </c>
      <c r="HQ246" s="516"/>
      <c r="HR246" s="567"/>
      <c r="HS246" s="567"/>
      <c r="HT246" s="567"/>
      <c r="HU246" s="567"/>
      <c r="HV246" s="567"/>
      <c r="HW246" s="567"/>
      <c r="HX246" s="587"/>
      <c r="HY246" s="587"/>
      <c r="HZ246" s="587"/>
      <c r="IA246" s="587"/>
      <c r="IB246" s="587"/>
      <c r="IC246" s="587"/>
      <c r="ID246" s="587"/>
      <c r="IE246" s="587"/>
      <c r="IF246" s="587"/>
      <c r="IG246" s="587"/>
      <c r="IH246" s="588"/>
      <c r="II246" s="589"/>
      <c r="IJ246" s="588"/>
      <c r="IK246" s="589"/>
      <c r="IL246" s="588"/>
      <c r="IM246" s="589"/>
      <c r="IN246" s="588"/>
      <c r="IO246" s="589"/>
      <c r="IP246" s="588"/>
      <c r="IQ246" s="589"/>
      <c r="IR246" s="601" t="s">
        <v>3178</v>
      </c>
      <c r="IS246" s="587" t="s">
        <v>77</v>
      </c>
      <c r="IT246" s="611">
        <v>43818</v>
      </c>
      <c r="IU246" s="518">
        <v>43862</v>
      </c>
      <c r="IV246" s="552"/>
      <c r="IW246" s="526">
        <f t="shared" si="27"/>
        <v>44</v>
      </c>
      <c r="IX246" s="621">
        <f t="shared" si="29"/>
        <v>62.709730934361687</v>
      </c>
      <c r="IY246" s="665">
        <v>1912.6467934980315</v>
      </c>
      <c r="JA246" s="461"/>
      <c r="JB246" s="666"/>
    </row>
    <row r="247" spans="1:262" s="367" customFormat="1" ht="16.5" customHeight="1" x14ac:dyDescent="0.3">
      <c r="A247" s="526" t="s">
        <v>2758</v>
      </c>
      <c r="B247" s="411" t="s">
        <v>3755</v>
      </c>
      <c r="C247" s="604" t="s">
        <v>2340</v>
      </c>
      <c r="D247" s="605">
        <v>675</v>
      </c>
      <c r="E247" s="606">
        <v>30</v>
      </c>
      <c r="F247" s="606">
        <v>8</v>
      </c>
      <c r="G247" s="606">
        <v>0</v>
      </c>
      <c r="H247" s="607">
        <v>0</v>
      </c>
      <c r="I247" s="659">
        <v>713</v>
      </c>
      <c r="J247" s="600"/>
      <c r="K247" s="600"/>
      <c r="L247" s="655">
        <v>713</v>
      </c>
      <c r="M247" s="600"/>
      <c r="N247" s="600"/>
      <c r="O247" s="655">
        <v>713</v>
      </c>
      <c r="P247" s="600"/>
      <c r="Q247" s="600"/>
      <c r="R247" s="655">
        <v>713</v>
      </c>
      <c r="S247" s="600"/>
      <c r="T247" s="600"/>
      <c r="U247" s="655">
        <v>713</v>
      </c>
      <c r="V247" s="600"/>
      <c r="W247" s="600"/>
      <c r="X247" s="655">
        <v>713</v>
      </c>
      <c r="Y247" s="600"/>
      <c r="Z247" s="600"/>
      <c r="AA247" s="655">
        <v>713</v>
      </c>
      <c r="AB247" s="600"/>
      <c r="AC247" s="600"/>
      <c r="AD247" s="655">
        <v>713</v>
      </c>
      <c r="AE247" s="600"/>
      <c r="AF247" s="600"/>
      <c r="AG247" s="655">
        <v>713</v>
      </c>
      <c r="AH247" s="600"/>
      <c r="AI247" s="600"/>
      <c r="AJ247" s="655">
        <v>713</v>
      </c>
      <c r="AK247" s="600"/>
      <c r="AL247" s="600"/>
      <c r="AM247" s="655">
        <v>713</v>
      </c>
      <c r="AN247" s="600"/>
      <c r="AO247" s="600"/>
      <c r="AP247" s="655">
        <v>713</v>
      </c>
      <c r="AQ247" s="600"/>
      <c r="AR247" s="600"/>
      <c r="AS247" s="655">
        <v>713</v>
      </c>
      <c r="AT247" s="600"/>
      <c r="AU247" s="600"/>
      <c r="AV247" s="655">
        <v>713</v>
      </c>
      <c r="AW247" s="600"/>
      <c r="AX247" s="600"/>
      <c r="AY247" s="655">
        <v>713</v>
      </c>
      <c r="AZ247" s="600"/>
      <c r="BA247" s="600"/>
      <c r="BB247" s="655">
        <v>713</v>
      </c>
      <c r="BC247" s="600"/>
      <c r="BD247" s="600"/>
      <c r="BE247" s="655">
        <v>713</v>
      </c>
      <c r="BF247" s="600"/>
      <c r="BG247" s="600"/>
      <c r="BH247" s="655">
        <v>713</v>
      </c>
      <c r="BI247" s="655"/>
      <c r="BJ247" s="516"/>
      <c r="BK247" s="655">
        <v>713</v>
      </c>
      <c r="BL247" s="655"/>
      <c r="BM247" s="516"/>
      <c r="BN247" s="655">
        <v>713</v>
      </c>
      <c r="BO247" s="655"/>
      <c r="BP247" s="516"/>
      <c r="BQ247" s="655">
        <v>713</v>
      </c>
      <c r="BR247" s="655"/>
      <c r="BS247" s="516"/>
      <c r="BT247" s="655">
        <v>713</v>
      </c>
      <c r="BU247" s="655"/>
      <c r="BV247" s="516"/>
      <c r="BW247" s="655">
        <v>713</v>
      </c>
      <c r="BX247" s="655"/>
      <c r="BY247" s="516"/>
      <c r="BZ247" s="655">
        <v>713</v>
      </c>
      <c r="CA247" s="655"/>
      <c r="CB247" s="516"/>
      <c r="CC247" s="655">
        <v>713</v>
      </c>
      <c r="CD247" s="655"/>
      <c r="CE247" s="516"/>
      <c r="CF247" s="655">
        <v>713</v>
      </c>
      <c r="CG247" s="655"/>
      <c r="CH247" s="516"/>
      <c r="CI247" s="655">
        <v>713</v>
      </c>
      <c r="CJ247" s="655"/>
      <c r="CK247" s="516"/>
      <c r="CL247" s="655">
        <v>713</v>
      </c>
      <c r="CM247" s="655"/>
      <c r="CN247" s="516"/>
      <c r="CO247" s="655">
        <v>713</v>
      </c>
      <c r="CP247" s="655"/>
      <c r="CQ247" s="516"/>
      <c r="CR247" s="655">
        <v>713</v>
      </c>
      <c r="CS247" s="655"/>
      <c r="CT247" s="516"/>
      <c r="CU247" s="655">
        <v>713</v>
      </c>
      <c r="CV247" s="655"/>
      <c r="CW247" s="516"/>
      <c r="CX247" s="655">
        <v>713</v>
      </c>
      <c r="CY247" s="655"/>
      <c r="CZ247" s="516"/>
      <c r="DA247" s="655">
        <v>713</v>
      </c>
      <c r="DB247" s="655"/>
      <c r="DC247" s="516"/>
      <c r="DD247" s="655">
        <v>713</v>
      </c>
      <c r="DE247" s="655"/>
      <c r="DF247" s="516"/>
      <c r="DG247" s="655">
        <v>713</v>
      </c>
      <c r="DH247" s="655"/>
      <c r="DI247" s="516"/>
      <c r="DJ247" s="655">
        <v>713</v>
      </c>
      <c r="DK247" s="655"/>
      <c r="DL247" s="516"/>
      <c r="DM247" s="655">
        <v>713</v>
      </c>
      <c r="DN247" s="655"/>
      <c r="DO247" s="516"/>
      <c r="DP247" s="655">
        <v>713</v>
      </c>
      <c r="DQ247" s="655"/>
      <c r="DR247" s="516"/>
      <c r="DS247" s="655">
        <v>713</v>
      </c>
      <c r="DT247" s="655"/>
      <c r="DU247" s="516"/>
      <c r="DV247" s="655">
        <v>713</v>
      </c>
      <c r="DW247" s="655"/>
      <c r="DX247" s="516"/>
      <c r="DY247" s="655">
        <v>713</v>
      </c>
      <c r="DZ247" s="655"/>
      <c r="EA247" s="516"/>
      <c r="EB247" s="655">
        <v>713</v>
      </c>
      <c r="EC247" s="655"/>
      <c r="ED247" s="516"/>
      <c r="EE247" s="655">
        <v>713</v>
      </c>
      <c r="EF247" s="655"/>
      <c r="EG247" s="516"/>
      <c r="EH247" s="655">
        <v>713</v>
      </c>
      <c r="EI247" s="655"/>
      <c r="EJ247" s="516"/>
      <c r="EK247" s="655">
        <v>713</v>
      </c>
      <c r="EL247" s="655"/>
      <c r="EM247" s="516"/>
      <c r="EN247" s="655">
        <v>713</v>
      </c>
      <c r="EO247" s="655"/>
      <c r="EP247" s="516"/>
      <c r="EQ247" s="655">
        <v>713</v>
      </c>
      <c r="ER247" s="655"/>
      <c r="ES247" s="516"/>
      <c r="ET247" s="655">
        <v>713</v>
      </c>
      <c r="EU247" s="655"/>
      <c r="EV247" s="516"/>
      <c r="EW247" s="655">
        <v>713</v>
      </c>
      <c r="EX247" s="655"/>
      <c r="EY247" s="516"/>
      <c r="EZ247" s="655">
        <v>713</v>
      </c>
      <c r="FA247" s="655"/>
      <c r="FB247" s="516"/>
      <c r="FC247" s="655">
        <v>713</v>
      </c>
      <c r="FD247" s="655"/>
      <c r="FE247" s="516"/>
      <c r="FF247" s="655">
        <v>713</v>
      </c>
      <c r="FG247" s="655"/>
      <c r="FH247" s="516"/>
      <c r="FI247" s="655">
        <v>713</v>
      </c>
      <c r="FJ247" s="655"/>
      <c r="FK247" s="516"/>
      <c r="FL247" s="655">
        <v>713</v>
      </c>
      <c r="FM247" s="655"/>
      <c r="FN247" s="516"/>
      <c r="FO247" s="655">
        <v>713</v>
      </c>
      <c r="FP247" s="655"/>
      <c r="FQ247" s="516"/>
      <c r="FR247" s="655">
        <v>713</v>
      </c>
      <c r="FS247" s="655"/>
      <c r="FT247" s="516"/>
      <c r="FU247" s="655">
        <v>713</v>
      </c>
      <c r="FV247" s="655"/>
      <c r="FW247" s="516"/>
      <c r="FX247" s="655">
        <v>713</v>
      </c>
      <c r="FY247" s="655"/>
      <c r="FZ247" s="516"/>
      <c r="GA247" s="655">
        <v>713</v>
      </c>
      <c r="GB247" s="655"/>
      <c r="GC247" s="516"/>
      <c r="GD247" s="655">
        <v>713</v>
      </c>
      <c r="GE247" s="655"/>
      <c r="GF247" s="516"/>
      <c r="GG247" s="655">
        <v>713</v>
      </c>
      <c r="GH247" s="655"/>
      <c r="GI247" s="516"/>
      <c r="GJ247" s="655">
        <v>713</v>
      </c>
      <c r="GK247" s="655"/>
      <c r="GL247" s="516"/>
      <c r="GM247" s="655">
        <v>713</v>
      </c>
      <c r="GN247" s="655"/>
      <c r="GO247" s="516"/>
      <c r="GP247" s="655">
        <v>713</v>
      </c>
      <c r="GQ247" s="655"/>
      <c r="GR247" s="516"/>
      <c r="GS247" s="655">
        <v>713</v>
      </c>
      <c r="GT247" s="655"/>
      <c r="GU247" s="516"/>
      <c r="GV247" s="655">
        <v>713</v>
      </c>
      <c r="GW247" s="655"/>
      <c r="GX247" s="516"/>
      <c r="GY247" s="655">
        <v>713</v>
      </c>
      <c r="GZ247" s="655"/>
      <c r="HA247" s="516"/>
      <c r="HB247" s="655">
        <v>713</v>
      </c>
      <c r="HC247" s="655"/>
      <c r="HD247" s="516"/>
      <c r="HE247" s="655">
        <v>713</v>
      </c>
      <c r="HF247" s="655"/>
      <c r="HG247" s="516"/>
      <c r="HH247" s="655">
        <v>713</v>
      </c>
      <c r="HI247" s="516"/>
      <c r="HJ247" s="655">
        <v>713</v>
      </c>
      <c r="HK247" s="516"/>
      <c r="HL247" s="655">
        <v>713</v>
      </c>
      <c r="HM247" s="516"/>
      <c r="HN247" s="655">
        <v>713</v>
      </c>
      <c r="HO247" s="516"/>
      <c r="HP247" s="517">
        <v>1028.3189246455727</v>
      </c>
      <c r="HQ247" s="516"/>
      <c r="HR247" s="567"/>
      <c r="HS247" s="567"/>
      <c r="HT247" s="567"/>
      <c r="HU247" s="567"/>
      <c r="HV247" s="567"/>
      <c r="HW247" s="567"/>
      <c r="HX247" s="587"/>
      <c r="HY247" s="587"/>
      <c r="HZ247" s="587"/>
      <c r="IA247" s="587"/>
      <c r="IB247" s="587"/>
      <c r="IC247" s="587"/>
      <c r="ID247" s="587"/>
      <c r="IE247" s="587"/>
      <c r="IF247" s="587"/>
      <c r="IG247" s="587"/>
      <c r="IH247" s="588"/>
      <c r="II247" s="589"/>
      <c r="IJ247" s="588"/>
      <c r="IK247" s="589"/>
      <c r="IL247" s="588"/>
      <c r="IM247" s="589"/>
      <c r="IN247" s="588"/>
      <c r="IO247" s="589"/>
      <c r="IP247" s="588"/>
      <c r="IQ247" s="589"/>
      <c r="IR247" s="601" t="s">
        <v>3174</v>
      </c>
      <c r="IS247" s="587" t="s">
        <v>77</v>
      </c>
      <c r="IT247" s="611">
        <v>43818</v>
      </c>
      <c r="IU247" s="518">
        <v>43862</v>
      </c>
      <c r="IV247" s="552"/>
      <c r="IW247" s="526">
        <f t="shared" si="27"/>
        <v>44</v>
      </c>
      <c r="IX247" s="621">
        <f t="shared" si="29"/>
        <v>33.715374578543369</v>
      </c>
      <c r="IY247" s="665">
        <v>1028.3189246455727</v>
      </c>
      <c r="JA247" s="461"/>
      <c r="JB247" s="666"/>
    </row>
    <row r="248" spans="1:262" s="367" customFormat="1" ht="16.5" customHeight="1" x14ac:dyDescent="0.3">
      <c r="A248" s="526" t="s">
        <v>2758</v>
      </c>
      <c r="B248" s="603" t="s">
        <v>2813</v>
      </c>
      <c r="C248" s="604" t="s">
        <v>2275</v>
      </c>
      <c r="D248" s="605">
        <v>1649</v>
      </c>
      <c r="E248" s="606">
        <v>44</v>
      </c>
      <c r="F248" s="606">
        <v>40</v>
      </c>
      <c r="G248" s="606">
        <v>5</v>
      </c>
      <c r="H248" s="607">
        <v>66</v>
      </c>
      <c r="I248" s="664">
        <v>1733</v>
      </c>
      <c r="J248" s="600">
        <v>5</v>
      </c>
      <c r="K248" s="600">
        <v>66</v>
      </c>
      <c r="L248" s="516">
        <v>1733</v>
      </c>
      <c r="M248" s="600">
        <v>5</v>
      </c>
      <c r="N248" s="600">
        <v>66</v>
      </c>
      <c r="O248" s="516">
        <v>1733</v>
      </c>
      <c r="P248" s="600">
        <v>5</v>
      </c>
      <c r="Q248" s="600">
        <v>66</v>
      </c>
      <c r="R248" s="516">
        <v>1733</v>
      </c>
      <c r="S248" s="600">
        <v>5</v>
      </c>
      <c r="T248" s="600">
        <v>66</v>
      </c>
      <c r="U248" s="516">
        <v>1733</v>
      </c>
      <c r="V248" s="600">
        <v>5</v>
      </c>
      <c r="W248" s="600">
        <v>66</v>
      </c>
      <c r="X248" s="516">
        <v>1733</v>
      </c>
      <c r="Y248" s="600">
        <v>5</v>
      </c>
      <c r="Z248" s="600">
        <v>66</v>
      </c>
      <c r="AA248" s="516">
        <v>1733</v>
      </c>
      <c r="AB248" s="600">
        <v>5</v>
      </c>
      <c r="AC248" s="600">
        <v>66</v>
      </c>
      <c r="AD248" s="516">
        <v>1733</v>
      </c>
      <c r="AE248" s="600">
        <v>5</v>
      </c>
      <c r="AF248" s="600">
        <v>66</v>
      </c>
      <c r="AG248" s="516">
        <v>1733</v>
      </c>
      <c r="AH248" s="600">
        <v>5</v>
      </c>
      <c r="AI248" s="600">
        <v>66</v>
      </c>
      <c r="AJ248" s="516">
        <v>1733</v>
      </c>
      <c r="AK248" s="600">
        <v>5</v>
      </c>
      <c r="AL248" s="600">
        <v>66</v>
      </c>
      <c r="AM248" s="516">
        <v>1733</v>
      </c>
      <c r="AN248" s="600">
        <v>5</v>
      </c>
      <c r="AO248" s="600">
        <v>66</v>
      </c>
      <c r="AP248" s="516">
        <v>1733</v>
      </c>
      <c r="AQ248" s="600">
        <v>5</v>
      </c>
      <c r="AR248" s="600">
        <v>66</v>
      </c>
      <c r="AS248" s="516">
        <v>1733</v>
      </c>
      <c r="AT248" s="600">
        <v>5</v>
      </c>
      <c r="AU248" s="600">
        <v>66</v>
      </c>
      <c r="AV248" s="516">
        <v>1733</v>
      </c>
      <c r="AW248" s="600">
        <v>5</v>
      </c>
      <c r="AX248" s="600">
        <v>66</v>
      </c>
      <c r="AY248" s="516">
        <v>1733</v>
      </c>
      <c r="AZ248" s="600">
        <v>5</v>
      </c>
      <c r="BA248" s="600">
        <v>66</v>
      </c>
      <c r="BB248" s="516">
        <v>1733</v>
      </c>
      <c r="BC248" s="600">
        <v>5</v>
      </c>
      <c r="BD248" s="600">
        <v>66</v>
      </c>
      <c r="BE248" s="516">
        <v>1733</v>
      </c>
      <c r="BF248" s="600">
        <v>5</v>
      </c>
      <c r="BG248" s="600">
        <v>66</v>
      </c>
      <c r="BH248" s="516">
        <v>1733</v>
      </c>
      <c r="BI248" s="384">
        <v>5</v>
      </c>
      <c r="BJ248" s="384">
        <v>66</v>
      </c>
      <c r="BK248" s="516">
        <v>1733</v>
      </c>
      <c r="BL248" s="384">
        <v>5</v>
      </c>
      <c r="BM248" s="384">
        <v>66</v>
      </c>
      <c r="BN248" s="516">
        <v>1733</v>
      </c>
      <c r="BO248" s="384">
        <v>5</v>
      </c>
      <c r="BP248" s="384">
        <v>66</v>
      </c>
      <c r="BQ248" s="517">
        <f>((1733-974)/30.5)*2+1733</f>
        <v>1782.7704918032787</v>
      </c>
      <c r="BR248" s="386">
        <f>(5/30.5)*2+5</f>
        <v>5.3278688524590168</v>
      </c>
      <c r="BS248" s="386">
        <f>(66/30.5)*2+66</f>
        <v>70.327868852459019</v>
      </c>
      <c r="BT248" s="655">
        <v>974</v>
      </c>
      <c r="BU248" s="655"/>
      <c r="BV248" s="516"/>
      <c r="BW248" s="655">
        <v>974</v>
      </c>
      <c r="BX248" s="655"/>
      <c r="BY248" s="516"/>
      <c r="BZ248" s="655">
        <v>974</v>
      </c>
      <c r="CA248" s="655"/>
      <c r="CB248" s="516"/>
      <c r="CC248" s="655">
        <v>974</v>
      </c>
      <c r="CD248" s="655"/>
      <c r="CE248" s="516"/>
      <c r="CF248" s="655">
        <v>974</v>
      </c>
      <c r="CG248" s="655"/>
      <c r="CH248" s="516"/>
      <c r="CI248" s="655">
        <v>974</v>
      </c>
      <c r="CJ248" s="655"/>
      <c r="CK248" s="516"/>
      <c r="CL248" s="655">
        <v>974</v>
      </c>
      <c r="CM248" s="655"/>
      <c r="CN248" s="516"/>
      <c r="CO248" s="655">
        <v>974</v>
      </c>
      <c r="CP248" s="655"/>
      <c r="CQ248" s="516"/>
      <c r="CR248" s="655">
        <v>974</v>
      </c>
      <c r="CS248" s="655"/>
      <c r="CT248" s="516"/>
      <c r="CU248" s="655">
        <v>974</v>
      </c>
      <c r="CV248" s="655"/>
      <c r="CW248" s="516"/>
      <c r="CX248" s="655">
        <v>974</v>
      </c>
      <c r="CY248" s="655"/>
      <c r="CZ248" s="516"/>
      <c r="DA248" s="655">
        <v>974</v>
      </c>
      <c r="DB248" s="655"/>
      <c r="DC248" s="516"/>
      <c r="DD248" s="655">
        <v>974</v>
      </c>
      <c r="DE248" s="655"/>
      <c r="DF248" s="516"/>
      <c r="DG248" s="655">
        <v>974</v>
      </c>
      <c r="DH248" s="655"/>
      <c r="DI248" s="516"/>
      <c r="DJ248" s="655">
        <v>974</v>
      </c>
      <c r="DK248" s="655"/>
      <c r="DL248" s="516"/>
      <c r="DM248" s="655">
        <v>974</v>
      </c>
      <c r="DN248" s="655"/>
      <c r="DO248" s="516"/>
      <c r="DP248" s="655">
        <v>974</v>
      </c>
      <c r="DQ248" s="655"/>
      <c r="DR248" s="516"/>
      <c r="DS248" s="655">
        <v>974</v>
      </c>
      <c r="DT248" s="655"/>
      <c r="DU248" s="516"/>
      <c r="DV248" s="655">
        <v>974</v>
      </c>
      <c r="DW248" s="655"/>
      <c r="DX248" s="516"/>
      <c r="DY248" s="655">
        <v>974</v>
      </c>
      <c r="DZ248" s="655"/>
      <c r="EA248" s="516"/>
      <c r="EB248" s="655">
        <v>974</v>
      </c>
      <c r="EC248" s="655"/>
      <c r="ED248" s="516"/>
      <c r="EE248" s="655">
        <v>974</v>
      </c>
      <c r="EF248" s="655"/>
      <c r="EG248" s="516"/>
      <c r="EH248" s="655">
        <v>974</v>
      </c>
      <c r="EI248" s="655"/>
      <c r="EJ248" s="516"/>
      <c r="EK248" s="655">
        <v>974</v>
      </c>
      <c r="EL248" s="655"/>
      <c r="EM248" s="516"/>
      <c r="EN248" s="655">
        <v>974</v>
      </c>
      <c r="EO248" s="655"/>
      <c r="EP248" s="516"/>
      <c r="EQ248" s="655">
        <v>974</v>
      </c>
      <c r="ER248" s="655"/>
      <c r="ES248" s="516"/>
      <c r="ET248" s="655">
        <v>974</v>
      </c>
      <c r="EU248" s="655"/>
      <c r="EV248" s="516"/>
      <c r="EW248" s="655">
        <v>974</v>
      </c>
      <c r="EX248" s="655"/>
      <c r="EY248" s="516"/>
      <c r="EZ248" s="655">
        <v>974</v>
      </c>
      <c r="FA248" s="655"/>
      <c r="FB248" s="516"/>
      <c r="FC248" s="655">
        <v>974</v>
      </c>
      <c r="FD248" s="655"/>
      <c r="FE248" s="516"/>
      <c r="FF248" s="655">
        <v>974</v>
      </c>
      <c r="FG248" s="655"/>
      <c r="FH248" s="516"/>
      <c r="FI248" s="655">
        <v>974</v>
      </c>
      <c r="FJ248" s="655"/>
      <c r="FK248" s="516"/>
      <c r="FL248" s="655">
        <v>974</v>
      </c>
      <c r="FM248" s="655"/>
      <c r="FN248" s="516"/>
      <c r="FO248" s="655">
        <v>974</v>
      </c>
      <c r="FP248" s="655"/>
      <c r="FQ248" s="516"/>
      <c r="FR248" s="655">
        <v>974</v>
      </c>
      <c r="FS248" s="655"/>
      <c r="FT248" s="516"/>
      <c r="FU248" s="655">
        <v>974</v>
      </c>
      <c r="FV248" s="655"/>
      <c r="FW248" s="516"/>
      <c r="FX248" s="655">
        <v>974</v>
      </c>
      <c r="FY248" s="655"/>
      <c r="FZ248" s="516"/>
      <c r="GA248" s="655">
        <v>974</v>
      </c>
      <c r="GB248" s="655"/>
      <c r="GC248" s="516"/>
      <c r="GD248" s="655">
        <v>974</v>
      </c>
      <c r="GE248" s="655"/>
      <c r="GF248" s="516"/>
      <c r="GG248" s="655">
        <v>974</v>
      </c>
      <c r="GH248" s="655"/>
      <c r="GI248" s="516"/>
      <c r="GJ248" s="655">
        <v>974</v>
      </c>
      <c r="GK248" s="655"/>
      <c r="GL248" s="516"/>
      <c r="GM248" s="655">
        <v>974</v>
      </c>
      <c r="GN248" s="655"/>
      <c r="GO248" s="516"/>
      <c r="GP248" s="655">
        <v>974</v>
      </c>
      <c r="GQ248" s="655"/>
      <c r="GR248" s="516"/>
      <c r="GS248" s="655">
        <v>974</v>
      </c>
      <c r="GT248" s="655"/>
      <c r="GU248" s="516"/>
      <c r="GV248" s="655">
        <v>974</v>
      </c>
      <c r="GW248" s="655"/>
      <c r="GX248" s="516"/>
      <c r="GY248" s="655">
        <v>974</v>
      </c>
      <c r="GZ248" s="655"/>
      <c r="HA248" s="516"/>
      <c r="HB248" s="655">
        <v>974</v>
      </c>
      <c r="HC248" s="655"/>
      <c r="HD248" s="516"/>
      <c r="HE248" s="655">
        <v>974</v>
      </c>
      <c r="HF248" s="655"/>
      <c r="HG248" s="516"/>
      <c r="HH248" s="655">
        <v>974</v>
      </c>
      <c r="HI248" s="516"/>
      <c r="HJ248" s="655">
        <v>974</v>
      </c>
      <c r="HK248" s="516"/>
      <c r="HL248" s="655">
        <v>974</v>
      </c>
      <c r="HM248" s="516"/>
      <c r="HN248" s="655">
        <v>974</v>
      </c>
      <c r="HO248" s="516"/>
      <c r="HP248" s="517">
        <v>1373.1803278688526</v>
      </c>
      <c r="HQ248" s="516"/>
      <c r="HR248" s="567"/>
      <c r="HS248" s="567"/>
      <c r="HT248" s="567"/>
      <c r="HU248" s="567"/>
      <c r="HV248" s="567"/>
      <c r="HW248" s="567"/>
      <c r="HX248" s="587"/>
      <c r="HY248" s="587"/>
      <c r="HZ248" s="587"/>
      <c r="IA248" s="587"/>
      <c r="IB248" s="587"/>
      <c r="IC248" s="587"/>
      <c r="ID248" s="587"/>
      <c r="IE248" s="587"/>
      <c r="IF248" s="587"/>
      <c r="IG248" s="587"/>
      <c r="IH248" s="588"/>
      <c r="II248" s="589"/>
      <c r="IJ248" s="588"/>
      <c r="IK248" s="589"/>
      <c r="IL248" s="588"/>
      <c r="IM248" s="589"/>
      <c r="IN248" s="588"/>
      <c r="IO248" s="589"/>
      <c r="IP248" s="588"/>
      <c r="IQ248" s="589"/>
      <c r="IR248" s="601" t="s">
        <v>3453</v>
      </c>
      <c r="IS248" s="587" t="s">
        <v>77</v>
      </c>
      <c r="IT248" s="611">
        <v>43819</v>
      </c>
      <c r="IU248" s="518">
        <v>43862</v>
      </c>
      <c r="IV248" s="552"/>
      <c r="IW248" s="526">
        <f t="shared" si="27"/>
        <v>43</v>
      </c>
      <c r="IX248" s="621">
        <f t="shared" si="29"/>
        <v>45.022305831765657</v>
      </c>
      <c r="IY248" s="665">
        <v>1373.1803278688526</v>
      </c>
      <c r="JA248" s="461"/>
      <c r="JB248" s="666"/>
    </row>
    <row r="249" spans="1:262" s="367" customFormat="1" ht="16.5" customHeight="1" x14ac:dyDescent="0.3">
      <c r="A249" s="526" t="s">
        <v>2739</v>
      </c>
      <c r="B249" s="603" t="s">
        <v>2909</v>
      </c>
      <c r="C249" s="604" t="s">
        <v>2590</v>
      </c>
      <c r="D249" s="605">
        <v>1988</v>
      </c>
      <c r="E249" s="606">
        <v>44</v>
      </c>
      <c r="F249" s="606">
        <v>32</v>
      </c>
      <c r="G249" s="606">
        <v>0</v>
      </c>
      <c r="H249" s="607">
        <v>0</v>
      </c>
      <c r="I249" s="659">
        <v>2064</v>
      </c>
      <c r="J249" s="600"/>
      <c r="K249" s="600"/>
      <c r="L249" s="655">
        <v>2064</v>
      </c>
      <c r="M249" s="600"/>
      <c r="N249" s="600"/>
      <c r="O249" s="655">
        <v>2064</v>
      </c>
      <c r="P249" s="600"/>
      <c r="Q249" s="600"/>
      <c r="R249" s="655">
        <v>2064</v>
      </c>
      <c r="S249" s="600"/>
      <c r="T249" s="600"/>
      <c r="U249" s="655">
        <v>2064</v>
      </c>
      <c r="V249" s="600"/>
      <c r="W249" s="600"/>
      <c r="X249" s="655">
        <v>2064</v>
      </c>
      <c r="Y249" s="600"/>
      <c r="Z249" s="600"/>
      <c r="AA249" s="655">
        <v>2064</v>
      </c>
      <c r="AB249" s="600"/>
      <c r="AC249" s="600"/>
      <c r="AD249" s="655">
        <v>2064</v>
      </c>
      <c r="AE249" s="600"/>
      <c r="AF249" s="600"/>
      <c r="AG249" s="655">
        <v>2064</v>
      </c>
      <c r="AH249" s="600"/>
      <c r="AI249" s="600"/>
      <c r="AJ249" s="655">
        <v>2064</v>
      </c>
      <c r="AK249" s="600"/>
      <c r="AL249" s="600"/>
      <c r="AM249" s="655">
        <v>2064</v>
      </c>
      <c r="AN249" s="600"/>
      <c r="AO249" s="600"/>
      <c r="AP249" s="655">
        <v>2064</v>
      </c>
      <c r="AQ249" s="600"/>
      <c r="AR249" s="600"/>
      <c r="AS249" s="655">
        <v>2064</v>
      </c>
      <c r="AT249" s="600"/>
      <c r="AU249" s="600"/>
      <c r="AV249" s="655">
        <v>2064</v>
      </c>
      <c r="AW249" s="600"/>
      <c r="AX249" s="600"/>
      <c r="AY249" s="655">
        <v>2064</v>
      </c>
      <c r="AZ249" s="600"/>
      <c r="BA249" s="600"/>
      <c r="BB249" s="655">
        <v>2064</v>
      </c>
      <c r="BC249" s="600"/>
      <c r="BD249" s="600"/>
      <c r="BE249" s="655">
        <v>2064</v>
      </c>
      <c r="BF249" s="600"/>
      <c r="BG249" s="600"/>
      <c r="BH249" s="655">
        <v>2064</v>
      </c>
      <c r="BI249" s="655"/>
      <c r="BJ249" s="516"/>
      <c r="BK249" s="655">
        <v>2064</v>
      </c>
      <c r="BL249" s="655"/>
      <c r="BM249" s="516"/>
      <c r="BN249" s="655">
        <v>2064</v>
      </c>
      <c r="BO249" s="655"/>
      <c r="BP249" s="516"/>
      <c r="BQ249" s="655">
        <v>2064</v>
      </c>
      <c r="BR249" s="655"/>
      <c r="BS249" s="516"/>
      <c r="BT249" s="655">
        <v>2064</v>
      </c>
      <c r="BU249" s="655"/>
      <c r="BV249" s="516"/>
      <c r="BW249" s="655">
        <v>2064</v>
      </c>
      <c r="BX249" s="655"/>
      <c r="BY249" s="516"/>
      <c r="BZ249" s="655">
        <v>2064</v>
      </c>
      <c r="CA249" s="655"/>
      <c r="CB249" s="516"/>
      <c r="CC249" s="655">
        <v>2064</v>
      </c>
      <c r="CD249" s="655"/>
      <c r="CE249" s="516"/>
      <c r="CF249" s="655">
        <v>2064</v>
      </c>
      <c r="CG249" s="655"/>
      <c r="CH249" s="516"/>
      <c r="CI249" s="655">
        <v>2064</v>
      </c>
      <c r="CJ249" s="655"/>
      <c r="CK249" s="516"/>
      <c r="CL249" s="655">
        <v>2064</v>
      </c>
      <c r="CM249" s="655"/>
      <c r="CN249" s="516"/>
      <c r="CO249" s="655">
        <v>2064</v>
      </c>
      <c r="CP249" s="655"/>
      <c r="CQ249" s="516"/>
      <c r="CR249" s="655">
        <v>2064</v>
      </c>
      <c r="CS249" s="655"/>
      <c r="CT249" s="516"/>
      <c r="CU249" s="655">
        <v>2064</v>
      </c>
      <c r="CV249" s="655"/>
      <c r="CW249" s="516"/>
      <c r="CX249" s="655">
        <v>2064</v>
      </c>
      <c r="CY249" s="655"/>
      <c r="CZ249" s="516"/>
      <c r="DA249" s="655">
        <v>2064</v>
      </c>
      <c r="DB249" s="655"/>
      <c r="DC249" s="516"/>
      <c r="DD249" s="655">
        <v>2064</v>
      </c>
      <c r="DE249" s="655"/>
      <c r="DF249" s="516"/>
      <c r="DG249" s="655">
        <v>2064</v>
      </c>
      <c r="DH249" s="655"/>
      <c r="DI249" s="516"/>
      <c r="DJ249" s="655">
        <v>2064</v>
      </c>
      <c r="DK249" s="655"/>
      <c r="DL249" s="516"/>
      <c r="DM249" s="655">
        <v>2064</v>
      </c>
      <c r="DN249" s="655"/>
      <c r="DO249" s="516"/>
      <c r="DP249" s="655">
        <v>2064</v>
      </c>
      <c r="DQ249" s="655"/>
      <c r="DR249" s="516"/>
      <c r="DS249" s="655">
        <v>2064</v>
      </c>
      <c r="DT249" s="655"/>
      <c r="DU249" s="516"/>
      <c r="DV249" s="655">
        <v>2064</v>
      </c>
      <c r="DW249" s="655"/>
      <c r="DX249" s="516"/>
      <c r="DY249" s="655">
        <v>2064</v>
      </c>
      <c r="DZ249" s="655"/>
      <c r="EA249" s="516"/>
      <c r="EB249" s="655">
        <v>2064</v>
      </c>
      <c r="EC249" s="655"/>
      <c r="ED249" s="516"/>
      <c r="EE249" s="655">
        <v>2064</v>
      </c>
      <c r="EF249" s="655"/>
      <c r="EG249" s="516"/>
      <c r="EH249" s="655">
        <v>2064</v>
      </c>
      <c r="EI249" s="655"/>
      <c r="EJ249" s="516"/>
      <c r="EK249" s="655">
        <v>2064</v>
      </c>
      <c r="EL249" s="655"/>
      <c r="EM249" s="516"/>
      <c r="EN249" s="655">
        <v>2064</v>
      </c>
      <c r="EO249" s="655"/>
      <c r="EP249" s="516"/>
      <c r="EQ249" s="655">
        <v>2064</v>
      </c>
      <c r="ER249" s="655"/>
      <c r="ES249" s="516"/>
      <c r="ET249" s="655">
        <v>2064</v>
      </c>
      <c r="EU249" s="655"/>
      <c r="EV249" s="516"/>
      <c r="EW249" s="655">
        <v>2064</v>
      </c>
      <c r="EX249" s="655"/>
      <c r="EY249" s="516"/>
      <c r="EZ249" s="655">
        <v>2064</v>
      </c>
      <c r="FA249" s="655"/>
      <c r="FB249" s="516"/>
      <c r="FC249" s="655">
        <v>2064</v>
      </c>
      <c r="FD249" s="655"/>
      <c r="FE249" s="516"/>
      <c r="FF249" s="655">
        <v>2064</v>
      </c>
      <c r="FG249" s="655"/>
      <c r="FH249" s="516"/>
      <c r="FI249" s="655">
        <v>2064</v>
      </c>
      <c r="FJ249" s="655"/>
      <c r="FK249" s="516"/>
      <c r="FL249" s="655">
        <v>2064</v>
      </c>
      <c r="FM249" s="655"/>
      <c r="FN249" s="516"/>
      <c r="FO249" s="655">
        <v>2064</v>
      </c>
      <c r="FP249" s="655"/>
      <c r="FQ249" s="516"/>
      <c r="FR249" s="655">
        <v>2064</v>
      </c>
      <c r="FS249" s="655"/>
      <c r="FT249" s="516"/>
      <c r="FU249" s="655">
        <v>2064</v>
      </c>
      <c r="FV249" s="655"/>
      <c r="FW249" s="516"/>
      <c r="FX249" s="655">
        <v>2064</v>
      </c>
      <c r="FY249" s="655"/>
      <c r="FZ249" s="516"/>
      <c r="GA249" s="655">
        <v>2064</v>
      </c>
      <c r="GB249" s="655"/>
      <c r="GC249" s="516"/>
      <c r="GD249" s="655">
        <v>2064</v>
      </c>
      <c r="GE249" s="655"/>
      <c r="GF249" s="516"/>
      <c r="GG249" s="655">
        <v>2064</v>
      </c>
      <c r="GH249" s="655"/>
      <c r="GI249" s="516"/>
      <c r="GJ249" s="655">
        <v>2064</v>
      </c>
      <c r="GK249" s="655"/>
      <c r="GL249" s="516"/>
      <c r="GM249" s="655">
        <v>2064</v>
      </c>
      <c r="GN249" s="655"/>
      <c r="GO249" s="516"/>
      <c r="GP249" s="655">
        <v>2064</v>
      </c>
      <c r="GQ249" s="655"/>
      <c r="GR249" s="516"/>
      <c r="GS249" s="655">
        <v>2064</v>
      </c>
      <c r="GT249" s="655"/>
      <c r="GU249" s="516"/>
      <c r="GV249" s="655">
        <v>2064</v>
      </c>
      <c r="GW249" s="655"/>
      <c r="GX249" s="516"/>
      <c r="GY249" s="655">
        <v>2064</v>
      </c>
      <c r="GZ249" s="655"/>
      <c r="HA249" s="516"/>
      <c r="HB249" s="655">
        <v>2064</v>
      </c>
      <c r="HC249" s="655"/>
      <c r="HD249" s="516"/>
      <c r="HE249" s="655">
        <v>2064</v>
      </c>
      <c r="HF249" s="655"/>
      <c r="HG249" s="516"/>
      <c r="HH249" s="655">
        <v>2064</v>
      </c>
      <c r="HI249" s="516"/>
      <c r="HJ249" s="655">
        <v>2064</v>
      </c>
      <c r="HK249" s="516"/>
      <c r="HL249" s="655">
        <v>2064</v>
      </c>
      <c r="HM249" s="516"/>
      <c r="HN249" s="655">
        <v>2064</v>
      </c>
      <c r="HO249" s="516"/>
      <c r="HP249" s="517">
        <v>2639.2131147540981</v>
      </c>
      <c r="HQ249" s="516"/>
      <c r="HR249" s="567"/>
      <c r="HS249" s="567"/>
      <c r="HT249" s="567"/>
      <c r="HU249" s="567"/>
      <c r="HV249" s="567"/>
      <c r="HW249" s="567"/>
      <c r="HX249" s="587"/>
      <c r="HY249" s="587"/>
      <c r="HZ249" s="587"/>
      <c r="IA249" s="587"/>
      <c r="IB249" s="587"/>
      <c r="IC249" s="587"/>
      <c r="ID249" s="587"/>
      <c r="IE249" s="587"/>
      <c r="IF249" s="587"/>
      <c r="IG249" s="587"/>
      <c r="IH249" s="588"/>
      <c r="II249" s="589"/>
      <c r="IJ249" s="588"/>
      <c r="IK249" s="589"/>
      <c r="IL249" s="588"/>
      <c r="IM249" s="589"/>
      <c r="IN249" s="588"/>
      <c r="IO249" s="589"/>
      <c r="IP249" s="588"/>
      <c r="IQ249" s="589"/>
      <c r="IR249" s="620" t="s">
        <v>3454</v>
      </c>
      <c r="IS249" s="587" t="s">
        <v>77</v>
      </c>
      <c r="IT249" s="611">
        <v>43823</v>
      </c>
      <c r="IU249" s="518">
        <v>43862</v>
      </c>
      <c r="IV249" s="552"/>
      <c r="IW249" s="526">
        <f t="shared" si="27"/>
        <v>39</v>
      </c>
      <c r="IX249" s="621">
        <f t="shared" si="29"/>
        <v>86.531577532921247</v>
      </c>
      <c r="IY249" s="665">
        <v>2639.2131147540981</v>
      </c>
      <c r="JA249" s="461"/>
      <c r="JB249" s="653"/>
    </row>
    <row r="250" spans="1:262" s="367" customFormat="1" ht="16.5" customHeight="1" x14ac:dyDescent="0.3">
      <c r="A250" s="526" t="s">
        <v>2758</v>
      </c>
      <c r="B250" s="603" t="s">
        <v>2867</v>
      </c>
      <c r="C250" s="996" t="s">
        <v>2357</v>
      </c>
      <c r="D250" s="605">
        <v>290</v>
      </c>
      <c r="E250" s="606">
        <v>12</v>
      </c>
      <c r="F250" s="606">
        <v>18</v>
      </c>
      <c r="G250" s="606">
        <v>0</v>
      </c>
      <c r="H250" s="607">
        <v>0</v>
      </c>
      <c r="I250" s="841">
        <v>320</v>
      </c>
      <c r="J250" s="600"/>
      <c r="K250" s="600"/>
      <c r="L250" s="835">
        <v>320</v>
      </c>
      <c r="M250" s="600"/>
      <c r="N250" s="600"/>
      <c r="O250" s="835">
        <v>320</v>
      </c>
      <c r="P250" s="600"/>
      <c r="Q250" s="600"/>
      <c r="R250" s="835">
        <v>320</v>
      </c>
      <c r="S250" s="600"/>
      <c r="T250" s="600"/>
      <c r="U250" s="835">
        <v>320</v>
      </c>
      <c r="V250" s="600"/>
      <c r="W250" s="600"/>
      <c r="X250" s="835">
        <v>320</v>
      </c>
      <c r="Y250" s="600"/>
      <c r="Z250" s="600"/>
      <c r="AA250" s="835">
        <v>320</v>
      </c>
      <c r="AB250" s="600"/>
      <c r="AC250" s="600"/>
      <c r="AD250" s="835">
        <v>320</v>
      </c>
      <c r="AE250" s="600"/>
      <c r="AF250" s="600"/>
      <c r="AG250" s="835">
        <v>320</v>
      </c>
      <c r="AH250" s="600"/>
      <c r="AI250" s="600"/>
      <c r="AJ250" s="835">
        <v>320</v>
      </c>
      <c r="AK250" s="600"/>
      <c r="AL250" s="600"/>
      <c r="AM250" s="835">
        <v>320</v>
      </c>
      <c r="AN250" s="600"/>
      <c r="AO250" s="600"/>
      <c r="AP250" s="835">
        <v>320</v>
      </c>
      <c r="AQ250" s="600"/>
      <c r="AR250" s="600"/>
      <c r="AS250" s="881">
        <f>((320-272)/30.5)*31+320</f>
        <v>368.78688524590166</v>
      </c>
      <c r="AT250" s="600"/>
      <c r="AU250" s="600"/>
      <c r="AV250" s="597">
        <v>272</v>
      </c>
      <c r="AW250" s="600"/>
      <c r="AX250" s="600"/>
      <c r="AY250" s="597">
        <v>272</v>
      </c>
      <c r="AZ250" s="600"/>
      <c r="BA250" s="600"/>
      <c r="BB250" s="647">
        <v>272</v>
      </c>
      <c r="BC250" s="600"/>
      <c r="BD250" s="600"/>
      <c r="BE250" s="647">
        <v>272</v>
      </c>
      <c r="BF250" s="600"/>
      <c r="BG250" s="600"/>
      <c r="BH250" s="647">
        <v>272</v>
      </c>
      <c r="BI250" s="647"/>
      <c r="BJ250" s="655"/>
      <c r="BK250" s="647">
        <v>272</v>
      </c>
      <c r="BL250" s="647"/>
      <c r="BM250" s="655"/>
      <c r="BN250" s="647">
        <v>272</v>
      </c>
      <c r="BO250" s="647"/>
      <c r="BP250" s="655"/>
      <c r="BQ250" s="647">
        <v>272</v>
      </c>
      <c r="BR250" s="647"/>
      <c r="BS250" s="655"/>
      <c r="BT250" s="647">
        <v>272</v>
      </c>
      <c r="BU250" s="647"/>
      <c r="BV250" s="655"/>
      <c r="BW250" s="647">
        <v>272</v>
      </c>
      <c r="BX250" s="647"/>
      <c r="BY250" s="655"/>
      <c r="BZ250" s="647">
        <v>272</v>
      </c>
      <c r="CA250" s="647"/>
      <c r="CB250" s="655"/>
      <c r="CC250" s="647">
        <v>272</v>
      </c>
      <c r="CD250" s="647"/>
      <c r="CE250" s="655"/>
      <c r="CF250" s="647">
        <v>272</v>
      </c>
      <c r="CG250" s="647"/>
      <c r="CH250" s="655"/>
      <c r="CI250" s="647">
        <v>272</v>
      </c>
      <c r="CJ250" s="647"/>
      <c r="CK250" s="655"/>
      <c r="CL250" s="647">
        <v>272</v>
      </c>
      <c r="CM250" s="647"/>
      <c r="CN250" s="655"/>
      <c r="CO250" s="647">
        <v>272</v>
      </c>
      <c r="CP250" s="647"/>
      <c r="CQ250" s="655"/>
      <c r="CR250" s="647">
        <v>272</v>
      </c>
      <c r="CS250" s="647"/>
      <c r="CT250" s="655"/>
      <c r="CU250" s="647">
        <v>272</v>
      </c>
      <c r="CV250" s="647"/>
      <c r="CW250" s="655"/>
      <c r="CX250" s="647">
        <v>272</v>
      </c>
      <c r="CY250" s="647"/>
      <c r="CZ250" s="655"/>
      <c r="DA250" s="647">
        <v>272</v>
      </c>
      <c r="DB250" s="647"/>
      <c r="DC250" s="655"/>
      <c r="DD250" s="647">
        <v>272</v>
      </c>
      <c r="DE250" s="647"/>
      <c r="DF250" s="655"/>
      <c r="DG250" s="647">
        <v>272</v>
      </c>
      <c r="DH250" s="647"/>
      <c r="DI250" s="655"/>
      <c r="DJ250" s="647">
        <v>272</v>
      </c>
      <c r="DK250" s="647"/>
      <c r="DL250" s="655"/>
      <c r="DM250" s="647">
        <v>272</v>
      </c>
      <c r="DN250" s="647"/>
      <c r="DO250" s="655"/>
      <c r="DP250" s="647">
        <v>272</v>
      </c>
      <c r="DQ250" s="647"/>
      <c r="DR250" s="655"/>
      <c r="DS250" s="647">
        <v>272</v>
      </c>
      <c r="DT250" s="647"/>
      <c r="DU250" s="655"/>
      <c r="DV250" s="647">
        <v>272</v>
      </c>
      <c r="DW250" s="647"/>
      <c r="DX250" s="655"/>
      <c r="DY250" s="647">
        <v>272</v>
      </c>
      <c r="DZ250" s="647"/>
      <c r="EA250" s="655"/>
      <c r="EB250" s="647">
        <v>272</v>
      </c>
      <c r="EC250" s="647"/>
      <c r="ED250" s="655"/>
      <c r="EE250" s="647">
        <v>272</v>
      </c>
      <c r="EF250" s="647"/>
      <c r="EG250" s="655"/>
      <c r="EH250" s="647">
        <v>272</v>
      </c>
      <c r="EI250" s="647"/>
      <c r="EJ250" s="655"/>
      <c r="EK250" s="647">
        <v>272</v>
      </c>
      <c r="EL250" s="647"/>
      <c r="EM250" s="655"/>
      <c r="EN250" s="647">
        <v>272</v>
      </c>
      <c r="EO250" s="647"/>
      <c r="EP250" s="655"/>
      <c r="EQ250" s="647">
        <v>272</v>
      </c>
      <c r="ER250" s="647"/>
      <c r="ES250" s="655"/>
      <c r="ET250" s="647">
        <v>272</v>
      </c>
      <c r="EU250" s="647"/>
      <c r="EV250" s="655"/>
      <c r="EW250" s="647">
        <v>272</v>
      </c>
      <c r="EX250" s="647"/>
      <c r="EY250" s="655"/>
      <c r="EZ250" s="647">
        <v>272</v>
      </c>
      <c r="FA250" s="647"/>
      <c r="FB250" s="655"/>
      <c r="FC250" s="647">
        <v>272</v>
      </c>
      <c r="FD250" s="647"/>
      <c r="FE250" s="655"/>
      <c r="FF250" s="647">
        <v>272</v>
      </c>
      <c r="FG250" s="647"/>
      <c r="FH250" s="655"/>
      <c r="FI250" s="647">
        <v>272</v>
      </c>
      <c r="FJ250" s="647"/>
      <c r="FK250" s="655"/>
      <c r="FL250" s="647">
        <v>272</v>
      </c>
      <c r="FM250" s="647"/>
      <c r="FN250" s="655"/>
      <c r="FO250" s="647">
        <v>272</v>
      </c>
      <c r="FP250" s="647"/>
      <c r="FQ250" s="655"/>
      <c r="FR250" s="647">
        <v>272</v>
      </c>
      <c r="FS250" s="647"/>
      <c r="FT250" s="655"/>
      <c r="FU250" s="647">
        <v>272</v>
      </c>
      <c r="FV250" s="647"/>
      <c r="FW250" s="655"/>
      <c r="FX250" s="647">
        <v>272</v>
      </c>
      <c r="FY250" s="647"/>
      <c r="FZ250" s="655"/>
      <c r="GA250" s="647">
        <v>272</v>
      </c>
      <c r="GB250" s="647"/>
      <c r="GC250" s="655"/>
      <c r="GD250" s="647">
        <v>272</v>
      </c>
      <c r="GE250" s="647"/>
      <c r="GF250" s="655"/>
      <c r="GG250" s="647">
        <v>272</v>
      </c>
      <c r="GH250" s="647"/>
      <c r="GI250" s="655"/>
      <c r="GJ250" s="647">
        <v>272</v>
      </c>
      <c r="GK250" s="647"/>
      <c r="GL250" s="655"/>
      <c r="GM250" s="647">
        <v>272</v>
      </c>
      <c r="GN250" s="647"/>
      <c r="GO250" s="655"/>
      <c r="GP250" s="647">
        <v>272</v>
      </c>
      <c r="GQ250" s="647"/>
      <c r="GR250" s="655"/>
      <c r="GS250" s="647">
        <v>272</v>
      </c>
      <c r="GT250" s="647"/>
      <c r="GU250" s="655"/>
      <c r="GV250" s="647">
        <v>272</v>
      </c>
      <c r="GW250" s="647"/>
      <c r="GX250" s="655"/>
      <c r="GY250" s="647">
        <v>272</v>
      </c>
      <c r="GZ250" s="647"/>
      <c r="HA250" s="655"/>
      <c r="HB250" s="647">
        <v>272</v>
      </c>
      <c r="HC250" s="647"/>
      <c r="HD250" s="655"/>
      <c r="HE250" s="647">
        <v>272</v>
      </c>
      <c r="HF250" s="647"/>
      <c r="HG250" s="655"/>
      <c r="HH250" s="647">
        <v>272</v>
      </c>
      <c r="HI250" s="655"/>
      <c r="HJ250" s="647">
        <v>272</v>
      </c>
      <c r="HK250" s="655"/>
      <c r="HL250" s="647">
        <v>272</v>
      </c>
      <c r="HM250" s="655"/>
      <c r="HN250" s="648">
        <v>410.22950819672127</v>
      </c>
      <c r="HO250" s="517"/>
      <c r="HP250" s="567"/>
      <c r="HQ250" s="567"/>
      <c r="HR250" s="567"/>
      <c r="HS250" s="567"/>
      <c r="HT250" s="567"/>
      <c r="HU250" s="567"/>
      <c r="HV250" s="567"/>
      <c r="HW250" s="567"/>
      <c r="HX250" s="587"/>
      <c r="HY250" s="587"/>
      <c r="HZ250" s="587"/>
      <c r="IA250" s="587"/>
      <c r="IB250" s="587"/>
      <c r="IC250" s="587"/>
      <c r="ID250" s="587"/>
      <c r="IE250" s="587"/>
      <c r="IF250" s="587"/>
      <c r="IG250" s="587"/>
      <c r="IH250" s="588"/>
      <c r="II250" s="589"/>
      <c r="IJ250" s="588"/>
      <c r="IK250" s="589"/>
      <c r="IL250" s="588"/>
      <c r="IM250" s="589"/>
      <c r="IN250" s="588"/>
      <c r="IO250" s="589"/>
      <c r="IP250" s="588"/>
      <c r="IQ250" s="589"/>
      <c r="IR250" s="622" t="s">
        <v>2988</v>
      </c>
      <c r="IS250" s="587" t="s">
        <v>77</v>
      </c>
      <c r="IT250" s="611">
        <v>43845</v>
      </c>
      <c r="IU250" s="518">
        <v>43891</v>
      </c>
      <c r="IV250" s="552"/>
      <c r="IW250" s="526">
        <f t="shared" si="27"/>
        <v>46</v>
      </c>
      <c r="IX250" s="621">
        <f t="shared" ref="IX250:IX261" si="30">HN250/30.5</f>
        <v>13.450147809728566</v>
      </c>
      <c r="IY250" s="621">
        <v>410.22950819672127</v>
      </c>
    </row>
    <row r="251" spans="1:262" s="367" customFormat="1" ht="16.5" customHeight="1" x14ac:dyDescent="0.3">
      <c r="A251" s="526" t="s">
        <v>2758</v>
      </c>
      <c r="B251" s="603" t="s">
        <v>2867</v>
      </c>
      <c r="C251" s="604" t="s">
        <v>2346</v>
      </c>
      <c r="D251" s="605">
        <v>290</v>
      </c>
      <c r="E251" s="606">
        <v>12</v>
      </c>
      <c r="F251" s="606">
        <v>0</v>
      </c>
      <c r="G251" s="606">
        <v>0</v>
      </c>
      <c r="H251" s="607">
        <v>0</v>
      </c>
      <c r="I251" s="844">
        <v>302</v>
      </c>
      <c r="J251" s="600"/>
      <c r="K251" s="600"/>
      <c r="L251" s="606">
        <v>302</v>
      </c>
      <c r="M251" s="600"/>
      <c r="N251" s="600"/>
      <c r="O251" s="606">
        <v>302</v>
      </c>
      <c r="P251" s="600"/>
      <c r="Q251" s="600"/>
      <c r="R251" s="606">
        <v>302</v>
      </c>
      <c r="S251" s="600"/>
      <c r="T251" s="600"/>
      <c r="U251" s="606">
        <v>302</v>
      </c>
      <c r="V251" s="600"/>
      <c r="W251" s="600"/>
      <c r="X251" s="606">
        <v>302</v>
      </c>
      <c r="Y251" s="600"/>
      <c r="Z251" s="600"/>
      <c r="AA251" s="606">
        <v>302</v>
      </c>
      <c r="AB251" s="600"/>
      <c r="AC251" s="600"/>
      <c r="AD251" s="606">
        <v>302</v>
      </c>
      <c r="AE251" s="600"/>
      <c r="AF251" s="600"/>
      <c r="AG251" s="606">
        <v>302</v>
      </c>
      <c r="AH251" s="600"/>
      <c r="AI251" s="600"/>
      <c r="AJ251" s="606">
        <v>302</v>
      </c>
      <c r="AK251" s="600"/>
      <c r="AL251" s="600"/>
      <c r="AM251" s="606">
        <v>302</v>
      </c>
      <c r="AN251" s="600"/>
      <c r="AO251" s="600"/>
      <c r="AP251" s="606">
        <v>302</v>
      </c>
      <c r="AQ251" s="600"/>
      <c r="AR251" s="600"/>
      <c r="AS251" s="909">
        <f>((320-254)/30.5)*31+302</f>
        <v>369.08196721311475</v>
      </c>
      <c r="AT251" s="600"/>
      <c r="AU251" s="600"/>
      <c r="AV251" s="597">
        <v>254</v>
      </c>
      <c r="AW251" s="600"/>
      <c r="AX251" s="600"/>
      <c r="AY251" s="597">
        <v>254</v>
      </c>
      <c r="AZ251" s="600"/>
      <c r="BA251" s="600"/>
      <c r="BB251" s="647">
        <v>254</v>
      </c>
      <c r="BC251" s="600"/>
      <c r="BD251" s="600"/>
      <c r="BE251" s="647">
        <v>254</v>
      </c>
      <c r="BF251" s="600"/>
      <c r="BG251" s="600"/>
      <c r="BH251" s="647">
        <v>254</v>
      </c>
      <c r="BI251" s="647"/>
      <c r="BJ251" s="655"/>
      <c r="BK251" s="647">
        <v>254</v>
      </c>
      <c r="BL251" s="647"/>
      <c r="BM251" s="655"/>
      <c r="BN251" s="647">
        <v>254</v>
      </c>
      <c r="BO251" s="647"/>
      <c r="BP251" s="655"/>
      <c r="BQ251" s="647">
        <v>254</v>
      </c>
      <c r="BR251" s="647"/>
      <c r="BS251" s="655"/>
      <c r="BT251" s="647">
        <v>254</v>
      </c>
      <c r="BU251" s="647"/>
      <c r="BV251" s="655"/>
      <c r="BW251" s="647">
        <v>254</v>
      </c>
      <c r="BX251" s="647"/>
      <c r="BY251" s="655"/>
      <c r="BZ251" s="647">
        <v>254</v>
      </c>
      <c r="CA251" s="647"/>
      <c r="CB251" s="655"/>
      <c r="CC251" s="647">
        <v>254</v>
      </c>
      <c r="CD251" s="647"/>
      <c r="CE251" s="655"/>
      <c r="CF251" s="647">
        <v>254</v>
      </c>
      <c r="CG251" s="647"/>
      <c r="CH251" s="655"/>
      <c r="CI251" s="647">
        <v>254</v>
      </c>
      <c r="CJ251" s="647"/>
      <c r="CK251" s="655"/>
      <c r="CL251" s="647">
        <v>254</v>
      </c>
      <c r="CM251" s="647"/>
      <c r="CN251" s="655"/>
      <c r="CO251" s="647">
        <v>254</v>
      </c>
      <c r="CP251" s="647"/>
      <c r="CQ251" s="655"/>
      <c r="CR251" s="647">
        <v>254</v>
      </c>
      <c r="CS251" s="647"/>
      <c r="CT251" s="655"/>
      <c r="CU251" s="647">
        <v>254</v>
      </c>
      <c r="CV251" s="647"/>
      <c r="CW251" s="655"/>
      <c r="CX251" s="647">
        <v>254</v>
      </c>
      <c r="CY251" s="647"/>
      <c r="CZ251" s="655"/>
      <c r="DA251" s="647">
        <v>254</v>
      </c>
      <c r="DB251" s="647"/>
      <c r="DC251" s="655"/>
      <c r="DD251" s="647">
        <v>254</v>
      </c>
      <c r="DE251" s="647"/>
      <c r="DF251" s="655"/>
      <c r="DG251" s="647">
        <v>254</v>
      </c>
      <c r="DH251" s="647"/>
      <c r="DI251" s="655"/>
      <c r="DJ251" s="647">
        <v>254</v>
      </c>
      <c r="DK251" s="647"/>
      <c r="DL251" s="655"/>
      <c r="DM251" s="647">
        <v>254</v>
      </c>
      <c r="DN251" s="647"/>
      <c r="DO251" s="655"/>
      <c r="DP251" s="647">
        <v>254</v>
      </c>
      <c r="DQ251" s="647"/>
      <c r="DR251" s="655"/>
      <c r="DS251" s="647">
        <v>254</v>
      </c>
      <c r="DT251" s="647"/>
      <c r="DU251" s="655"/>
      <c r="DV251" s="647">
        <v>254</v>
      </c>
      <c r="DW251" s="647"/>
      <c r="DX251" s="655"/>
      <c r="DY251" s="647">
        <v>254</v>
      </c>
      <c r="DZ251" s="647"/>
      <c r="EA251" s="655"/>
      <c r="EB251" s="647">
        <v>254</v>
      </c>
      <c r="EC251" s="647"/>
      <c r="ED251" s="655"/>
      <c r="EE251" s="647">
        <v>254</v>
      </c>
      <c r="EF251" s="647"/>
      <c r="EG251" s="655"/>
      <c r="EH251" s="647">
        <v>254</v>
      </c>
      <c r="EI251" s="647"/>
      <c r="EJ251" s="655"/>
      <c r="EK251" s="647">
        <v>254</v>
      </c>
      <c r="EL251" s="647"/>
      <c r="EM251" s="655"/>
      <c r="EN251" s="647">
        <v>254</v>
      </c>
      <c r="EO251" s="647"/>
      <c r="EP251" s="655"/>
      <c r="EQ251" s="647">
        <v>254</v>
      </c>
      <c r="ER251" s="647"/>
      <c r="ES251" s="655"/>
      <c r="ET251" s="647">
        <v>254</v>
      </c>
      <c r="EU251" s="647"/>
      <c r="EV251" s="655"/>
      <c r="EW251" s="647">
        <v>254</v>
      </c>
      <c r="EX251" s="647"/>
      <c r="EY251" s="655"/>
      <c r="EZ251" s="647">
        <v>254</v>
      </c>
      <c r="FA251" s="647"/>
      <c r="FB251" s="655"/>
      <c r="FC251" s="647">
        <v>254</v>
      </c>
      <c r="FD251" s="647"/>
      <c r="FE251" s="655"/>
      <c r="FF251" s="647">
        <v>254</v>
      </c>
      <c r="FG251" s="647"/>
      <c r="FH251" s="655"/>
      <c r="FI251" s="647">
        <v>254</v>
      </c>
      <c r="FJ251" s="647"/>
      <c r="FK251" s="655"/>
      <c r="FL251" s="647">
        <v>254</v>
      </c>
      <c r="FM251" s="647"/>
      <c r="FN251" s="655"/>
      <c r="FO251" s="647">
        <v>254</v>
      </c>
      <c r="FP251" s="647"/>
      <c r="FQ251" s="655"/>
      <c r="FR251" s="647">
        <v>254</v>
      </c>
      <c r="FS251" s="647"/>
      <c r="FT251" s="655"/>
      <c r="FU251" s="647">
        <v>254</v>
      </c>
      <c r="FV251" s="647"/>
      <c r="FW251" s="655"/>
      <c r="FX251" s="647">
        <v>254</v>
      </c>
      <c r="FY251" s="647"/>
      <c r="FZ251" s="655"/>
      <c r="GA251" s="647">
        <v>254</v>
      </c>
      <c r="GB251" s="647"/>
      <c r="GC251" s="655"/>
      <c r="GD251" s="647">
        <v>254</v>
      </c>
      <c r="GE251" s="647"/>
      <c r="GF251" s="655"/>
      <c r="GG251" s="647">
        <v>254</v>
      </c>
      <c r="GH251" s="647"/>
      <c r="GI251" s="655"/>
      <c r="GJ251" s="647">
        <v>254</v>
      </c>
      <c r="GK251" s="647"/>
      <c r="GL251" s="655"/>
      <c r="GM251" s="647">
        <v>254</v>
      </c>
      <c r="GN251" s="647"/>
      <c r="GO251" s="655"/>
      <c r="GP251" s="647">
        <v>254</v>
      </c>
      <c r="GQ251" s="647"/>
      <c r="GR251" s="655"/>
      <c r="GS251" s="647">
        <v>254</v>
      </c>
      <c r="GT251" s="647"/>
      <c r="GU251" s="655"/>
      <c r="GV251" s="647">
        <v>254</v>
      </c>
      <c r="GW251" s="647"/>
      <c r="GX251" s="655"/>
      <c r="GY251" s="647">
        <v>254</v>
      </c>
      <c r="GZ251" s="647"/>
      <c r="HA251" s="655"/>
      <c r="HB251" s="647">
        <v>254</v>
      </c>
      <c r="HC251" s="647"/>
      <c r="HD251" s="655"/>
      <c r="HE251" s="647">
        <v>254</v>
      </c>
      <c r="HF251" s="647"/>
      <c r="HG251" s="655"/>
      <c r="HH251" s="647">
        <v>254</v>
      </c>
      <c r="HI251" s="655"/>
      <c r="HJ251" s="647">
        <v>254</v>
      </c>
      <c r="HK251" s="655"/>
      <c r="HL251" s="647">
        <v>254</v>
      </c>
      <c r="HM251" s="655"/>
      <c r="HN251" s="648">
        <v>374.75409836065569</v>
      </c>
      <c r="HO251" s="517"/>
      <c r="HP251" s="567"/>
      <c r="HQ251" s="567"/>
      <c r="HR251" s="567"/>
      <c r="HS251" s="567"/>
      <c r="HT251" s="567"/>
      <c r="HU251" s="567"/>
      <c r="HV251" s="567"/>
      <c r="HW251" s="567"/>
      <c r="HX251" s="587"/>
      <c r="HY251" s="587"/>
      <c r="HZ251" s="587"/>
      <c r="IA251" s="587"/>
      <c r="IB251" s="587"/>
      <c r="IC251" s="587"/>
      <c r="ID251" s="587"/>
      <c r="IE251" s="587"/>
      <c r="IF251" s="587"/>
      <c r="IG251" s="587"/>
      <c r="IH251" s="588"/>
      <c r="II251" s="589"/>
      <c r="IJ251" s="588"/>
      <c r="IK251" s="589"/>
      <c r="IL251" s="588"/>
      <c r="IM251" s="589"/>
      <c r="IN251" s="588"/>
      <c r="IO251" s="589"/>
      <c r="IP251" s="588"/>
      <c r="IQ251" s="589"/>
      <c r="IR251" s="601" t="s">
        <v>3130</v>
      </c>
      <c r="IS251" s="587" t="s">
        <v>77</v>
      </c>
      <c r="IT251" s="611">
        <v>43846</v>
      </c>
      <c r="IU251" s="518">
        <v>43891</v>
      </c>
      <c r="IV251" s="552"/>
      <c r="IW251" s="526">
        <f t="shared" si="27"/>
        <v>45</v>
      </c>
      <c r="IX251" s="621">
        <f t="shared" si="30"/>
        <v>12.287019618382153</v>
      </c>
      <c r="IY251" s="621">
        <v>374.75409836065569</v>
      </c>
    </row>
    <row r="252" spans="1:262" s="367" customFormat="1" ht="16.5" customHeight="1" x14ac:dyDescent="0.3">
      <c r="A252" s="526" t="s">
        <v>2739</v>
      </c>
      <c r="B252" s="355" t="s">
        <v>2777</v>
      </c>
      <c r="C252" s="604" t="s">
        <v>1411</v>
      </c>
      <c r="D252" s="605">
        <v>675</v>
      </c>
      <c r="E252" s="606">
        <v>22.2</v>
      </c>
      <c r="F252" s="606">
        <v>16</v>
      </c>
      <c r="G252" s="606">
        <v>4.5</v>
      </c>
      <c r="H252" s="607">
        <v>0</v>
      </c>
      <c r="I252" s="916">
        <v>713</v>
      </c>
      <c r="J252" s="832">
        <v>5</v>
      </c>
      <c r="K252" s="681"/>
      <c r="L252" s="832">
        <v>713</v>
      </c>
      <c r="M252" s="832">
        <v>5</v>
      </c>
      <c r="N252" s="681"/>
      <c r="O252" s="832">
        <v>713</v>
      </c>
      <c r="P252" s="832">
        <v>5</v>
      </c>
      <c r="Q252" s="681"/>
      <c r="R252" s="845">
        <f>((713/30.5)*22+713)</f>
        <v>1227.2950819672133</v>
      </c>
      <c r="S252" s="842">
        <f>((5/30.5)*22+5)</f>
        <v>8.6065573770491799</v>
      </c>
      <c r="T252" s="681"/>
      <c r="U252" s="711"/>
      <c r="V252" s="681"/>
      <c r="W252" s="681"/>
      <c r="X252" s="711"/>
      <c r="Y252" s="681"/>
      <c r="Z252" s="681"/>
      <c r="AA252" s="711"/>
      <c r="AB252" s="681"/>
      <c r="AC252" s="681"/>
      <c r="AD252" s="711"/>
      <c r="AE252" s="681"/>
      <c r="AF252" s="658"/>
      <c r="AG252" s="711"/>
      <c r="AH252" s="658"/>
      <c r="AI252" s="658"/>
      <c r="AJ252" s="711"/>
      <c r="AK252" s="658"/>
      <c r="AL252" s="658"/>
      <c r="AM252" s="711"/>
      <c r="AN252" s="658"/>
      <c r="AO252" s="658"/>
      <c r="AP252" s="711"/>
      <c r="AQ252" s="658"/>
      <c r="AR252" s="658"/>
      <c r="AS252" s="917"/>
      <c r="AT252" s="658"/>
      <c r="AU252" s="658"/>
      <c r="AV252" s="597"/>
      <c r="AW252" s="600"/>
      <c r="AX252" s="600"/>
      <c r="AY252" s="597"/>
      <c r="AZ252" s="600"/>
      <c r="BA252" s="600"/>
      <c r="BB252" s="647"/>
      <c r="BC252" s="600"/>
      <c r="BD252" s="600"/>
      <c r="BE252" s="647"/>
      <c r="BF252" s="600"/>
      <c r="BG252" s="600"/>
      <c r="BH252" s="647"/>
      <c r="BI252" s="647"/>
      <c r="BJ252" s="655"/>
      <c r="BK252" s="647"/>
      <c r="BL252" s="647"/>
      <c r="BM252" s="655"/>
      <c r="BN252" s="647"/>
      <c r="BO252" s="647"/>
      <c r="BP252" s="655"/>
      <c r="BQ252" s="647"/>
      <c r="BR252" s="647"/>
      <c r="BS252" s="655"/>
      <c r="BT252" s="647"/>
      <c r="BU252" s="647"/>
      <c r="BV252" s="655"/>
      <c r="BW252" s="647"/>
      <c r="BX252" s="647"/>
      <c r="BY252" s="655"/>
      <c r="BZ252" s="647"/>
      <c r="CA252" s="647"/>
      <c r="CB252" s="655"/>
      <c r="CC252" s="647"/>
      <c r="CD252" s="647"/>
      <c r="CE252" s="655"/>
      <c r="CF252" s="647"/>
      <c r="CG252" s="647"/>
      <c r="CH252" s="655"/>
      <c r="CI252" s="647"/>
      <c r="CJ252" s="647"/>
      <c r="CK252" s="655"/>
      <c r="CL252" s="647"/>
      <c r="CM252" s="647"/>
      <c r="CN252" s="655"/>
      <c r="CO252" s="647"/>
      <c r="CP252" s="647"/>
      <c r="CQ252" s="655"/>
      <c r="CR252" s="647"/>
      <c r="CS252" s="647"/>
      <c r="CT252" s="655"/>
      <c r="CU252" s="647"/>
      <c r="CV252" s="647"/>
      <c r="CW252" s="655"/>
      <c r="CX252" s="647"/>
      <c r="CY252" s="647"/>
      <c r="CZ252" s="655"/>
      <c r="DA252" s="647"/>
      <c r="DB252" s="647"/>
      <c r="DC252" s="655"/>
      <c r="DD252" s="647"/>
      <c r="DE252" s="647"/>
      <c r="DF252" s="655"/>
      <c r="DG252" s="647"/>
      <c r="DH252" s="647"/>
      <c r="DI252" s="655"/>
      <c r="DJ252" s="647"/>
      <c r="DK252" s="647"/>
      <c r="DL252" s="655"/>
      <c r="DM252" s="647"/>
      <c r="DN252" s="647"/>
      <c r="DO252" s="655"/>
      <c r="DP252" s="647"/>
      <c r="DQ252" s="647"/>
      <c r="DR252" s="655"/>
      <c r="DS252" s="647"/>
      <c r="DT252" s="647"/>
      <c r="DU252" s="655"/>
      <c r="DV252" s="647"/>
      <c r="DW252" s="647"/>
      <c r="DX252" s="655"/>
      <c r="DY252" s="647"/>
      <c r="DZ252" s="647"/>
      <c r="EA252" s="655"/>
      <c r="EB252" s="647"/>
      <c r="EC252" s="647"/>
      <c r="ED252" s="655"/>
      <c r="EE252" s="647"/>
      <c r="EF252" s="647"/>
      <c r="EG252" s="655"/>
      <c r="EH252" s="647"/>
      <c r="EI252" s="647"/>
      <c r="EJ252" s="655"/>
      <c r="EK252" s="647"/>
      <c r="EL252" s="647"/>
      <c r="EM252" s="655"/>
      <c r="EN252" s="647"/>
      <c r="EO252" s="647"/>
      <c r="EP252" s="655"/>
      <c r="EQ252" s="647"/>
      <c r="ER252" s="647"/>
      <c r="ES252" s="655"/>
      <c r="ET252" s="647"/>
      <c r="EU252" s="647"/>
      <c r="EV252" s="655"/>
      <c r="EW252" s="647"/>
      <c r="EX252" s="647"/>
      <c r="EY252" s="655"/>
      <c r="EZ252" s="647"/>
      <c r="FA252" s="647"/>
      <c r="FB252" s="655"/>
      <c r="FC252" s="647"/>
      <c r="FD252" s="647"/>
      <c r="FE252" s="655"/>
      <c r="FF252" s="647"/>
      <c r="FG252" s="647"/>
      <c r="FH252" s="655"/>
      <c r="FI252" s="647"/>
      <c r="FJ252" s="647"/>
      <c r="FK252" s="655"/>
      <c r="FL252" s="647"/>
      <c r="FM252" s="647"/>
      <c r="FN252" s="655"/>
      <c r="FO252" s="647"/>
      <c r="FP252" s="647"/>
      <c r="FQ252" s="655"/>
      <c r="FR252" s="647"/>
      <c r="FS252" s="647"/>
      <c r="FT252" s="655"/>
      <c r="FU252" s="647"/>
      <c r="FV252" s="647"/>
      <c r="FW252" s="655"/>
      <c r="FX252" s="647"/>
      <c r="FY252" s="647"/>
      <c r="FZ252" s="655"/>
      <c r="GA252" s="647"/>
      <c r="GB252" s="647"/>
      <c r="GC252" s="655"/>
      <c r="GD252" s="647"/>
      <c r="GE252" s="647"/>
      <c r="GF252" s="655"/>
      <c r="GG252" s="647"/>
      <c r="GH252" s="647"/>
      <c r="GI252" s="655"/>
      <c r="GJ252" s="647"/>
      <c r="GK252" s="647"/>
      <c r="GL252" s="655"/>
      <c r="GM252" s="647"/>
      <c r="GN252" s="647"/>
      <c r="GO252" s="655"/>
      <c r="GP252" s="647"/>
      <c r="GQ252" s="647"/>
      <c r="GR252" s="655"/>
      <c r="GS252" s="647"/>
      <c r="GT252" s="647"/>
      <c r="GU252" s="655"/>
      <c r="GV252" s="647"/>
      <c r="GW252" s="647"/>
      <c r="GX252" s="655"/>
      <c r="GY252" s="647"/>
      <c r="GZ252" s="647"/>
      <c r="HA252" s="655"/>
      <c r="HB252" s="647"/>
      <c r="HC252" s="647"/>
      <c r="HD252" s="655"/>
      <c r="HE252" s="647"/>
      <c r="HF252" s="647"/>
      <c r="HG252" s="655"/>
      <c r="HH252" s="647"/>
      <c r="HI252" s="655"/>
      <c r="HJ252" s="647"/>
      <c r="HK252" s="655"/>
      <c r="HL252" s="647"/>
      <c r="HM252" s="655"/>
      <c r="HN252" s="648"/>
      <c r="HO252" s="517"/>
      <c r="HP252" s="567"/>
      <c r="HQ252" s="567"/>
      <c r="HR252" s="567"/>
      <c r="HS252" s="567"/>
      <c r="HT252" s="567"/>
      <c r="HU252" s="567"/>
      <c r="HV252" s="567"/>
      <c r="HW252" s="567"/>
      <c r="HX252" s="587"/>
      <c r="HY252" s="587"/>
      <c r="HZ252" s="587"/>
      <c r="IA252" s="587"/>
      <c r="IB252" s="587"/>
      <c r="IC252" s="587"/>
      <c r="ID252" s="587"/>
      <c r="IE252" s="587"/>
      <c r="IF252" s="587"/>
      <c r="IG252" s="587"/>
      <c r="IH252" s="588"/>
      <c r="II252" s="589"/>
      <c r="IJ252" s="588"/>
      <c r="IK252" s="589"/>
      <c r="IL252" s="588"/>
      <c r="IM252" s="589"/>
      <c r="IN252" s="588"/>
      <c r="IO252" s="589"/>
      <c r="IP252" s="588"/>
      <c r="IQ252" s="589"/>
      <c r="IR252" s="601"/>
      <c r="IS252" s="587"/>
      <c r="IT252" s="611"/>
      <c r="IU252" s="518"/>
      <c r="IV252" s="552"/>
      <c r="IW252" s="526"/>
      <c r="IX252" s="621"/>
      <c r="IY252" s="621"/>
    </row>
    <row r="253" spans="1:262" s="367" customFormat="1" ht="16.5" customHeight="1" x14ac:dyDescent="0.3">
      <c r="A253" s="401" t="s">
        <v>3315</v>
      </c>
      <c r="B253" s="402" t="s">
        <v>3315</v>
      </c>
      <c r="C253" s="608" t="s">
        <v>3455</v>
      </c>
      <c r="D253" s="634"/>
      <c r="E253" s="635"/>
      <c r="F253" s="635"/>
      <c r="G253" s="635"/>
      <c r="H253" s="636"/>
      <c r="I253" s="853">
        <v>0</v>
      </c>
      <c r="J253" s="833">
        <v>0</v>
      </c>
      <c r="K253" s="833">
        <v>0</v>
      </c>
      <c r="L253" s="833">
        <v>0</v>
      </c>
      <c r="M253" s="833">
        <v>0</v>
      </c>
      <c r="N253" s="833">
        <v>0</v>
      </c>
      <c r="O253" s="833">
        <v>0</v>
      </c>
      <c r="P253" s="833">
        <v>0</v>
      </c>
      <c r="Q253" s="833">
        <v>0</v>
      </c>
      <c r="R253" s="833">
        <v>0</v>
      </c>
      <c r="S253" s="833">
        <v>0</v>
      </c>
      <c r="T253" s="833">
        <v>0</v>
      </c>
      <c r="U253" s="833">
        <v>0</v>
      </c>
      <c r="V253" s="833">
        <v>0</v>
      </c>
      <c r="W253" s="833">
        <v>0</v>
      </c>
      <c r="X253" s="833">
        <v>0</v>
      </c>
      <c r="Y253" s="833">
        <v>0</v>
      </c>
      <c r="Z253" s="833">
        <v>0</v>
      </c>
      <c r="AA253" s="833">
        <v>0</v>
      </c>
      <c r="AB253" s="833">
        <v>0</v>
      </c>
      <c r="AC253" s="833">
        <v>0</v>
      </c>
      <c r="AD253" s="833">
        <v>0</v>
      </c>
      <c r="AE253" s="833">
        <v>0</v>
      </c>
      <c r="AF253" s="833">
        <v>0</v>
      </c>
      <c r="AG253" s="833">
        <v>0</v>
      </c>
      <c r="AH253" s="833">
        <v>0</v>
      </c>
      <c r="AI253" s="833">
        <v>0</v>
      </c>
      <c r="AJ253" s="833">
        <v>0</v>
      </c>
      <c r="AK253" s="833">
        <v>0</v>
      </c>
      <c r="AL253" s="833">
        <v>0</v>
      </c>
      <c r="AM253" s="833">
        <v>0</v>
      </c>
      <c r="AN253" s="833">
        <v>0</v>
      </c>
      <c r="AO253" s="833">
        <v>0</v>
      </c>
      <c r="AP253" s="833">
        <v>0</v>
      </c>
      <c r="AQ253" s="833">
        <v>0</v>
      </c>
      <c r="AR253" s="833">
        <v>0</v>
      </c>
      <c r="AS253" s="833">
        <v>0</v>
      </c>
      <c r="AT253" s="833">
        <v>0</v>
      </c>
      <c r="AU253" s="833">
        <v>0</v>
      </c>
      <c r="AV253" s="635"/>
      <c r="AW253" s="635"/>
      <c r="AX253" s="660"/>
      <c r="AY253" s="635"/>
      <c r="AZ253" s="635"/>
      <c r="BA253" s="660"/>
      <c r="BB253" s="651"/>
      <c r="BC253" s="651"/>
      <c r="BD253" s="660"/>
      <c r="BE253" s="651"/>
      <c r="BF253" s="651"/>
      <c r="BG253" s="660"/>
      <c r="BH253" s="651"/>
      <c r="BI253" s="651"/>
      <c r="BJ253" s="660"/>
      <c r="BK253" s="651"/>
      <c r="BL253" s="651"/>
      <c r="BM253" s="660"/>
      <c r="BN253" s="651"/>
      <c r="BO253" s="651"/>
      <c r="BP253" s="660"/>
      <c r="BQ253" s="651"/>
      <c r="BR253" s="651"/>
      <c r="BS253" s="660"/>
      <c r="BT253" s="651"/>
      <c r="BU253" s="651"/>
      <c r="BV253" s="660"/>
      <c r="BW253" s="651"/>
      <c r="BX253" s="651"/>
      <c r="BY253" s="660"/>
      <c r="BZ253" s="651"/>
      <c r="CA253" s="651"/>
      <c r="CB253" s="660"/>
      <c r="CC253" s="651"/>
      <c r="CD253" s="651"/>
      <c r="CE253" s="660"/>
      <c r="CF253" s="651"/>
      <c r="CG253" s="651"/>
      <c r="CH253" s="660"/>
      <c r="CI253" s="651"/>
      <c r="CJ253" s="651"/>
      <c r="CK253" s="660"/>
      <c r="CL253" s="651"/>
      <c r="CM253" s="651"/>
      <c r="CN253" s="660"/>
      <c r="CO253" s="651"/>
      <c r="CP253" s="651"/>
      <c r="CQ253" s="660"/>
      <c r="CR253" s="651"/>
      <c r="CS253" s="651"/>
      <c r="CT253" s="660"/>
      <c r="CU253" s="651"/>
      <c r="CV253" s="651"/>
      <c r="CW253" s="660"/>
      <c r="CX253" s="651"/>
      <c r="CY253" s="651"/>
      <c r="CZ253" s="660"/>
      <c r="DA253" s="651"/>
      <c r="DB253" s="651"/>
      <c r="DC253" s="660"/>
      <c r="DD253" s="651"/>
      <c r="DE253" s="651"/>
      <c r="DF253" s="660"/>
      <c r="DG253" s="651"/>
      <c r="DH253" s="651"/>
      <c r="DI253" s="660"/>
      <c r="DJ253" s="651"/>
      <c r="DK253" s="651"/>
      <c r="DL253" s="660"/>
      <c r="DM253" s="651"/>
      <c r="DN253" s="651"/>
      <c r="DO253" s="660"/>
      <c r="DP253" s="651"/>
      <c r="DQ253" s="651"/>
      <c r="DR253" s="660"/>
      <c r="DS253" s="651"/>
      <c r="DT253" s="651"/>
      <c r="DU253" s="660"/>
      <c r="DV253" s="651"/>
      <c r="DW253" s="651"/>
      <c r="DX253" s="660"/>
      <c r="DY253" s="651"/>
      <c r="DZ253" s="651"/>
      <c r="EA253" s="660"/>
      <c r="EB253" s="651"/>
      <c r="EC253" s="651"/>
      <c r="ED253" s="660"/>
      <c r="EE253" s="651"/>
      <c r="EF253" s="651"/>
      <c r="EG253" s="660"/>
      <c r="EH253" s="651"/>
      <c r="EI253" s="651"/>
      <c r="EJ253" s="660"/>
      <c r="EK253" s="651"/>
      <c r="EL253" s="651"/>
      <c r="EM253" s="660"/>
      <c r="EN253" s="647">
        <v>1063</v>
      </c>
      <c r="EO253" s="647"/>
      <c r="EP253" s="655"/>
      <c r="EQ253" s="647">
        <v>1063</v>
      </c>
      <c r="ER253" s="647"/>
      <c r="ES253" s="655"/>
      <c r="ET253" s="647">
        <v>1063</v>
      </c>
      <c r="EU253" s="647"/>
      <c r="EV253" s="655"/>
      <c r="EW253" s="647">
        <v>1063</v>
      </c>
      <c r="EX253" s="647"/>
      <c r="EY253" s="655"/>
      <c r="EZ253" s="647">
        <v>1063</v>
      </c>
      <c r="FA253" s="647"/>
      <c r="FB253" s="655"/>
      <c r="FC253" s="647">
        <v>1063</v>
      </c>
      <c r="FD253" s="647"/>
      <c r="FE253" s="655"/>
      <c r="FF253" s="647">
        <v>1063</v>
      </c>
      <c r="FG253" s="647"/>
      <c r="FH253" s="655"/>
      <c r="FI253" s="647">
        <v>1063</v>
      </c>
      <c r="FJ253" s="647"/>
      <c r="FK253" s="655"/>
      <c r="FL253" s="647">
        <v>1063</v>
      </c>
      <c r="FM253" s="647"/>
      <c r="FN253" s="655"/>
      <c r="FO253" s="647">
        <v>1063</v>
      </c>
      <c r="FP253" s="647"/>
      <c r="FQ253" s="655"/>
      <c r="FR253" s="647">
        <v>1063</v>
      </c>
      <c r="FS253" s="647"/>
      <c r="FT253" s="655"/>
      <c r="FU253" s="647">
        <v>1063</v>
      </c>
      <c r="FV253" s="647"/>
      <c r="FW253" s="655"/>
      <c r="FX253" s="647">
        <v>1063</v>
      </c>
      <c r="FY253" s="647"/>
      <c r="FZ253" s="655"/>
      <c r="GA253" s="647">
        <v>1063</v>
      </c>
      <c r="GB253" s="647"/>
      <c r="GC253" s="655"/>
      <c r="GD253" s="647">
        <v>1063</v>
      </c>
      <c r="GE253" s="647"/>
      <c r="GF253" s="655"/>
      <c r="GG253" s="647">
        <v>1063</v>
      </c>
      <c r="GH253" s="647"/>
      <c r="GI253" s="655"/>
      <c r="GJ253" s="647">
        <v>1063</v>
      </c>
      <c r="GK253" s="647"/>
      <c r="GL253" s="655"/>
      <c r="GM253" s="647">
        <v>1063</v>
      </c>
      <c r="GN253" s="647"/>
      <c r="GO253" s="655"/>
      <c r="GP253" s="647">
        <v>1063</v>
      </c>
      <c r="GQ253" s="647"/>
      <c r="GR253" s="655"/>
      <c r="GS253" s="647">
        <v>1063</v>
      </c>
      <c r="GT253" s="647"/>
      <c r="GU253" s="655"/>
      <c r="GV253" s="647">
        <v>1063</v>
      </c>
      <c r="GW253" s="647"/>
      <c r="GX253" s="655"/>
      <c r="GY253" s="647">
        <v>1063</v>
      </c>
      <c r="GZ253" s="647"/>
      <c r="HA253" s="655"/>
      <c r="HB253" s="647">
        <v>1063</v>
      </c>
      <c r="HC253" s="647"/>
      <c r="HD253" s="655"/>
      <c r="HE253" s="647">
        <v>1063</v>
      </c>
      <c r="HF253" s="647"/>
      <c r="HG253" s="655"/>
      <c r="HH253" s="647">
        <v>1063</v>
      </c>
      <c r="HI253" s="655"/>
      <c r="HJ253" s="647">
        <v>1063</v>
      </c>
      <c r="HK253" s="655"/>
      <c r="HL253" s="647">
        <v>1063</v>
      </c>
      <c r="HM253" s="655"/>
      <c r="HN253" s="648">
        <v>1568.3606557377047</v>
      </c>
      <c r="HO253" s="517"/>
      <c r="HP253" s="567"/>
      <c r="HQ253" s="567"/>
      <c r="HR253" s="567"/>
      <c r="HS253" s="567"/>
      <c r="HT253" s="567"/>
      <c r="HU253" s="567"/>
      <c r="HV253" s="567"/>
      <c r="HW253" s="567"/>
      <c r="HX253" s="587"/>
      <c r="HY253" s="587"/>
      <c r="HZ253" s="587"/>
      <c r="IA253" s="587"/>
      <c r="IB253" s="587"/>
      <c r="IC253" s="587"/>
      <c r="ID253" s="587"/>
      <c r="IE253" s="587"/>
      <c r="IF253" s="587"/>
      <c r="IG253" s="587"/>
      <c r="IH253" s="588"/>
      <c r="II253" s="589"/>
      <c r="IJ253" s="588"/>
      <c r="IK253" s="589"/>
      <c r="IL253" s="588"/>
      <c r="IM253" s="589"/>
      <c r="IN253" s="588"/>
      <c r="IO253" s="589"/>
      <c r="IP253" s="588"/>
      <c r="IQ253" s="589"/>
      <c r="IR253" s="601" t="s">
        <v>3456</v>
      </c>
      <c r="IS253" s="587" t="s">
        <v>77</v>
      </c>
      <c r="IT253" s="611">
        <v>43846</v>
      </c>
      <c r="IU253" s="518">
        <v>43891</v>
      </c>
      <c r="IV253" s="552"/>
      <c r="IW253" s="526">
        <f t="shared" si="27"/>
        <v>45</v>
      </c>
      <c r="IX253" s="621">
        <f t="shared" si="30"/>
        <v>51.421660843859172</v>
      </c>
      <c r="IY253" s="621">
        <v>1568.3606557377047</v>
      </c>
    </row>
    <row r="254" spans="1:262" s="367" customFormat="1" ht="16.5" customHeight="1" x14ac:dyDescent="0.3">
      <c r="A254" s="526" t="s">
        <v>2743</v>
      </c>
      <c r="B254" s="603" t="s">
        <v>2751</v>
      </c>
      <c r="C254" s="604" t="s">
        <v>1976</v>
      </c>
      <c r="D254" s="605">
        <v>568</v>
      </c>
      <c r="E254" s="606">
        <v>22</v>
      </c>
      <c r="F254" s="606">
        <v>16</v>
      </c>
      <c r="G254" s="606">
        <v>0</v>
      </c>
      <c r="H254" s="607">
        <v>0</v>
      </c>
      <c r="I254" s="855">
        <v>607</v>
      </c>
      <c r="J254" s="600"/>
      <c r="K254" s="600"/>
      <c r="L254" s="597">
        <v>607</v>
      </c>
      <c r="M254" s="600"/>
      <c r="N254" s="600"/>
      <c r="O254" s="597">
        <v>607</v>
      </c>
      <c r="P254" s="600"/>
      <c r="Q254" s="600"/>
      <c r="R254" s="597">
        <v>607</v>
      </c>
      <c r="S254" s="600"/>
      <c r="T254" s="600"/>
      <c r="U254" s="597">
        <v>607</v>
      </c>
      <c r="V254" s="600"/>
      <c r="W254" s="600"/>
      <c r="X254" s="597">
        <v>607</v>
      </c>
      <c r="Y254" s="600"/>
      <c r="Z254" s="600"/>
      <c r="AA254" s="597">
        <v>607</v>
      </c>
      <c r="AB254" s="600"/>
      <c r="AC254" s="600"/>
      <c r="AD254" s="597">
        <v>607</v>
      </c>
      <c r="AE254" s="600"/>
      <c r="AF254" s="600"/>
      <c r="AG254" s="597">
        <v>607</v>
      </c>
      <c r="AH254" s="600"/>
      <c r="AI254" s="600"/>
      <c r="AJ254" s="597">
        <v>607</v>
      </c>
      <c r="AK254" s="600"/>
      <c r="AL254" s="600"/>
      <c r="AM254" s="597">
        <v>607</v>
      </c>
      <c r="AN254" s="600"/>
      <c r="AO254" s="600"/>
      <c r="AP254" s="597">
        <v>607</v>
      </c>
      <c r="AQ254" s="600"/>
      <c r="AR254" s="600"/>
      <c r="AS254" s="597">
        <v>607</v>
      </c>
      <c r="AT254" s="600"/>
      <c r="AU254" s="600"/>
      <c r="AV254" s="597">
        <v>607</v>
      </c>
      <c r="AW254" s="600"/>
      <c r="AX254" s="600"/>
      <c r="AY254" s="597">
        <v>607</v>
      </c>
      <c r="AZ254" s="600"/>
      <c r="BA254" s="600"/>
      <c r="BB254" s="647">
        <v>607</v>
      </c>
      <c r="BC254" s="600"/>
      <c r="BD254" s="600"/>
      <c r="BE254" s="647">
        <v>607</v>
      </c>
      <c r="BF254" s="600"/>
      <c r="BG254" s="600"/>
      <c r="BH254" s="647">
        <v>607</v>
      </c>
      <c r="BI254" s="647"/>
      <c r="BJ254" s="655"/>
      <c r="BK254" s="647">
        <v>607</v>
      </c>
      <c r="BL254" s="647"/>
      <c r="BM254" s="655"/>
      <c r="BN254" s="647">
        <v>607</v>
      </c>
      <c r="BO254" s="647"/>
      <c r="BP254" s="655"/>
      <c r="BQ254" s="647">
        <v>607</v>
      </c>
      <c r="BR254" s="647"/>
      <c r="BS254" s="655"/>
      <c r="BT254" s="647">
        <v>607</v>
      </c>
      <c r="BU254" s="647"/>
      <c r="BV254" s="655"/>
      <c r="BW254" s="647">
        <v>607</v>
      </c>
      <c r="BX254" s="647"/>
      <c r="BY254" s="655"/>
      <c r="BZ254" s="647">
        <v>607</v>
      </c>
      <c r="CA254" s="647"/>
      <c r="CB254" s="655"/>
      <c r="CC254" s="647">
        <v>607</v>
      </c>
      <c r="CD254" s="647"/>
      <c r="CE254" s="655"/>
      <c r="CF254" s="647">
        <v>607</v>
      </c>
      <c r="CG254" s="647"/>
      <c r="CH254" s="655"/>
      <c r="CI254" s="647">
        <v>607</v>
      </c>
      <c r="CJ254" s="647"/>
      <c r="CK254" s="655"/>
      <c r="CL254" s="647">
        <v>607</v>
      </c>
      <c r="CM254" s="647"/>
      <c r="CN254" s="655"/>
      <c r="CO254" s="647">
        <v>607</v>
      </c>
      <c r="CP254" s="647"/>
      <c r="CQ254" s="655"/>
      <c r="CR254" s="647">
        <v>607</v>
      </c>
      <c r="CS254" s="647"/>
      <c r="CT254" s="655"/>
      <c r="CU254" s="647">
        <v>607</v>
      </c>
      <c r="CV254" s="647"/>
      <c r="CW254" s="655"/>
      <c r="CX254" s="647">
        <v>607</v>
      </c>
      <c r="CY254" s="647"/>
      <c r="CZ254" s="655"/>
      <c r="DA254" s="647">
        <v>607</v>
      </c>
      <c r="DB254" s="647"/>
      <c r="DC254" s="655"/>
      <c r="DD254" s="647">
        <v>607</v>
      </c>
      <c r="DE254" s="647"/>
      <c r="DF254" s="655"/>
      <c r="DG254" s="647">
        <v>607</v>
      </c>
      <c r="DH254" s="647"/>
      <c r="DI254" s="655"/>
      <c r="DJ254" s="647">
        <v>607</v>
      </c>
      <c r="DK254" s="647"/>
      <c r="DL254" s="655"/>
      <c r="DM254" s="647">
        <v>607</v>
      </c>
      <c r="DN254" s="647"/>
      <c r="DO254" s="655"/>
      <c r="DP254" s="647">
        <v>607</v>
      </c>
      <c r="DQ254" s="647"/>
      <c r="DR254" s="655"/>
      <c r="DS254" s="647">
        <v>607</v>
      </c>
      <c r="DT254" s="647"/>
      <c r="DU254" s="655"/>
      <c r="DV254" s="647">
        <v>607</v>
      </c>
      <c r="DW254" s="647"/>
      <c r="DX254" s="655"/>
      <c r="DY254" s="647">
        <v>607</v>
      </c>
      <c r="DZ254" s="647"/>
      <c r="EA254" s="655"/>
      <c r="EB254" s="647">
        <v>607</v>
      </c>
      <c r="EC254" s="647"/>
      <c r="ED254" s="655"/>
      <c r="EE254" s="647">
        <v>607</v>
      </c>
      <c r="EF254" s="647"/>
      <c r="EG254" s="655"/>
      <c r="EH254" s="647">
        <v>607</v>
      </c>
      <c r="EI254" s="647"/>
      <c r="EJ254" s="655"/>
      <c r="EK254" s="647">
        <v>607</v>
      </c>
      <c r="EL254" s="647"/>
      <c r="EM254" s="655"/>
      <c r="EN254" s="647">
        <v>607</v>
      </c>
      <c r="EO254" s="647"/>
      <c r="EP254" s="655"/>
      <c r="EQ254" s="647">
        <v>607</v>
      </c>
      <c r="ER254" s="647"/>
      <c r="ES254" s="655"/>
      <c r="ET254" s="647">
        <v>607</v>
      </c>
      <c r="EU254" s="647"/>
      <c r="EV254" s="655"/>
      <c r="EW254" s="647">
        <v>607</v>
      </c>
      <c r="EX254" s="647"/>
      <c r="EY254" s="655"/>
      <c r="EZ254" s="647">
        <v>607</v>
      </c>
      <c r="FA254" s="647"/>
      <c r="FB254" s="655"/>
      <c r="FC254" s="647">
        <v>607</v>
      </c>
      <c r="FD254" s="647"/>
      <c r="FE254" s="655"/>
      <c r="FF254" s="647">
        <v>607</v>
      </c>
      <c r="FG254" s="647"/>
      <c r="FH254" s="655"/>
      <c r="FI254" s="647">
        <v>607</v>
      </c>
      <c r="FJ254" s="647"/>
      <c r="FK254" s="655"/>
      <c r="FL254" s="647">
        <v>607</v>
      </c>
      <c r="FM254" s="647"/>
      <c r="FN254" s="655"/>
      <c r="FO254" s="647">
        <v>607</v>
      </c>
      <c r="FP254" s="647"/>
      <c r="FQ254" s="655"/>
      <c r="FR254" s="647">
        <v>607</v>
      </c>
      <c r="FS254" s="647"/>
      <c r="FT254" s="655"/>
      <c r="FU254" s="647">
        <v>607</v>
      </c>
      <c r="FV254" s="647"/>
      <c r="FW254" s="655"/>
      <c r="FX254" s="647">
        <v>607</v>
      </c>
      <c r="FY254" s="647"/>
      <c r="FZ254" s="655"/>
      <c r="GA254" s="647">
        <v>607</v>
      </c>
      <c r="GB254" s="647"/>
      <c r="GC254" s="655"/>
      <c r="GD254" s="647">
        <v>607</v>
      </c>
      <c r="GE254" s="647"/>
      <c r="GF254" s="655"/>
      <c r="GG254" s="647">
        <v>607</v>
      </c>
      <c r="GH254" s="647"/>
      <c r="GI254" s="655"/>
      <c r="GJ254" s="647">
        <v>607</v>
      </c>
      <c r="GK254" s="647"/>
      <c r="GL254" s="655"/>
      <c r="GM254" s="647">
        <v>607</v>
      </c>
      <c r="GN254" s="647"/>
      <c r="GO254" s="655"/>
      <c r="GP254" s="647">
        <v>607</v>
      </c>
      <c r="GQ254" s="647"/>
      <c r="GR254" s="655"/>
      <c r="GS254" s="647">
        <v>607</v>
      </c>
      <c r="GT254" s="647"/>
      <c r="GU254" s="655"/>
      <c r="GV254" s="647">
        <v>607</v>
      </c>
      <c r="GW254" s="647"/>
      <c r="GX254" s="655"/>
      <c r="GY254" s="647">
        <v>607</v>
      </c>
      <c r="GZ254" s="647"/>
      <c r="HA254" s="655"/>
      <c r="HB254" s="647">
        <v>607</v>
      </c>
      <c r="HC254" s="647"/>
      <c r="HD254" s="655"/>
      <c r="HE254" s="647">
        <v>607</v>
      </c>
      <c r="HF254" s="647"/>
      <c r="HG254" s="655"/>
      <c r="HH254" s="647">
        <v>607</v>
      </c>
      <c r="HI254" s="655"/>
      <c r="HJ254" s="647">
        <v>607</v>
      </c>
      <c r="HK254" s="655"/>
      <c r="HL254" s="647">
        <v>607</v>
      </c>
      <c r="HM254" s="655"/>
      <c r="HN254" s="648">
        <v>895.57377049180332</v>
      </c>
      <c r="HO254" s="517"/>
      <c r="HP254" s="567"/>
      <c r="HQ254" s="567"/>
      <c r="HR254" s="567"/>
      <c r="HS254" s="567"/>
      <c r="HT254" s="567"/>
      <c r="HU254" s="567"/>
      <c r="HV254" s="567"/>
      <c r="HW254" s="567"/>
      <c r="HX254" s="587"/>
      <c r="HY254" s="587"/>
      <c r="HZ254" s="587"/>
      <c r="IA254" s="587"/>
      <c r="IB254" s="587"/>
      <c r="IC254" s="587"/>
      <c r="ID254" s="587"/>
      <c r="IE254" s="587"/>
      <c r="IF254" s="587"/>
      <c r="IG254" s="587"/>
      <c r="IH254" s="588"/>
      <c r="II254" s="589"/>
      <c r="IJ254" s="588"/>
      <c r="IK254" s="589"/>
      <c r="IL254" s="588"/>
      <c r="IM254" s="589"/>
      <c r="IN254" s="588"/>
      <c r="IO254" s="589"/>
      <c r="IP254" s="588"/>
      <c r="IQ254" s="589"/>
      <c r="IR254" s="601" t="s">
        <v>3457</v>
      </c>
      <c r="IS254" s="587" t="s">
        <v>77</v>
      </c>
      <c r="IT254" s="611">
        <v>43846</v>
      </c>
      <c r="IU254" s="518">
        <v>43891</v>
      </c>
      <c r="IV254" s="552"/>
      <c r="IW254" s="526">
        <f t="shared" si="27"/>
        <v>45</v>
      </c>
      <c r="IX254" s="621">
        <f t="shared" si="30"/>
        <v>29.363074442354208</v>
      </c>
      <c r="IY254" s="621">
        <v>895.57377049180332</v>
      </c>
    </row>
    <row r="255" spans="1:262" s="367" customFormat="1" ht="16.5" customHeight="1" x14ac:dyDescent="0.3">
      <c r="A255" s="526" t="s">
        <v>2739</v>
      </c>
      <c r="B255" s="594" t="s">
        <v>2745</v>
      </c>
      <c r="C255" s="595" t="s">
        <v>2056</v>
      </c>
      <c r="D255" s="596">
        <v>1628</v>
      </c>
      <c r="E255" s="597">
        <v>95</v>
      </c>
      <c r="F255" s="597">
        <v>32</v>
      </c>
      <c r="G255" s="597">
        <v>108</v>
      </c>
      <c r="H255" s="598">
        <v>0</v>
      </c>
      <c r="I255" s="855">
        <v>1754</v>
      </c>
      <c r="J255" s="597">
        <f>108</f>
        <v>108</v>
      </c>
      <c r="K255" s="600"/>
      <c r="L255" s="597">
        <v>1754</v>
      </c>
      <c r="M255" s="597">
        <f>108</f>
        <v>108</v>
      </c>
      <c r="N255" s="600"/>
      <c r="O255" s="597">
        <v>1754</v>
      </c>
      <c r="P255" s="597">
        <f>108</f>
        <v>108</v>
      </c>
      <c r="Q255" s="600"/>
      <c r="R255" s="597">
        <v>1754</v>
      </c>
      <c r="S255" s="597">
        <f>108</f>
        <v>108</v>
      </c>
      <c r="T255" s="600"/>
      <c r="U255" s="597">
        <v>1754</v>
      </c>
      <c r="V255" s="597">
        <f>108</f>
        <v>108</v>
      </c>
      <c r="W255" s="600"/>
      <c r="X255" s="597">
        <v>1754</v>
      </c>
      <c r="Y255" s="597">
        <f>108</f>
        <v>108</v>
      </c>
      <c r="Z255" s="600"/>
      <c r="AA255" s="597">
        <v>1754</v>
      </c>
      <c r="AB255" s="597">
        <f>108</f>
        <v>108</v>
      </c>
      <c r="AC255" s="600"/>
      <c r="AD255" s="597">
        <v>1754</v>
      </c>
      <c r="AE255" s="597">
        <f>108</f>
        <v>108</v>
      </c>
      <c r="AF255" s="600"/>
      <c r="AG255" s="597">
        <v>1754</v>
      </c>
      <c r="AH255" s="597">
        <f>108</f>
        <v>108</v>
      </c>
      <c r="AI255" s="600"/>
      <c r="AJ255" s="597">
        <v>1754</v>
      </c>
      <c r="AK255" s="597">
        <f>108</f>
        <v>108</v>
      </c>
      <c r="AL255" s="600"/>
      <c r="AM255" s="597">
        <v>1754</v>
      </c>
      <c r="AN255" s="597">
        <f>108</f>
        <v>108</v>
      </c>
      <c r="AO255" s="600"/>
      <c r="AP255" s="597">
        <v>1754</v>
      </c>
      <c r="AQ255" s="597">
        <f>108</f>
        <v>108</v>
      </c>
      <c r="AR255" s="600"/>
      <c r="AS255" s="597">
        <v>1754</v>
      </c>
      <c r="AT255" s="597">
        <f>108</f>
        <v>108</v>
      </c>
      <c r="AU255" s="600"/>
      <c r="AV255" s="597">
        <v>1754</v>
      </c>
      <c r="AW255" s="597">
        <f>108</f>
        <v>108</v>
      </c>
      <c r="AX255" s="600"/>
      <c r="AY255" s="597">
        <v>1754</v>
      </c>
      <c r="AZ255" s="597">
        <f>108</f>
        <v>108</v>
      </c>
      <c r="BA255" s="600"/>
      <c r="BB255" s="647">
        <v>1754</v>
      </c>
      <c r="BC255" s="647">
        <f>108</f>
        <v>108</v>
      </c>
      <c r="BD255" s="600"/>
      <c r="BE255" s="647">
        <v>1754</v>
      </c>
      <c r="BF255" s="647">
        <f>108</f>
        <v>108</v>
      </c>
      <c r="BG255" s="600"/>
      <c r="BH255" s="647">
        <v>1754</v>
      </c>
      <c r="BI255" s="647">
        <f>108</f>
        <v>108</v>
      </c>
      <c r="BJ255" s="655"/>
      <c r="BK255" s="647">
        <v>1754</v>
      </c>
      <c r="BL255" s="647">
        <f>108</f>
        <v>108</v>
      </c>
      <c r="BM255" s="655"/>
      <c r="BN255" s="647">
        <v>1754</v>
      </c>
      <c r="BO255" s="647">
        <f>108</f>
        <v>108</v>
      </c>
      <c r="BP255" s="655"/>
      <c r="BQ255" s="647">
        <v>1754</v>
      </c>
      <c r="BR255" s="647">
        <f>108</f>
        <v>108</v>
      </c>
      <c r="BS255" s="655"/>
      <c r="BT255" s="647">
        <v>1754</v>
      </c>
      <c r="BU255" s="647">
        <f>108</f>
        <v>108</v>
      </c>
      <c r="BV255" s="655"/>
      <c r="BW255" s="647">
        <v>1754</v>
      </c>
      <c r="BX255" s="647">
        <f>108</f>
        <v>108</v>
      </c>
      <c r="BY255" s="655"/>
      <c r="BZ255" s="647">
        <v>1754</v>
      </c>
      <c r="CA255" s="647">
        <f>108</f>
        <v>108</v>
      </c>
      <c r="CB255" s="655"/>
      <c r="CC255" s="647">
        <v>1754</v>
      </c>
      <c r="CD255" s="647">
        <f>108</f>
        <v>108</v>
      </c>
      <c r="CE255" s="655"/>
      <c r="CF255" s="647">
        <v>1754</v>
      </c>
      <c r="CG255" s="647">
        <f>108</f>
        <v>108</v>
      </c>
      <c r="CH255" s="655"/>
      <c r="CI255" s="647">
        <v>1754</v>
      </c>
      <c r="CJ255" s="647">
        <f>108</f>
        <v>108</v>
      </c>
      <c r="CK255" s="655"/>
      <c r="CL255" s="647">
        <v>1754</v>
      </c>
      <c r="CM255" s="647">
        <f>108</f>
        <v>108</v>
      </c>
      <c r="CN255" s="655"/>
      <c r="CO255" s="647">
        <v>1754</v>
      </c>
      <c r="CP255" s="647">
        <f>108</f>
        <v>108</v>
      </c>
      <c r="CQ255" s="655"/>
      <c r="CR255" s="647">
        <v>1754</v>
      </c>
      <c r="CS255" s="647">
        <f>108</f>
        <v>108</v>
      </c>
      <c r="CT255" s="655"/>
      <c r="CU255" s="647">
        <v>1754</v>
      </c>
      <c r="CV255" s="647">
        <f>108</f>
        <v>108</v>
      </c>
      <c r="CW255" s="655"/>
      <c r="CX255" s="647">
        <v>1754</v>
      </c>
      <c r="CY255" s="647">
        <f>108</f>
        <v>108</v>
      </c>
      <c r="CZ255" s="655"/>
      <c r="DA255" s="647">
        <v>1754</v>
      </c>
      <c r="DB255" s="647">
        <f>108</f>
        <v>108</v>
      </c>
      <c r="DC255" s="655"/>
      <c r="DD255" s="647">
        <v>1754</v>
      </c>
      <c r="DE255" s="647">
        <f>108</f>
        <v>108</v>
      </c>
      <c r="DF255" s="655"/>
      <c r="DG255" s="647">
        <v>1754</v>
      </c>
      <c r="DH255" s="647">
        <f>108</f>
        <v>108</v>
      </c>
      <c r="DI255" s="655"/>
      <c r="DJ255" s="647">
        <v>1754</v>
      </c>
      <c r="DK255" s="647">
        <f>108</f>
        <v>108</v>
      </c>
      <c r="DL255" s="655"/>
      <c r="DM255" s="647">
        <v>1754</v>
      </c>
      <c r="DN255" s="647">
        <f>108</f>
        <v>108</v>
      </c>
      <c r="DO255" s="655"/>
      <c r="DP255" s="647">
        <v>1754</v>
      </c>
      <c r="DQ255" s="647">
        <f>108</f>
        <v>108</v>
      </c>
      <c r="DR255" s="655"/>
      <c r="DS255" s="647">
        <v>1754</v>
      </c>
      <c r="DT255" s="647">
        <f>108</f>
        <v>108</v>
      </c>
      <c r="DU255" s="655"/>
      <c r="DV255" s="647">
        <v>1754</v>
      </c>
      <c r="DW255" s="647">
        <f>108</f>
        <v>108</v>
      </c>
      <c r="DX255" s="655"/>
      <c r="DY255" s="647">
        <v>1754</v>
      </c>
      <c r="DZ255" s="647">
        <f>108</f>
        <v>108</v>
      </c>
      <c r="EA255" s="655"/>
      <c r="EB255" s="647">
        <v>1754</v>
      </c>
      <c r="EC255" s="647">
        <f>108</f>
        <v>108</v>
      </c>
      <c r="ED255" s="655"/>
      <c r="EE255" s="647">
        <v>1754</v>
      </c>
      <c r="EF255" s="647">
        <f>108</f>
        <v>108</v>
      </c>
      <c r="EG255" s="655"/>
      <c r="EH255" s="647">
        <v>1754</v>
      </c>
      <c r="EI255" s="647">
        <f>108</f>
        <v>108</v>
      </c>
      <c r="EJ255" s="655"/>
      <c r="EK255" s="647">
        <v>1754</v>
      </c>
      <c r="EL255" s="647">
        <f>108</f>
        <v>108</v>
      </c>
      <c r="EM255" s="655"/>
      <c r="EN255" s="647">
        <v>1754</v>
      </c>
      <c r="EO255" s="647">
        <f>108</f>
        <v>108</v>
      </c>
      <c r="EP255" s="655"/>
      <c r="EQ255" s="647">
        <v>1754</v>
      </c>
      <c r="ER255" s="647">
        <f>108</f>
        <v>108</v>
      </c>
      <c r="ES255" s="655"/>
      <c r="ET255" s="647">
        <v>1754</v>
      </c>
      <c r="EU255" s="647">
        <f>108</f>
        <v>108</v>
      </c>
      <c r="EV255" s="655"/>
      <c r="EW255" s="647">
        <v>1754</v>
      </c>
      <c r="EX255" s="647">
        <f>108</f>
        <v>108</v>
      </c>
      <c r="EY255" s="655"/>
      <c r="EZ255" s="647">
        <v>1754</v>
      </c>
      <c r="FA255" s="647">
        <f>108</f>
        <v>108</v>
      </c>
      <c r="FB255" s="655"/>
      <c r="FC255" s="647">
        <v>1754</v>
      </c>
      <c r="FD255" s="647">
        <f>108</f>
        <v>108</v>
      </c>
      <c r="FE255" s="655"/>
      <c r="FF255" s="647">
        <v>1754</v>
      </c>
      <c r="FG255" s="647">
        <f>108</f>
        <v>108</v>
      </c>
      <c r="FH255" s="655"/>
      <c r="FI255" s="647">
        <v>1754</v>
      </c>
      <c r="FJ255" s="647">
        <f>108</f>
        <v>108</v>
      </c>
      <c r="FK255" s="655"/>
      <c r="FL255" s="647">
        <v>1754</v>
      </c>
      <c r="FM255" s="647">
        <f>108</f>
        <v>108</v>
      </c>
      <c r="FN255" s="655"/>
      <c r="FO255" s="647">
        <v>1754</v>
      </c>
      <c r="FP255" s="647">
        <f>108</f>
        <v>108</v>
      </c>
      <c r="FQ255" s="655"/>
      <c r="FR255" s="647">
        <v>1754</v>
      </c>
      <c r="FS255" s="647">
        <f>108</f>
        <v>108</v>
      </c>
      <c r="FT255" s="655"/>
      <c r="FU255" s="647">
        <v>1754</v>
      </c>
      <c r="FV255" s="647">
        <f>108</f>
        <v>108</v>
      </c>
      <c r="FW255" s="655"/>
      <c r="FX255" s="647">
        <v>1754</v>
      </c>
      <c r="FY255" s="647">
        <f>108</f>
        <v>108</v>
      </c>
      <c r="FZ255" s="655"/>
      <c r="GA255" s="647">
        <v>1754</v>
      </c>
      <c r="GB255" s="647">
        <f>108</f>
        <v>108</v>
      </c>
      <c r="GC255" s="655"/>
      <c r="GD255" s="647">
        <v>1754</v>
      </c>
      <c r="GE255" s="647">
        <f>108</f>
        <v>108</v>
      </c>
      <c r="GF255" s="655"/>
      <c r="GG255" s="647">
        <v>1754</v>
      </c>
      <c r="GH255" s="647">
        <f>108</f>
        <v>108</v>
      </c>
      <c r="GI255" s="655"/>
      <c r="GJ255" s="647">
        <v>1754</v>
      </c>
      <c r="GK255" s="647">
        <f>108</f>
        <v>108</v>
      </c>
      <c r="GL255" s="655"/>
      <c r="GM255" s="647">
        <v>1754</v>
      </c>
      <c r="GN255" s="647">
        <f>108</f>
        <v>108</v>
      </c>
      <c r="GO255" s="655"/>
      <c r="GP255" s="647">
        <v>1754</v>
      </c>
      <c r="GQ255" s="647">
        <f>108</f>
        <v>108</v>
      </c>
      <c r="GR255" s="655"/>
      <c r="GS255" s="647">
        <v>1754</v>
      </c>
      <c r="GT255" s="647">
        <f>108</f>
        <v>108</v>
      </c>
      <c r="GU255" s="655"/>
      <c r="GV255" s="647">
        <v>1754</v>
      </c>
      <c r="GW255" s="647">
        <f>108</f>
        <v>108</v>
      </c>
      <c r="GX255" s="655"/>
      <c r="GY255" s="647">
        <v>1754</v>
      </c>
      <c r="GZ255" s="647">
        <f>108</f>
        <v>108</v>
      </c>
      <c r="HA255" s="655"/>
      <c r="HB255" s="647">
        <v>1754</v>
      </c>
      <c r="HC255" s="647">
        <f>108</f>
        <v>108</v>
      </c>
      <c r="HD255" s="655"/>
      <c r="HE255" s="647">
        <v>1754</v>
      </c>
      <c r="HF255" s="648">
        <f>(108/30.5)*153</f>
        <v>541.77049180327867</v>
      </c>
      <c r="HG255" s="655"/>
      <c r="HH255" s="647">
        <v>1754</v>
      </c>
      <c r="HI255" s="655"/>
      <c r="HJ255" s="647">
        <v>1754</v>
      </c>
      <c r="HK255" s="655"/>
      <c r="HL255" s="647">
        <v>1754</v>
      </c>
      <c r="HM255" s="655"/>
      <c r="HN255" s="648">
        <v>1782.7540983606559</v>
      </c>
      <c r="HO255" s="517"/>
      <c r="HP255" s="567"/>
      <c r="HQ255" s="567"/>
      <c r="HR255" s="567"/>
      <c r="HS255" s="567"/>
      <c r="HT255" s="567"/>
      <c r="HU255" s="567"/>
      <c r="HV255" s="567"/>
      <c r="HW255" s="567"/>
      <c r="HX255" s="587"/>
      <c r="HY255" s="587"/>
      <c r="HZ255" s="587"/>
      <c r="IA255" s="587"/>
      <c r="IB255" s="587"/>
      <c r="IC255" s="587"/>
      <c r="ID255" s="587"/>
      <c r="IE255" s="587"/>
      <c r="IF255" s="587"/>
      <c r="IG255" s="587"/>
      <c r="IH255" s="588"/>
      <c r="II255" s="589"/>
      <c r="IJ255" s="588"/>
      <c r="IK255" s="589"/>
      <c r="IL255" s="588"/>
      <c r="IM255" s="589"/>
      <c r="IN255" s="588"/>
      <c r="IO255" s="589"/>
      <c r="IP255" s="588"/>
      <c r="IQ255" s="589"/>
      <c r="IR255" s="601" t="s">
        <v>3458</v>
      </c>
      <c r="IS255" s="587" t="s">
        <v>77</v>
      </c>
      <c r="IT255" s="611">
        <v>43860</v>
      </c>
      <c r="IU255" s="518">
        <v>43891</v>
      </c>
      <c r="IV255" s="552"/>
      <c r="IW255" s="526">
        <f t="shared" si="27"/>
        <v>31</v>
      </c>
      <c r="IX255" s="621">
        <f t="shared" si="30"/>
        <v>58.45095404461167</v>
      </c>
      <c r="IY255" s="621">
        <v>1782.7540983606559</v>
      </c>
    </row>
    <row r="256" spans="1:262" s="367" customFormat="1" ht="16.5" customHeight="1" x14ac:dyDescent="0.3">
      <c r="A256" s="526" t="s">
        <v>2785</v>
      </c>
      <c r="B256" s="594" t="s">
        <v>2867</v>
      </c>
      <c r="C256" s="604" t="s">
        <v>2383</v>
      </c>
      <c r="D256" s="605">
        <v>290</v>
      </c>
      <c r="E256" s="606">
        <v>12</v>
      </c>
      <c r="F256" s="606">
        <v>0</v>
      </c>
      <c r="G256" s="606">
        <v>0</v>
      </c>
      <c r="H256" s="607">
        <v>0</v>
      </c>
      <c r="I256" s="844">
        <v>302</v>
      </c>
      <c r="J256" s="600"/>
      <c r="K256" s="600"/>
      <c r="L256" s="606">
        <v>302</v>
      </c>
      <c r="M256" s="600"/>
      <c r="N256" s="600"/>
      <c r="O256" s="606">
        <v>302</v>
      </c>
      <c r="P256" s="600"/>
      <c r="Q256" s="600"/>
      <c r="R256" s="606">
        <v>302</v>
      </c>
      <c r="S256" s="600"/>
      <c r="T256" s="600"/>
      <c r="U256" s="606">
        <v>302</v>
      </c>
      <c r="V256" s="600"/>
      <c r="W256" s="600"/>
      <c r="X256" s="606">
        <v>302</v>
      </c>
      <c r="Y256" s="600"/>
      <c r="Z256" s="600"/>
      <c r="AA256" s="606">
        <v>302</v>
      </c>
      <c r="AB256" s="600"/>
      <c r="AC256" s="600"/>
      <c r="AD256" s="606">
        <v>302</v>
      </c>
      <c r="AE256" s="600"/>
      <c r="AF256" s="600"/>
      <c r="AG256" s="606">
        <v>302</v>
      </c>
      <c r="AH256" s="600"/>
      <c r="AI256" s="600"/>
      <c r="AJ256" s="606">
        <v>302</v>
      </c>
      <c r="AK256" s="600"/>
      <c r="AL256" s="600"/>
      <c r="AM256" s="606">
        <v>302</v>
      </c>
      <c r="AN256" s="600"/>
      <c r="AO256" s="600"/>
      <c r="AP256" s="606">
        <v>302</v>
      </c>
      <c r="AQ256" s="600"/>
      <c r="AR256" s="600"/>
      <c r="AS256" s="909">
        <f>((320-254)/30.5)*31+302</f>
        <v>369.08196721311475</v>
      </c>
      <c r="AT256" s="600"/>
      <c r="AU256" s="600"/>
      <c r="AV256" s="597">
        <v>254</v>
      </c>
      <c r="AW256" s="600"/>
      <c r="AX256" s="600"/>
      <c r="AY256" s="597">
        <v>254</v>
      </c>
      <c r="AZ256" s="600"/>
      <c r="BA256" s="600"/>
      <c r="BB256" s="647">
        <v>254</v>
      </c>
      <c r="BC256" s="600"/>
      <c r="BD256" s="600"/>
      <c r="BE256" s="647">
        <v>254</v>
      </c>
      <c r="BF256" s="600"/>
      <c r="BG256" s="600"/>
      <c r="BH256" s="647">
        <v>254</v>
      </c>
      <c r="BI256" s="647"/>
      <c r="BJ256" s="655"/>
      <c r="BK256" s="647">
        <v>254</v>
      </c>
      <c r="BL256" s="647"/>
      <c r="BM256" s="655"/>
      <c r="BN256" s="647">
        <v>254</v>
      </c>
      <c r="BO256" s="647"/>
      <c r="BP256" s="655"/>
      <c r="BQ256" s="647">
        <v>254</v>
      </c>
      <c r="BR256" s="647"/>
      <c r="BS256" s="655"/>
      <c r="BT256" s="647">
        <v>254</v>
      </c>
      <c r="BU256" s="647"/>
      <c r="BV256" s="655"/>
      <c r="BW256" s="647">
        <v>254</v>
      </c>
      <c r="BX256" s="647"/>
      <c r="BY256" s="655"/>
      <c r="BZ256" s="647">
        <v>254</v>
      </c>
      <c r="CA256" s="647"/>
      <c r="CB256" s="655"/>
      <c r="CC256" s="647">
        <v>254</v>
      </c>
      <c r="CD256" s="647"/>
      <c r="CE256" s="655"/>
      <c r="CF256" s="647">
        <v>254</v>
      </c>
      <c r="CG256" s="647"/>
      <c r="CH256" s="655"/>
      <c r="CI256" s="647">
        <v>254</v>
      </c>
      <c r="CJ256" s="647"/>
      <c r="CK256" s="655"/>
      <c r="CL256" s="647">
        <v>254</v>
      </c>
      <c r="CM256" s="647"/>
      <c r="CN256" s="655"/>
      <c r="CO256" s="647">
        <v>254</v>
      </c>
      <c r="CP256" s="647"/>
      <c r="CQ256" s="655"/>
      <c r="CR256" s="647">
        <v>254</v>
      </c>
      <c r="CS256" s="647"/>
      <c r="CT256" s="655"/>
      <c r="CU256" s="647">
        <v>254</v>
      </c>
      <c r="CV256" s="647"/>
      <c r="CW256" s="655"/>
      <c r="CX256" s="647">
        <v>254</v>
      </c>
      <c r="CY256" s="647"/>
      <c r="CZ256" s="655"/>
      <c r="DA256" s="647">
        <v>254</v>
      </c>
      <c r="DB256" s="647"/>
      <c r="DC256" s="655"/>
      <c r="DD256" s="647">
        <v>254</v>
      </c>
      <c r="DE256" s="647"/>
      <c r="DF256" s="655"/>
      <c r="DG256" s="647">
        <v>254</v>
      </c>
      <c r="DH256" s="647"/>
      <c r="DI256" s="655"/>
      <c r="DJ256" s="647">
        <v>254</v>
      </c>
      <c r="DK256" s="647"/>
      <c r="DL256" s="655"/>
      <c r="DM256" s="647">
        <v>254</v>
      </c>
      <c r="DN256" s="647"/>
      <c r="DO256" s="655"/>
      <c r="DP256" s="647">
        <v>254</v>
      </c>
      <c r="DQ256" s="647"/>
      <c r="DR256" s="655"/>
      <c r="DS256" s="647">
        <v>254</v>
      </c>
      <c r="DT256" s="647"/>
      <c r="DU256" s="655"/>
      <c r="DV256" s="647">
        <v>254</v>
      </c>
      <c r="DW256" s="647"/>
      <c r="DX256" s="655"/>
      <c r="DY256" s="647">
        <v>254</v>
      </c>
      <c r="DZ256" s="647"/>
      <c r="EA256" s="655"/>
      <c r="EB256" s="647">
        <v>254</v>
      </c>
      <c r="EC256" s="647"/>
      <c r="ED256" s="655"/>
      <c r="EE256" s="647">
        <v>254</v>
      </c>
      <c r="EF256" s="647"/>
      <c r="EG256" s="655"/>
      <c r="EH256" s="647">
        <v>254</v>
      </c>
      <c r="EI256" s="647"/>
      <c r="EJ256" s="655"/>
      <c r="EK256" s="647">
        <v>254</v>
      </c>
      <c r="EL256" s="647"/>
      <c r="EM256" s="655"/>
      <c r="EN256" s="647">
        <v>254</v>
      </c>
      <c r="EO256" s="647"/>
      <c r="EP256" s="655"/>
      <c r="EQ256" s="647">
        <v>254</v>
      </c>
      <c r="ER256" s="647"/>
      <c r="ES256" s="655"/>
      <c r="ET256" s="647">
        <v>254</v>
      </c>
      <c r="EU256" s="647"/>
      <c r="EV256" s="655"/>
      <c r="EW256" s="647">
        <v>254</v>
      </c>
      <c r="EX256" s="647"/>
      <c r="EY256" s="655"/>
      <c r="EZ256" s="647">
        <v>254</v>
      </c>
      <c r="FA256" s="647"/>
      <c r="FB256" s="655"/>
      <c r="FC256" s="647">
        <v>254</v>
      </c>
      <c r="FD256" s="647"/>
      <c r="FE256" s="655"/>
      <c r="FF256" s="647">
        <v>254</v>
      </c>
      <c r="FG256" s="647"/>
      <c r="FH256" s="655"/>
      <c r="FI256" s="647">
        <v>254</v>
      </c>
      <c r="FJ256" s="647"/>
      <c r="FK256" s="655"/>
      <c r="FL256" s="647">
        <v>254</v>
      </c>
      <c r="FM256" s="647"/>
      <c r="FN256" s="655"/>
      <c r="FO256" s="647">
        <v>254</v>
      </c>
      <c r="FP256" s="647"/>
      <c r="FQ256" s="655"/>
      <c r="FR256" s="647">
        <v>254</v>
      </c>
      <c r="FS256" s="647"/>
      <c r="FT256" s="655"/>
      <c r="FU256" s="647">
        <v>254</v>
      </c>
      <c r="FV256" s="647"/>
      <c r="FW256" s="655"/>
      <c r="FX256" s="647">
        <v>254</v>
      </c>
      <c r="FY256" s="647"/>
      <c r="FZ256" s="655"/>
      <c r="GA256" s="647">
        <v>254</v>
      </c>
      <c r="GB256" s="647"/>
      <c r="GC256" s="655"/>
      <c r="GD256" s="647">
        <v>254</v>
      </c>
      <c r="GE256" s="647"/>
      <c r="GF256" s="655"/>
      <c r="GG256" s="647">
        <v>254</v>
      </c>
      <c r="GH256" s="647"/>
      <c r="GI256" s="655"/>
      <c r="GJ256" s="647">
        <v>254</v>
      </c>
      <c r="GK256" s="647"/>
      <c r="GL256" s="655"/>
      <c r="GM256" s="647">
        <v>254</v>
      </c>
      <c r="GN256" s="647"/>
      <c r="GO256" s="655"/>
      <c r="GP256" s="647">
        <v>254</v>
      </c>
      <c r="GQ256" s="647"/>
      <c r="GR256" s="655"/>
      <c r="GS256" s="647">
        <v>254</v>
      </c>
      <c r="GT256" s="647"/>
      <c r="GU256" s="655"/>
      <c r="GV256" s="647">
        <v>254</v>
      </c>
      <c r="GW256" s="647"/>
      <c r="GX256" s="655"/>
      <c r="GY256" s="647">
        <v>254</v>
      </c>
      <c r="GZ256" s="647"/>
      <c r="HA256" s="655"/>
      <c r="HB256" s="647">
        <v>254</v>
      </c>
      <c r="HC256" s="647"/>
      <c r="HD256" s="655"/>
      <c r="HE256" s="647">
        <v>254</v>
      </c>
      <c r="HF256" s="647"/>
      <c r="HG256" s="655"/>
      <c r="HH256" s="647">
        <v>254</v>
      </c>
      <c r="HI256" s="655"/>
      <c r="HJ256" s="647">
        <v>254</v>
      </c>
      <c r="HK256" s="655"/>
      <c r="HL256" s="647">
        <v>254</v>
      </c>
      <c r="HM256" s="655"/>
      <c r="HN256" s="648">
        <v>324.7868852459016</v>
      </c>
      <c r="HO256" s="517"/>
      <c r="HP256" s="567"/>
      <c r="HQ256" s="567"/>
      <c r="HR256" s="567"/>
      <c r="HS256" s="567"/>
      <c r="HT256" s="567"/>
      <c r="HU256" s="567"/>
      <c r="HV256" s="567"/>
      <c r="HW256" s="567"/>
      <c r="HX256" s="587"/>
      <c r="HY256" s="587"/>
      <c r="HZ256" s="587"/>
      <c r="IA256" s="587"/>
      <c r="IB256" s="587"/>
      <c r="IC256" s="587"/>
      <c r="ID256" s="587"/>
      <c r="IE256" s="587"/>
      <c r="IF256" s="587"/>
      <c r="IG256" s="587"/>
      <c r="IH256" s="588"/>
      <c r="II256" s="589"/>
      <c r="IJ256" s="588"/>
      <c r="IK256" s="589"/>
      <c r="IL256" s="588"/>
      <c r="IM256" s="589"/>
      <c r="IN256" s="588"/>
      <c r="IO256" s="589"/>
      <c r="IP256" s="588"/>
      <c r="IQ256" s="589"/>
      <c r="IR256" s="601" t="s">
        <v>3459</v>
      </c>
      <c r="IS256" s="587" t="s">
        <v>77</v>
      </c>
      <c r="IT256" s="611">
        <v>43852</v>
      </c>
      <c r="IU256" s="518">
        <v>43891</v>
      </c>
      <c r="IV256" s="552"/>
      <c r="IW256" s="526">
        <f t="shared" si="27"/>
        <v>39</v>
      </c>
      <c r="IX256" s="621">
        <f t="shared" si="30"/>
        <v>10.648750335931201</v>
      </c>
      <c r="IY256" s="621">
        <v>324.7868852459016</v>
      </c>
    </row>
    <row r="257" spans="1:259" s="367" customFormat="1" ht="16.5" customHeight="1" x14ac:dyDescent="0.3">
      <c r="A257" s="526" t="s">
        <v>2785</v>
      </c>
      <c r="B257" s="603" t="s">
        <v>2867</v>
      </c>
      <c r="C257" s="604" t="s">
        <v>2679</v>
      </c>
      <c r="D257" s="605">
        <v>290</v>
      </c>
      <c r="E257" s="606">
        <v>12</v>
      </c>
      <c r="F257" s="606">
        <v>0</v>
      </c>
      <c r="G257" s="606">
        <v>0</v>
      </c>
      <c r="H257" s="607">
        <v>0</v>
      </c>
      <c r="I257" s="910">
        <v>302</v>
      </c>
      <c r="J257" s="657"/>
      <c r="K257" s="657"/>
      <c r="L257" s="640">
        <v>302</v>
      </c>
      <c r="M257" s="657"/>
      <c r="N257" s="657"/>
      <c r="O257" s="640">
        <v>302</v>
      </c>
      <c r="P257" s="657"/>
      <c r="Q257" s="657"/>
      <c r="R257" s="640">
        <v>302</v>
      </c>
      <c r="S257" s="657"/>
      <c r="T257" s="657"/>
      <c r="U257" s="640">
        <v>302</v>
      </c>
      <c r="V257" s="657"/>
      <c r="W257" s="657"/>
      <c r="X257" s="640">
        <v>302</v>
      </c>
      <c r="Y257" s="657"/>
      <c r="Z257" s="657"/>
      <c r="AA257" s="640">
        <v>302</v>
      </c>
      <c r="AB257" s="657"/>
      <c r="AC257" s="657"/>
      <c r="AD257" s="640">
        <v>302</v>
      </c>
      <c r="AE257" s="657"/>
      <c r="AF257" s="657"/>
      <c r="AG257" s="640">
        <v>302</v>
      </c>
      <c r="AH257" s="657"/>
      <c r="AI257" s="657"/>
      <c r="AJ257" s="640">
        <v>302</v>
      </c>
      <c r="AK257" s="657"/>
      <c r="AL257" s="657"/>
      <c r="AM257" s="606">
        <v>302</v>
      </c>
      <c r="AN257" s="600"/>
      <c r="AO257" s="600"/>
      <c r="AP257" s="606">
        <v>302</v>
      </c>
      <c r="AQ257" s="600"/>
      <c r="AR257" s="600"/>
      <c r="AS257" s="909">
        <f>((320-254)/30.5)*31+302</f>
        <v>369.08196721311475</v>
      </c>
      <c r="AT257" s="600"/>
      <c r="AU257" s="600"/>
      <c r="AV257" s="597">
        <v>254</v>
      </c>
      <c r="AW257" s="600"/>
      <c r="AX257" s="600"/>
      <c r="AY257" s="597">
        <v>254</v>
      </c>
      <c r="AZ257" s="600"/>
      <c r="BA257" s="600"/>
      <c r="BB257" s="647">
        <v>254</v>
      </c>
      <c r="BC257" s="600"/>
      <c r="BD257" s="600"/>
      <c r="BE257" s="647">
        <v>254</v>
      </c>
      <c r="BF257" s="600"/>
      <c r="BG257" s="600"/>
      <c r="BH257" s="647">
        <v>254</v>
      </c>
      <c r="BI257" s="647"/>
      <c r="BJ257" s="655"/>
      <c r="BK257" s="647">
        <v>254</v>
      </c>
      <c r="BL257" s="647"/>
      <c r="BM257" s="655"/>
      <c r="BN257" s="647">
        <v>254</v>
      </c>
      <c r="BO257" s="647"/>
      <c r="BP257" s="655"/>
      <c r="BQ257" s="647">
        <v>254</v>
      </c>
      <c r="BR257" s="647"/>
      <c r="BS257" s="655"/>
      <c r="BT257" s="647">
        <v>254</v>
      </c>
      <c r="BU257" s="647"/>
      <c r="BV257" s="655"/>
      <c r="BW257" s="647">
        <v>254</v>
      </c>
      <c r="BX257" s="647"/>
      <c r="BY257" s="655"/>
      <c r="BZ257" s="647">
        <v>254</v>
      </c>
      <c r="CA257" s="647"/>
      <c r="CB257" s="655"/>
      <c r="CC257" s="647">
        <v>254</v>
      </c>
      <c r="CD257" s="647"/>
      <c r="CE257" s="655"/>
      <c r="CF257" s="647">
        <v>254</v>
      </c>
      <c r="CG257" s="647"/>
      <c r="CH257" s="655"/>
      <c r="CI257" s="647">
        <v>254</v>
      </c>
      <c r="CJ257" s="647"/>
      <c r="CK257" s="655"/>
      <c r="CL257" s="647">
        <v>254</v>
      </c>
      <c r="CM257" s="647"/>
      <c r="CN257" s="655"/>
      <c r="CO257" s="647">
        <v>254</v>
      </c>
      <c r="CP257" s="647"/>
      <c r="CQ257" s="655"/>
      <c r="CR257" s="647">
        <v>254</v>
      </c>
      <c r="CS257" s="647"/>
      <c r="CT257" s="655"/>
      <c r="CU257" s="647">
        <v>254</v>
      </c>
      <c r="CV257" s="647"/>
      <c r="CW257" s="655"/>
      <c r="CX257" s="647">
        <v>254</v>
      </c>
      <c r="CY257" s="647"/>
      <c r="CZ257" s="655"/>
      <c r="DA257" s="647">
        <v>254</v>
      </c>
      <c r="DB257" s="647"/>
      <c r="DC257" s="655"/>
      <c r="DD257" s="647">
        <v>254</v>
      </c>
      <c r="DE257" s="647"/>
      <c r="DF257" s="655"/>
      <c r="DG257" s="647">
        <v>254</v>
      </c>
      <c r="DH257" s="647"/>
      <c r="DI257" s="655"/>
      <c r="DJ257" s="647">
        <v>254</v>
      </c>
      <c r="DK257" s="647"/>
      <c r="DL257" s="655"/>
      <c r="DM257" s="647">
        <v>254</v>
      </c>
      <c r="DN257" s="647"/>
      <c r="DO257" s="655"/>
      <c r="DP257" s="647">
        <v>254</v>
      </c>
      <c r="DQ257" s="647"/>
      <c r="DR257" s="655"/>
      <c r="DS257" s="647">
        <v>254</v>
      </c>
      <c r="DT257" s="647"/>
      <c r="DU257" s="655"/>
      <c r="DV257" s="647">
        <v>254</v>
      </c>
      <c r="DW257" s="647"/>
      <c r="DX257" s="655"/>
      <c r="DY257" s="647">
        <v>254</v>
      </c>
      <c r="DZ257" s="647"/>
      <c r="EA257" s="655"/>
      <c r="EB257" s="647">
        <v>254</v>
      </c>
      <c r="EC257" s="647"/>
      <c r="ED257" s="655"/>
      <c r="EE257" s="647">
        <v>254</v>
      </c>
      <c r="EF257" s="647"/>
      <c r="EG257" s="655"/>
      <c r="EH257" s="647">
        <v>254</v>
      </c>
      <c r="EI257" s="647"/>
      <c r="EJ257" s="655"/>
      <c r="EK257" s="647">
        <v>254</v>
      </c>
      <c r="EL257" s="647"/>
      <c r="EM257" s="655"/>
      <c r="EN257" s="647">
        <v>254</v>
      </c>
      <c r="EO257" s="647"/>
      <c r="EP257" s="655"/>
      <c r="EQ257" s="647">
        <v>254</v>
      </c>
      <c r="ER257" s="647"/>
      <c r="ES257" s="655"/>
      <c r="ET257" s="647">
        <v>254</v>
      </c>
      <c r="EU257" s="647"/>
      <c r="EV257" s="655"/>
      <c r="EW257" s="647">
        <v>254</v>
      </c>
      <c r="EX257" s="647"/>
      <c r="EY257" s="655"/>
      <c r="EZ257" s="647">
        <v>254</v>
      </c>
      <c r="FA257" s="647"/>
      <c r="FB257" s="655"/>
      <c r="FC257" s="647">
        <v>254</v>
      </c>
      <c r="FD257" s="647"/>
      <c r="FE257" s="655"/>
      <c r="FF257" s="647">
        <v>254</v>
      </c>
      <c r="FG257" s="647"/>
      <c r="FH257" s="655"/>
      <c r="FI257" s="647">
        <v>254</v>
      </c>
      <c r="FJ257" s="647"/>
      <c r="FK257" s="655"/>
      <c r="FL257" s="647">
        <v>254</v>
      </c>
      <c r="FM257" s="647"/>
      <c r="FN257" s="655"/>
      <c r="FO257" s="647">
        <v>254</v>
      </c>
      <c r="FP257" s="647"/>
      <c r="FQ257" s="655"/>
      <c r="FR257" s="647">
        <v>254</v>
      </c>
      <c r="FS257" s="647"/>
      <c r="FT257" s="655"/>
      <c r="FU257" s="647">
        <v>254</v>
      </c>
      <c r="FV257" s="647"/>
      <c r="FW257" s="655"/>
      <c r="FX257" s="647">
        <v>254</v>
      </c>
      <c r="FY257" s="647"/>
      <c r="FZ257" s="655"/>
      <c r="GA257" s="647">
        <v>254</v>
      </c>
      <c r="GB257" s="647"/>
      <c r="GC257" s="655"/>
      <c r="GD257" s="647">
        <v>254</v>
      </c>
      <c r="GE257" s="647"/>
      <c r="GF257" s="655"/>
      <c r="GG257" s="647">
        <v>254</v>
      </c>
      <c r="GH257" s="647"/>
      <c r="GI257" s="655"/>
      <c r="GJ257" s="647">
        <v>254</v>
      </c>
      <c r="GK257" s="647"/>
      <c r="GL257" s="655"/>
      <c r="GM257" s="647">
        <v>254</v>
      </c>
      <c r="GN257" s="647"/>
      <c r="GO257" s="655"/>
      <c r="GP257" s="647">
        <v>254</v>
      </c>
      <c r="GQ257" s="647"/>
      <c r="GR257" s="655"/>
      <c r="GS257" s="647">
        <v>254</v>
      </c>
      <c r="GT257" s="647"/>
      <c r="GU257" s="655"/>
      <c r="GV257" s="647">
        <v>254</v>
      </c>
      <c r="GW257" s="647"/>
      <c r="GX257" s="655"/>
      <c r="GY257" s="647">
        <v>254</v>
      </c>
      <c r="GZ257" s="647"/>
      <c r="HA257" s="655"/>
      <c r="HB257" s="647">
        <v>254</v>
      </c>
      <c r="HC257" s="647"/>
      <c r="HD257" s="655"/>
      <c r="HE257" s="647">
        <v>254</v>
      </c>
      <c r="HF257" s="647"/>
      <c r="HG257" s="655"/>
      <c r="HH257" s="647">
        <v>254</v>
      </c>
      <c r="HI257" s="655"/>
      <c r="HJ257" s="647">
        <v>254</v>
      </c>
      <c r="HK257" s="655"/>
      <c r="HL257" s="647">
        <v>254</v>
      </c>
      <c r="HM257" s="655"/>
      <c r="HN257" s="648">
        <v>324.7868852459016</v>
      </c>
      <c r="HO257" s="517"/>
      <c r="HP257" s="567"/>
      <c r="HQ257" s="567"/>
      <c r="HR257" s="567"/>
      <c r="HS257" s="567"/>
      <c r="HT257" s="567"/>
      <c r="HU257" s="567"/>
      <c r="HV257" s="567"/>
      <c r="HW257" s="567"/>
      <c r="HX257" s="587"/>
      <c r="HY257" s="587"/>
      <c r="HZ257" s="587"/>
      <c r="IA257" s="587"/>
      <c r="IB257" s="587"/>
      <c r="IC257" s="587"/>
      <c r="ID257" s="587"/>
      <c r="IE257" s="587"/>
      <c r="IF257" s="587"/>
      <c r="IG257" s="587"/>
      <c r="IH257" s="588"/>
      <c r="II257" s="589"/>
      <c r="IJ257" s="588"/>
      <c r="IK257" s="589"/>
      <c r="IL257" s="588"/>
      <c r="IM257" s="589"/>
      <c r="IN257" s="588"/>
      <c r="IO257" s="589"/>
      <c r="IP257" s="588"/>
      <c r="IQ257" s="589"/>
      <c r="IR257" s="601" t="s">
        <v>3460</v>
      </c>
      <c r="IS257" s="587" t="s">
        <v>77</v>
      </c>
      <c r="IT257" s="611">
        <v>43852</v>
      </c>
      <c r="IU257" s="518">
        <v>43891</v>
      </c>
      <c r="IV257" s="552"/>
      <c r="IW257" s="526">
        <f t="shared" si="27"/>
        <v>39</v>
      </c>
      <c r="IX257" s="621">
        <f t="shared" si="30"/>
        <v>10.648750335931201</v>
      </c>
      <c r="IY257" s="621">
        <v>324.7868852459016</v>
      </c>
    </row>
    <row r="258" spans="1:259" s="367" customFormat="1" ht="16.5" customHeight="1" x14ac:dyDescent="0.3">
      <c r="A258" s="526" t="s">
        <v>2743</v>
      </c>
      <c r="B258" s="603" t="s">
        <v>2748</v>
      </c>
      <c r="C258" s="604" t="s">
        <v>2229</v>
      </c>
      <c r="D258" s="605">
        <v>1149</v>
      </c>
      <c r="E258" s="606">
        <v>44</v>
      </c>
      <c r="F258" s="606">
        <v>40</v>
      </c>
      <c r="G258" s="606">
        <v>5</v>
      </c>
      <c r="H258" s="607">
        <v>0</v>
      </c>
      <c r="I258" s="844">
        <v>1233</v>
      </c>
      <c r="J258" s="516">
        <v>5</v>
      </c>
      <c r="K258" s="516"/>
      <c r="L258" s="606">
        <v>1233</v>
      </c>
      <c r="M258" s="516">
        <v>5</v>
      </c>
      <c r="N258" s="516"/>
      <c r="O258" s="606">
        <v>1233</v>
      </c>
      <c r="P258" s="516">
        <v>5</v>
      </c>
      <c r="Q258" s="516"/>
      <c r="R258" s="606">
        <v>1233</v>
      </c>
      <c r="S258" s="516">
        <v>5</v>
      </c>
      <c r="T258" s="516"/>
      <c r="U258" s="606">
        <v>1233</v>
      </c>
      <c r="V258" s="516">
        <v>5</v>
      </c>
      <c r="W258" s="516"/>
      <c r="X258" s="606">
        <v>1233</v>
      </c>
      <c r="Y258" s="516">
        <v>5</v>
      </c>
      <c r="Z258" s="516"/>
      <c r="AA258" s="606">
        <v>1233</v>
      </c>
      <c r="AB258" s="516">
        <v>5</v>
      </c>
      <c r="AC258" s="516"/>
      <c r="AD258" s="606">
        <v>1233</v>
      </c>
      <c r="AE258" s="516">
        <v>5</v>
      </c>
      <c r="AF258" s="516"/>
      <c r="AG258" s="606">
        <v>1233</v>
      </c>
      <c r="AH258" s="516">
        <v>5</v>
      </c>
      <c r="AI258" s="516"/>
      <c r="AJ258" s="845">
        <f>((1233-1063)/30.5)*23+1233</f>
        <v>1361.1967213114754</v>
      </c>
      <c r="AK258" s="517">
        <f>((5/30.5)*2+5)</f>
        <v>5.3278688524590168</v>
      </c>
      <c r="AL258" s="517"/>
      <c r="AM258" s="855">
        <v>1063</v>
      </c>
      <c r="AN258" s="600"/>
      <c r="AO258" s="600"/>
      <c r="AP258" s="597">
        <v>1063</v>
      </c>
      <c r="AQ258" s="600"/>
      <c r="AR258" s="600"/>
      <c r="AS258" s="597">
        <v>1063</v>
      </c>
      <c r="AT258" s="600"/>
      <c r="AU258" s="600"/>
      <c r="AV258" s="597">
        <v>1063</v>
      </c>
      <c r="AW258" s="600"/>
      <c r="AX258" s="600"/>
      <c r="AY258" s="597">
        <v>1063</v>
      </c>
      <c r="AZ258" s="600"/>
      <c r="BA258" s="600"/>
      <c r="BB258" s="647">
        <v>1063</v>
      </c>
      <c r="BC258" s="600"/>
      <c r="BD258" s="600"/>
      <c r="BE258" s="647">
        <v>1063</v>
      </c>
      <c r="BF258" s="600"/>
      <c r="BG258" s="600"/>
      <c r="BH258" s="647">
        <v>1063</v>
      </c>
      <c r="BI258" s="647"/>
      <c r="BJ258" s="655"/>
      <c r="BK258" s="647">
        <v>1063</v>
      </c>
      <c r="BL258" s="647"/>
      <c r="BM258" s="655"/>
      <c r="BN258" s="647">
        <v>1063</v>
      </c>
      <c r="BO258" s="647"/>
      <c r="BP258" s="655"/>
      <c r="BQ258" s="647">
        <v>1063</v>
      </c>
      <c r="BR258" s="647"/>
      <c r="BS258" s="655"/>
      <c r="BT258" s="647">
        <v>1063</v>
      </c>
      <c r="BU258" s="647"/>
      <c r="BV258" s="655"/>
      <c r="BW258" s="647">
        <v>1063</v>
      </c>
      <c r="BX258" s="647"/>
      <c r="BY258" s="655"/>
      <c r="BZ258" s="647">
        <v>1063</v>
      </c>
      <c r="CA258" s="647"/>
      <c r="CB258" s="655"/>
      <c r="CC258" s="647">
        <v>1063</v>
      </c>
      <c r="CD258" s="647"/>
      <c r="CE258" s="655"/>
      <c r="CF258" s="647">
        <v>1063</v>
      </c>
      <c r="CG258" s="647"/>
      <c r="CH258" s="655"/>
      <c r="CI258" s="647">
        <v>1063</v>
      </c>
      <c r="CJ258" s="647"/>
      <c r="CK258" s="655"/>
      <c r="CL258" s="647">
        <v>1063</v>
      </c>
      <c r="CM258" s="647"/>
      <c r="CN258" s="655"/>
      <c r="CO258" s="647">
        <v>1063</v>
      </c>
      <c r="CP258" s="647"/>
      <c r="CQ258" s="655"/>
      <c r="CR258" s="647">
        <v>1063</v>
      </c>
      <c r="CS258" s="647"/>
      <c r="CT258" s="655"/>
      <c r="CU258" s="647">
        <v>1063</v>
      </c>
      <c r="CV258" s="647"/>
      <c r="CW258" s="655"/>
      <c r="CX258" s="647">
        <v>1063</v>
      </c>
      <c r="CY258" s="647"/>
      <c r="CZ258" s="655"/>
      <c r="DA258" s="647">
        <v>1063</v>
      </c>
      <c r="DB258" s="647"/>
      <c r="DC258" s="655"/>
      <c r="DD258" s="647">
        <v>1063</v>
      </c>
      <c r="DE258" s="647"/>
      <c r="DF258" s="655"/>
      <c r="DG258" s="647">
        <v>1063</v>
      </c>
      <c r="DH258" s="647"/>
      <c r="DI258" s="655"/>
      <c r="DJ258" s="647">
        <v>1063</v>
      </c>
      <c r="DK258" s="647"/>
      <c r="DL258" s="655"/>
      <c r="DM258" s="647">
        <v>1063</v>
      </c>
      <c r="DN258" s="647"/>
      <c r="DO258" s="655"/>
      <c r="DP258" s="647">
        <v>1063</v>
      </c>
      <c r="DQ258" s="647"/>
      <c r="DR258" s="655"/>
      <c r="DS258" s="647">
        <v>1063</v>
      </c>
      <c r="DT258" s="647"/>
      <c r="DU258" s="655"/>
      <c r="DV258" s="647">
        <v>1063</v>
      </c>
      <c r="DW258" s="647"/>
      <c r="DX258" s="655"/>
      <c r="DY258" s="647">
        <v>1063</v>
      </c>
      <c r="DZ258" s="647"/>
      <c r="EA258" s="655"/>
      <c r="EB258" s="647">
        <v>1063</v>
      </c>
      <c r="EC258" s="647"/>
      <c r="ED258" s="655"/>
      <c r="EE258" s="647">
        <v>1063</v>
      </c>
      <c r="EF258" s="647"/>
      <c r="EG258" s="655"/>
      <c r="EH258" s="647">
        <v>1063</v>
      </c>
      <c r="EI258" s="647"/>
      <c r="EJ258" s="655"/>
      <c r="EK258" s="647">
        <v>1063</v>
      </c>
      <c r="EL258" s="647"/>
      <c r="EM258" s="655"/>
      <c r="EN258" s="647">
        <v>1063</v>
      </c>
      <c r="EO258" s="647"/>
      <c r="EP258" s="655"/>
      <c r="EQ258" s="647">
        <v>1063</v>
      </c>
      <c r="ER258" s="647"/>
      <c r="ES258" s="655"/>
      <c r="ET258" s="647">
        <v>1063</v>
      </c>
      <c r="EU258" s="647"/>
      <c r="EV258" s="655"/>
      <c r="EW258" s="647">
        <v>1063</v>
      </c>
      <c r="EX258" s="647"/>
      <c r="EY258" s="655"/>
      <c r="EZ258" s="647">
        <v>1063</v>
      </c>
      <c r="FA258" s="647"/>
      <c r="FB258" s="655"/>
      <c r="FC258" s="647">
        <v>1063</v>
      </c>
      <c r="FD258" s="647"/>
      <c r="FE258" s="655"/>
      <c r="FF258" s="647">
        <v>1063</v>
      </c>
      <c r="FG258" s="647"/>
      <c r="FH258" s="655"/>
      <c r="FI258" s="647">
        <v>1063</v>
      </c>
      <c r="FJ258" s="647"/>
      <c r="FK258" s="655"/>
      <c r="FL258" s="647">
        <v>1063</v>
      </c>
      <c r="FM258" s="647"/>
      <c r="FN258" s="655"/>
      <c r="FO258" s="647">
        <v>1063</v>
      </c>
      <c r="FP258" s="647"/>
      <c r="FQ258" s="655"/>
      <c r="FR258" s="647">
        <v>1063</v>
      </c>
      <c r="FS258" s="647"/>
      <c r="FT258" s="655"/>
      <c r="FU258" s="647">
        <v>1063</v>
      </c>
      <c r="FV258" s="647"/>
      <c r="FW258" s="655"/>
      <c r="FX258" s="647">
        <v>1063</v>
      </c>
      <c r="FY258" s="647"/>
      <c r="FZ258" s="655"/>
      <c r="GA258" s="647">
        <v>1063</v>
      </c>
      <c r="GB258" s="647"/>
      <c r="GC258" s="655"/>
      <c r="GD258" s="647">
        <v>1063</v>
      </c>
      <c r="GE258" s="647"/>
      <c r="GF258" s="655"/>
      <c r="GG258" s="647">
        <v>1063</v>
      </c>
      <c r="GH258" s="647"/>
      <c r="GI258" s="655"/>
      <c r="GJ258" s="647">
        <v>1063</v>
      </c>
      <c r="GK258" s="647"/>
      <c r="GL258" s="655"/>
      <c r="GM258" s="647">
        <v>1063</v>
      </c>
      <c r="GN258" s="647"/>
      <c r="GO258" s="655"/>
      <c r="GP258" s="647">
        <v>1063</v>
      </c>
      <c r="GQ258" s="647"/>
      <c r="GR258" s="655"/>
      <c r="GS258" s="647">
        <v>1063</v>
      </c>
      <c r="GT258" s="647"/>
      <c r="GU258" s="655"/>
      <c r="GV258" s="647">
        <v>1063</v>
      </c>
      <c r="GW258" s="647"/>
      <c r="GX258" s="655"/>
      <c r="GY258" s="647">
        <v>1063</v>
      </c>
      <c r="GZ258" s="647"/>
      <c r="HA258" s="655"/>
      <c r="HB258" s="647">
        <v>1063</v>
      </c>
      <c r="HC258" s="647"/>
      <c r="HD258" s="655"/>
      <c r="HE258" s="647">
        <v>1063</v>
      </c>
      <c r="HF258" s="647"/>
      <c r="HG258" s="655"/>
      <c r="HH258" s="647">
        <v>1063</v>
      </c>
      <c r="HI258" s="655"/>
      <c r="HJ258" s="647">
        <v>1063</v>
      </c>
      <c r="HK258" s="655"/>
      <c r="HL258" s="647">
        <v>1063</v>
      </c>
      <c r="HM258" s="655"/>
      <c r="HN258" s="648">
        <v>1359.2459016393441</v>
      </c>
      <c r="HO258" s="517"/>
      <c r="HP258" s="567"/>
      <c r="HQ258" s="567"/>
      <c r="HR258" s="567"/>
      <c r="HS258" s="567"/>
      <c r="HT258" s="567"/>
      <c r="HU258" s="567"/>
      <c r="HV258" s="567"/>
      <c r="HW258" s="567"/>
      <c r="HX258" s="587"/>
      <c r="HY258" s="587"/>
      <c r="HZ258" s="587"/>
      <c r="IA258" s="587"/>
      <c r="IB258" s="587"/>
      <c r="IC258" s="587"/>
      <c r="ID258" s="587"/>
      <c r="IE258" s="587"/>
      <c r="IF258" s="587"/>
      <c r="IG258" s="587"/>
      <c r="IH258" s="588"/>
      <c r="II258" s="589"/>
      <c r="IJ258" s="588"/>
      <c r="IK258" s="589"/>
      <c r="IL258" s="588"/>
      <c r="IM258" s="589"/>
      <c r="IN258" s="588"/>
      <c r="IO258" s="589"/>
      <c r="IP258" s="588"/>
      <c r="IQ258" s="589"/>
      <c r="IR258" s="601" t="s">
        <v>3461</v>
      </c>
      <c r="IS258" s="587" t="s">
        <v>77</v>
      </c>
      <c r="IT258" s="611">
        <v>43852</v>
      </c>
      <c r="IU258" s="518">
        <v>43891</v>
      </c>
      <c r="IV258" s="552"/>
      <c r="IW258" s="526">
        <f t="shared" si="27"/>
        <v>39</v>
      </c>
      <c r="IX258" s="621">
        <f t="shared" si="30"/>
        <v>44.565439398011279</v>
      </c>
      <c r="IY258" s="621">
        <v>1359.2459016393441</v>
      </c>
    </row>
    <row r="259" spans="1:259" s="367" customFormat="1" ht="16.5" customHeight="1" x14ac:dyDescent="0.3">
      <c r="A259" s="526" t="s">
        <v>2743</v>
      </c>
      <c r="B259" s="603" t="s">
        <v>2953</v>
      </c>
      <c r="C259" s="604" t="s">
        <v>1968</v>
      </c>
      <c r="D259" s="605">
        <v>2266</v>
      </c>
      <c r="E259" s="606">
        <v>299</v>
      </c>
      <c r="F259" s="606">
        <v>64</v>
      </c>
      <c r="G259" s="606">
        <v>414</v>
      </c>
      <c r="H259" s="607">
        <v>66</v>
      </c>
      <c r="I259" s="918">
        <v>2629</v>
      </c>
      <c r="J259" s="658">
        <f>414</f>
        <v>414</v>
      </c>
      <c r="K259" s="658">
        <v>66</v>
      </c>
      <c r="L259" s="711">
        <v>2629</v>
      </c>
      <c r="M259" s="658">
        <f>414</f>
        <v>414</v>
      </c>
      <c r="N259" s="658">
        <v>66</v>
      </c>
      <c r="O259" s="711">
        <v>2629</v>
      </c>
      <c r="P259" s="658">
        <f>414</f>
        <v>414</v>
      </c>
      <c r="Q259" s="658">
        <v>66</v>
      </c>
      <c r="R259" s="711">
        <v>2629</v>
      </c>
      <c r="S259" s="658">
        <f>414</f>
        <v>414</v>
      </c>
      <c r="T259" s="658">
        <v>66</v>
      </c>
      <c r="U259" s="711">
        <v>2629</v>
      </c>
      <c r="V259" s="658">
        <f>414</f>
        <v>414</v>
      </c>
      <c r="W259" s="658">
        <v>66</v>
      </c>
      <c r="X259" s="711">
        <v>2629</v>
      </c>
      <c r="Y259" s="658">
        <f>414</f>
        <v>414</v>
      </c>
      <c r="Z259" s="658">
        <v>66</v>
      </c>
      <c r="AA259" s="711">
        <v>2629</v>
      </c>
      <c r="AB259" s="658">
        <f>414</f>
        <v>414</v>
      </c>
      <c r="AC259" s="658">
        <v>66</v>
      </c>
      <c r="AD259" s="711">
        <v>2629</v>
      </c>
      <c r="AE259" s="658">
        <f>414</f>
        <v>414</v>
      </c>
      <c r="AF259" s="658">
        <v>66</v>
      </c>
      <c r="AG259" s="711">
        <v>2629</v>
      </c>
      <c r="AH259" s="658">
        <f>414</f>
        <v>414</v>
      </c>
      <c r="AI259" s="658">
        <v>66</v>
      </c>
      <c r="AJ259" s="711">
        <v>2629</v>
      </c>
      <c r="AK259" s="658">
        <f>414</f>
        <v>414</v>
      </c>
      <c r="AL259" s="658">
        <v>66</v>
      </c>
      <c r="AM259" s="606">
        <v>2629</v>
      </c>
      <c r="AN259" s="600">
        <f>414</f>
        <v>414</v>
      </c>
      <c r="AO259" s="600">
        <v>66</v>
      </c>
      <c r="AP259" s="606">
        <v>2629</v>
      </c>
      <c r="AQ259" s="600">
        <f>414</f>
        <v>414</v>
      </c>
      <c r="AR259" s="600">
        <v>66</v>
      </c>
      <c r="AS259" s="606">
        <v>2629</v>
      </c>
      <c r="AT259" s="600">
        <f>414</f>
        <v>414</v>
      </c>
      <c r="AU259" s="600">
        <v>66</v>
      </c>
      <c r="AV259" s="606">
        <v>2629</v>
      </c>
      <c r="AW259" s="600">
        <f>414</f>
        <v>414</v>
      </c>
      <c r="AX259" s="600">
        <v>66</v>
      </c>
      <c r="AY259" s="606">
        <v>2629</v>
      </c>
      <c r="AZ259" s="600">
        <f>414</f>
        <v>414</v>
      </c>
      <c r="BA259" s="600">
        <v>66</v>
      </c>
      <c r="BB259" s="654">
        <v>2629</v>
      </c>
      <c r="BC259" s="600">
        <f>414</f>
        <v>414</v>
      </c>
      <c r="BD259" s="600">
        <v>66</v>
      </c>
      <c r="BE259" s="654">
        <v>2629</v>
      </c>
      <c r="BF259" s="600">
        <f>414</f>
        <v>414</v>
      </c>
      <c r="BG259" s="600">
        <v>66</v>
      </c>
      <c r="BH259" s="654">
        <v>2629</v>
      </c>
      <c r="BI259" s="654">
        <f>414</f>
        <v>414</v>
      </c>
      <c r="BJ259" s="516">
        <v>66</v>
      </c>
      <c r="BK259" s="647">
        <v>2629</v>
      </c>
      <c r="BL259" s="647">
        <f>414</f>
        <v>414</v>
      </c>
      <c r="BM259" s="655">
        <v>66</v>
      </c>
      <c r="BN259" s="647">
        <v>2629</v>
      </c>
      <c r="BO259" s="647">
        <f>414</f>
        <v>414</v>
      </c>
      <c r="BP259" s="655">
        <v>66</v>
      </c>
      <c r="BQ259" s="647">
        <v>2629</v>
      </c>
      <c r="BR259" s="647">
        <f>414</f>
        <v>414</v>
      </c>
      <c r="BS259" s="655">
        <v>66</v>
      </c>
      <c r="BT259" s="647">
        <v>2629</v>
      </c>
      <c r="BU259" s="647">
        <f>414</f>
        <v>414</v>
      </c>
      <c r="BV259" s="655">
        <v>66</v>
      </c>
      <c r="BW259" s="647">
        <v>2629</v>
      </c>
      <c r="BX259" s="647">
        <f>414</f>
        <v>414</v>
      </c>
      <c r="BY259" s="655">
        <v>66</v>
      </c>
      <c r="BZ259" s="647">
        <v>2629</v>
      </c>
      <c r="CA259" s="647">
        <f>414</f>
        <v>414</v>
      </c>
      <c r="CB259" s="655">
        <v>66</v>
      </c>
      <c r="CC259" s="647">
        <v>2629</v>
      </c>
      <c r="CD259" s="647">
        <f>414</f>
        <v>414</v>
      </c>
      <c r="CE259" s="655">
        <v>66</v>
      </c>
      <c r="CF259" s="647">
        <v>2629</v>
      </c>
      <c r="CG259" s="647">
        <f>414</f>
        <v>414</v>
      </c>
      <c r="CH259" s="655">
        <v>66</v>
      </c>
      <c r="CI259" s="647">
        <v>2629</v>
      </c>
      <c r="CJ259" s="647">
        <f>414</f>
        <v>414</v>
      </c>
      <c r="CK259" s="655">
        <v>66</v>
      </c>
      <c r="CL259" s="647">
        <v>2629</v>
      </c>
      <c r="CM259" s="647">
        <f>414</f>
        <v>414</v>
      </c>
      <c r="CN259" s="655">
        <v>66</v>
      </c>
      <c r="CO259" s="647">
        <v>2629</v>
      </c>
      <c r="CP259" s="647">
        <f>414</f>
        <v>414</v>
      </c>
      <c r="CQ259" s="655">
        <v>66</v>
      </c>
      <c r="CR259" s="647">
        <v>2629</v>
      </c>
      <c r="CS259" s="647">
        <f>414</f>
        <v>414</v>
      </c>
      <c r="CT259" s="655">
        <v>66</v>
      </c>
      <c r="CU259" s="647">
        <v>2629</v>
      </c>
      <c r="CV259" s="647">
        <f>414</f>
        <v>414</v>
      </c>
      <c r="CW259" s="655">
        <v>66</v>
      </c>
      <c r="CX259" s="647">
        <v>2629</v>
      </c>
      <c r="CY259" s="647">
        <f>414</f>
        <v>414</v>
      </c>
      <c r="CZ259" s="655">
        <v>66</v>
      </c>
      <c r="DA259" s="647">
        <v>2629</v>
      </c>
      <c r="DB259" s="647">
        <f>414</f>
        <v>414</v>
      </c>
      <c r="DC259" s="655">
        <v>66</v>
      </c>
      <c r="DD259" s="647">
        <v>2629</v>
      </c>
      <c r="DE259" s="647">
        <f>414</f>
        <v>414</v>
      </c>
      <c r="DF259" s="655">
        <v>66</v>
      </c>
      <c r="DG259" s="647">
        <v>2629</v>
      </c>
      <c r="DH259" s="647">
        <f>414</f>
        <v>414</v>
      </c>
      <c r="DI259" s="655">
        <v>66</v>
      </c>
      <c r="DJ259" s="647">
        <v>2629</v>
      </c>
      <c r="DK259" s="647">
        <f>414</f>
        <v>414</v>
      </c>
      <c r="DL259" s="655">
        <v>66</v>
      </c>
      <c r="DM259" s="647">
        <v>2629</v>
      </c>
      <c r="DN259" s="647">
        <f>414</f>
        <v>414</v>
      </c>
      <c r="DO259" s="655">
        <v>66</v>
      </c>
      <c r="DP259" s="647">
        <v>2629</v>
      </c>
      <c r="DQ259" s="647">
        <f>414</f>
        <v>414</v>
      </c>
      <c r="DR259" s="655">
        <v>66</v>
      </c>
      <c r="DS259" s="647">
        <v>2629</v>
      </c>
      <c r="DT259" s="647">
        <f>414</f>
        <v>414</v>
      </c>
      <c r="DU259" s="655">
        <v>66</v>
      </c>
      <c r="DV259" s="647">
        <v>2629</v>
      </c>
      <c r="DW259" s="647">
        <f>414</f>
        <v>414</v>
      </c>
      <c r="DX259" s="655">
        <v>66</v>
      </c>
      <c r="DY259" s="647">
        <v>2629</v>
      </c>
      <c r="DZ259" s="647">
        <f>414</f>
        <v>414</v>
      </c>
      <c r="EA259" s="655">
        <v>66</v>
      </c>
      <c r="EB259" s="647">
        <v>2629</v>
      </c>
      <c r="EC259" s="647">
        <f>414</f>
        <v>414</v>
      </c>
      <c r="ED259" s="655">
        <v>66</v>
      </c>
      <c r="EE259" s="647">
        <v>2629</v>
      </c>
      <c r="EF259" s="647">
        <f>414</f>
        <v>414</v>
      </c>
      <c r="EG259" s="655">
        <v>66</v>
      </c>
      <c r="EH259" s="647">
        <v>2629</v>
      </c>
      <c r="EI259" s="647">
        <f>414</f>
        <v>414</v>
      </c>
      <c r="EJ259" s="655">
        <v>66</v>
      </c>
      <c r="EK259" s="647">
        <v>2629</v>
      </c>
      <c r="EL259" s="647">
        <f>414</f>
        <v>414</v>
      </c>
      <c r="EM259" s="655">
        <v>66</v>
      </c>
      <c r="EN259" s="647">
        <v>2629</v>
      </c>
      <c r="EO259" s="647">
        <f>414</f>
        <v>414</v>
      </c>
      <c r="EP259" s="655">
        <v>66</v>
      </c>
      <c r="EQ259" s="647">
        <v>2629</v>
      </c>
      <c r="ER259" s="647">
        <f>414</f>
        <v>414</v>
      </c>
      <c r="ES259" s="655">
        <v>66</v>
      </c>
      <c r="ET259" s="647">
        <v>2629</v>
      </c>
      <c r="EU259" s="647">
        <f>414</f>
        <v>414</v>
      </c>
      <c r="EV259" s="655">
        <v>66</v>
      </c>
      <c r="EW259" s="647">
        <v>2629</v>
      </c>
      <c r="EX259" s="647">
        <f>414</f>
        <v>414</v>
      </c>
      <c r="EY259" s="655">
        <v>66</v>
      </c>
      <c r="EZ259" s="647">
        <v>2629</v>
      </c>
      <c r="FA259" s="647">
        <f>414</f>
        <v>414</v>
      </c>
      <c r="FB259" s="655">
        <v>66</v>
      </c>
      <c r="FC259" s="647">
        <v>2629</v>
      </c>
      <c r="FD259" s="647">
        <f>414</f>
        <v>414</v>
      </c>
      <c r="FE259" s="655">
        <v>66</v>
      </c>
      <c r="FF259" s="647">
        <v>2629</v>
      </c>
      <c r="FG259" s="647">
        <f>414</f>
        <v>414</v>
      </c>
      <c r="FH259" s="655">
        <v>66</v>
      </c>
      <c r="FI259" s="647">
        <v>2629</v>
      </c>
      <c r="FJ259" s="647">
        <f>414</f>
        <v>414</v>
      </c>
      <c r="FK259" s="655">
        <v>66</v>
      </c>
      <c r="FL259" s="647">
        <v>2629</v>
      </c>
      <c r="FM259" s="647">
        <f>414</f>
        <v>414</v>
      </c>
      <c r="FN259" s="655">
        <v>66</v>
      </c>
      <c r="FO259" s="647">
        <v>2629</v>
      </c>
      <c r="FP259" s="647">
        <f>414</f>
        <v>414</v>
      </c>
      <c r="FQ259" s="655">
        <v>66</v>
      </c>
      <c r="FR259" s="647">
        <v>2629</v>
      </c>
      <c r="FS259" s="647">
        <f>414</f>
        <v>414</v>
      </c>
      <c r="FT259" s="655">
        <v>66</v>
      </c>
      <c r="FU259" s="647">
        <v>2629</v>
      </c>
      <c r="FV259" s="647">
        <f>414</f>
        <v>414</v>
      </c>
      <c r="FW259" s="655">
        <v>66</v>
      </c>
      <c r="FX259" s="647">
        <v>2629</v>
      </c>
      <c r="FY259" s="647">
        <f>414</f>
        <v>414</v>
      </c>
      <c r="FZ259" s="655">
        <v>66</v>
      </c>
      <c r="GA259" s="647">
        <v>2629</v>
      </c>
      <c r="GB259" s="647">
        <f>414</f>
        <v>414</v>
      </c>
      <c r="GC259" s="655">
        <v>66</v>
      </c>
      <c r="GD259" s="647">
        <v>2629</v>
      </c>
      <c r="GE259" s="647">
        <f>414</f>
        <v>414</v>
      </c>
      <c r="GF259" s="655">
        <v>66</v>
      </c>
      <c r="GG259" s="647">
        <v>2629</v>
      </c>
      <c r="GH259" s="647">
        <f>414</f>
        <v>414</v>
      </c>
      <c r="GI259" s="655">
        <v>66</v>
      </c>
      <c r="GJ259" s="647">
        <v>2629</v>
      </c>
      <c r="GK259" s="647">
        <f>414</f>
        <v>414</v>
      </c>
      <c r="GL259" s="655">
        <v>66</v>
      </c>
      <c r="GM259" s="647">
        <v>2629</v>
      </c>
      <c r="GN259" s="647">
        <f>414</f>
        <v>414</v>
      </c>
      <c r="GO259" s="655">
        <v>66</v>
      </c>
      <c r="GP259" s="647">
        <v>2629</v>
      </c>
      <c r="GQ259" s="647">
        <f>414</f>
        <v>414</v>
      </c>
      <c r="GR259" s="655">
        <v>66</v>
      </c>
      <c r="GS259" s="647">
        <v>2629</v>
      </c>
      <c r="GT259" s="647">
        <f>414</f>
        <v>414</v>
      </c>
      <c r="GU259" s="655">
        <v>66</v>
      </c>
      <c r="GV259" s="647">
        <v>2629</v>
      </c>
      <c r="GW259" s="647">
        <f>414</f>
        <v>414</v>
      </c>
      <c r="GX259" s="655">
        <v>66</v>
      </c>
      <c r="GY259" s="647">
        <v>2629</v>
      </c>
      <c r="GZ259" s="647">
        <f>414</f>
        <v>414</v>
      </c>
      <c r="HA259" s="655">
        <v>66</v>
      </c>
      <c r="HB259" s="647">
        <v>2629</v>
      </c>
      <c r="HC259" s="647">
        <f>414</f>
        <v>414</v>
      </c>
      <c r="HD259" s="655">
        <v>66</v>
      </c>
      <c r="HE259" s="647">
        <v>2629</v>
      </c>
      <c r="HF259" s="648">
        <f>(414/30.5)*152</f>
        <v>2063.2131147540986</v>
      </c>
      <c r="HG259" s="517">
        <v>66</v>
      </c>
      <c r="HH259" s="647">
        <v>2629</v>
      </c>
      <c r="HI259" s="655"/>
      <c r="HJ259" s="647">
        <v>2629</v>
      </c>
      <c r="HK259" s="655"/>
      <c r="HL259" s="647">
        <v>2629</v>
      </c>
      <c r="HM259" s="655"/>
      <c r="HN259" s="648">
        <v>2585.9016393442625</v>
      </c>
      <c r="HO259" s="517"/>
      <c r="HP259" s="567"/>
      <c r="HQ259" s="567"/>
      <c r="HR259" s="567"/>
      <c r="HS259" s="567"/>
      <c r="HT259" s="567"/>
      <c r="HU259" s="567"/>
      <c r="HV259" s="567"/>
      <c r="HW259" s="567"/>
      <c r="HX259" s="587"/>
      <c r="HY259" s="587"/>
      <c r="HZ259" s="587"/>
      <c r="IA259" s="587"/>
      <c r="IB259" s="587"/>
      <c r="IC259" s="587"/>
      <c r="ID259" s="587"/>
      <c r="IE259" s="587"/>
      <c r="IF259" s="587"/>
      <c r="IG259" s="587"/>
      <c r="IH259" s="588"/>
      <c r="II259" s="589"/>
      <c r="IJ259" s="588"/>
      <c r="IK259" s="589"/>
      <c r="IL259" s="588"/>
      <c r="IM259" s="589"/>
      <c r="IN259" s="588"/>
      <c r="IO259" s="589"/>
      <c r="IP259" s="588"/>
      <c r="IQ259" s="589"/>
      <c r="IR259" s="601" t="s">
        <v>3462</v>
      </c>
      <c r="IS259" s="587" t="s">
        <v>77</v>
      </c>
      <c r="IT259" s="611">
        <v>43861</v>
      </c>
      <c r="IU259" s="518">
        <v>43891</v>
      </c>
      <c r="IV259" s="552"/>
      <c r="IW259" s="526">
        <f t="shared" si="27"/>
        <v>30</v>
      </c>
      <c r="IX259" s="621">
        <f t="shared" si="30"/>
        <v>84.783660306369271</v>
      </c>
      <c r="IY259" s="621">
        <v>2585.9016393442625</v>
      </c>
    </row>
    <row r="260" spans="1:259" s="367" customFormat="1" ht="16.5" customHeight="1" x14ac:dyDescent="0.3">
      <c r="A260" s="526" t="s">
        <v>2758</v>
      </c>
      <c r="B260" s="682" t="s">
        <v>2751</v>
      </c>
      <c r="C260" s="661" t="s">
        <v>2537</v>
      </c>
      <c r="D260" s="662">
        <v>1071</v>
      </c>
      <c r="E260" s="516">
        <v>42</v>
      </c>
      <c r="F260" s="516">
        <v>0</v>
      </c>
      <c r="G260" s="516">
        <v>5</v>
      </c>
      <c r="H260" s="663">
        <v>0</v>
      </c>
      <c r="I260" s="844">
        <v>1113</v>
      </c>
      <c r="J260" s="844">
        <v>5</v>
      </c>
      <c r="K260" s="600"/>
      <c r="L260" s="606">
        <v>1113</v>
      </c>
      <c r="M260" s="844">
        <v>5</v>
      </c>
      <c r="N260" s="600"/>
      <c r="O260" s="606">
        <v>1113</v>
      </c>
      <c r="P260" s="844">
        <v>5</v>
      </c>
      <c r="Q260" s="600"/>
      <c r="R260" s="606">
        <v>1113</v>
      </c>
      <c r="S260" s="844">
        <v>5</v>
      </c>
      <c r="T260" s="600"/>
      <c r="U260" s="606">
        <v>1113</v>
      </c>
      <c r="V260" s="844">
        <v>5</v>
      </c>
      <c r="W260" s="600"/>
      <c r="X260" s="606">
        <v>1113</v>
      </c>
      <c r="Y260" s="844">
        <v>5</v>
      </c>
      <c r="Z260" s="600"/>
      <c r="AA260" s="606">
        <v>1113</v>
      </c>
      <c r="AB260" s="844">
        <v>5</v>
      </c>
      <c r="AC260" s="600"/>
      <c r="AD260" s="606">
        <v>1113</v>
      </c>
      <c r="AE260" s="844">
        <v>5</v>
      </c>
      <c r="AF260" s="600"/>
      <c r="AG260" s="606">
        <v>1113</v>
      </c>
      <c r="AH260" s="844">
        <v>5</v>
      </c>
      <c r="AI260" s="600"/>
      <c r="AJ260" s="606">
        <v>1113</v>
      </c>
      <c r="AK260" s="844">
        <v>5</v>
      </c>
      <c r="AL260" s="600"/>
      <c r="AM260" s="606">
        <v>1113</v>
      </c>
      <c r="AN260" s="844">
        <v>5</v>
      </c>
      <c r="AO260" s="600"/>
      <c r="AP260" s="606">
        <v>1113</v>
      </c>
      <c r="AQ260" s="844">
        <v>5</v>
      </c>
      <c r="AR260" s="600"/>
      <c r="AS260" s="606">
        <v>1113</v>
      </c>
      <c r="AT260" s="844">
        <v>5</v>
      </c>
      <c r="AU260" s="600"/>
      <c r="AV260" s="845">
        <f>((1113-254)/30.5)*26+1113</f>
        <v>1845.2622950819673</v>
      </c>
      <c r="AW260" s="866">
        <f>((5/30.5)*26+5)</f>
        <v>9.2622950819672134</v>
      </c>
      <c r="AX260" s="600"/>
      <c r="AY260" s="855">
        <v>254</v>
      </c>
      <c r="AZ260" s="600"/>
      <c r="BA260" s="600"/>
      <c r="BB260" s="647">
        <v>254</v>
      </c>
      <c r="BC260" s="600"/>
      <c r="BD260" s="600"/>
      <c r="BE260" s="647">
        <v>254</v>
      </c>
      <c r="BF260" s="600"/>
      <c r="BG260" s="600"/>
      <c r="BH260" s="647">
        <v>254</v>
      </c>
      <c r="BI260" s="647"/>
      <c r="BJ260" s="655"/>
      <c r="BK260" s="647">
        <v>254</v>
      </c>
      <c r="BL260" s="647"/>
      <c r="BM260" s="655"/>
      <c r="BN260" s="647">
        <v>254</v>
      </c>
      <c r="BO260" s="647"/>
      <c r="BP260" s="655"/>
      <c r="BQ260" s="647">
        <v>254</v>
      </c>
      <c r="BR260" s="647"/>
      <c r="BS260" s="655"/>
      <c r="BT260" s="647">
        <v>254</v>
      </c>
      <c r="BU260" s="647"/>
      <c r="BV260" s="655"/>
      <c r="BW260" s="647">
        <v>254</v>
      </c>
      <c r="BX260" s="647"/>
      <c r="BY260" s="655"/>
      <c r="BZ260" s="647">
        <v>254</v>
      </c>
      <c r="CA260" s="647"/>
      <c r="CB260" s="655"/>
      <c r="CC260" s="647">
        <v>254</v>
      </c>
      <c r="CD260" s="647"/>
      <c r="CE260" s="655"/>
      <c r="CF260" s="647">
        <v>254</v>
      </c>
      <c r="CG260" s="647"/>
      <c r="CH260" s="655"/>
      <c r="CI260" s="647">
        <v>254</v>
      </c>
      <c r="CJ260" s="647"/>
      <c r="CK260" s="655"/>
      <c r="CL260" s="647">
        <v>254</v>
      </c>
      <c r="CM260" s="647"/>
      <c r="CN260" s="655"/>
      <c r="CO260" s="647">
        <v>254</v>
      </c>
      <c r="CP260" s="647"/>
      <c r="CQ260" s="655"/>
      <c r="CR260" s="647">
        <v>254</v>
      </c>
      <c r="CS260" s="647"/>
      <c r="CT260" s="655"/>
      <c r="CU260" s="647">
        <v>254</v>
      </c>
      <c r="CV260" s="647"/>
      <c r="CW260" s="655"/>
      <c r="CX260" s="647">
        <v>254</v>
      </c>
      <c r="CY260" s="647"/>
      <c r="CZ260" s="655"/>
      <c r="DA260" s="647">
        <v>254</v>
      </c>
      <c r="DB260" s="647"/>
      <c r="DC260" s="655"/>
      <c r="DD260" s="647">
        <v>254</v>
      </c>
      <c r="DE260" s="647"/>
      <c r="DF260" s="655"/>
      <c r="DG260" s="647">
        <v>254</v>
      </c>
      <c r="DH260" s="647"/>
      <c r="DI260" s="655"/>
      <c r="DJ260" s="647">
        <v>254</v>
      </c>
      <c r="DK260" s="647"/>
      <c r="DL260" s="655"/>
      <c r="DM260" s="647">
        <v>254</v>
      </c>
      <c r="DN260" s="647"/>
      <c r="DO260" s="655"/>
      <c r="DP260" s="647">
        <v>254</v>
      </c>
      <c r="DQ260" s="647"/>
      <c r="DR260" s="655"/>
      <c r="DS260" s="647">
        <v>254</v>
      </c>
      <c r="DT260" s="647"/>
      <c r="DU260" s="655"/>
      <c r="DV260" s="647">
        <v>254</v>
      </c>
      <c r="DW260" s="647"/>
      <c r="DX260" s="655"/>
      <c r="DY260" s="647">
        <v>254</v>
      </c>
      <c r="DZ260" s="647"/>
      <c r="EA260" s="655"/>
      <c r="EB260" s="647">
        <v>254</v>
      </c>
      <c r="EC260" s="647"/>
      <c r="ED260" s="655"/>
      <c r="EE260" s="647">
        <v>254</v>
      </c>
      <c r="EF260" s="647"/>
      <c r="EG260" s="655"/>
      <c r="EH260" s="647">
        <v>254</v>
      </c>
      <c r="EI260" s="647"/>
      <c r="EJ260" s="655"/>
      <c r="EK260" s="647">
        <v>254</v>
      </c>
      <c r="EL260" s="647"/>
      <c r="EM260" s="655"/>
      <c r="EN260" s="647">
        <v>254</v>
      </c>
      <c r="EO260" s="647"/>
      <c r="EP260" s="655"/>
      <c r="EQ260" s="647">
        <v>254</v>
      </c>
      <c r="ER260" s="647"/>
      <c r="ES260" s="655"/>
      <c r="ET260" s="647">
        <v>254</v>
      </c>
      <c r="EU260" s="647"/>
      <c r="EV260" s="655"/>
      <c r="EW260" s="647">
        <v>254</v>
      </c>
      <c r="EX260" s="647"/>
      <c r="EY260" s="655"/>
      <c r="EZ260" s="647">
        <v>254</v>
      </c>
      <c r="FA260" s="647"/>
      <c r="FB260" s="655"/>
      <c r="FC260" s="647">
        <v>254</v>
      </c>
      <c r="FD260" s="647"/>
      <c r="FE260" s="655"/>
      <c r="FF260" s="647">
        <v>254</v>
      </c>
      <c r="FG260" s="647"/>
      <c r="FH260" s="655"/>
      <c r="FI260" s="647">
        <v>254</v>
      </c>
      <c r="FJ260" s="647"/>
      <c r="FK260" s="655"/>
      <c r="FL260" s="647">
        <v>254</v>
      </c>
      <c r="FM260" s="647"/>
      <c r="FN260" s="655"/>
      <c r="FO260" s="647">
        <v>254</v>
      </c>
      <c r="FP260" s="647"/>
      <c r="FQ260" s="655"/>
      <c r="FR260" s="647">
        <v>254</v>
      </c>
      <c r="FS260" s="647"/>
      <c r="FT260" s="655"/>
      <c r="FU260" s="647">
        <v>254</v>
      </c>
      <c r="FV260" s="647"/>
      <c r="FW260" s="655"/>
      <c r="FX260" s="647">
        <v>254</v>
      </c>
      <c r="FY260" s="647"/>
      <c r="FZ260" s="655"/>
      <c r="GA260" s="647">
        <v>254</v>
      </c>
      <c r="GB260" s="647"/>
      <c r="GC260" s="655"/>
      <c r="GD260" s="647">
        <v>254</v>
      </c>
      <c r="GE260" s="647"/>
      <c r="GF260" s="655"/>
      <c r="GG260" s="647">
        <v>254</v>
      </c>
      <c r="GH260" s="647"/>
      <c r="GI260" s="655"/>
      <c r="GJ260" s="647">
        <v>254</v>
      </c>
      <c r="GK260" s="647"/>
      <c r="GL260" s="655"/>
      <c r="GM260" s="647">
        <v>254</v>
      </c>
      <c r="GN260" s="647"/>
      <c r="GO260" s="655"/>
      <c r="GP260" s="647">
        <v>254</v>
      </c>
      <c r="GQ260" s="647"/>
      <c r="GR260" s="655"/>
      <c r="GS260" s="647">
        <v>254</v>
      </c>
      <c r="GT260" s="647"/>
      <c r="GU260" s="655"/>
      <c r="GV260" s="647">
        <v>254</v>
      </c>
      <c r="GW260" s="647"/>
      <c r="GX260" s="655"/>
      <c r="GY260" s="647">
        <v>254</v>
      </c>
      <c r="GZ260" s="647"/>
      <c r="HA260" s="655"/>
      <c r="HB260" s="647">
        <v>254</v>
      </c>
      <c r="HC260" s="647"/>
      <c r="HD260" s="655"/>
      <c r="HE260" s="647">
        <v>254</v>
      </c>
      <c r="HF260" s="647"/>
      <c r="HG260" s="655"/>
      <c r="HH260" s="647">
        <v>254</v>
      </c>
      <c r="HI260" s="655"/>
      <c r="HJ260" s="647">
        <v>254</v>
      </c>
      <c r="HK260" s="655"/>
      <c r="HL260" s="647">
        <v>254</v>
      </c>
      <c r="HM260" s="655"/>
      <c r="HN260" s="648">
        <v>316.4590163934426</v>
      </c>
      <c r="HO260" s="517"/>
      <c r="HP260" s="567"/>
      <c r="HQ260" s="567"/>
      <c r="HR260" s="567"/>
      <c r="HS260" s="567"/>
      <c r="HT260" s="567"/>
      <c r="HU260" s="567"/>
      <c r="HV260" s="567"/>
      <c r="HW260" s="567"/>
      <c r="HX260" s="587"/>
      <c r="HY260" s="587"/>
      <c r="HZ260" s="587"/>
      <c r="IA260" s="587"/>
      <c r="IB260" s="587"/>
      <c r="IC260" s="587"/>
      <c r="ID260" s="587"/>
      <c r="IE260" s="587"/>
      <c r="IF260" s="587"/>
      <c r="IG260" s="587"/>
      <c r="IH260" s="588"/>
      <c r="II260" s="589"/>
      <c r="IJ260" s="588"/>
      <c r="IK260" s="589"/>
      <c r="IL260" s="588"/>
      <c r="IM260" s="589"/>
      <c r="IN260" s="588"/>
      <c r="IO260" s="589"/>
      <c r="IP260" s="588"/>
      <c r="IQ260" s="589"/>
      <c r="IR260" s="601" t="s">
        <v>3463</v>
      </c>
      <c r="IS260" s="587" t="s">
        <v>77</v>
      </c>
      <c r="IT260" s="611">
        <v>43853</v>
      </c>
      <c r="IU260" s="518">
        <v>43891</v>
      </c>
      <c r="IV260" s="552"/>
      <c r="IW260" s="526">
        <f t="shared" si="27"/>
        <v>38</v>
      </c>
      <c r="IX260" s="621">
        <f t="shared" si="30"/>
        <v>10.375705455522708</v>
      </c>
      <c r="IY260" s="621">
        <v>316.4590163934426</v>
      </c>
    </row>
    <row r="261" spans="1:259" s="367" customFormat="1" ht="16.5" customHeight="1" x14ac:dyDescent="0.3">
      <c r="A261" s="526" t="s">
        <v>2735</v>
      </c>
      <c r="B261" s="594" t="s">
        <v>2877</v>
      </c>
      <c r="C261" s="595" t="s">
        <v>473</v>
      </c>
      <c r="D261" s="596">
        <v>738</v>
      </c>
      <c r="E261" s="597">
        <v>120</v>
      </c>
      <c r="F261" s="597">
        <v>16</v>
      </c>
      <c r="G261" s="597">
        <v>14</v>
      </c>
      <c r="H261" s="598">
        <v>36</v>
      </c>
      <c r="I261" s="911">
        <v>874</v>
      </c>
      <c r="J261" s="658">
        <v>14</v>
      </c>
      <c r="K261" s="658">
        <v>36</v>
      </c>
      <c r="L261" s="677">
        <v>874</v>
      </c>
      <c r="M261" s="658">
        <v>14</v>
      </c>
      <c r="N261" s="658">
        <v>36</v>
      </c>
      <c r="O261" s="677">
        <v>874</v>
      </c>
      <c r="P261" s="658">
        <v>14</v>
      </c>
      <c r="Q261" s="658">
        <v>36</v>
      </c>
      <c r="R261" s="677">
        <v>874</v>
      </c>
      <c r="S261" s="658">
        <v>14</v>
      </c>
      <c r="T261" s="658">
        <v>36</v>
      </c>
      <c r="U261" s="677">
        <v>874</v>
      </c>
      <c r="V261" s="658">
        <v>14</v>
      </c>
      <c r="W261" s="658">
        <v>36</v>
      </c>
      <c r="X261" s="677">
        <v>874</v>
      </c>
      <c r="Y261" s="658">
        <v>14</v>
      </c>
      <c r="Z261" s="658">
        <v>36</v>
      </c>
      <c r="AA261" s="677">
        <v>874</v>
      </c>
      <c r="AB261" s="658">
        <v>14</v>
      </c>
      <c r="AC261" s="658">
        <v>36</v>
      </c>
      <c r="AD261" s="677">
        <v>874</v>
      </c>
      <c r="AE261" s="658">
        <v>14</v>
      </c>
      <c r="AF261" s="658">
        <v>36</v>
      </c>
      <c r="AG261" s="677">
        <v>874</v>
      </c>
      <c r="AH261" s="658">
        <v>14</v>
      </c>
      <c r="AI261" s="658">
        <v>36</v>
      </c>
      <c r="AJ261" s="677">
        <v>874</v>
      </c>
      <c r="AK261" s="658">
        <v>14</v>
      </c>
      <c r="AL261" s="658">
        <v>36</v>
      </c>
      <c r="AM261" s="677">
        <v>874</v>
      </c>
      <c r="AN261" s="658">
        <v>14</v>
      </c>
      <c r="AO261" s="658">
        <v>36</v>
      </c>
      <c r="AP261" s="677">
        <v>874</v>
      </c>
      <c r="AQ261" s="658">
        <v>14</v>
      </c>
      <c r="AR261" s="658">
        <v>36</v>
      </c>
      <c r="AS261" s="677">
        <v>874</v>
      </c>
      <c r="AT261" s="658">
        <v>14</v>
      </c>
      <c r="AU261" s="658">
        <v>36</v>
      </c>
      <c r="AV261" s="677">
        <v>874</v>
      </c>
      <c r="AW261" s="658">
        <v>14</v>
      </c>
      <c r="AX261" s="658">
        <v>36</v>
      </c>
      <c r="AY261" s="597">
        <v>874</v>
      </c>
      <c r="AZ261" s="600">
        <v>14</v>
      </c>
      <c r="BA261" s="600">
        <v>36</v>
      </c>
      <c r="BB261" s="647">
        <v>874</v>
      </c>
      <c r="BC261" s="600">
        <v>14</v>
      </c>
      <c r="BD261" s="600">
        <v>36</v>
      </c>
      <c r="BE261" s="647">
        <v>874</v>
      </c>
      <c r="BF261" s="600">
        <v>14</v>
      </c>
      <c r="BG261" s="600">
        <v>36</v>
      </c>
      <c r="BH261" s="647">
        <v>874</v>
      </c>
      <c r="BI261" s="647">
        <v>14</v>
      </c>
      <c r="BJ261" s="647">
        <v>36</v>
      </c>
      <c r="BK261" s="647">
        <v>874</v>
      </c>
      <c r="BL261" s="647">
        <v>14</v>
      </c>
      <c r="BM261" s="647">
        <v>36</v>
      </c>
      <c r="BN261" s="647">
        <v>874</v>
      </c>
      <c r="BO261" s="647">
        <v>14</v>
      </c>
      <c r="BP261" s="647">
        <v>36</v>
      </c>
      <c r="BQ261" s="647">
        <v>874</v>
      </c>
      <c r="BR261" s="647">
        <v>14</v>
      </c>
      <c r="BS261" s="647">
        <v>36</v>
      </c>
      <c r="BT261" s="647">
        <v>874</v>
      </c>
      <c r="BU261" s="647">
        <v>14</v>
      </c>
      <c r="BV261" s="647">
        <v>36</v>
      </c>
      <c r="BW261" s="647">
        <v>874</v>
      </c>
      <c r="BX261" s="647">
        <v>14</v>
      </c>
      <c r="BY261" s="647">
        <v>36</v>
      </c>
      <c r="BZ261" s="647">
        <v>874</v>
      </c>
      <c r="CA261" s="647">
        <v>14</v>
      </c>
      <c r="CB261" s="647">
        <v>36</v>
      </c>
      <c r="CC261" s="647">
        <v>874</v>
      </c>
      <c r="CD261" s="647">
        <v>14</v>
      </c>
      <c r="CE261" s="647">
        <v>36</v>
      </c>
      <c r="CF261" s="647">
        <v>874</v>
      </c>
      <c r="CG261" s="647">
        <v>14</v>
      </c>
      <c r="CH261" s="647">
        <v>36</v>
      </c>
      <c r="CI261" s="647">
        <v>874</v>
      </c>
      <c r="CJ261" s="647">
        <v>14</v>
      </c>
      <c r="CK261" s="647">
        <v>36</v>
      </c>
      <c r="CL261" s="647">
        <v>874</v>
      </c>
      <c r="CM261" s="647">
        <v>14</v>
      </c>
      <c r="CN261" s="647">
        <v>36</v>
      </c>
      <c r="CO261" s="647">
        <v>874</v>
      </c>
      <c r="CP261" s="647">
        <v>14</v>
      </c>
      <c r="CQ261" s="647">
        <v>36</v>
      </c>
      <c r="CR261" s="647">
        <v>874</v>
      </c>
      <c r="CS261" s="647">
        <v>14</v>
      </c>
      <c r="CT261" s="647">
        <v>36</v>
      </c>
      <c r="CU261" s="647">
        <v>874</v>
      </c>
      <c r="CV261" s="647">
        <v>14</v>
      </c>
      <c r="CW261" s="647">
        <v>36</v>
      </c>
      <c r="CX261" s="647">
        <v>874</v>
      </c>
      <c r="CY261" s="647">
        <v>14</v>
      </c>
      <c r="CZ261" s="647">
        <v>36</v>
      </c>
      <c r="DA261" s="647">
        <v>874</v>
      </c>
      <c r="DB261" s="647">
        <v>14</v>
      </c>
      <c r="DC261" s="647">
        <v>36</v>
      </c>
      <c r="DD261" s="647">
        <v>874</v>
      </c>
      <c r="DE261" s="647">
        <v>14</v>
      </c>
      <c r="DF261" s="647">
        <v>36</v>
      </c>
      <c r="DG261" s="647">
        <v>874</v>
      </c>
      <c r="DH261" s="647">
        <v>14</v>
      </c>
      <c r="DI261" s="647">
        <v>36</v>
      </c>
      <c r="DJ261" s="647">
        <v>874</v>
      </c>
      <c r="DK261" s="647">
        <v>14</v>
      </c>
      <c r="DL261" s="647">
        <v>36</v>
      </c>
      <c r="DM261" s="647">
        <v>874</v>
      </c>
      <c r="DN261" s="647">
        <v>14</v>
      </c>
      <c r="DO261" s="647">
        <v>36</v>
      </c>
      <c r="DP261" s="647">
        <v>874</v>
      </c>
      <c r="DQ261" s="647">
        <v>14</v>
      </c>
      <c r="DR261" s="647">
        <v>36</v>
      </c>
      <c r="DS261" s="647">
        <v>874</v>
      </c>
      <c r="DT261" s="647">
        <v>14</v>
      </c>
      <c r="DU261" s="647">
        <v>36</v>
      </c>
      <c r="DV261" s="647">
        <v>874</v>
      </c>
      <c r="DW261" s="647">
        <v>14</v>
      </c>
      <c r="DX261" s="647">
        <v>36</v>
      </c>
      <c r="DY261" s="647">
        <v>874</v>
      </c>
      <c r="DZ261" s="647">
        <v>14</v>
      </c>
      <c r="EA261" s="647">
        <v>36</v>
      </c>
      <c r="EB261" s="647">
        <v>874</v>
      </c>
      <c r="EC261" s="647">
        <v>14</v>
      </c>
      <c r="ED261" s="647">
        <v>36</v>
      </c>
      <c r="EE261" s="647">
        <v>874</v>
      </c>
      <c r="EF261" s="647">
        <v>14</v>
      </c>
      <c r="EG261" s="647">
        <v>36</v>
      </c>
      <c r="EH261" s="648">
        <f>(((874/30.5)*21)-((2266/30.5)*21)+874)</f>
        <v>-84.426229508196911</v>
      </c>
      <c r="EI261" s="648">
        <f>(((14/30.5)*21)-((108/30.5)*21)+14)</f>
        <v>-50.721311475409834</v>
      </c>
      <c r="EJ261" s="648">
        <f>(((36/30.5)*21)-((66/30.5)*21)+36)</f>
        <v>15.344262295081965</v>
      </c>
      <c r="EK261" s="647">
        <v>2266</v>
      </c>
      <c r="EL261" s="647">
        <f>108</f>
        <v>108</v>
      </c>
      <c r="EM261" s="655">
        <v>66</v>
      </c>
      <c r="EN261" s="647">
        <v>2266</v>
      </c>
      <c r="EO261" s="647">
        <f>108</f>
        <v>108</v>
      </c>
      <c r="EP261" s="655">
        <v>66</v>
      </c>
      <c r="EQ261" s="647">
        <v>2266</v>
      </c>
      <c r="ER261" s="647">
        <f>108</f>
        <v>108</v>
      </c>
      <c r="ES261" s="655">
        <v>66</v>
      </c>
      <c r="ET261" s="647">
        <v>2266</v>
      </c>
      <c r="EU261" s="647">
        <f>108</f>
        <v>108</v>
      </c>
      <c r="EV261" s="655">
        <v>66</v>
      </c>
      <c r="EW261" s="647">
        <v>2266</v>
      </c>
      <c r="EX261" s="647">
        <f>108</f>
        <v>108</v>
      </c>
      <c r="EY261" s="655">
        <v>66</v>
      </c>
      <c r="EZ261" s="647">
        <v>2266</v>
      </c>
      <c r="FA261" s="647">
        <f>108</f>
        <v>108</v>
      </c>
      <c r="FB261" s="655">
        <v>66</v>
      </c>
      <c r="FC261" s="647">
        <v>2266</v>
      </c>
      <c r="FD261" s="647">
        <f>108</f>
        <v>108</v>
      </c>
      <c r="FE261" s="655">
        <v>66</v>
      </c>
      <c r="FF261" s="647">
        <v>2266</v>
      </c>
      <c r="FG261" s="647">
        <f>108</f>
        <v>108</v>
      </c>
      <c r="FH261" s="655">
        <v>66</v>
      </c>
      <c r="FI261" s="647">
        <v>2266</v>
      </c>
      <c r="FJ261" s="647">
        <f>108</f>
        <v>108</v>
      </c>
      <c r="FK261" s="655">
        <v>66</v>
      </c>
      <c r="FL261" s="647">
        <v>2266</v>
      </c>
      <c r="FM261" s="647">
        <f>108</f>
        <v>108</v>
      </c>
      <c r="FN261" s="655">
        <v>66</v>
      </c>
      <c r="FO261" s="647">
        <v>2266</v>
      </c>
      <c r="FP261" s="647">
        <f>108</f>
        <v>108</v>
      </c>
      <c r="FQ261" s="655">
        <v>66</v>
      </c>
      <c r="FR261" s="647">
        <v>2266</v>
      </c>
      <c r="FS261" s="647">
        <f>108</f>
        <v>108</v>
      </c>
      <c r="FT261" s="655">
        <v>66</v>
      </c>
      <c r="FU261" s="647">
        <v>2266</v>
      </c>
      <c r="FV261" s="647">
        <f>108</f>
        <v>108</v>
      </c>
      <c r="FW261" s="655">
        <v>66</v>
      </c>
      <c r="FX261" s="647">
        <v>2266</v>
      </c>
      <c r="FY261" s="647">
        <f>108</f>
        <v>108</v>
      </c>
      <c r="FZ261" s="655">
        <v>66</v>
      </c>
      <c r="GA261" s="647">
        <v>2266</v>
      </c>
      <c r="GB261" s="647">
        <f>108</f>
        <v>108</v>
      </c>
      <c r="GC261" s="655">
        <v>66</v>
      </c>
      <c r="GD261" s="647">
        <v>2266</v>
      </c>
      <c r="GE261" s="647">
        <f>108</f>
        <v>108</v>
      </c>
      <c r="GF261" s="655">
        <v>66</v>
      </c>
      <c r="GG261" s="647">
        <v>2266</v>
      </c>
      <c r="GH261" s="647">
        <f>108</f>
        <v>108</v>
      </c>
      <c r="GI261" s="655">
        <v>66</v>
      </c>
      <c r="GJ261" s="647">
        <v>2266</v>
      </c>
      <c r="GK261" s="647">
        <f>108</f>
        <v>108</v>
      </c>
      <c r="GL261" s="655">
        <v>66</v>
      </c>
      <c r="GM261" s="647">
        <v>2266</v>
      </c>
      <c r="GN261" s="647">
        <f>108</f>
        <v>108</v>
      </c>
      <c r="GO261" s="655">
        <v>66</v>
      </c>
      <c r="GP261" s="647">
        <v>2266</v>
      </c>
      <c r="GQ261" s="647">
        <f>108</f>
        <v>108</v>
      </c>
      <c r="GR261" s="655">
        <v>66</v>
      </c>
      <c r="GS261" s="647">
        <v>2266</v>
      </c>
      <c r="GT261" s="647">
        <f>108</f>
        <v>108</v>
      </c>
      <c r="GU261" s="655">
        <v>66</v>
      </c>
      <c r="GV261" s="647">
        <v>2266</v>
      </c>
      <c r="GW261" s="647">
        <f>108</f>
        <v>108</v>
      </c>
      <c r="GX261" s="655">
        <v>66</v>
      </c>
      <c r="GY261" s="647">
        <v>2266</v>
      </c>
      <c r="GZ261" s="647">
        <f>108</f>
        <v>108</v>
      </c>
      <c r="HA261" s="655">
        <v>66</v>
      </c>
      <c r="HB261" s="647">
        <v>2266</v>
      </c>
      <c r="HC261" s="647">
        <f>108</f>
        <v>108</v>
      </c>
      <c r="HD261" s="655">
        <v>66</v>
      </c>
      <c r="HE261" s="647">
        <v>2266</v>
      </c>
      <c r="HF261" s="648">
        <f>(108/30.5)*153</f>
        <v>541.77049180327867</v>
      </c>
      <c r="HG261" s="655">
        <v>66</v>
      </c>
      <c r="HH261" s="647">
        <v>2266</v>
      </c>
      <c r="HI261" s="655">
        <v>66</v>
      </c>
      <c r="HJ261" s="647">
        <v>2266</v>
      </c>
      <c r="HK261" s="655">
        <v>66</v>
      </c>
      <c r="HL261" s="647">
        <v>2266</v>
      </c>
      <c r="HM261" s="655">
        <v>66</v>
      </c>
      <c r="HN261" s="648">
        <v>2303.1475409836066</v>
      </c>
      <c r="HO261" s="517">
        <v>66.690655737704901</v>
      </c>
      <c r="HP261" s="567"/>
      <c r="HQ261" s="567"/>
      <c r="HR261" s="567"/>
      <c r="HS261" s="567"/>
      <c r="HT261" s="567"/>
      <c r="HU261" s="567"/>
      <c r="HV261" s="567"/>
      <c r="HW261" s="567"/>
      <c r="HX261" s="587"/>
      <c r="HY261" s="587"/>
      <c r="HZ261" s="587"/>
      <c r="IA261" s="587"/>
      <c r="IB261" s="587"/>
      <c r="IC261" s="587"/>
      <c r="ID261" s="587"/>
      <c r="IE261" s="587"/>
      <c r="IF261" s="587"/>
      <c r="IG261" s="587"/>
      <c r="IH261" s="588"/>
      <c r="II261" s="589"/>
      <c r="IJ261" s="588"/>
      <c r="IK261" s="589"/>
      <c r="IL261" s="588"/>
      <c r="IM261" s="589"/>
      <c r="IN261" s="588"/>
      <c r="IO261" s="589"/>
      <c r="IP261" s="588"/>
      <c r="IQ261" s="589"/>
      <c r="IR261" s="601" t="s">
        <v>3464</v>
      </c>
      <c r="IS261" s="587" t="s">
        <v>77</v>
      </c>
      <c r="IT261" s="611">
        <v>43860</v>
      </c>
      <c r="IU261" s="518">
        <v>43891</v>
      </c>
      <c r="IV261" s="518">
        <v>44722</v>
      </c>
      <c r="IW261" s="526">
        <f t="shared" si="27"/>
        <v>31</v>
      </c>
      <c r="IX261" s="621">
        <f t="shared" si="30"/>
        <v>75.513034130610052</v>
      </c>
      <c r="IY261" s="621">
        <v>2303.1475409836066</v>
      </c>
    </row>
    <row r="262" spans="1:259" s="367" customFormat="1" ht="16.5" customHeight="1" x14ac:dyDescent="0.3">
      <c r="A262" s="526" t="s">
        <v>2758</v>
      </c>
      <c r="B262" s="683" t="s">
        <v>2867</v>
      </c>
      <c r="C262" s="661" t="s">
        <v>2647</v>
      </c>
      <c r="D262" s="662">
        <v>290</v>
      </c>
      <c r="E262" s="516">
        <v>12</v>
      </c>
      <c r="F262" s="516">
        <v>0</v>
      </c>
      <c r="G262" s="516">
        <v>0</v>
      </c>
      <c r="H262" s="663">
        <v>0</v>
      </c>
      <c r="I262" s="844">
        <v>302</v>
      </c>
      <c r="J262" s="600"/>
      <c r="K262" s="600"/>
      <c r="L262" s="606">
        <v>302</v>
      </c>
      <c r="M262" s="600"/>
      <c r="N262" s="600"/>
      <c r="O262" s="606">
        <v>302</v>
      </c>
      <c r="P262" s="600"/>
      <c r="Q262" s="600"/>
      <c r="R262" s="606">
        <v>302</v>
      </c>
      <c r="S262" s="600"/>
      <c r="T262" s="600"/>
      <c r="U262" s="606">
        <v>302</v>
      </c>
      <c r="V262" s="600"/>
      <c r="W262" s="600"/>
      <c r="X262" s="606">
        <v>302</v>
      </c>
      <c r="Y262" s="600"/>
      <c r="Z262" s="600"/>
      <c r="AA262" s="606">
        <v>302</v>
      </c>
      <c r="AB262" s="600"/>
      <c r="AC262" s="600"/>
      <c r="AD262" s="606">
        <v>302</v>
      </c>
      <c r="AE262" s="600"/>
      <c r="AF262" s="600"/>
      <c r="AG262" s="606">
        <v>302</v>
      </c>
      <c r="AH262" s="600"/>
      <c r="AI262" s="600"/>
      <c r="AJ262" s="606">
        <v>302</v>
      </c>
      <c r="AK262" s="600"/>
      <c r="AL262" s="600"/>
      <c r="AM262" s="606">
        <v>302</v>
      </c>
      <c r="AN262" s="600"/>
      <c r="AO262" s="600"/>
      <c r="AP262" s="606">
        <v>302</v>
      </c>
      <c r="AQ262" s="600"/>
      <c r="AR262" s="600"/>
      <c r="AS262" s="909">
        <f t="shared" ref="AS262:AS263" si="31">((320-254)/30.5)*31+302</f>
        <v>369.08196721311475</v>
      </c>
      <c r="AT262" s="600"/>
      <c r="AU262" s="600"/>
      <c r="AV262" s="597">
        <v>254</v>
      </c>
      <c r="AW262" s="600"/>
      <c r="AX262" s="600"/>
      <c r="AY262" s="597">
        <v>254</v>
      </c>
      <c r="AZ262" s="600"/>
      <c r="BA262" s="600"/>
      <c r="BB262" s="421">
        <v>254</v>
      </c>
      <c r="BC262" s="600"/>
      <c r="BD262" s="600"/>
      <c r="BE262" s="421">
        <v>254</v>
      </c>
      <c r="BF262" s="600"/>
      <c r="BG262" s="600"/>
      <c r="BH262" s="421">
        <v>254</v>
      </c>
      <c r="BI262" s="421"/>
      <c r="BJ262" s="587"/>
      <c r="BK262" s="421">
        <v>254</v>
      </c>
      <c r="BL262" s="421"/>
      <c r="BM262" s="587"/>
      <c r="BN262" s="421">
        <v>254</v>
      </c>
      <c r="BO262" s="421"/>
      <c r="BP262" s="587"/>
      <c r="BQ262" s="421">
        <v>254</v>
      </c>
      <c r="BR262" s="421"/>
      <c r="BS262" s="587"/>
      <c r="BT262" s="421">
        <v>254</v>
      </c>
      <c r="BU262" s="421"/>
      <c r="BV262" s="587"/>
      <c r="BW262" s="421">
        <v>254</v>
      </c>
      <c r="BX262" s="421"/>
      <c r="BY262" s="587"/>
      <c r="BZ262" s="421">
        <v>254</v>
      </c>
      <c r="CA262" s="421"/>
      <c r="CB262" s="587"/>
      <c r="CC262" s="421">
        <v>254</v>
      </c>
      <c r="CD262" s="421"/>
      <c r="CE262" s="587"/>
      <c r="CF262" s="421">
        <v>254</v>
      </c>
      <c r="CG262" s="421"/>
      <c r="CH262" s="587"/>
      <c r="CI262" s="421">
        <v>254</v>
      </c>
      <c r="CJ262" s="421"/>
      <c r="CK262" s="587"/>
      <c r="CL262" s="421">
        <v>254</v>
      </c>
      <c r="CM262" s="421"/>
      <c r="CN262" s="587"/>
      <c r="CO262" s="421">
        <v>254</v>
      </c>
      <c r="CP262" s="421"/>
      <c r="CQ262" s="587"/>
      <c r="CR262" s="421">
        <v>254</v>
      </c>
      <c r="CS262" s="421"/>
      <c r="CT262" s="587"/>
      <c r="CU262" s="421">
        <v>254</v>
      </c>
      <c r="CV262" s="421"/>
      <c r="CW262" s="587"/>
      <c r="CX262" s="421">
        <v>254</v>
      </c>
      <c r="CY262" s="421"/>
      <c r="CZ262" s="587"/>
      <c r="DA262" s="421">
        <v>254</v>
      </c>
      <c r="DB262" s="421"/>
      <c r="DC262" s="587"/>
      <c r="DD262" s="421">
        <v>254</v>
      </c>
      <c r="DE262" s="421"/>
      <c r="DF262" s="587"/>
      <c r="DG262" s="421">
        <v>254</v>
      </c>
      <c r="DH262" s="421"/>
      <c r="DI262" s="587"/>
      <c r="DJ262" s="421">
        <v>254</v>
      </c>
      <c r="DK262" s="421"/>
      <c r="DL262" s="587"/>
      <c r="DM262" s="421">
        <v>254</v>
      </c>
      <c r="DN262" s="421"/>
      <c r="DO262" s="587"/>
      <c r="DP262" s="421">
        <v>254</v>
      </c>
      <c r="DQ262" s="421"/>
      <c r="DR262" s="587"/>
      <c r="DS262" s="421">
        <v>254</v>
      </c>
      <c r="DT262" s="421"/>
      <c r="DU262" s="587"/>
      <c r="DV262" s="421">
        <v>254</v>
      </c>
      <c r="DW262" s="421"/>
      <c r="DX262" s="587"/>
      <c r="DY262" s="421">
        <v>254</v>
      </c>
      <c r="DZ262" s="421"/>
      <c r="EA262" s="587"/>
      <c r="EB262" s="421">
        <v>254</v>
      </c>
      <c r="EC262" s="421"/>
      <c r="ED262" s="587"/>
      <c r="EE262" s="421">
        <v>254</v>
      </c>
      <c r="EF262" s="421"/>
      <c r="EG262" s="587"/>
      <c r="EH262" s="421">
        <v>254</v>
      </c>
      <c r="EI262" s="421"/>
      <c r="EJ262" s="587"/>
      <c r="EK262" s="421">
        <v>254</v>
      </c>
      <c r="EL262" s="421"/>
      <c r="EM262" s="587"/>
      <c r="EN262" s="421">
        <v>254</v>
      </c>
      <c r="EO262" s="421"/>
      <c r="EP262" s="587"/>
      <c r="EQ262" s="421">
        <v>254</v>
      </c>
      <c r="ER262" s="421"/>
      <c r="ES262" s="587"/>
      <c r="ET262" s="421">
        <v>254</v>
      </c>
      <c r="EU262" s="421"/>
      <c r="EV262" s="587"/>
      <c r="EW262" s="421">
        <v>254</v>
      </c>
      <c r="EX262" s="421"/>
      <c r="EY262" s="587"/>
      <c r="EZ262" s="421">
        <v>254</v>
      </c>
      <c r="FA262" s="421"/>
      <c r="FB262" s="587"/>
      <c r="FC262" s="421">
        <v>254</v>
      </c>
      <c r="FD262" s="421"/>
      <c r="FE262" s="587"/>
      <c r="FF262" s="421">
        <v>254</v>
      </c>
      <c r="FG262" s="421"/>
      <c r="FH262" s="587"/>
      <c r="FI262" s="421">
        <v>254</v>
      </c>
      <c r="FJ262" s="421"/>
      <c r="FK262" s="587"/>
      <c r="FL262" s="421">
        <v>254</v>
      </c>
      <c r="FM262" s="421"/>
      <c r="FN262" s="587"/>
      <c r="FO262" s="421">
        <v>254</v>
      </c>
      <c r="FP262" s="421"/>
      <c r="FQ262" s="587"/>
      <c r="FR262" s="421">
        <v>254</v>
      </c>
      <c r="FS262" s="421"/>
      <c r="FT262" s="587"/>
      <c r="FU262" s="421">
        <v>254</v>
      </c>
      <c r="FV262" s="421"/>
      <c r="FW262" s="587"/>
      <c r="FX262" s="421">
        <v>254</v>
      </c>
      <c r="FY262" s="421"/>
      <c r="FZ262" s="587"/>
      <c r="GA262" s="421">
        <v>254</v>
      </c>
      <c r="GB262" s="421"/>
      <c r="GC262" s="587"/>
      <c r="GD262" s="421">
        <v>254</v>
      </c>
      <c r="GE262" s="421"/>
      <c r="GF262" s="587"/>
      <c r="GG262" s="421">
        <v>254</v>
      </c>
      <c r="GH262" s="421"/>
      <c r="GI262" s="587"/>
      <c r="GJ262" s="421">
        <v>254</v>
      </c>
      <c r="GK262" s="421"/>
      <c r="GL262" s="587"/>
      <c r="GM262" s="421">
        <v>254</v>
      </c>
      <c r="GN262" s="421"/>
      <c r="GO262" s="587"/>
      <c r="GP262" s="421">
        <v>254</v>
      </c>
      <c r="GQ262" s="421"/>
      <c r="GR262" s="587"/>
      <c r="GS262" s="421">
        <v>254</v>
      </c>
      <c r="GT262" s="421"/>
      <c r="GU262" s="587"/>
      <c r="GV262" s="421">
        <v>254</v>
      </c>
      <c r="GW262" s="421"/>
      <c r="GX262" s="587"/>
      <c r="GY262" s="421">
        <v>254</v>
      </c>
      <c r="GZ262" s="421"/>
      <c r="HA262" s="587"/>
      <c r="HB262" s="421">
        <v>254</v>
      </c>
      <c r="HC262" s="421"/>
      <c r="HD262" s="587"/>
      <c r="HE262" s="421">
        <v>254</v>
      </c>
      <c r="HF262" s="421"/>
      <c r="HG262" s="587"/>
      <c r="HH262" s="421">
        <v>254</v>
      </c>
      <c r="HI262" s="587"/>
      <c r="HJ262" s="421">
        <v>254</v>
      </c>
      <c r="HK262" s="587"/>
      <c r="HL262" s="684">
        <v>474.68852459016392</v>
      </c>
      <c r="HM262" s="587"/>
      <c r="HN262" s="567"/>
      <c r="HO262" s="567"/>
      <c r="HP262" s="567"/>
      <c r="HQ262" s="567"/>
      <c r="HR262" s="567"/>
      <c r="HS262" s="567"/>
      <c r="HT262" s="567"/>
      <c r="HU262" s="567"/>
      <c r="HV262" s="567"/>
      <c r="HW262" s="567"/>
      <c r="HX262" s="587"/>
      <c r="HY262" s="587"/>
      <c r="HZ262" s="587"/>
      <c r="IA262" s="587"/>
      <c r="IB262" s="587"/>
      <c r="IC262" s="587"/>
      <c r="ID262" s="587"/>
      <c r="IE262" s="587"/>
      <c r="IF262" s="587"/>
      <c r="IG262" s="587"/>
      <c r="IH262" s="588"/>
      <c r="II262" s="589"/>
      <c r="IJ262" s="588"/>
      <c r="IK262" s="589"/>
      <c r="IL262" s="588"/>
      <c r="IM262" s="589"/>
      <c r="IN262" s="588"/>
      <c r="IO262" s="589"/>
      <c r="IP262" s="588"/>
      <c r="IQ262" s="589"/>
      <c r="IR262" s="601" t="s">
        <v>2985</v>
      </c>
      <c r="IS262" s="587" t="s">
        <v>77</v>
      </c>
      <c r="IT262" s="611">
        <v>43865</v>
      </c>
      <c r="IU262" s="518">
        <v>43922</v>
      </c>
      <c r="IV262" s="552"/>
      <c r="IW262" s="526">
        <f t="shared" si="27"/>
        <v>57</v>
      </c>
      <c r="IX262" s="621">
        <f t="shared" ref="IX262:IX277" si="32">HL262/30.5</f>
        <v>15.563558183284062</v>
      </c>
      <c r="IY262" s="665">
        <v>474.68852459016392</v>
      </c>
    </row>
    <row r="263" spans="1:259" s="367" customFormat="1" ht="16.5" customHeight="1" x14ac:dyDescent="0.3">
      <c r="A263" s="526" t="s">
        <v>2758</v>
      </c>
      <c r="B263" s="683" t="s">
        <v>2867</v>
      </c>
      <c r="C263" s="685" t="s">
        <v>2639</v>
      </c>
      <c r="D263" s="686">
        <v>290</v>
      </c>
      <c r="E263" s="656">
        <v>12</v>
      </c>
      <c r="F263" s="656">
        <v>0</v>
      </c>
      <c r="G263" s="656">
        <v>0</v>
      </c>
      <c r="H263" s="687">
        <v>0</v>
      </c>
      <c r="I263" s="844">
        <v>302</v>
      </c>
      <c r="J263" s="600"/>
      <c r="K263" s="600"/>
      <c r="L263" s="606">
        <v>302</v>
      </c>
      <c r="M263" s="600"/>
      <c r="N263" s="600"/>
      <c r="O263" s="606">
        <v>302</v>
      </c>
      <c r="P263" s="600"/>
      <c r="Q263" s="600"/>
      <c r="R263" s="606">
        <v>302</v>
      </c>
      <c r="S263" s="600"/>
      <c r="T263" s="600"/>
      <c r="U263" s="606">
        <v>302</v>
      </c>
      <c r="V263" s="600"/>
      <c r="W263" s="600"/>
      <c r="X263" s="606">
        <v>302</v>
      </c>
      <c r="Y263" s="600"/>
      <c r="Z263" s="600"/>
      <c r="AA263" s="606">
        <v>302</v>
      </c>
      <c r="AB263" s="600"/>
      <c r="AC263" s="600"/>
      <c r="AD263" s="606">
        <v>302</v>
      </c>
      <c r="AE263" s="600"/>
      <c r="AF263" s="600"/>
      <c r="AG263" s="606">
        <v>302</v>
      </c>
      <c r="AH263" s="600"/>
      <c r="AI263" s="600"/>
      <c r="AJ263" s="606">
        <v>302</v>
      </c>
      <c r="AK263" s="600"/>
      <c r="AL263" s="600"/>
      <c r="AM263" s="606">
        <v>302</v>
      </c>
      <c r="AN263" s="600"/>
      <c r="AO263" s="600"/>
      <c r="AP263" s="606">
        <v>302</v>
      </c>
      <c r="AQ263" s="600"/>
      <c r="AR263" s="600"/>
      <c r="AS263" s="909">
        <f t="shared" si="31"/>
        <v>369.08196721311475</v>
      </c>
      <c r="AT263" s="600"/>
      <c r="AU263" s="600"/>
      <c r="AV263" s="597">
        <v>254</v>
      </c>
      <c r="AW263" s="600"/>
      <c r="AX263" s="600"/>
      <c r="AY263" s="597">
        <v>254</v>
      </c>
      <c r="AZ263" s="600"/>
      <c r="BA263" s="600"/>
      <c r="BB263" s="421">
        <v>254</v>
      </c>
      <c r="BC263" s="600"/>
      <c r="BD263" s="600"/>
      <c r="BE263" s="421">
        <v>254</v>
      </c>
      <c r="BF263" s="600"/>
      <c r="BG263" s="600"/>
      <c r="BH263" s="421">
        <v>254</v>
      </c>
      <c r="BI263" s="421"/>
      <c r="BJ263" s="587"/>
      <c r="BK263" s="421">
        <v>254</v>
      </c>
      <c r="BL263" s="421"/>
      <c r="BM263" s="587"/>
      <c r="BN263" s="421">
        <v>254</v>
      </c>
      <c r="BO263" s="421"/>
      <c r="BP263" s="587"/>
      <c r="BQ263" s="421">
        <v>254</v>
      </c>
      <c r="BR263" s="421"/>
      <c r="BS263" s="587"/>
      <c r="BT263" s="421">
        <v>254</v>
      </c>
      <c r="BU263" s="421"/>
      <c r="BV263" s="587"/>
      <c r="BW263" s="421">
        <v>254</v>
      </c>
      <c r="BX263" s="421"/>
      <c r="BY263" s="587"/>
      <c r="BZ263" s="421">
        <v>254</v>
      </c>
      <c r="CA263" s="421"/>
      <c r="CB263" s="587"/>
      <c r="CC263" s="421">
        <v>254</v>
      </c>
      <c r="CD263" s="421"/>
      <c r="CE263" s="587"/>
      <c r="CF263" s="421">
        <v>254</v>
      </c>
      <c r="CG263" s="421"/>
      <c r="CH263" s="587"/>
      <c r="CI263" s="421">
        <v>254</v>
      </c>
      <c r="CJ263" s="421"/>
      <c r="CK263" s="587"/>
      <c r="CL263" s="421">
        <v>254</v>
      </c>
      <c r="CM263" s="421"/>
      <c r="CN263" s="587"/>
      <c r="CO263" s="421">
        <v>254</v>
      </c>
      <c r="CP263" s="421"/>
      <c r="CQ263" s="587"/>
      <c r="CR263" s="421">
        <v>254</v>
      </c>
      <c r="CS263" s="421"/>
      <c r="CT263" s="587"/>
      <c r="CU263" s="421">
        <v>254</v>
      </c>
      <c r="CV263" s="421"/>
      <c r="CW263" s="587"/>
      <c r="CX263" s="421">
        <v>254</v>
      </c>
      <c r="CY263" s="421"/>
      <c r="CZ263" s="587"/>
      <c r="DA263" s="421">
        <v>254</v>
      </c>
      <c r="DB263" s="421"/>
      <c r="DC263" s="587"/>
      <c r="DD263" s="421">
        <v>254</v>
      </c>
      <c r="DE263" s="421"/>
      <c r="DF263" s="587"/>
      <c r="DG263" s="421">
        <v>254</v>
      </c>
      <c r="DH263" s="421"/>
      <c r="DI263" s="587"/>
      <c r="DJ263" s="421">
        <v>254</v>
      </c>
      <c r="DK263" s="421"/>
      <c r="DL263" s="587"/>
      <c r="DM263" s="421">
        <v>254</v>
      </c>
      <c r="DN263" s="421"/>
      <c r="DO263" s="587"/>
      <c r="DP263" s="421">
        <v>254</v>
      </c>
      <c r="DQ263" s="421"/>
      <c r="DR263" s="587"/>
      <c r="DS263" s="421">
        <v>254</v>
      </c>
      <c r="DT263" s="421"/>
      <c r="DU263" s="587"/>
      <c r="DV263" s="421">
        <v>254</v>
      </c>
      <c r="DW263" s="421"/>
      <c r="DX263" s="587"/>
      <c r="DY263" s="421">
        <v>254</v>
      </c>
      <c r="DZ263" s="421"/>
      <c r="EA263" s="587"/>
      <c r="EB263" s="421">
        <v>254</v>
      </c>
      <c r="EC263" s="421"/>
      <c r="ED263" s="587"/>
      <c r="EE263" s="421">
        <v>254</v>
      </c>
      <c r="EF263" s="421"/>
      <c r="EG263" s="587"/>
      <c r="EH263" s="421">
        <v>254</v>
      </c>
      <c r="EI263" s="421"/>
      <c r="EJ263" s="587"/>
      <c r="EK263" s="421">
        <v>254</v>
      </c>
      <c r="EL263" s="421"/>
      <c r="EM263" s="587"/>
      <c r="EN263" s="421">
        <v>254</v>
      </c>
      <c r="EO263" s="421"/>
      <c r="EP263" s="587"/>
      <c r="EQ263" s="421">
        <v>254</v>
      </c>
      <c r="ER263" s="421"/>
      <c r="ES263" s="587"/>
      <c r="ET263" s="421">
        <v>254</v>
      </c>
      <c r="EU263" s="421"/>
      <c r="EV263" s="587"/>
      <c r="EW263" s="421">
        <v>254</v>
      </c>
      <c r="EX263" s="421"/>
      <c r="EY263" s="587"/>
      <c r="EZ263" s="421">
        <v>254</v>
      </c>
      <c r="FA263" s="421"/>
      <c r="FB263" s="587"/>
      <c r="FC263" s="421">
        <v>254</v>
      </c>
      <c r="FD263" s="421"/>
      <c r="FE263" s="587"/>
      <c r="FF263" s="421">
        <v>254</v>
      </c>
      <c r="FG263" s="421"/>
      <c r="FH263" s="587"/>
      <c r="FI263" s="421">
        <v>254</v>
      </c>
      <c r="FJ263" s="421"/>
      <c r="FK263" s="587"/>
      <c r="FL263" s="421">
        <v>254</v>
      </c>
      <c r="FM263" s="421"/>
      <c r="FN263" s="587"/>
      <c r="FO263" s="421">
        <v>254</v>
      </c>
      <c r="FP263" s="421"/>
      <c r="FQ263" s="587"/>
      <c r="FR263" s="421">
        <v>254</v>
      </c>
      <c r="FS263" s="421"/>
      <c r="FT263" s="587"/>
      <c r="FU263" s="421">
        <v>254</v>
      </c>
      <c r="FV263" s="421"/>
      <c r="FW263" s="587"/>
      <c r="FX263" s="421">
        <v>254</v>
      </c>
      <c r="FY263" s="421"/>
      <c r="FZ263" s="587"/>
      <c r="GA263" s="421">
        <v>254</v>
      </c>
      <c r="GB263" s="421"/>
      <c r="GC263" s="587"/>
      <c r="GD263" s="421">
        <v>254</v>
      </c>
      <c r="GE263" s="421"/>
      <c r="GF263" s="587"/>
      <c r="GG263" s="421">
        <v>254</v>
      </c>
      <c r="GH263" s="421"/>
      <c r="GI263" s="587"/>
      <c r="GJ263" s="421">
        <v>254</v>
      </c>
      <c r="GK263" s="421"/>
      <c r="GL263" s="587"/>
      <c r="GM263" s="421">
        <v>254</v>
      </c>
      <c r="GN263" s="421"/>
      <c r="GO263" s="587"/>
      <c r="GP263" s="421">
        <v>254</v>
      </c>
      <c r="GQ263" s="421"/>
      <c r="GR263" s="587"/>
      <c r="GS263" s="421">
        <v>254</v>
      </c>
      <c r="GT263" s="421"/>
      <c r="GU263" s="587"/>
      <c r="GV263" s="421">
        <v>254</v>
      </c>
      <c r="GW263" s="421"/>
      <c r="GX263" s="587"/>
      <c r="GY263" s="421">
        <v>254</v>
      </c>
      <c r="GZ263" s="421"/>
      <c r="HA263" s="587"/>
      <c r="HB263" s="421">
        <v>254</v>
      </c>
      <c r="HC263" s="421"/>
      <c r="HD263" s="587"/>
      <c r="HE263" s="421">
        <v>254</v>
      </c>
      <c r="HF263" s="421"/>
      <c r="HG263" s="587"/>
      <c r="HH263" s="421">
        <v>254</v>
      </c>
      <c r="HI263" s="587"/>
      <c r="HJ263" s="421">
        <v>254</v>
      </c>
      <c r="HK263" s="587"/>
      <c r="HL263" s="684">
        <v>458.03278688524586</v>
      </c>
      <c r="HM263" s="587"/>
      <c r="HN263" s="567"/>
      <c r="HO263" s="567"/>
      <c r="HP263" s="567"/>
      <c r="HQ263" s="567"/>
      <c r="HR263" s="567"/>
      <c r="HS263" s="567"/>
      <c r="HT263" s="567"/>
      <c r="HU263" s="567"/>
      <c r="HV263" s="567"/>
      <c r="HW263" s="567"/>
      <c r="HX263" s="587"/>
      <c r="HY263" s="587"/>
      <c r="HZ263" s="587"/>
      <c r="IA263" s="587"/>
      <c r="IB263" s="587"/>
      <c r="IC263" s="587"/>
      <c r="ID263" s="587"/>
      <c r="IE263" s="587"/>
      <c r="IF263" s="587"/>
      <c r="IG263" s="587"/>
      <c r="IH263" s="588"/>
      <c r="II263" s="589"/>
      <c r="IJ263" s="588"/>
      <c r="IK263" s="589"/>
      <c r="IL263" s="588"/>
      <c r="IM263" s="589"/>
      <c r="IN263" s="588"/>
      <c r="IO263" s="589"/>
      <c r="IP263" s="588"/>
      <c r="IQ263" s="589"/>
      <c r="IR263" s="601" t="s">
        <v>3093</v>
      </c>
      <c r="IS263" s="587" t="s">
        <v>77</v>
      </c>
      <c r="IT263" s="611">
        <v>43867</v>
      </c>
      <c r="IU263" s="518">
        <v>43922</v>
      </c>
      <c r="IV263" s="552"/>
      <c r="IW263" s="526">
        <f t="shared" si="27"/>
        <v>55</v>
      </c>
      <c r="IX263" s="621">
        <f t="shared" si="32"/>
        <v>15.017468422467077</v>
      </c>
      <c r="IY263" s="665">
        <v>458.03278688524586</v>
      </c>
    </row>
    <row r="264" spans="1:259" s="367" customFormat="1" ht="16.5" customHeight="1" x14ac:dyDescent="0.3">
      <c r="A264" s="526" t="s">
        <v>3836</v>
      </c>
      <c r="B264" s="683" t="s">
        <v>2809</v>
      </c>
      <c r="C264" s="378" t="s">
        <v>2238</v>
      </c>
      <c r="D264" s="882">
        <f>(12*12)+645</f>
        <v>789</v>
      </c>
      <c r="E264" s="882">
        <v>24</v>
      </c>
      <c r="F264" s="882">
        <v>0</v>
      </c>
      <c r="G264" s="516">
        <v>0</v>
      </c>
      <c r="H264" s="516">
        <v>66</v>
      </c>
      <c r="I264" s="844">
        <v>657</v>
      </c>
      <c r="J264" s="600"/>
      <c r="K264" s="600">
        <v>66</v>
      </c>
      <c r="L264" s="606">
        <v>657</v>
      </c>
      <c r="M264" s="600"/>
      <c r="N264" s="600">
        <v>66</v>
      </c>
      <c r="O264" s="606">
        <v>657</v>
      </c>
      <c r="P264" s="600"/>
      <c r="Q264" s="600">
        <v>66</v>
      </c>
      <c r="R264" s="606">
        <v>657</v>
      </c>
      <c r="S264" s="600"/>
      <c r="T264" s="600">
        <v>66</v>
      </c>
      <c r="U264" s="606">
        <v>657</v>
      </c>
      <c r="V264" s="600"/>
      <c r="W264" s="600">
        <v>66</v>
      </c>
      <c r="X264" s="606">
        <v>657</v>
      </c>
      <c r="Y264" s="600"/>
      <c r="Z264" s="600">
        <v>66</v>
      </c>
      <c r="AA264" s="606">
        <v>657</v>
      </c>
      <c r="AB264" s="600"/>
      <c r="AC264" s="600">
        <v>66</v>
      </c>
      <c r="AD264" s="606">
        <v>657</v>
      </c>
      <c r="AE264" s="600"/>
      <c r="AF264" s="600">
        <v>66</v>
      </c>
      <c r="AG264" s="606">
        <v>657</v>
      </c>
      <c r="AH264" s="600"/>
      <c r="AI264" s="600">
        <v>66</v>
      </c>
      <c r="AJ264" s="606">
        <v>657</v>
      </c>
      <c r="AK264" s="600"/>
      <c r="AL264" s="600">
        <v>66</v>
      </c>
      <c r="AM264" s="606">
        <v>657</v>
      </c>
      <c r="AN264" s="600"/>
      <c r="AO264" s="600">
        <v>66</v>
      </c>
      <c r="AP264" s="606">
        <v>657</v>
      </c>
      <c r="AQ264" s="600"/>
      <c r="AR264" s="600">
        <v>66</v>
      </c>
      <c r="AS264" s="909">
        <f>((657-581)/30.5)*31+657</f>
        <v>734.24590163934431</v>
      </c>
      <c r="AT264" s="600"/>
      <c r="AU264" s="600">
        <v>66</v>
      </c>
      <c r="AV264" s="597">
        <v>581</v>
      </c>
      <c r="AW264" s="600"/>
      <c r="AX264" s="600">
        <v>66</v>
      </c>
      <c r="AY264" s="597">
        <v>581</v>
      </c>
      <c r="AZ264" s="600"/>
      <c r="BA264" s="600">
        <v>66</v>
      </c>
      <c r="BB264" s="421">
        <v>581</v>
      </c>
      <c r="BC264" s="600"/>
      <c r="BD264" s="600">
        <v>66</v>
      </c>
      <c r="BE264" s="421">
        <v>581</v>
      </c>
      <c r="BF264" s="600"/>
      <c r="BG264" s="600">
        <v>66</v>
      </c>
      <c r="BH264" s="421">
        <v>581</v>
      </c>
      <c r="BI264" s="421"/>
      <c r="BJ264" s="655">
        <v>66</v>
      </c>
      <c r="BK264" s="421">
        <v>581</v>
      </c>
      <c r="BL264" s="421"/>
      <c r="BM264" s="655">
        <v>66</v>
      </c>
      <c r="BN264" s="421">
        <v>581</v>
      </c>
      <c r="BO264" s="421"/>
      <c r="BP264" s="655">
        <v>66</v>
      </c>
      <c r="BQ264" s="421">
        <v>581</v>
      </c>
      <c r="BR264" s="421"/>
      <c r="BS264" s="655">
        <v>66</v>
      </c>
      <c r="BT264" s="421">
        <v>581</v>
      </c>
      <c r="BU264" s="421"/>
      <c r="BV264" s="655">
        <v>66</v>
      </c>
      <c r="BW264" s="421">
        <v>581</v>
      </c>
      <c r="BX264" s="421"/>
      <c r="BY264" s="655">
        <v>66</v>
      </c>
      <c r="BZ264" s="421">
        <v>581</v>
      </c>
      <c r="CA264" s="421"/>
      <c r="CB264" s="655">
        <v>66</v>
      </c>
      <c r="CC264" s="421">
        <v>581</v>
      </c>
      <c r="CD264" s="421"/>
      <c r="CE264" s="655">
        <v>66</v>
      </c>
      <c r="CF264" s="421">
        <v>581</v>
      </c>
      <c r="CG264" s="421"/>
      <c r="CH264" s="655">
        <v>66</v>
      </c>
      <c r="CI264" s="421">
        <v>581</v>
      </c>
      <c r="CJ264" s="421"/>
      <c r="CK264" s="655">
        <v>66</v>
      </c>
      <c r="CL264" s="421">
        <v>581</v>
      </c>
      <c r="CM264" s="421"/>
      <c r="CN264" s="655">
        <v>66</v>
      </c>
      <c r="CO264" s="421">
        <v>581</v>
      </c>
      <c r="CP264" s="421"/>
      <c r="CQ264" s="655">
        <v>66</v>
      </c>
      <c r="CR264" s="421">
        <v>581</v>
      </c>
      <c r="CS264" s="421"/>
      <c r="CT264" s="655">
        <v>66</v>
      </c>
      <c r="CU264" s="421">
        <v>581</v>
      </c>
      <c r="CV264" s="421"/>
      <c r="CW264" s="655">
        <v>66</v>
      </c>
      <c r="CX264" s="421">
        <v>581</v>
      </c>
      <c r="CY264" s="421"/>
      <c r="CZ264" s="655">
        <v>66</v>
      </c>
      <c r="DA264" s="421">
        <v>581</v>
      </c>
      <c r="DB264" s="421"/>
      <c r="DC264" s="655">
        <v>66</v>
      </c>
      <c r="DD264" s="421">
        <v>581</v>
      </c>
      <c r="DE264" s="421"/>
      <c r="DF264" s="655">
        <v>66</v>
      </c>
      <c r="DG264" s="421">
        <v>581</v>
      </c>
      <c r="DH264" s="421"/>
      <c r="DI264" s="655">
        <v>66</v>
      </c>
      <c r="DJ264" s="421">
        <v>581</v>
      </c>
      <c r="DK264" s="421"/>
      <c r="DL264" s="655">
        <v>66</v>
      </c>
      <c r="DM264" s="421">
        <v>581</v>
      </c>
      <c r="DN264" s="421"/>
      <c r="DO264" s="655">
        <v>66</v>
      </c>
      <c r="DP264" s="421">
        <v>581</v>
      </c>
      <c r="DQ264" s="421"/>
      <c r="DR264" s="655">
        <v>66</v>
      </c>
      <c r="DS264" s="421">
        <v>581</v>
      </c>
      <c r="DT264" s="421"/>
      <c r="DU264" s="655">
        <v>66</v>
      </c>
      <c r="DV264" s="421">
        <v>581</v>
      </c>
      <c r="DW264" s="421"/>
      <c r="DX264" s="655">
        <v>66</v>
      </c>
      <c r="DY264" s="421">
        <v>581</v>
      </c>
      <c r="DZ264" s="421"/>
      <c r="EA264" s="655">
        <v>66</v>
      </c>
      <c r="EB264" s="421">
        <v>581</v>
      </c>
      <c r="EC264" s="421"/>
      <c r="ED264" s="655">
        <v>66</v>
      </c>
      <c r="EE264" s="421">
        <v>581</v>
      </c>
      <c r="EF264" s="421"/>
      <c r="EG264" s="655">
        <v>66</v>
      </c>
      <c r="EH264" s="421">
        <v>581</v>
      </c>
      <c r="EI264" s="421"/>
      <c r="EJ264" s="655">
        <v>66</v>
      </c>
      <c r="EK264" s="421">
        <v>581</v>
      </c>
      <c r="EL264" s="421"/>
      <c r="EM264" s="655">
        <v>66</v>
      </c>
      <c r="EN264" s="421">
        <v>581</v>
      </c>
      <c r="EO264" s="421"/>
      <c r="EP264" s="655">
        <v>66</v>
      </c>
      <c r="EQ264" s="421">
        <v>581</v>
      </c>
      <c r="ER264" s="421"/>
      <c r="ES264" s="655">
        <v>66</v>
      </c>
      <c r="ET264" s="421">
        <v>581</v>
      </c>
      <c r="EU264" s="421"/>
      <c r="EV264" s="655">
        <v>66</v>
      </c>
      <c r="EW264" s="421">
        <v>581</v>
      </c>
      <c r="EX264" s="421"/>
      <c r="EY264" s="655">
        <v>66</v>
      </c>
      <c r="EZ264" s="421">
        <v>581</v>
      </c>
      <c r="FA264" s="421"/>
      <c r="FB264" s="655">
        <v>66</v>
      </c>
      <c r="FC264" s="421">
        <v>581</v>
      </c>
      <c r="FD264" s="421"/>
      <c r="FE264" s="655">
        <v>66</v>
      </c>
      <c r="FF264" s="421">
        <v>581</v>
      </c>
      <c r="FG264" s="421"/>
      <c r="FH264" s="655">
        <v>66</v>
      </c>
      <c r="FI264" s="421">
        <v>581</v>
      </c>
      <c r="FJ264" s="421"/>
      <c r="FK264" s="655">
        <v>66</v>
      </c>
      <c r="FL264" s="421">
        <v>581</v>
      </c>
      <c r="FM264" s="421"/>
      <c r="FN264" s="655">
        <v>66</v>
      </c>
      <c r="FO264" s="421">
        <v>581</v>
      </c>
      <c r="FP264" s="421"/>
      <c r="FQ264" s="655">
        <v>66</v>
      </c>
      <c r="FR264" s="422">
        <v>581</v>
      </c>
      <c r="FS264" s="422"/>
      <c r="FT264" s="517">
        <v>66</v>
      </c>
      <c r="FU264" s="421">
        <v>581</v>
      </c>
      <c r="FV264" s="421"/>
      <c r="FW264" s="587"/>
      <c r="FX264" s="421">
        <v>581</v>
      </c>
      <c r="FY264" s="421"/>
      <c r="FZ264" s="587"/>
      <c r="GA264" s="421">
        <v>581</v>
      </c>
      <c r="GB264" s="421"/>
      <c r="GC264" s="587"/>
      <c r="GD264" s="421">
        <v>581</v>
      </c>
      <c r="GE264" s="421"/>
      <c r="GF264" s="587"/>
      <c r="GG264" s="421">
        <v>581</v>
      </c>
      <c r="GH264" s="421"/>
      <c r="GI264" s="587"/>
      <c r="GJ264" s="421">
        <v>581</v>
      </c>
      <c r="GK264" s="421"/>
      <c r="GL264" s="587"/>
      <c r="GM264" s="421">
        <v>581</v>
      </c>
      <c r="GN264" s="421"/>
      <c r="GO264" s="587"/>
      <c r="GP264" s="421">
        <v>581</v>
      </c>
      <c r="GQ264" s="421"/>
      <c r="GR264" s="587"/>
      <c r="GS264" s="421">
        <v>581</v>
      </c>
      <c r="GT264" s="421"/>
      <c r="GU264" s="587"/>
      <c r="GV264" s="421">
        <v>581</v>
      </c>
      <c r="GW264" s="421"/>
      <c r="GX264" s="587"/>
      <c r="GY264" s="421">
        <v>581</v>
      </c>
      <c r="GZ264" s="421"/>
      <c r="HA264" s="587"/>
      <c r="HB264" s="421">
        <v>581</v>
      </c>
      <c r="HC264" s="421"/>
      <c r="HD264" s="587"/>
      <c r="HE264" s="421">
        <v>581</v>
      </c>
      <c r="HF264" s="421"/>
      <c r="HG264" s="587"/>
      <c r="HH264" s="421">
        <v>581</v>
      </c>
      <c r="HI264" s="587"/>
      <c r="HJ264" s="421">
        <v>581</v>
      </c>
      <c r="HK264" s="587"/>
      <c r="HL264" s="684">
        <v>1028.655737704918</v>
      </c>
      <c r="HM264" s="587"/>
      <c r="HN264" s="567"/>
      <c r="HO264" s="567"/>
      <c r="HP264" s="567"/>
      <c r="HQ264" s="567"/>
      <c r="HR264" s="567"/>
      <c r="HS264" s="567"/>
      <c r="HT264" s="567"/>
      <c r="HU264" s="567"/>
      <c r="HV264" s="567"/>
      <c r="HW264" s="567"/>
      <c r="HX264" s="587"/>
      <c r="HY264" s="587"/>
      <c r="HZ264" s="587"/>
      <c r="IA264" s="587"/>
      <c r="IB264" s="587"/>
      <c r="IC264" s="587"/>
      <c r="ID264" s="587"/>
      <c r="IE264" s="587"/>
      <c r="IF264" s="587"/>
      <c r="IG264" s="587"/>
      <c r="IH264" s="588"/>
      <c r="II264" s="589"/>
      <c r="IJ264" s="588"/>
      <c r="IK264" s="589"/>
      <c r="IL264" s="588"/>
      <c r="IM264" s="589"/>
      <c r="IN264" s="588"/>
      <c r="IO264" s="589"/>
      <c r="IP264" s="588"/>
      <c r="IQ264" s="589"/>
      <c r="IR264" s="601" t="s">
        <v>3465</v>
      </c>
      <c r="IS264" s="587" t="s">
        <v>77</v>
      </c>
      <c r="IT264" s="611">
        <v>43868</v>
      </c>
      <c r="IU264" s="518">
        <v>43922</v>
      </c>
      <c r="IV264" s="552"/>
      <c r="IW264" s="526">
        <f t="shared" si="27"/>
        <v>54</v>
      </c>
      <c r="IX264" s="621">
        <f t="shared" si="32"/>
        <v>33.726417629669442</v>
      </c>
      <c r="IY264" s="665">
        <v>1028.655737704918</v>
      </c>
    </row>
    <row r="265" spans="1:259" s="367" customFormat="1" ht="16.5" customHeight="1" x14ac:dyDescent="0.3">
      <c r="A265" s="526" t="s">
        <v>2743</v>
      </c>
      <c r="B265" s="682" t="s">
        <v>2748</v>
      </c>
      <c r="C265" s="378" t="s">
        <v>1420</v>
      </c>
      <c r="D265" s="890">
        <f>(170*12)+1149</f>
        <v>3189</v>
      </c>
      <c r="E265" s="880">
        <v>44</v>
      </c>
      <c r="F265" s="880">
        <v>32</v>
      </c>
      <c r="G265" s="890">
        <f>(5*5)+5</f>
        <v>30</v>
      </c>
      <c r="H265" s="516">
        <v>0</v>
      </c>
      <c r="I265" s="844">
        <v>1055</v>
      </c>
      <c r="J265" s="600"/>
      <c r="K265" s="600"/>
      <c r="L265" s="606">
        <v>1055</v>
      </c>
      <c r="M265" s="600"/>
      <c r="N265" s="600"/>
      <c r="O265" s="606">
        <v>1055</v>
      </c>
      <c r="P265" s="600"/>
      <c r="Q265" s="600"/>
      <c r="R265" s="606">
        <v>1055</v>
      </c>
      <c r="S265" s="600"/>
      <c r="T265" s="600"/>
      <c r="U265" s="606">
        <v>1055</v>
      </c>
      <c r="V265" s="600"/>
      <c r="W265" s="600"/>
      <c r="X265" s="606">
        <v>1055</v>
      </c>
      <c r="Y265" s="600"/>
      <c r="Z265" s="600"/>
      <c r="AA265" s="606">
        <v>1055</v>
      </c>
      <c r="AB265" s="600"/>
      <c r="AC265" s="600"/>
      <c r="AD265" s="606">
        <v>1055</v>
      </c>
      <c r="AE265" s="600"/>
      <c r="AF265" s="600"/>
      <c r="AG265" s="606">
        <v>1055</v>
      </c>
      <c r="AH265" s="600"/>
      <c r="AI265" s="600"/>
      <c r="AJ265" s="606">
        <v>1055</v>
      </c>
      <c r="AK265" s="600"/>
      <c r="AL265" s="600"/>
      <c r="AM265" s="606">
        <v>1055</v>
      </c>
      <c r="AN265" s="600"/>
      <c r="AO265" s="600"/>
      <c r="AP265" s="606">
        <v>1055</v>
      </c>
      <c r="AQ265" s="600"/>
      <c r="AR265" s="600"/>
      <c r="AS265" s="606">
        <v>1055</v>
      </c>
      <c r="AT265" s="600"/>
      <c r="AU265" s="600"/>
      <c r="AV265" s="606">
        <v>1055</v>
      </c>
      <c r="AW265" s="600"/>
      <c r="AX265" s="600"/>
      <c r="AY265" s="606">
        <v>1055</v>
      </c>
      <c r="AZ265" s="600"/>
      <c r="BA265" s="600"/>
      <c r="BB265" s="433">
        <v>1055</v>
      </c>
      <c r="BC265" s="600"/>
      <c r="BD265" s="600"/>
      <c r="BE265" s="433">
        <v>1055</v>
      </c>
      <c r="BF265" s="600"/>
      <c r="BG265" s="600"/>
      <c r="BH265" s="433">
        <v>1055</v>
      </c>
      <c r="BI265" s="433"/>
      <c r="BJ265" s="587"/>
      <c r="BK265" s="433">
        <v>1055</v>
      </c>
      <c r="BL265" s="433"/>
      <c r="BM265" s="587"/>
      <c r="BN265" s="433">
        <v>1055</v>
      </c>
      <c r="BO265" s="433"/>
      <c r="BP265" s="587"/>
      <c r="BQ265" s="421">
        <v>1055</v>
      </c>
      <c r="BR265" s="421"/>
      <c r="BS265" s="587"/>
      <c r="BT265" s="421">
        <v>1055</v>
      </c>
      <c r="BU265" s="421"/>
      <c r="BV265" s="587"/>
      <c r="BW265" s="421">
        <v>1055</v>
      </c>
      <c r="BX265" s="421"/>
      <c r="BY265" s="587"/>
      <c r="BZ265" s="421">
        <v>1055</v>
      </c>
      <c r="CA265" s="421"/>
      <c r="CB265" s="587"/>
      <c r="CC265" s="421">
        <v>1055</v>
      </c>
      <c r="CD265" s="421"/>
      <c r="CE265" s="587"/>
      <c r="CF265" s="421">
        <v>1055</v>
      </c>
      <c r="CG265" s="421"/>
      <c r="CH265" s="587"/>
      <c r="CI265" s="421">
        <v>1055</v>
      </c>
      <c r="CJ265" s="421"/>
      <c r="CK265" s="587"/>
      <c r="CL265" s="421">
        <v>1055</v>
      </c>
      <c r="CM265" s="421"/>
      <c r="CN265" s="587"/>
      <c r="CO265" s="421">
        <v>1055</v>
      </c>
      <c r="CP265" s="421"/>
      <c r="CQ265" s="587"/>
      <c r="CR265" s="421">
        <v>1055</v>
      </c>
      <c r="CS265" s="421"/>
      <c r="CT265" s="587"/>
      <c r="CU265" s="421">
        <v>1055</v>
      </c>
      <c r="CV265" s="421"/>
      <c r="CW265" s="587"/>
      <c r="CX265" s="421">
        <v>1055</v>
      </c>
      <c r="CY265" s="421"/>
      <c r="CZ265" s="587"/>
      <c r="DA265" s="421">
        <v>1055</v>
      </c>
      <c r="DB265" s="421"/>
      <c r="DC265" s="587"/>
      <c r="DD265" s="421">
        <v>1055</v>
      </c>
      <c r="DE265" s="421"/>
      <c r="DF265" s="587"/>
      <c r="DG265" s="421">
        <v>1055</v>
      </c>
      <c r="DH265" s="421"/>
      <c r="DI265" s="587"/>
      <c r="DJ265" s="421">
        <v>1055</v>
      </c>
      <c r="DK265" s="421"/>
      <c r="DL265" s="587"/>
      <c r="DM265" s="421">
        <v>1055</v>
      </c>
      <c r="DN265" s="421"/>
      <c r="DO265" s="587"/>
      <c r="DP265" s="421">
        <v>1055</v>
      </c>
      <c r="DQ265" s="421"/>
      <c r="DR265" s="587"/>
      <c r="DS265" s="421">
        <v>1055</v>
      </c>
      <c r="DT265" s="421"/>
      <c r="DU265" s="587"/>
      <c r="DV265" s="421">
        <v>1055</v>
      </c>
      <c r="DW265" s="421"/>
      <c r="DX265" s="587"/>
      <c r="DY265" s="421">
        <v>1055</v>
      </c>
      <c r="DZ265" s="421"/>
      <c r="EA265" s="587"/>
      <c r="EB265" s="421">
        <v>1055</v>
      </c>
      <c r="EC265" s="421"/>
      <c r="ED265" s="587"/>
      <c r="EE265" s="421">
        <v>1055</v>
      </c>
      <c r="EF265" s="421"/>
      <c r="EG265" s="587"/>
      <c r="EH265" s="421">
        <v>1055</v>
      </c>
      <c r="EI265" s="421"/>
      <c r="EJ265" s="587"/>
      <c r="EK265" s="421">
        <v>1055</v>
      </c>
      <c r="EL265" s="421"/>
      <c r="EM265" s="587"/>
      <c r="EN265" s="421">
        <v>1055</v>
      </c>
      <c r="EO265" s="421"/>
      <c r="EP265" s="587"/>
      <c r="EQ265" s="421">
        <v>1055</v>
      </c>
      <c r="ER265" s="421"/>
      <c r="ES265" s="587"/>
      <c r="ET265" s="421">
        <v>1055</v>
      </c>
      <c r="EU265" s="421"/>
      <c r="EV265" s="587"/>
      <c r="EW265" s="421">
        <v>1055</v>
      </c>
      <c r="EX265" s="421"/>
      <c r="EY265" s="587"/>
      <c r="EZ265" s="421">
        <v>1055</v>
      </c>
      <c r="FA265" s="421"/>
      <c r="FB265" s="587"/>
      <c r="FC265" s="421">
        <v>1055</v>
      </c>
      <c r="FD265" s="421"/>
      <c r="FE265" s="587"/>
      <c r="FF265" s="421">
        <v>1055</v>
      </c>
      <c r="FG265" s="421"/>
      <c r="FH265" s="587"/>
      <c r="FI265" s="421">
        <v>1055</v>
      </c>
      <c r="FJ265" s="421"/>
      <c r="FK265" s="587"/>
      <c r="FL265" s="421">
        <v>1055</v>
      </c>
      <c r="FM265" s="421"/>
      <c r="FN265" s="587"/>
      <c r="FO265" s="421">
        <v>1055</v>
      </c>
      <c r="FP265" s="421"/>
      <c r="FQ265" s="587"/>
      <c r="FR265" s="421">
        <v>1055</v>
      </c>
      <c r="FS265" s="421"/>
      <c r="FT265" s="587"/>
      <c r="FU265" s="421">
        <v>1055</v>
      </c>
      <c r="FV265" s="421"/>
      <c r="FW265" s="587"/>
      <c r="FX265" s="421">
        <v>1055</v>
      </c>
      <c r="FY265" s="421"/>
      <c r="FZ265" s="587"/>
      <c r="GA265" s="421">
        <v>1055</v>
      </c>
      <c r="GB265" s="421"/>
      <c r="GC265" s="587"/>
      <c r="GD265" s="421">
        <v>1055</v>
      </c>
      <c r="GE265" s="421"/>
      <c r="GF265" s="587"/>
      <c r="GG265" s="421">
        <v>1055</v>
      </c>
      <c r="GH265" s="421"/>
      <c r="GI265" s="587"/>
      <c r="GJ265" s="421">
        <v>1055</v>
      </c>
      <c r="GK265" s="421"/>
      <c r="GL265" s="587"/>
      <c r="GM265" s="421">
        <v>1055</v>
      </c>
      <c r="GN265" s="421"/>
      <c r="GO265" s="587"/>
      <c r="GP265" s="421">
        <v>1055</v>
      </c>
      <c r="GQ265" s="421"/>
      <c r="GR265" s="587"/>
      <c r="GS265" s="421">
        <v>1055</v>
      </c>
      <c r="GT265" s="421"/>
      <c r="GU265" s="587"/>
      <c r="GV265" s="421">
        <v>1055</v>
      </c>
      <c r="GW265" s="421"/>
      <c r="GX265" s="587"/>
      <c r="GY265" s="421">
        <v>1055</v>
      </c>
      <c r="GZ265" s="421"/>
      <c r="HA265" s="587"/>
      <c r="HB265" s="421">
        <v>1055</v>
      </c>
      <c r="HC265" s="421"/>
      <c r="HD265" s="587"/>
      <c r="HE265" s="421">
        <v>1055</v>
      </c>
      <c r="HF265" s="421"/>
      <c r="HG265" s="587"/>
      <c r="HH265" s="421">
        <v>1055</v>
      </c>
      <c r="HI265" s="587"/>
      <c r="HJ265" s="421">
        <v>1055</v>
      </c>
      <c r="HK265" s="587"/>
      <c r="HL265" s="684">
        <v>1729.5081967213114</v>
      </c>
      <c r="HM265" s="587"/>
      <c r="HN265" s="567"/>
      <c r="HO265" s="567"/>
      <c r="HP265" s="567"/>
      <c r="HQ265" s="567"/>
      <c r="HR265" s="567"/>
      <c r="HS265" s="567"/>
      <c r="HT265" s="567"/>
      <c r="HU265" s="567"/>
      <c r="HV265" s="567"/>
      <c r="HW265" s="567"/>
      <c r="HX265" s="587"/>
      <c r="HY265" s="587"/>
      <c r="HZ265" s="587"/>
      <c r="IA265" s="587"/>
      <c r="IB265" s="587"/>
      <c r="IC265" s="587"/>
      <c r="ID265" s="587"/>
      <c r="IE265" s="587"/>
      <c r="IF265" s="587"/>
      <c r="IG265" s="587"/>
      <c r="IH265" s="588"/>
      <c r="II265" s="589"/>
      <c r="IJ265" s="588"/>
      <c r="IK265" s="589"/>
      <c r="IL265" s="588"/>
      <c r="IM265" s="589"/>
      <c r="IN265" s="588"/>
      <c r="IO265" s="589"/>
      <c r="IP265" s="588"/>
      <c r="IQ265" s="589"/>
      <c r="IR265" s="601" t="s">
        <v>2869</v>
      </c>
      <c r="IS265" s="587" t="s">
        <v>77</v>
      </c>
      <c r="IT265" s="611">
        <v>43872</v>
      </c>
      <c r="IU265" s="518">
        <v>43922</v>
      </c>
      <c r="IV265" s="552"/>
      <c r="IW265" s="526">
        <f t="shared" si="27"/>
        <v>50</v>
      </c>
      <c r="IX265" s="621">
        <f t="shared" si="32"/>
        <v>56.705186777747912</v>
      </c>
      <c r="IY265" s="665">
        <v>1729.5081967213114</v>
      </c>
    </row>
    <row r="266" spans="1:259" s="367" customFormat="1" ht="16.5" customHeight="1" x14ac:dyDescent="0.3">
      <c r="A266" s="401" t="s">
        <v>3315</v>
      </c>
      <c r="B266" s="402" t="s">
        <v>3315</v>
      </c>
      <c r="C266" s="688" t="s">
        <v>3466</v>
      </c>
      <c r="D266" s="919"/>
      <c r="E266" s="920"/>
      <c r="F266" s="920"/>
      <c r="G266" s="920"/>
      <c r="H266" s="921"/>
      <c r="I266" s="853">
        <v>0</v>
      </c>
      <c r="J266" s="833">
        <v>0</v>
      </c>
      <c r="K266" s="833">
        <v>0</v>
      </c>
      <c r="L266" s="833">
        <v>0</v>
      </c>
      <c r="M266" s="833">
        <v>0</v>
      </c>
      <c r="N266" s="833">
        <v>0</v>
      </c>
      <c r="O266" s="833">
        <v>0</v>
      </c>
      <c r="P266" s="833">
        <v>0</v>
      </c>
      <c r="Q266" s="833">
        <v>0</v>
      </c>
      <c r="R266" s="833">
        <v>0</v>
      </c>
      <c r="S266" s="833">
        <v>0</v>
      </c>
      <c r="T266" s="833">
        <v>0</v>
      </c>
      <c r="U266" s="833">
        <v>0</v>
      </c>
      <c r="V266" s="833">
        <v>0</v>
      </c>
      <c r="W266" s="833">
        <v>0</v>
      </c>
      <c r="X266" s="833">
        <v>0</v>
      </c>
      <c r="Y266" s="833">
        <v>0</v>
      </c>
      <c r="Z266" s="833">
        <v>0</v>
      </c>
      <c r="AA266" s="833">
        <v>0</v>
      </c>
      <c r="AB266" s="833">
        <v>0</v>
      </c>
      <c r="AC266" s="833">
        <v>0</v>
      </c>
      <c r="AD266" s="833">
        <v>0</v>
      </c>
      <c r="AE266" s="833">
        <v>0</v>
      </c>
      <c r="AF266" s="833">
        <v>0</v>
      </c>
      <c r="AG266" s="833">
        <v>0</v>
      </c>
      <c r="AH266" s="833">
        <v>0</v>
      </c>
      <c r="AI266" s="833">
        <v>0</v>
      </c>
      <c r="AJ266" s="833">
        <v>0</v>
      </c>
      <c r="AK266" s="833">
        <v>0</v>
      </c>
      <c r="AL266" s="833">
        <v>0</v>
      </c>
      <c r="AM266" s="833">
        <v>0</v>
      </c>
      <c r="AN266" s="833">
        <v>0</v>
      </c>
      <c r="AO266" s="833">
        <v>0</v>
      </c>
      <c r="AP266" s="833">
        <v>0</v>
      </c>
      <c r="AQ266" s="833">
        <v>0</v>
      </c>
      <c r="AR266" s="833">
        <v>0</v>
      </c>
      <c r="AS266" s="833">
        <v>0</v>
      </c>
      <c r="AT266" s="833">
        <v>0</v>
      </c>
      <c r="AU266" s="833">
        <v>0</v>
      </c>
      <c r="AV266" s="635">
        <v>0</v>
      </c>
      <c r="AW266" s="635"/>
      <c r="AX266" s="660"/>
      <c r="AY266" s="635">
        <v>0</v>
      </c>
      <c r="AZ266" s="635"/>
      <c r="BA266" s="652"/>
      <c r="BB266" s="511">
        <v>0</v>
      </c>
      <c r="BC266" s="511"/>
      <c r="BD266" s="652"/>
      <c r="BE266" s="511">
        <v>0</v>
      </c>
      <c r="BF266" s="511"/>
      <c r="BG266" s="652"/>
      <c r="BH266" s="511">
        <v>0</v>
      </c>
      <c r="BI266" s="511"/>
      <c r="BJ266" s="652"/>
      <c r="BK266" s="511">
        <v>0</v>
      </c>
      <c r="BL266" s="511"/>
      <c r="BM266" s="652"/>
      <c r="BN266" s="511">
        <v>0</v>
      </c>
      <c r="BO266" s="511"/>
      <c r="BP266" s="652"/>
      <c r="BQ266" s="511">
        <v>0</v>
      </c>
      <c r="BR266" s="511"/>
      <c r="BS266" s="652"/>
      <c r="BT266" s="511">
        <v>0</v>
      </c>
      <c r="BU266" s="511"/>
      <c r="BV266" s="652"/>
      <c r="BW266" s="511">
        <v>0</v>
      </c>
      <c r="BX266" s="511"/>
      <c r="BY266" s="652"/>
      <c r="BZ266" s="511">
        <v>0</v>
      </c>
      <c r="CA266" s="511"/>
      <c r="CB266" s="652"/>
      <c r="CC266" s="511">
        <v>0</v>
      </c>
      <c r="CD266" s="511"/>
      <c r="CE266" s="652"/>
      <c r="CF266" s="511">
        <v>0</v>
      </c>
      <c r="CG266" s="511"/>
      <c r="CH266" s="652"/>
      <c r="CI266" s="511">
        <v>0</v>
      </c>
      <c r="CJ266" s="511"/>
      <c r="CK266" s="652"/>
      <c r="CL266" s="511">
        <v>0</v>
      </c>
      <c r="CM266" s="511"/>
      <c r="CN266" s="652"/>
      <c r="CO266" s="511">
        <v>0</v>
      </c>
      <c r="CP266" s="511"/>
      <c r="CQ266" s="652"/>
      <c r="CR266" s="511">
        <v>0</v>
      </c>
      <c r="CS266" s="511"/>
      <c r="CT266" s="652"/>
      <c r="CU266" s="421">
        <v>254</v>
      </c>
      <c r="CV266" s="421"/>
      <c r="CW266" s="587"/>
      <c r="CX266" s="421">
        <v>254</v>
      </c>
      <c r="CY266" s="421"/>
      <c r="CZ266" s="587"/>
      <c r="DA266" s="421">
        <v>254</v>
      </c>
      <c r="DB266" s="421"/>
      <c r="DC266" s="587"/>
      <c r="DD266" s="421">
        <v>254</v>
      </c>
      <c r="DE266" s="421"/>
      <c r="DF266" s="587"/>
      <c r="DG266" s="421">
        <v>254</v>
      </c>
      <c r="DH266" s="421"/>
      <c r="DI266" s="587"/>
      <c r="DJ266" s="421">
        <v>254</v>
      </c>
      <c r="DK266" s="421"/>
      <c r="DL266" s="587"/>
      <c r="DM266" s="421">
        <v>254</v>
      </c>
      <c r="DN266" s="421"/>
      <c r="DO266" s="587"/>
      <c r="DP266" s="421">
        <v>254</v>
      </c>
      <c r="DQ266" s="421"/>
      <c r="DR266" s="587"/>
      <c r="DS266" s="421">
        <v>254</v>
      </c>
      <c r="DT266" s="421"/>
      <c r="DU266" s="587"/>
      <c r="DV266" s="421">
        <v>254</v>
      </c>
      <c r="DW266" s="421"/>
      <c r="DX266" s="587"/>
      <c r="DY266" s="421">
        <v>254</v>
      </c>
      <c r="DZ266" s="421"/>
      <c r="EA266" s="587"/>
      <c r="EB266" s="421">
        <v>254</v>
      </c>
      <c r="EC266" s="421"/>
      <c r="ED266" s="587"/>
      <c r="EE266" s="421">
        <v>254</v>
      </c>
      <c r="EF266" s="421"/>
      <c r="EG266" s="587"/>
      <c r="EH266" s="421">
        <v>254</v>
      </c>
      <c r="EI266" s="421"/>
      <c r="EJ266" s="587"/>
      <c r="EK266" s="421">
        <v>254</v>
      </c>
      <c r="EL266" s="421"/>
      <c r="EM266" s="587"/>
      <c r="EN266" s="421">
        <v>254</v>
      </c>
      <c r="EO266" s="421"/>
      <c r="EP266" s="587"/>
      <c r="EQ266" s="421">
        <v>254</v>
      </c>
      <c r="ER266" s="421"/>
      <c r="ES266" s="587"/>
      <c r="ET266" s="421">
        <v>254</v>
      </c>
      <c r="EU266" s="421"/>
      <c r="EV266" s="587"/>
      <c r="EW266" s="421">
        <v>254</v>
      </c>
      <c r="EX266" s="421"/>
      <c r="EY266" s="587"/>
      <c r="EZ266" s="421">
        <v>254</v>
      </c>
      <c r="FA266" s="421"/>
      <c r="FB266" s="587"/>
      <c r="FC266" s="421">
        <v>254</v>
      </c>
      <c r="FD266" s="421"/>
      <c r="FE266" s="587"/>
      <c r="FF266" s="421">
        <v>254</v>
      </c>
      <c r="FG266" s="421"/>
      <c r="FH266" s="587"/>
      <c r="FI266" s="421">
        <v>254</v>
      </c>
      <c r="FJ266" s="421"/>
      <c r="FK266" s="587"/>
      <c r="FL266" s="421">
        <v>254</v>
      </c>
      <c r="FM266" s="421"/>
      <c r="FN266" s="587"/>
      <c r="FO266" s="421">
        <v>254</v>
      </c>
      <c r="FP266" s="421"/>
      <c r="FQ266" s="587"/>
      <c r="FR266" s="421">
        <v>254</v>
      </c>
      <c r="FS266" s="421"/>
      <c r="FT266" s="587"/>
      <c r="FU266" s="421">
        <v>254</v>
      </c>
      <c r="FV266" s="421"/>
      <c r="FW266" s="587"/>
      <c r="FX266" s="421">
        <v>254</v>
      </c>
      <c r="FY266" s="421"/>
      <c r="FZ266" s="587"/>
      <c r="GA266" s="421">
        <v>254</v>
      </c>
      <c r="GB266" s="421"/>
      <c r="GC266" s="587"/>
      <c r="GD266" s="421">
        <v>254</v>
      </c>
      <c r="GE266" s="421"/>
      <c r="GF266" s="587"/>
      <c r="GG266" s="421">
        <v>254</v>
      </c>
      <c r="GH266" s="421"/>
      <c r="GI266" s="587"/>
      <c r="GJ266" s="421">
        <v>254</v>
      </c>
      <c r="GK266" s="421"/>
      <c r="GL266" s="587"/>
      <c r="GM266" s="421">
        <v>254</v>
      </c>
      <c r="GN266" s="421"/>
      <c r="GO266" s="587"/>
      <c r="GP266" s="421">
        <v>254</v>
      </c>
      <c r="GQ266" s="421"/>
      <c r="GR266" s="587"/>
      <c r="GS266" s="421">
        <v>254</v>
      </c>
      <c r="GT266" s="421"/>
      <c r="GU266" s="587"/>
      <c r="GV266" s="421">
        <v>254</v>
      </c>
      <c r="GW266" s="421"/>
      <c r="GX266" s="587"/>
      <c r="GY266" s="421">
        <v>254</v>
      </c>
      <c r="GZ266" s="421"/>
      <c r="HA266" s="587"/>
      <c r="HB266" s="421">
        <v>254</v>
      </c>
      <c r="HC266" s="421"/>
      <c r="HD266" s="587"/>
      <c r="HE266" s="421">
        <v>254</v>
      </c>
      <c r="HF266" s="421"/>
      <c r="HG266" s="587"/>
      <c r="HH266" s="421">
        <v>254</v>
      </c>
      <c r="HI266" s="587"/>
      <c r="HJ266" s="421">
        <v>254</v>
      </c>
      <c r="HK266" s="587"/>
      <c r="HL266" s="684">
        <v>399.73770491803276</v>
      </c>
      <c r="HM266" s="587"/>
      <c r="HN266" s="567"/>
      <c r="HO266" s="567"/>
      <c r="HP266" s="567"/>
      <c r="HQ266" s="567"/>
      <c r="HR266" s="567"/>
      <c r="HS266" s="567"/>
      <c r="HT266" s="567"/>
      <c r="HU266" s="567"/>
      <c r="HV266" s="567"/>
      <c r="HW266" s="567"/>
      <c r="HX266" s="587"/>
      <c r="HY266" s="587"/>
      <c r="HZ266" s="587"/>
      <c r="IA266" s="587"/>
      <c r="IB266" s="587"/>
      <c r="IC266" s="587"/>
      <c r="ID266" s="587"/>
      <c r="IE266" s="587"/>
      <c r="IF266" s="587"/>
      <c r="IG266" s="587"/>
      <c r="IH266" s="588"/>
      <c r="II266" s="589"/>
      <c r="IJ266" s="588"/>
      <c r="IK266" s="589"/>
      <c r="IL266" s="588"/>
      <c r="IM266" s="589"/>
      <c r="IN266" s="588"/>
      <c r="IO266" s="589"/>
      <c r="IP266" s="588"/>
      <c r="IQ266" s="589"/>
      <c r="IR266" s="601" t="s">
        <v>3467</v>
      </c>
      <c r="IS266" s="587" t="s">
        <v>77</v>
      </c>
      <c r="IT266" s="611">
        <v>43874</v>
      </c>
      <c r="IU266" s="518">
        <v>43922</v>
      </c>
      <c r="IV266" s="552"/>
      <c r="IW266" s="526">
        <f t="shared" si="27"/>
        <v>48</v>
      </c>
      <c r="IX266" s="621">
        <f t="shared" si="32"/>
        <v>13.106154259607631</v>
      </c>
      <c r="IY266" s="665">
        <v>399.73770491803276</v>
      </c>
    </row>
    <row r="267" spans="1:259" s="367" customFormat="1" ht="16.5" customHeight="1" x14ac:dyDescent="0.3">
      <c r="A267" s="526" t="s">
        <v>2758</v>
      </c>
      <c r="B267" s="682" t="s">
        <v>2748</v>
      </c>
      <c r="C267" s="661" t="s">
        <v>1458</v>
      </c>
      <c r="D267" s="662">
        <v>1149</v>
      </c>
      <c r="E267" s="516">
        <v>71</v>
      </c>
      <c r="F267" s="516">
        <v>46</v>
      </c>
      <c r="G267" s="516">
        <v>5</v>
      </c>
      <c r="H267" s="663">
        <v>0</v>
      </c>
      <c r="I267" s="844">
        <v>1266</v>
      </c>
      <c r="J267" s="606">
        <v>5</v>
      </c>
      <c r="K267" s="600"/>
      <c r="L267" s="606">
        <v>1266</v>
      </c>
      <c r="M267" s="606">
        <v>5</v>
      </c>
      <c r="N267" s="600"/>
      <c r="O267" s="606">
        <v>1266</v>
      </c>
      <c r="P267" s="606">
        <v>5</v>
      </c>
      <c r="Q267" s="600"/>
      <c r="R267" s="606">
        <v>1266</v>
      </c>
      <c r="S267" s="606">
        <v>5</v>
      </c>
      <c r="T267" s="600"/>
      <c r="U267" s="606">
        <v>1266</v>
      </c>
      <c r="V267" s="606">
        <v>5</v>
      </c>
      <c r="W267" s="600"/>
      <c r="X267" s="606">
        <v>1266</v>
      </c>
      <c r="Y267" s="606">
        <v>5</v>
      </c>
      <c r="Z267" s="600"/>
      <c r="AA267" s="606">
        <v>1266</v>
      </c>
      <c r="AB267" s="606">
        <v>5</v>
      </c>
      <c r="AC267" s="600"/>
      <c r="AD267" s="606">
        <v>1266</v>
      </c>
      <c r="AE267" s="606">
        <v>5</v>
      </c>
      <c r="AF267" s="600"/>
      <c r="AG267" s="606">
        <v>1266</v>
      </c>
      <c r="AH267" s="606">
        <v>5</v>
      </c>
      <c r="AI267" s="600"/>
      <c r="AJ267" s="606">
        <v>1266</v>
      </c>
      <c r="AK267" s="606">
        <v>5</v>
      </c>
      <c r="AL267" s="600"/>
      <c r="AM267" s="606">
        <v>1266</v>
      </c>
      <c r="AN267" s="606">
        <v>5</v>
      </c>
      <c r="AO267" s="600"/>
      <c r="AP267" s="606">
        <v>1266</v>
      </c>
      <c r="AQ267" s="606">
        <v>5</v>
      </c>
      <c r="AR267" s="600"/>
      <c r="AS267" s="606">
        <v>1266</v>
      </c>
      <c r="AT267" s="606">
        <v>5</v>
      </c>
      <c r="AU267" s="600"/>
      <c r="AV267" s="606">
        <v>1266</v>
      </c>
      <c r="AW267" s="606">
        <v>5</v>
      </c>
      <c r="AX267" s="600"/>
      <c r="AY267" s="845">
        <f>((1266-1359)/30.5)*2+1266</f>
        <v>1259.9016393442623</v>
      </c>
      <c r="AZ267" s="845">
        <f>((5-14)/30.5)*2+5</f>
        <v>4.4098360655737707</v>
      </c>
      <c r="BA267" s="600"/>
      <c r="BB267" s="421">
        <v>1359</v>
      </c>
      <c r="BC267" s="421">
        <f>14</f>
        <v>14</v>
      </c>
      <c r="BD267" s="600"/>
      <c r="BE267" s="421">
        <v>1359</v>
      </c>
      <c r="BF267" s="421">
        <f>14</f>
        <v>14</v>
      </c>
      <c r="BG267" s="600"/>
      <c r="BH267" s="421">
        <v>1359</v>
      </c>
      <c r="BI267" s="421">
        <f>14</f>
        <v>14</v>
      </c>
      <c r="BJ267" s="587"/>
      <c r="BK267" s="421">
        <v>1359</v>
      </c>
      <c r="BL267" s="421">
        <f>14</f>
        <v>14</v>
      </c>
      <c r="BM267" s="587"/>
      <c r="BN267" s="421">
        <v>1359</v>
      </c>
      <c r="BO267" s="421">
        <f>14</f>
        <v>14</v>
      </c>
      <c r="BP267" s="587"/>
      <c r="BQ267" s="421">
        <v>1359</v>
      </c>
      <c r="BR267" s="421">
        <f>14</f>
        <v>14</v>
      </c>
      <c r="BS267" s="587"/>
      <c r="BT267" s="421">
        <v>1359</v>
      </c>
      <c r="BU267" s="421">
        <f>14</f>
        <v>14</v>
      </c>
      <c r="BV267" s="587"/>
      <c r="BW267" s="421">
        <v>1359</v>
      </c>
      <c r="BX267" s="421">
        <f>14</f>
        <v>14</v>
      </c>
      <c r="BY267" s="587"/>
      <c r="BZ267" s="421">
        <v>1359</v>
      </c>
      <c r="CA267" s="421">
        <f>14</f>
        <v>14</v>
      </c>
      <c r="CB267" s="587"/>
      <c r="CC267" s="421">
        <v>1359</v>
      </c>
      <c r="CD267" s="421">
        <f>14</f>
        <v>14</v>
      </c>
      <c r="CE267" s="587"/>
      <c r="CF267" s="421">
        <v>1359</v>
      </c>
      <c r="CG267" s="421">
        <f>14</f>
        <v>14</v>
      </c>
      <c r="CH267" s="587"/>
      <c r="CI267" s="421">
        <v>1359</v>
      </c>
      <c r="CJ267" s="421">
        <f>14</f>
        <v>14</v>
      </c>
      <c r="CK267" s="587"/>
      <c r="CL267" s="421">
        <v>1359</v>
      </c>
      <c r="CM267" s="421">
        <f>14</f>
        <v>14</v>
      </c>
      <c r="CN267" s="587"/>
      <c r="CO267" s="421">
        <v>1359</v>
      </c>
      <c r="CP267" s="421">
        <f>14</f>
        <v>14</v>
      </c>
      <c r="CQ267" s="587"/>
      <c r="CR267" s="421">
        <v>1359</v>
      </c>
      <c r="CS267" s="421">
        <f>14</f>
        <v>14</v>
      </c>
      <c r="CT267" s="587"/>
      <c r="CU267" s="421">
        <v>1359</v>
      </c>
      <c r="CV267" s="421">
        <f>14</f>
        <v>14</v>
      </c>
      <c r="CW267" s="587"/>
      <c r="CX267" s="421">
        <v>1359</v>
      </c>
      <c r="CY267" s="421">
        <f>14</f>
        <v>14</v>
      </c>
      <c r="CZ267" s="587"/>
      <c r="DA267" s="421">
        <v>1359</v>
      </c>
      <c r="DB267" s="421">
        <f>14</f>
        <v>14</v>
      </c>
      <c r="DC267" s="587"/>
      <c r="DD267" s="421">
        <v>1359</v>
      </c>
      <c r="DE267" s="421">
        <f>14</f>
        <v>14</v>
      </c>
      <c r="DF267" s="587"/>
      <c r="DG267" s="421">
        <v>1359</v>
      </c>
      <c r="DH267" s="421">
        <f>14</f>
        <v>14</v>
      </c>
      <c r="DI267" s="587"/>
      <c r="DJ267" s="421">
        <v>1359</v>
      </c>
      <c r="DK267" s="421">
        <f>14</f>
        <v>14</v>
      </c>
      <c r="DL267" s="587"/>
      <c r="DM267" s="421">
        <v>1359</v>
      </c>
      <c r="DN267" s="421">
        <f>14</f>
        <v>14</v>
      </c>
      <c r="DO267" s="587"/>
      <c r="DP267" s="421">
        <v>1359</v>
      </c>
      <c r="DQ267" s="421">
        <f>14</f>
        <v>14</v>
      </c>
      <c r="DR267" s="587"/>
      <c r="DS267" s="421">
        <v>1359</v>
      </c>
      <c r="DT267" s="421">
        <f>14</f>
        <v>14</v>
      </c>
      <c r="DU267" s="587"/>
      <c r="DV267" s="421">
        <v>1359</v>
      </c>
      <c r="DW267" s="421">
        <f>14</f>
        <v>14</v>
      </c>
      <c r="DX267" s="587"/>
      <c r="DY267" s="421">
        <v>1359</v>
      </c>
      <c r="DZ267" s="421">
        <f>14</f>
        <v>14</v>
      </c>
      <c r="EA267" s="587"/>
      <c r="EB267" s="421">
        <v>1359</v>
      </c>
      <c r="EC267" s="421">
        <f>14</f>
        <v>14</v>
      </c>
      <c r="ED267" s="587"/>
      <c r="EE267" s="421">
        <v>1359</v>
      </c>
      <c r="EF267" s="421">
        <f>14</f>
        <v>14</v>
      </c>
      <c r="EG267" s="587"/>
      <c r="EH267" s="421">
        <v>1359</v>
      </c>
      <c r="EI267" s="421">
        <f>14</f>
        <v>14</v>
      </c>
      <c r="EJ267" s="587"/>
      <c r="EK267" s="421">
        <v>1359</v>
      </c>
      <c r="EL267" s="421">
        <f>14</f>
        <v>14</v>
      </c>
      <c r="EM267" s="587"/>
      <c r="EN267" s="421">
        <v>1359</v>
      </c>
      <c r="EO267" s="421">
        <f>14</f>
        <v>14</v>
      </c>
      <c r="EP267" s="587"/>
      <c r="EQ267" s="421">
        <v>1359</v>
      </c>
      <c r="ER267" s="421">
        <f>14</f>
        <v>14</v>
      </c>
      <c r="ES267" s="587"/>
      <c r="ET267" s="421">
        <v>1359</v>
      </c>
      <c r="EU267" s="421">
        <f>14</f>
        <v>14</v>
      </c>
      <c r="EV267" s="587"/>
      <c r="EW267" s="421">
        <v>1359</v>
      </c>
      <c r="EX267" s="421">
        <f>14</f>
        <v>14</v>
      </c>
      <c r="EY267" s="587"/>
      <c r="EZ267" s="421">
        <v>1359</v>
      </c>
      <c r="FA267" s="421">
        <f>14</f>
        <v>14</v>
      </c>
      <c r="FB267" s="587"/>
      <c r="FC267" s="421">
        <v>1359</v>
      </c>
      <c r="FD267" s="421">
        <f>14</f>
        <v>14</v>
      </c>
      <c r="FE267" s="587"/>
      <c r="FF267" s="421">
        <v>1359</v>
      </c>
      <c r="FG267" s="421">
        <f>14</f>
        <v>14</v>
      </c>
      <c r="FH267" s="587"/>
      <c r="FI267" s="421">
        <v>1359</v>
      </c>
      <c r="FJ267" s="421">
        <f>14</f>
        <v>14</v>
      </c>
      <c r="FK267" s="587"/>
      <c r="FL267" s="421">
        <v>1359</v>
      </c>
      <c r="FM267" s="421">
        <f>14</f>
        <v>14</v>
      </c>
      <c r="FN267" s="587"/>
      <c r="FO267" s="421">
        <v>1359</v>
      </c>
      <c r="FP267" s="421">
        <f>14</f>
        <v>14</v>
      </c>
      <c r="FQ267" s="587"/>
      <c r="FR267" s="421">
        <v>1359</v>
      </c>
      <c r="FS267" s="421">
        <f>14</f>
        <v>14</v>
      </c>
      <c r="FT267" s="587"/>
      <c r="FU267" s="421">
        <v>1359</v>
      </c>
      <c r="FV267" s="421">
        <f>14</f>
        <v>14</v>
      </c>
      <c r="FW267" s="587"/>
      <c r="FX267" s="421">
        <v>1359</v>
      </c>
      <c r="FY267" s="421">
        <f>14</f>
        <v>14</v>
      </c>
      <c r="FZ267" s="587"/>
      <c r="GA267" s="421">
        <v>1359</v>
      </c>
      <c r="GB267" s="421">
        <f>14</f>
        <v>14</v>
      </c>
      <c r="GC267" s="587"/>
      <c r="GD267" s="421">
        <v>1359</v>
      </c>
      <c r="GE267" s="421">
        <f>14</f>
        <v>14</v>
      </c>
      <c r="GF267" s="587"/>
      <c r="GG267" s="421">
        <v>1359</v>
      </c>
      <c r="GH267" s="421">
        <f>14</f>
        <v>14</v>
      </c>
      <c r="GI267" s="587"/>
      <c r="GJ267" s="421">
        <v>1359</v>
      </c>
      <c r="GK267" s="421">
        <f>14</f>
        <v>14</v>
      </c>
      <c r="GL267" s="587"/>
      <c r="GM267" s="421">
        <v>1359</v>
      </c>
      <c r="GN267" s="421">
        <f>14</f>
        <v>14</v>
      </c>
      <c r="GO267" s="587"/>
      <c r="GP267" s="421">
        <v>1359</v>
      </c>
      <c r="GQ267" s="421">
        <f>14</f>
        <v>14</v>
      </c>
      <c r="GR267" s="587"/>
      <c r="GS267" s="421">
        <v>1359</v>
      </c>
      <c r="GT267" s="421">
        <f>14</f>
        <v>14</v>
      </c>
      <c r="GU267" s="587"/>
      <c r="GV267" s="421">
        <v>1359</v>
      </c>
      <c r="GW267" s="421">
        <f>14</f>
        <v>14</v>
      </c>
      <c r="GX267" s="587"/>
      <c r="GY267" s="421">
        <v>1359</v>
      </c>
      <c r="GZ267" s="421">
        <f>14</f>
        <v>14</v>
      </c>
      <c r="HA267" s="587"/>
      <c r="HB267" s="421">
        <v>1359</v>
      </c>
      <c r="HC267" s="421">
        <f>14</f>
        <v>14</v>
      </c>
      <c r="HD267" s="587"/>
      <c r="HE267" s="421">
        <v>1359</v>
      </c>
      <c r="HF267" s="422">
        <f>(14/30.5)*135</f>
        <v>61.967213114754102</v>
      </c>
      <c r="HG267" s="587"/>
      <c r="HH267" s="421">
        <v>1359</v>
      </c>
      <c r="HI267" s="587"/>
      <c r="HJ267" s="421">
        <v>1359</v>
      </c>
      <c r="HK267" s="587"/>
      <c r="HL267" s="684">
        <v>1960.5245901639344</v>
      </c>
      <c r="HM267" s="587"/>
      <c r="HN267" s="567"/>
      <c r="HO267" s="567"/>
      <c r="HP267" s="567"/>
      <c r="HQ267" s="567"/>
      <c r="HR267" s="567"/>
      <c r="HS267" s="567"/>
      <c r="HT267" s="567"/>
      <c r="HU267" s="567"/>
      <c r="HV267" s="567"/>
      <c r="HW267" s="567"/>
      <c r="HX267" s="587"/>
      <c r="HY267" s="587"/>
      <c r="HZ267" s="587"/>
      <c r="IA267" s="587"/>
      <c r="IB267" s="587"/>
      <c r="IC267" s="587"/>
      <c r="ID267" s="587"/>
      <c r="IE267" s="587"/>
      <c r="IF267" s="587"/>
      <c r="IG267" s="587"/>
      <c r="IH267" s="588"/>
      <c r="II267" s="589"/>
      <c r="IJ267" s="588"/>
      <c r="IK267" s="589"/>
      <c r="IL267" s="588"/>
      <c r="IM267" s="589"/>
      <c r="IN267" s="588"/>
      <c r="IO267" s="589"/>
      <c r="IP267" s="588"/>
      <c r="IQ267" s="589"/>
      <c r="IR267" s="601" t="s">
        <v>3468</v>
      </c>
      <c r="IS267" s="587" t="s">
        <v>77</v>
      </c>
      <c r="IT267" s="611">
        <v>43878</v>
      </c>
      <c r="IU267" s="518">
        <v>43922</v>
      </c>
      <c r="IV267" s="552"/>
      <c r="IW267" s="526">
        <f t="shared" si="27"/>
        <v>44</v>
      </c>
      <c r="IX267" s="621">
        <f t="shared" si="32"/>
        <v>64.279494759473252</v>
      </c>
      <c r="IY267" s="665">
        <v>1960.5245901639344</v>
      </c>
    </row>
    <row r="268" spans="1:259" s="367" customFormat="1" ht="16.5" customHeight="1" x14ac:dyDescent="0.3">
      <c r="A268" s="526" t="s">
        <v>2758</v>
      </c>
      <c r="B268" s="682" t="s">
        <v>2784</v>
      </c>
      <c r="C268" s="998" t="s">
        <v>2115</v>
      </c>
      <c r="D268" s="662">
        <v>1454</v>
      </c>
      <c r="E268" s="516">
        <v>84</v>
      </c>
      <c r="F268" s="516">
        <v>0</v>
      </c>
      <c r="G268" s="516">
        <v>36</v>
      </c>
      <c r="H268" s="663">
        <v>0</v>
      </c>
      <c r="I268" s="866">
        <f>((1538-1249)/30.5)*4+1538</f>
        <v>1575.9016393442623</v>
      </c>
      <c r="J268" s="842">
        <f>(36/30.5)*4+36</f>
        <v>40.721311475409834</v>
      </c>
      <c r="K268" s="600"/>
      <c r="L268" s="597">
        <v>1249</v>
      </c>
      <c r="M268" s="600"/>
      <c r="N268" s="600"/>
      <c r="O268" s="597">
        <v>1249</v>
      </c>
      <c r="P268" s="600"/>
      <c r="Q268" s="600"/>
      <c r="R268" s="597">
        <v>1249</v>
      </c>
      <c r="S268" s="600"/>
      <c r="T268" s="600"/>
      <c r="U268" s="597">
        <v>1249</v>
      </c>
      <c r="V268" s="600"/>
      <c r="W268" s="600"/>
      <c r="X268" s="597">
        <v>1249</v>
      </c>
      <c r="Y268" s="600"/>
      <c r="Z268" s="600"/>
      <c r="AA268" s="597">
        <v>1249</v>
      </c>
      <c r="AB268" s="600"/>
      <c r="AC268" s="600"/>
      <c r="AD268" s="597">
        <v>1249</v>
      </c>
      <c r="AE268" s="600"/>
      <c r="AF268" s="600"/>
      <c r="AG268" s="597">
        <v>1249</v>
      </c>
      <c r="AH268" s="600"/>
      <c r="AI268" s="600"/>
      <c r="AJ268" s="597">
        <v>1249</v>
      </c>
      <c r="AK268" s="600"/>
      <c r="AL268" s="600"/>
      <c r="AM268" s="597">
        <v>1249</v>
      </c>
      <c r="AN268" s="600"/>
      <c r="AO268" s="600"/>
      <c r="AP268" s="597">
        <v>1249</v>
      </c>
      <c r="AQ268" s="600"/>
      <c r="AR268" s="600"/>
      <c r="AS268" s="597">
        <v>1249</v>
      </c>
      <c r="AT268" s="600"/>
      <c r="AU268" s="600"/>
      <c r="AV268" s="597">
        <v>1249</v>
      </c>
      <c r="AW268" s="600"/>
      <c r="AX268" s="600"/>
      <c r="AY268" s="597">
        <v>1249</v>
      </c>
      <c r="AZ268" s="600"/>
      <c r="BA268" s="600"/>
      <c r="BB268" s="421">
        <v>1249</v>
      </c>
      <c r="BC268" s="600"/>
      <c r="BD268" s="600"/>
      <c r="BE268" s="421">
        <v>1249</v>
      </c>
      <c r="BF268" s="600"/>
      <c r="BG268" s="600"/>
      <c r="BH268" s="421">
        <v>1249</v>
      </c>
      <c r="BI268" s="421"/>
      <c r="BJ268" s="587"/>
      <c r="BK268" s="421">
        <v>1249</v>
      </c>
      <c r="BL268" s="421"/>
      <c r="BM268" s="587"/>
      <c r="BN268" s="421">
        <v>1249</v>
      </c>
      <c r="BO268" s="421"/>
      <c r="BP268" s="587"/>
      <c r="BQ268" s="421">
        <v>1249</v>
      </c>
      <c r="BR268" s="421"/>
      <c r="BS268" s="587"/>
      <c r="BT268" s="421">
        <v>1249</v>
      </c>
      <c r="BU268" s="421"/>
      <c r="BV268" s="587"/>
      <c r="BW268" s="421">
        <v>1249</v>
      </c>
      <c r="BX268" s="421"/>
      <c r="BY268" s="587"/>
      <c r="BZ268" s="421">
        <v>1249</v>
      </c>
      <c r="CA268" s="421"/>
      <c r="CB268" s="587"/>
      <c r="CC268" s="421">
        <v>1249</v>
      </c>
      <c r="CD268" s="421"/>
      <c r="CE268" s="587"/>
      <c r="CF268" s="421">
        <v>1249</v>
      </c>
      <c r="CG268" s="421"/>
      <c r="CH268" s="587"/>
      <c r="CI268" s="421">
        <v>1249</v>
      </c>
      <c r="CJ268" s="421"/>
      <c r="CK268" s="587"/>
      <c r="CL268" s="421">
        <v>1249</v>
      </c>
      <c r="CM268" s="421"/>
      <c r="CN268" s="587"/>
      <c r="CO268" s="421">
        <v>1249</v>
      </c>
      <c r="CP268" s="421"/>
      <c r="CQ268" s="587"/>
      <c r="CR268" s="421">
        <v>1249</v>
      </c>
      <c r="CS268" s="421"/>
      <c r="CT268" s="587"/>
      <c r="CU268" s="421">
        <v>1249</v>
      </c>
      <c r="CV268" s="421"/>
      <c r="CW268" s="587"/>
      <c r="CX268" s="421">
        <v>1249</v>
      </c>
      <c r="CY268" s="421"/>
      <c r="CZ268" s="587"/>
      <c r="DA268" s="421">
        <v>1249</v>
      </c>
      <c r="DB268" s="421"/>
      <c r="DC268" s="587"/>
      <c r="DD268" s="421">
        <v>1249</v>
      </c>
      <c r="DE268" s="421"/>
      <c r="DF268" s="587"/>
      <c r="DG268" s="421">
        <v>1249</v>
      </c>
      <c r="DH268" s="421"/>
      <c r="DI268" s="587"/>
      <c r="DJ268" s="421">
        <v>1249</v>
      </c>
      <c r="DK268" s="421"/>
      <c r="DL268" s="587"/>
      <c r="DM268" s="421">
        <v>1249</v>
      </c>
      <c r="DN268" s="421"/>
      <c r="DO268" s="587"/>
      <c r="DP268" s="421">
        <v>1249</v>
      </c>
      <c r="DQ268" s="421"/>
      <c r="DR268" s="587"/>
      <c r="DS268" s="421">
        <v>1249</v>
      </c>
      <c r="DT268" s="421"/>
      <c r="DU268" s="587"/>
      <c r="DV268" s="421">
        <v>1249</v>
      </c>
      <c r="DW268" s="421"/>
      <c r="DX268" s="587"/>
      <c r="DY268" s="421">
        <v>1249</v>
      </c>
      <c r="DZ268" s="421"/>
      <c r="EA268" s="587"/>
      <c r="EB268" s="421">
        <v>1249</v>
      </c>
      <c r="EC268" s="421"/>
      <c r="ED268" s="587"/>
      <c r="EE268" s="421">
        <v>1249</v>
      </c>
      <c r="EF268" s="421"/>
      <c r="EG268" s="587"/>
      <c r="EH268" s="421">
        <v>1249</v>
      </c>
      <c r="EI268" s="421"/>
      <c r="EJ268" s="587"/>
      <c r="EK268" s="421">
        <v>1249</v>
      </c>
      <c r="EL268" s="421"/>
      <c r="EM268" s="587"/>
      <c r="EN268" s="421">
        <v>1249</v>
      </c>
      <c r="EO268" s="421"/>
      <c r="EP268" s="587"/>
      <c r="EQ268" s="421">
        <v>1249</v>
      </c>
      <c r="ER268" s="421"/>
      <c r="ES268" s="587"/>
      <c r="ET268" s="421">
        <v>1249</v>
      </c>
      <c r="EU268" s="421"/>
      <c r="EV268" s="587"/>
      <c r="EW268" s="421">
        <v>1249</v>
      </c>
      <c r="EX268" s="421"/>
      <c r="EY268" s="587"/>
      <c r="EZ268" s="421">
        <v>1249</v>
      </c>
      <c r="FA268" s="421"/>
      <c r="FB268" s="587"/>
      <c r="FC268" s="421">
        <v>1249</v>
      </c>
      <c r="FD268" s="421"/>
      <c r="FE268" s="587"/>
      <c r="FF268" s="421">
        <v>1249</v>
      </c>
      <c r="FG268" s="421"/>
      <c r="FH268" s="587"/>
      <c r="FI268" s="421">
        <v>1249</v>
      </c>
      <c r="FJ268" s="421"/>
      <c r="FK268" s="587"/>
      <c r="FL268" s="421">
        <v>1249</v>
      </c>
      <c r="FM268" s="421"/>
      <c r="FN268" s="587"/>
      <c r="FO268" s="421">
        <v>1249</v>
      </c>
      <c r="FP268" s="421"/>
      <c r="FQ268" s="587"/>
      <c r="FR268" s="421">
        <v>1249</v>
      </c>
      <c r="FS268" s="421"/>
      <c r="FT268" s="587"/>
      <c r="FU268" s="421">
        <v>1249</v>
      </c>
      <c r="FV268" s="421"/>
      <c r="FW268" s="587"/>
      <c r="FX268" s="421">
        <v>1249</v>
      </c>
      <c r="FY268" s="421"/>
      <c r="FZ268" s="587"/>
      <c r="GA268" s="421">
        <v>1249</v>
      </c>
      <c r="GB268" s="421"/>
      <c r="GC268" s="587"/>
      <c r="GD268" s="421">
        <v>1249</v>
      </c>
      <c r="GE268" s="421"/>
      <c r="GF268" s="587"/>
      <c r="GG268" s="421">
        <v>1249</v>
      </c>
      <c r="GH268" s="421"/>
      <c r="GI268" s="587"/>
      <c r="GJ268" s="421">
        <v>1249</v>
      </c>
      <c r="GK268" s="421"/>
      <c r="GL268" s="587"/>
      <c r="GM268" s="421">
        <v>1249</v>
      </c>
      <c r="GN268" s="421"/>
      <c r="GO268" s="587"/>
      <c r="GP268" s="421">
        <v>1249</v>
      </c>
      <c r="GQ268" s="421"/>
      <c r="GR268" s="587"/>
      <c r="GS268" s="421">
        <v>1249</v>
      </c>
      <c r="GT268" s="421"/>
      <c r="GU268" s="587"/>
      <c r="GV268" s="421">
        <v>1249</v>
      </c>
      <c r="GW268" s="421"/>
      <c r="GX268" s="587"/>
      <c r="GY268" s="421">
        <v>1249</v>
      </c>
      <c r="GZ268" s="421"/>
      <c r="HA268" s="587"/>
      <c r="HB268" s="421">
        <v>1249</v>
      </c>
      <c r="HC268" s="421"/>
      <c r="HD268" s="587"/>
      <c r="HE268" s="421">
        <v>1249</v>
      </c>
      <c r="HF268" s="421"/>
      <c r="HG268" s="587"/>
      <c r="HH268" s="421">
        <v>1249</v>
      </c>
      <c r="HI268" s="587"/>
      <c r="HJ268" s="421">
        <v>1249</v>
      </c>
      <c r="HK268" s="587"/>
      <c r="HL268" s="684">
        <v>1760.8852459016393</v>
      </c>
      <c r="HM268" s="587"/>
      <c r="HN268" s="567"/>
      <c r="HO268" s="567"/>
      <c r="HP268" s="567"/>
      <c r="HQ268" s="567"/>
      <c r="HR268" s="567"/>
      <c r="HS268" s="567"/>
      <c r="HT268" s="567"/>
      <c r="HU268" s="567"/>
      <c r="HV268" s="567"/>
      <c r="HW268" s="567"/>
      <c r="HX268" s="587"/>
      <c r="HY268" s="587"/>
      <c r="HZ268" s="587"/>
      <c r="IA268" s="587"/>
      <c r="IB268" s="587"/>
      <c r="IC268" s="587"/>
      <c r="ID268" s="587"/>
      <c r="IE268" s="587"/>
      <c r="IF268" s="587"/>
      <c r="IG268" s="587"/>
      <c r="IH268" s="588"/>
      <c r="II268" s="589"/>
      <c r="IJ268" s="588"/>
      <c r="IK268" s="589"/>
      <c r="IL268" s="588"/>
      <c r="IM268" s="589"/>
      <c r="IN268" s="588"/>
      <c r="IO268" s="589"/>
      <c r="IP268" s="588"/>
      <c r="IQ268" s="589"/>
      <c r="IR268" s="601" t="s">
        <v>3469</v>
      </c>
      <c r="IS268" s="587" t="s">
        <v>77</v>
      </c>
      <c r="IT268" s="611">
        <v>43879</v>
      </c>
      <c r="IU268" s="518">
        <v>43922</v>
      </c>
      <c r="IV268" s="552"/>
      <c r="IW268" s="526">
        <f t="shared" si="27"/>
        <v>43</v>
      </c>
      <c r="IX268" s="621">
        <f t="shared" si="32"/>
        <v>57.733942488578336</v>
      </c>
      <c r="IY268" s="665">
        <v>1760.8852459016393</v>
      </c>
    </row>
    <row r="269" spans="1:259" s="367" customFormat="1" ht="16.5" customHeight="1" x14ac:dyDescent="0.3">
      <c r="A269" s="526" t="s">
        <v>2743</v>
      </c>
      <c r="B269" s="682" t="s">
        <v>2748</v>
      </c>
      <c r="C269" s="685" t="s">
        <v>1126</v>
      </c>
      <c r="D269" s="686">
        <v>1149</v>
      </c>
      <c r="E269" s="656">
        <v>71</v>
      </c>
      <c r="F269" s="656">
        <v>32</v>
      </c>
      <c r="G269" s="656">
        <v>5</v>
      </c>
      <c r="H269" s="687">
        <v>66</v>
      </c>
      <c r="I269" s="841">
        <v>1251</v>
      </c>
      <c r="J269" s="600">
        <v>5</v>
      </c>
      <c r="K269" s="600">
        <v>66</v>
      </c>
      <c r="L269" s="835">
        <v>1251</v>
      </c>
      <c r="M269" s="600">
        <v>5</v>
      </c>
      <c r="N269" s="600">
        <v>66</v>
      </c>
      <c r="O269" s="835">
        <v>1251</v>
      </c>
      <c r="P269" s="600">
        <v>5</v>
      </c>
      <c r="Q269" s="600">
        <v>66</v>
      </c>
      <c r="R269" s="835">
        <v>1251</v>
      </c>
      <c r="S269" s="600">
        <v>5</v>
      </c>
      <c r="T269" s="600">
        <v>66</v>
      </c>
      <c r="U269" s="835">
        <v>1251</v>
      </c>
      <c r="V269" s="600">
        <v>5</v>
      </c>
      <c r="W269" s="600">
        <v>66</v>
      </c>
      <c r="X269" s="835">
        <v>1251</v>
      </c>
      <c r="Y269" s="600">
        <v>5</v>
      </c>
      <c r="Z269" s="600">
        <v>66</v>
      </c>
      <c r="AA269" s="835">
        <v>1251</v>
      </c>
      <c r="AB269" s="600">
        <v>5</v>
      </c>
      <c r="AC269" s="600">
        <v>66</v>
      </c>
      <c r="AD269" s="835">
        <v>1251</v>
      </c>
      <c r="AE269" s="600">
        <v>5</v>
      </c>
      <c r="AF269" s="600">
        <v>66</v>
      </c>
      <c r="AG269" s="835">
        <v>1251</v>
      </c>
      <c r="AH269" s="600">
        <v>5</v>
      </c>
      <c r="AI269" s="600">
        <v>66</v>
      </c>
      <c r="AJ269" s="835">
        <v>1251</v>
      </c>
      <c r="AK269" s="600">
        <v>5</v>
      </c>
      <c r="AL269" s="600">
        <v>66</v>
      </c>
      <c r="AM269" s="835">
        <v>1251</v>
      </c>
      <c r="AN269" s="600">
        <v>5</v>
      </c>
      <c r="AO269" s="600">
        <v>66</v>
      </c>
      <c r="AP269" s="835">
        <v>1251</v>
      </c>
      <c r="AQ269" s="600">
        <v>5</v>
      </c>
      <c r="AR269" s="600">
        <v>66</v>
      </c>
      <c r="AS269" s="835">
        <v>1251</v>
      </c>
      <c r="AT269" s="600">
        <v>5</v>
      </c>
      <c r="AU269" s="600">
        <v>66</v>
      </c>
      <c r="AV269" s="835">
        <v>1251</v>
      </c>
      <c r="AW269" s="600">
        <v>5</v>
      </c>
      <c r="AX269" s="600">
        <v>66</v>
      </c>
      <c r="AY269" s="835">
        <v>1251</v>
      </c>
      <c r="AZ269" s="600">
        <v>5</v>
      </c>
      <c r="BA269" s="600">
        <v>66</v>
      </c>
      <c r="BB269" s="472">
        <v>1251</v>
      </c>
      <c r="BC269" s="600">
        <v>5</v>
      </c>
      <c r="BD269" s="600">
        <v>66</v>
      </c>
      <c r="BE269" s="472">
        <v>1251</v>
      </c>
      <c r="BF269" s="600">
        <v>5</v>
      </c>
      <c r="BG269" s="600">
        <v>66</v>
      </c>
      <c r="BH269" s="472">
        <v>1251</v>
      </c>
      <c r="BI269" s="384">
        <v>5</v>
      </c>
      <c r="BJ269" s="516">
        <v>66</v>
      </c>
      <c r="BK269" s="472">
        <v>1251</v>
      </c>
      <c r="BL269" s="384">
        <v>5</v>
      </c>
      <c r="BM269" s="516">
        <v>66</v>
      </c>
      <c r="BN269" s="472">
        <v>1251</v>
      </c>
      <c r="BO269" s="384">
        <v>5</v>
      </c>
      <c r="BP269" s="516">
        <v>66</v>
      </c>
      <c r="BQ269" s="370">
        <f>((1251-1055)/30.5)*5+1251</f>
        <v>1283.1311475409836</v>
      </c>
      <c r="BR269" s="386">
        <f>(5/30.5)*5+5</f>
        <v>5.8196721311475406</v>
      </c>
      <c r="BS269" s="517">
        <v>66</v>
      </c>
      <c r="BT269" s="421">
        <v>1055</v>
      </c>
      <c r="BU269" s="421"/>
      <c r="BV269" s="655">
        <v>66</v>
      </c>
      <c r="BW269" s="421">
        <v>1055</v>
      </c>
      <c r="BX269" s="421"/>
      <c r="BY269" s="655">
        <v>66</v>
      </c>
      <c r="BZ269" s="421">
        <v>1055</v>
      </c>
      <c r="CA269" s="421"/>
      <c r="CB269" s="655">
        <v>66</v>
      </c>
      <c r="CC269" s="421">
        <v>1055</v>
      </c>
      <c r="CD269" s="421"/>
      <c r="CE269" s="655">
        <v>66</v>
      </c>
      <c r="CF269" s="421">
        <v>1055</v>
      </c>
      <c r="CG269" s="421"/>
      <c r="CH269" s="655">
        <v>66</v>
      </c>
      <c r="CI269" s="421">
        <v>1055</v>
      </c>
      <c r="CJ269" s="421"/>
      <c r="CK269" s="655">
        <v>66</v>
      </c>
      <c r="CL269" s="421">
        <v>1055</v>
      </c>
      <c r="CM269" s="421"/>
      <c r="CN269" s="655">
        <v>66</v>
      </c>
      <c r="CO269" s="421">
        <v>1055</v>
      </c>
      <c r="CP269" s="421"/>
      <c r="CQ269" s="655">
        <v>66</v>
      </c>
      <c r="CR269" s="421">
        <v>1055</v>
      </c>
      <c r="CS269" s="421"/>
      <c r="CT269" s="655">
        <v>66</v>
      </c>
      <c r="CU269" s="421">
        <v>1055</v>
      </c>
      <c r="CV269" s="421"/>
      <c r="CW269" s="655">
        <v>66</v>
      </c>
      <c r="CX269" s="421">
        <v>1055</v>
      </c>
      <c r="CY269" s="421"/>
      <c r="CZ269" s="655">
        <v>66</v>
      </c>
      <c r="DA269" s="421">
        <v>1055</v>
      </c>
      <c r="DB269" s="421"/>
      <c r="DC269" s="655">
        <v>66</v>
      </c>
      <c r="DD269" s="421">
        <v>1055</v>
      </c>
      <c r="DE269" s="421"/>
      <c r="DF269" s="655">
        <v>66</v>
      </c>
      <c r="DG269" s="421">
        <v>1055</v>
      </c>
      <c r="DH269" s="421"/>
      <c r="DI269" s="655">
        <v>66</v>
      </c>
      <c r="DJ269" s="421">
        <v>1055</v>
      </c>
      <c r="DK269" s="421"/>
      <c r="DL269" s="655">
        <v>66</v>
      </c>
      <c r="DM269" s="421">
        <v>1055</v>
      </c>
      <c r="DN269" s="421"/>
      <c r="DO269" s="655">
        <v>66</v>
      </c>
      <c r="DP269" s="421">
        <v>1055</v>
      </c>
      <c r="DQ269" s="421"/>
      <c r="DR269" s="655">
        <v>66</v>
      </c>
      <c r="DS269" s="421">
        <v>1055</v>
      </c>
      <c r="DT269" s="421"/>
      <c r="DU269" s="655">
        <v>66</v>
      </c>
      <c r="DV269" s="421">
        <v>1055</v>
      </c>
      <c r="DW269" s="421"/>
      <c r="DX269" s="655">
        <v>66</v>
      </c>
      <c r="DY269" s="421">
        <v>1055</v>
      </c>
      <c r="DZ269" s="421"/>
      <c r="EA269" s="655">
        <v>66</v>
      </c>
      <c r="EB269" s="421">
        <v>1055</v>
      </c>
      <c r="EC269" s="421"/>
      <c r="ED269" s="655">
        <v>66</v>
      </c>
      <c r="EE269" s="421">
        <v>1055</v>
      </c>
      <c r="EF269" s="421"/>
      <c r="EG269" s="655">
        <v>66</v>
      </c>
      <c r="EH269" s="421">
        <v>1055</v>
      </c>
      <c r="EI269" s="421"/>
      <c r="EJ269" s="655">
        <v>66</v>
      </c>
      <c r="EK269" s="421">
        <v>1055</v>
      </c>
      <c r="EL269" s="421"/>
      <c r="EM269" s="655">
        <v>66</v>
      </c>
      <c r="EN269" s="421">
        <v>1055</v>
      </c>
      <c r="EO269" s="421"/>
      <c r="EP269" s="655">
        <v>66</v>
      </c>
      <c r="EQ269" s="421">
        <v>1055</v>
      </c>
      <c r="ER269" s="421"/>
      <c r="ES269" s="655">
        <v>66</v>
      </c>
      <c r="ET269" s="421">
        <v>1055</v>
      </c>
      <c r="EU269" s="421"/>
      <c r="EV269" s="655">
        <v>66</v>
      </c>
      <c r="EW269" s="421">
        <v>1055</v>
      </c>
      <c r="EX269" s="421"/>
      <c r="EY269" s="655">
        <v>66</v>
      </c>
      <c r="EZ269" s="421">
        <v>1055</v>
      </c>
      <c r="FA269" s="421"/>
      <c r="FB269" s="655">
        <v>66</v>
      </c>
      <c r="FC269" s="421">
        <v>1055</v>
      </c>
      <c r="FD269" s="421"/>
      <c r="FE269" s="655">
        <v>66</v>
      </c>
      <c r="FF269" s="421">
        <v>1055</v>
      </c>
      <c r="FG269" s="421"/>
      <c r="FH269" s="655">
        <v>66</v>
      </c>
      <c r="FI269" s="421">
        <v>1055</v>
      </c>
      <c r="FJ269" s="421"/>
      <c r="FK269" s="655">
        <v>66</v>
      </c>
      <c r="FL269" s="421">
        <v>1055</v>
      </c>
      <c r="FM269" s="421"/>
      <c r="FN269" s="655">
        <v>66</v>
      </c>
      <c r="FO269" s="421">
        <v>1055</v>
      </c>
      <c r="FP269" s="421"/>
      <c r="FQ269" s="655">
        <v>66</v>
      </c>
      <c r="FR269" s="421">
        <v>1055</v>
      </c>
      <c r="FS269" s="421"/>
      <c r="FT269" s="655">
        <v>66</v>
      </c>
      <c r="FU269" s="421">
        <v>1055</v>
      </c>
      <c r="FV269" s="421"/>
      <c r="FW269" s="655">
        <v>66</v>
      </c>
      <c r="FX269" s="421">
        <v>1055</v>
      </c>
      <c r="FY269" s="421"/>
      <c r="FZ269" s="655">
        <v>66</v>
      </c>
      <c r="GA269" s="421">
        <v>1055</v>
      </c>
      <c r="GB269" s="421"/>
      <c r="GC269" s="655">
        <v>66</v>
      </c>
      <c r="GD269" s="421">
        <v>1055</v>
      </c>
      <c r="GE269" s="421"/>
      <c r="GF269" s="655">
        <v>66</v>
      </c>
      <c r="GG269" s="421">
        <v>1055</v>
      </c>
      <c r="GH269" s="421"/>
      <c r="GI269" s="655">
        <v>66</v>
      </c>
      <c r="GJ269" s="421">
        <v>1055</v>
      </c>
      <c r="GK269" s="421"/>
      <c r="GL269" s="655">
        <v>66</v>
      </c>
      <c r="GM269" s="421">
        <v>1055</v>
      </c>
      <c r="GN269" s="421"/>
      <c r="GO269" s="655">
        <v>66</v>
      </c>
      <c r="GP269" s="421">
        <v>1055</v>
      </c>
      <c r="GQ269" s="421"/>
      <c r="GR269" s="655">
        <v>66</v>
      </c>
      <c r="GS269" s="421">
        <v>1055</v>
      </c>
      <c r="GT269" s="421"/>
      <c r="GU269" s="655">
        <v>66</v>
      </c>
      <c r="GV269" s="421">
        <v>1055</v>
      </c>
      <c r="GW269" s="421"/>
      <c r="GX269" s="655">
        <v>66</v>
      </c>
      <c r="GY269" s="421">
        <v>1055</v>
      </c>
      <c r="GZ269" s="421"/>
      <c r="HA269" s="655">
        <v>66</v>
      </c>
      <c r="HB269" s="421">
        <v>1055</v>
      </c>
      <c r="HC269" s="421"/>
      <c r="HD269" s="655">
        <v>66</v>
      </c>
      <c r="HE269" s="421">
        <v>1055</v>
      </c>
      <c r="HF269" s="421"/>
      <c r="HG269" s="655">
        <v>66</v>
      </c>
      <c r="HH269" s="421">
        <v>1055</v>
      </c>
      <c r="HI269" s="655">
        <v>66</v>
      </c>
      <c r="HJ269" s="421">
        <v>1055</v>
      </c>
      <c r="HK269" s="655">
        <v>66</v>
      </c>
      <c r="HL269" s="684">
        <v>1487.377049180328</v>
      </c>
      <c r="HM269" s="517">
        <v>92.506393442622937</v>
      </c>
      <c r="HN269" s="567"/>
      <c r="HO269" s="567"/>
      <c r="HP269" s="567"/>
      <c r="HQ269" s="567"/>
      <c r="HR269" s="567"/>
      <c r="HS269" s="567"/>
      <c r="HT269" s="567"/>
      <c r="HU269" s="567"/>
      <c r="HV269" s="567"/>
      <c r="HW269" s="567"/>
      <c r="HX269" s="587"/>
      <c r="HY269" s="587"/>
      <c r="HZ269" s="587"/>
      <c r="IA269" s="587"/>
      <c r="IB269" s="587"/>
      <c r="IC269" s="587"/>
      <c r="ID269" s="587"/>
      <c r="IE269" s="587"/>
      <c r="IF269" s="587"/>
      <c r="IG269" s="587"/>
      <c r="IH269" s="588"/>
      <c r="II269" s="589"/>
      <c r="IJ269" s="588"/>
      <c r="IK269" s="589"/>
      <c r="IL269" s="588"/>
      <c r="IM269" s="589"/>
      <c r="IN269" s="588"/>
      <c r="IO269" s="589"/>
      <c r="IP269" s="588"/>
      <c r="IQ269" s="589"/>
      <c r="IR269" s="601" t="s">
        <v>3470</v>
      </c>
      <c r="IS269" s="587" t="s">
        <v>77</v>
      </c>
      <c r="IT269" s="611">
        <v>43879</v>
      </c>
      <c r="IU269" s="518">
        <v>43922</v>
      </c>
      <c r="IV269" s="552"/>
      <c r="IW269" s="526">
        <f t="shared" si="27"/>
        <v>43</v>
      </c>
      <c r="IX269" s="621">
        <f t="shared" si="32"/>
        <v>48.766460628863214</v>
      </c>
      <c r="IY269" s="665">
        <v>1487.377049180328</v>
      </c>
    </row>
    <row r="270" spans="1:259" s="367" customFormat="1" ht="16.5" customHeight="1" x14ac:dyDescent="0.3">
      <c r="A270" s="526" t="s">
        <v>2758</v>
      </c>
      <c r="B270" s="377" t="s">
        <v>2874</v>
      </c>
      <c r="C270" s="378" t="s">
        <v>2375</v>
      </c>
      <c r="D270" s="882">
        <f>(13*12)+285</f>
        <v>441</v>
      </c>
      <c r="E270" s="880">
        <v>12</v>
      </c>
      <c r="F270" s="880">
        <v>18</v>
      </c>
      <c r="G270" s="922">
        <v>0</v>
      </c>
      <c r="H270" s="516">
        <v>0</v>
      </c>
      <c r="I270" s="844">
        <v>302</v>
      </c>
      <c r="J270" s="600"/>
      <c r="K270" s="600"/>
      <c r="L270" s="606">
        <v>302</v>
      </c>
      <c r="M270" s="600"/>
      <c r="N270" s="600"/>
      <c r="O270" s="606">
        <v>302</v>
      </c>
      <c r="P270" s="600"/>
      <c r="Q270" s="600"/>
      <c r="R270" s="606">
        <v>302</v>
      </c>
      <c r="S270" s="600"/>
      <c r="T270" s="600"/>
      <c r="U270" s="606">
        <v>302</v>
      </c>
      <c r="V270" s="600"/>
      <c r="W270" s="600"/>
      <c r="X270" s="606">
        <v>302</v>
      </c>
      <c r="Y270" s="600"/>
      <c r="Z270" s="600"/>
      <c r="AA270" s="606">
        <v>302</v>
      </c>
      <c r="AB270" s="600"/>
      <c r="AC270" s="600"/>
      <c r="AD270" s="606">
        <v>302</v>
      </c>
      <c r="AE270" s="600"/>
      <c r="AF270" s="600"/>
      <c r="AG270" s="606">
        <v>302</v>
      </c>
      <c r="AH270" s="600"/>
      <c r="AI270" s="600"/>
      <c r="AJ270" s="606">
        <v>302</v>
      </c>
      <c r="AK270" s="600"/>
      <c r="AL270" s="600"/>
      <c r="AM270" s="606">
        <v>302</v>
      </c>
      <c r="AN270" s="600"/>
      <c r="AO270" s="600"/>
      <c r="AP270" s="606">
        <v>302</v>
      </c>
      <c r="AQ270" s="600"/>
      <c r="AR270" s="600"/>
      <c r="AS270" s="909">
        <f>((302-254)/30.5)*31+302</f>
        <v>350.78688524590166</v>
      </c>
      <c r="AT270" s="600"/>
      <c r="AU270" s="600"/>
      <c r="AV270" s="597">
        <v>254</v>
      </c>
      <c r="AW270" s="600"/>
      <c r="AX270" s="600"/>
      <c r="AY270" s="597">
        <v>254</v>
      </c>
      <c r="AZ270" s="600"/>
      <c r="BA270" s="600"/>
      <c r="BB270" s="421">
        <v>254</v>
      </c>
      <c r="BC270" s="600"/>
      <c r="BD270" s="600"/>
      <c r="BE270" s="421">
        <v>254</v>
      </c>
      <c r="BF270" s="600"/>
      <c r="BG270" s="600"/>
      <c r="BH270" s="421">
        <v>254</v>
      </c>
      <c r="BI270" s="421"/>
      <c r="BJ270" s="587"/>
      <c r="BK270" s="421">
        <v>254</v>
      </c>
      <c r="BL270" s="421"/>
      <c r="BM270" s="587"/>
      <c r="BN270" s="421">
        <v>254</v>
      </c>
      <c r="BO270" s="421"/>
      <c r="BP270" s="587"/>
      <c r="BQ270" s="421">
        <v>254</v>
      </c>
      <c r="BR270" s="421"/>
      <c r="BS270" s="587"/>
      <c r="BT270" s="421">
        <v>254</v>
      </c>
      <c r="BU270" s="421"/>
      <c r="BV270" s="587"/>
      <c r="BW270" s="421">
        <v>254</v>
      </c>
      <c r="BX270" s="421"/>
      <c r="BY270" s="587"/>
      <c r="BZ270" s="421">
        <v>254</v>
      </c>
      <c r="CA270" s="421"/>
      <c r="CB270" s="587"/>
      <c r="CC270" s="421">
        <v>254</v>
      </c>
      <c r="CD270" s="421"/>
      <c r="CE270" s="587"/>
      <c r="CF270" s="421">
        <v>254</v>
      </c>
      <c r="CG270" s="421"/>
      <c r="CH270" s="587"/>
      <c r="CI270" s="421">
        <v>254</v>
      </c>
      <c r="CJ270" s="421"/>
      <c r="CK270" s="587"/>
      <c r="CL270" s="421">
        <v>254</v>
      </c>
      <c r="CM270" s="421"/>
      <c r="CN270" s="587"/>
      <c r="CO270" s="421">
        <v>254</v>
      </c>
      <c r="CP270" s="421"/>
      <c r="CQ270" s="587"/>
      <c r="CR270" s="421">
        <v>254</v>
      </c>
      <c r="CS270" s="421"/>
      <c r="CT270" s="587"/>
      <c r="CU270" s="421">
        <v>254</v>
      </c>
      <c r="CV270" s="421"/>
      <c r="CW270" s="587"/>
      <c r="CX270" s="421">
        <v>254</v>
      </c>
      <c r="CY270" s="421"/>
      <c r="CZ270" s="587"/>
      <c r="DA270" s="421">
        <v>254</v>
      </c>
      <c r="DB270" s="421"/>
      <c r="DC270" s="587"/>
      <c r="DD270" s="421">
        <v>254</v>
      </c>
      <c r="DE270" s="421"/>
      <c r="DF270" s="587"/>
      <c r="DG270" s="421">
        <v>254</v>
      </c>
      <c r="DH270" s="421"/>
      <c r="DI270" s="587"/>
      <c r="DJ270" s="421">
        <v>254</v>
      </c>
      <c r="DK270" s="421"/>
      <c r="DL270" s="587"/>
      <c r="DM270" s="421">
        <v>254</v>
      </c>
      <c r="DN270" s="421"/>
      <c r="DO270" s="587"/>
      <c r="DP270" s="421">
        <v>254</v>
      </c>
      <c r="DQ270" s="421"/>
      <c r="DR270" s="587"/>
      <c r="DS270" s="421">
        <v>254</v>
      </c>
      <c r="DT270" s="421"/>
      <c r="DU270" s="587"/>
      <c r="DV270" s="421">
        <v>254</v>
      </c>
      <c r="DW270" s="421"/>
      <c r="DX270" s="587"/>
      <c r="DY270" s="421">
        <v>254</v>
      </c>
      <c r="DZ270" s="421"/>
      <c r="EA270" s="587"/>
      <c r="EB270" s="421">
        <v>254</v>
      </c>
      <c r="EC270" s="421"/>
      <c r="ED270" s="587"/>
      <c r="EE270" s="421">
        <v>254</v>
      </c>
      <c r="EF270" s="421"/>
      <c r="EG270" s="587"/>
      <c r="EH270" s="421">
        <v>254</v>
      </c>
      <c r="EI270" s="421"/>
      <c r="EJ270" s="587"/>
      <c r="EK270" s="421">
        <v>254</v>
      </c>
      <c r="EL270" s="421"/>
      <c r="EM270" s="587"/>
      <c r="EN270" s="421">
        <v>254</v>
      </c>
      <c r="EO270" s="421"/>
      <c r="EP270" s="587"/>
      <c r="EQ270" s="421">
        <v>254</v>
      </c>
      <c r="ER270" s="421"/>
      <c r="ES270" s="587"/>
      <c r="ET270" s="421">
        <v>254</v>
      </c>
      <c r="EU270" s="421"/>
      <c r="EV270" s="587"/>
      <c r="EW270" s="421">
        <v>254</v>
      </c>
      <c r="EX270" s="421"/>
      <c r="EY270" s="587"/>
      <c r="EZ270" s="421">
        <v>254</v>
      </c>
      <c r="FA270" s="421"/>
      <c r="FB270" s="587"/>
      <c r="FC270" s="421">
        <v>254</v>
      </c>
      <c r="FD270" s="421"/>
      <c r="FE270" s="587"/>
      <c r="FF270" s="421">
        <v>254</v>
      </c>
      <c r="FG270" s="421"/>
      <c r="FH270" s="587"/>
      <c r="FI270" s="421">
        <v>254</v>
      </c>
      <c r="FJ270" s="421"/>
      <c r="FK270" s="587"/>
      <c r="FL270" s="421">
        <v>254</v>
      </c>
      <c r="FM270" s="421"/>
      <c r="FN270" s="587"/>
      <c r="FO270" s="421">
        <v>254</v>
      </c>
      <c r="FP270" s="421"/>
      <c r="FQ270" s="587"/>
      <c r="FR270" s="421">
        <v>254</v>
      </c>
      <c r="FS270" s="421"/>
      <c r="FT270" s="587"/>
      <c r="FU270" s="421">
        <v>254</v>
      </c>
      <c r="FV270" s="421"/>
      <c r="FW270" s="587"/>
      <c r="FX270" s="421">
        <v>254</v>
      </c>
      <c r="FY270" s="421"/>
      <c r="FZ270" s="587"/>
      <c r="GA270" s="421">
        <v>254</v>
      </c>
      <c r="GB270" s="421"/>
      <c r="GC270" s="587"/>
      <c r="GD270" s="421">
        <v>254</v>
      </c>
      <c r="GE270" s="421"/>
      <c r="GF270" s="587"/>
      <c r="GG270" s="421">
        <v>254</v>
      </c>
      <c r="GH270" s="421"/>
      <c r="GI270" s="587"/>
      <c r="GJ270" s="421">
        <v>254</v>
      </c>
      <c r="GK270" s="421"/>
      <c r="GL270" s="587"/>
      <c r="GM270" s="421">
        <v>254</v>
      </c>
      <c r="GN270" s="421"/>
      <c r="GO270" s="587"/>
      <c r="GP270" s="421">
        <v>254</v>
      </c>
      <c r="GQ270" s="421"/>
      <c r="GR270" s="587"/>
      <c r="GS270" s="421">
        <v>254</v>
      </c>
      <c r="GT270" s="421"/>
      <c r="GU270" s="587"/>
      <c r="GV270" s="421">
        <v>254</v>
      </c>
      <c r="GW270" s="421"/>
      <c r="GX270" s="587"/>
      <c r="GY270" s="421">
        <v>254</v>
      </c>
      <c r="GZ270" s="421"/>
      <c r="HA270" s="587"/>
      <c r="HB270" s="422">
        <v>254</v>
      </c>
      <c r="HC270" s="421"/>
      <c r="HD270" s="587"/>
      <c r="HE270" s="421">
        <v>243</v>
      </c>
      <c r="HF270" s="421"/>
      <c r="HG270" s="587"/>
      <c r="HH270" s="421">
        <v>243</v>
      </c>
      <c r="HI270" s="587"/>
      <c r="HJ270" s="421">
        <v>243</v>
      </c>
      <c r="HK270" s="587"/>
      <c r="HL270" s="684">
        <v>334.62295081967216</v>
      </c>
      <c r="HM270" s="587"/>
      <c r="HN270" s="567"/>
      <c r="HO270" s="567"/>
      <c r="HP270" s="567"/>
      <c r="HQ270" s="567"/>
      <c r="HR270" s="567"/>
      <c r="HS270" s="567"/>
      <c r="HT270" s="567"/>
      <c r="HU270" s="567"/>
      <c r="HV270" s="567"/>
      <c r="HW270" s="567"/>
      <c r="HX270" s="587"/>
      <c r="HY270" s="587"/>
      <c r="HZ270" s="587"/>
      <c r="IA270" s="587"/>
      <c r="IB270" s="587"/>
      <c r="IC270" s="587"/>
      <c r="ID270" s="587"/>
      <c r="IE270" s="587"/>
      <c r="IF270" s="587"/>
      <c r="IG270" s="587"/>
      <c r="IH270" s="588"/>
      <c r="II270" s="589"/>
      <c r="IJ270" s="588"/>
      <c r="IK270" s="589"/>
      <c r="IL270" s="588"/>
      <c r="IM270" s="589"/>
      <c r="IN270" s="588"/>
      <c r="IO270" s="589"/>
      <c r="IP270" s="588"/>
      <c r="IQ270" s="589"/>
      <c r="IR270" s="601" t="s">
        <v>3471</v>
      </c>
      <c r="IS270" s="587" t="s">
        <v>77</v>
      </c>
      <c r="IT270" s="611">
        <v>43880</v>
      </c>
      <c r="IU270" s="518">
        <v>43922</v>
      </c>
      <c r="IV270" s="518">
        <v>44013</v>
      </c>
      <c r="IW270" s="526">
        <f t="shared" si="27"/>
        <v>42</v>
      </c>
      <c r="IX270" s="621">
        <f t="shared" si="32"/>
        <v>10.971244289169579</v>
      </c>
      <c r="IY270" s="665">
        <v>334.62295081967216</v>
      </c>
    </row>
    <row r="271" spans="1:259" s="367" customFormat="1" ht="16.5" customHeight="1" x14ac:dyDescent="0.3">
      <c r="A271" s="526" t="s">
        <v>2758</v>
      </c>
      <c r="B271" s="689" t="s">
        <v>2757</v>
      </c>
      <c r="C271" s="542" t="s">
        <v>1467</v>
      </c>
      <c r="D271" s="846">
        <f>((-136*12)+469)+(((356-469)/30.5)*5+356)</f>
        <v>-825.52459016393436</v>
      </c>
      <c r="E271" s="868">
        <v>35</v>
      </c>
      <c r="F271" s="923">
        <f>((16-8)/30.5)*5+16</f>
        <v>17.311475409836067</v>
      </c>
      <c r="G271" s="923">
        <f>((27-36)/30.5)*5+27</f>
        <v>25.524590163934427</v>
      </c>
      <c r="H271" s="655">
        <v>0</v>
      </c>
      <c r="I271" s="855">
        <v>648</v>
      </c>
      <c r="J271" s="597">
        <v>36</v>
      </c>
      <c r="K271" s="600"/>
      <c r="L271" s="597">
        <v>648</v>
      </c>
      <c r="M271" s="597">
        <v>36</v>
      </c>
      <c r="N271" s="600"/>
      <c r="O271" s="597">
        <v>648</v>
      </c>
      <c r="P271" s="597">
        <v>36</v>
      </c>
      <c r="Q271" s="600"/>
      <c r="R271" s="597">
        <v>648</v>
      </c>
      <c r="S271" s="597">
        <v>36</v>
      </c>
      <c r="T271" s="600"/>
      <c r="U271" s="597">
        <v>648</v>
      </c>
      <c r="V271" s="597">
        <v>36</v>
      </c>
      <c r="W271" s="600"/>
      <c r="X271" s="597">
        <v>648</v>
      </c>
      <c r="Y271" s="597">
        <v>36</v>
      </c>
      <c r="Z271" s="600"/>
      <c r="AA271" s="597">
        <v>648</v>
      </c>
      <c r="AB271" s="597">
        <v>36</v>
      </c>
      <c r="AC271" s="600"/>
      <c r="AD271" s="597">
        <v>648</v>
      </c>
      <c r="AE271" s="597">
        <v>36</v>
      </c>
      <c r="AF271" s="600"/>
      <c r="AG271" s="597">
        <v>648</v>
      </c>
      <c r="AH271" s="597">
        <v>36</v>
      </c>
      <c r="AI271" s="600"/>
      <c r="AJ271" s="597">
        <v>648</v>
      </c>
      <c r="AK271" s="597">
        <v>36</v>
      </c>
      <c r="AL271" s="600"/>
      <c r="AM271" s="597">
        <v>648</v>
      </c>
      <c r="AN271" s="597">
        <v>36</v>
      </c>
      <c r="AO271" s="600"/>
      <c r="AP271" s="597">
        <v>648</v>
      </c>
      <c r="AQ271" s="597">
        <v>36</v>
      </c>
      <c r="AR271" s="600"/>
      <c r="AS271" s="597">
        <v>648</v>
      </c>
      <c r="AT271" s="597">
        <v>36</v>
      </c>
      <c r="AU271" s="600"/>
      <c r="AV271" s="597">
        <v>648</v>
      </c>
      <c r="AW271" s="597">
        <v>36</v>
      </c>
      <c r="AX271" s="600"/>
      <c r="AY271" s="597">
        <v>648</v>
      </c>
      <c r="AZ271" s="597">
        <v>36</v>
      </c>
      <c r="BA271" s="600"/>
      <c r="BB271" s="421">
        <v>648</v>
      </c>
      <c r="BC271" s="421">
        <v>36</v>
      </c>
      <c r="BD271" s="600"/>
      <c r="BE271" s="421">
        <v>648</v>
      </c>
      <c r="BF271" s="421">
        <v>36</v>
      </c>
      <c r="BG271" s="600"/>
      <c r="BH271" s="421">
        <v>648</v>
      </c>
      <c r="BI271" s="421">
        <v>36</v>
      </c>
      <c r="BJ271" s="690"/>
      <c r="BK271" s="421">
        <v>648</v>
      </c>
      <c r="BL271" s="421">
        <v>36</v>
      </c>
      <c r="BM271" s="690"/>
      <c r="BN271" s="421">
        <v>648</v>
      </c>
      <c r="BO271" s="421">
        <v>36</v>
      </c>
      <c r="BP271" s="690"/>
      <c r="BQ271" s="421">
        <v>648</v>
      </c>
      <c r="BR271" s="421">
        <v>36</v>
      </c>
      <c r="BS271" s="690"/>
      <c r="BT271" s="421">
        <v>648</v>
      </c>
      <c r="BU271" s="421">
        <v>36</v>
      </c>
      <c r="BV271" s="690"/>
      <c r="BW271" s="421">
        <v>648</v>
      </c>
      <c r="BX271" s="421">
        <v>36</v>
      </c>
      <c r="BY271" s="690"/>
      <c r="BZ271" s="421">
        <v>648</v>
      </c>
      <c r="CA271" s="421">
        <v>36</v>
      </c>
      <c r="CB271" s="690"/>
      <c r="CC271" s="421">
        <v>648</v>
      </c>
      <c r="CD271" s="421">
        <v>36</v>
      </c>
      <c r="CE271" s="690"/>
      <c r="CF271" s="421">
        <v>648</v>
      </c>
      <c r="CG271" s="421">
        <v>36</v>
      </c>
      <c r="CH271" s="690"/>
      <c r="CI271" s="421">
        <v>648</v>
      </c>
      <c r="CJ271" s="421">
        <v>36</v>
      </c>
      <c r="CK271" s="690"/>
      <c r="CL271" s="421">
        <v>648</v>
      </c>
      <c r="CM271" s="421">
        <v>36</v>
      </c>
      <c r="CN271" s="690"/>
      <c r="CO271" s="421">
        <v>648</v>
      </c>
      <c r="CP271" s="421">
        <v>36</v>
      </c>
      <c r="CQ271" s="690"/>
      <c r="CR271" s="421">
        <v>648</v>
      </c>
      <c r="CS271" s="421">
        <v>36</v>
      </c>
      <c r="CT271" s="690"/>
      <c r="CU271" s="421">
        <v>648</v>
      </c>
      <c r="CV271" s="421">
        <v>36</v>
      </c>
      <c r="CW271" s="690"/>
      <c r="CX271" s="421">
        <v>648</v>
      </c>
      <c r="CY271" s="421">
        <v>36</v>
      </c>
      <c r="CZ271" s="690"/>
      <c r="DA271" s="421">
        <v>648</v>
      </c>
      <c r="DB271" s="421">
        <v>36</v>
      </c>
      <c r="DC271" s="690"/>
      <c r="DD271" s="421">
        <v>648</v>
      </c>
      <c r="DE271" s="421">
        <v>36</v>
      </c>
      <c r="DF271" s="690"/>
      <c r="DG271" s="421">
        <v>648</v>
      </c>
      <c r="DH271" s="421">
        <v>36</v>
      </c>
      <c r="DI271" s="690"/>
      <c r="DJ271" s="421">
        <v>648</v>
      </c>
      <c r="DK271" s="421">
        <v>36</v>
      </c>
      <c r="DL271" s="690"/>
      <c r="DM271" s="421">
        <v>648</v>
      </c>
      <c r="DN271" s="421">
        <v>36</v>
      </c>
      <c r="DO271" s="690"/>
      <c r="DP271" s="422">
        <f>((648-1335)/30.5)*5+648</f>
        <v>535.37704918032784</v>
      </c>
      <c r="DQ271" s="422">
        <f>((36-14)/30.5)*5+36</f>
        <v>39.606557377049178</v>
      </c>
      <c r="DR271" s="691"/>
      <c r="DS271" s="421">
        <v>1335</v>
      </c>
      <c r="DT271" s="421">
        <f>14</f>
        <v>14</v>
      </c>
      <c r="DU271" s="587"/>
      <c r="DV271" s="421">
        <v>1335</v>
      </c>
      <c r="DW271" s="421">
        <f>14</f>
        <v>14</v>
      </c>
      <c r="DX271" s="587"/>
      <c r="DY271" s="421">
        <v>1335</v>
      </c>
      <c r="DZ271" s="421">
        <f>14</f>
        <v>14</v>
      </c>
      <c r="EA271" s="587"/>
      <c r="EB271" s="421">
        <v>1335</v>
      </c>
      <c r="EC271" s="421">
        <f>14</f>
        <v>14</v>
      </c>
      <c r="ED271" s="587"/>
      <c r="EE271" s="421">
        <v>1335</v>
      </c>
      <c r="EF271" s="421">
        <f>14</f>
        <v>14</v>
      </c>
      <c r="EG271" s="587"/>
      <c r="EH271" s="421">
        <v>1335</v>
      </c>
      <c r="EI271" s="421">
        <f>14</f>
        <v>14</v>
      </c>
      <c r="EJ271" s="587"/>
      <c r="EK271" s="421">
        <v>1335</v>
      </c>
      <c r="EL271" s="421">
        <f>14</f>
        <v>14</v>
      </c>
      <c r="EM271" s="587"/>
      <c r="EN271" s="421">
        <v>1335</v>
      </c>
      <c r="EO271" s="421">
        <f>14</f>
        <v>14</v>
      </c>
      <c r="EP271" s="587"/>
      <c r="EQ271" s="421">
        <v>1335</v>
      </c>
      <c r="ER271" s="421">
        <f>14</f>
        <v>14</v>
      </c>
      <c r="ES271" s="587"/>
      <c r="ET271" s="421">
        <v>1335</v>
      </c>
      <c r="EU271" s="421">
        <f>14</f>
        <v>14</v>
      </c>
      <c r="EV271" s="587"/>
      <c r="EW271" s="421">
        <v>1335</v>
      </c>
      <c r="EX271" s="421">
        <f>14</f>
        <v>14</v>
      </c>
      <c r="EY271" s="587"/>
      <c r="EZ271" s="421">
        <v>1335</v>
      </c>
      <c r="FA271" s="421">
        <f>14</f>
        <v>14</v>
      </c>
      <c r="FB271" s="587"/>
      <c r="FC271" s="421">
        <v>1335</v>
      </c>
      <c r="FD271" s="421">
        <f>14</f>
        <v>14</v>
      </c>
      <c r="FE271" s="587"/>
      <c r="FF271" s="421">
        <v>1335</v>
      </c>
      <c r="FG271" s="421">
        <f>14</f>
        <v>14</v>
      </c>
      <c r="FH271" s="587"/>
      <c r="FI271" s="421">
        <v>1335</v>
      </c>
      <c r="FJ271" s="421">
        <f>14</f>
        <v>14</v>
      </c>
      <c r="FK271" s="587"/>
      <c r="FL271" s="421">
        <v>1335</v>
      </c>
      <c r="FM271" s="421">
        <f>14</f>
        <v>14</v>
      </c>
      <c r="FN271" s="587"/>
      <c r="FO271" s="421">
        <v>1335</v>
      </c>
      <c r="FP271" s="421">
        <f>14</f>
        <v>14</v>
      </c>
      <c r="FQ271" s="587"/>
      <c r="FR271" s="421">
        <v>1335</v>
      </c>
      <c r="FS271" s="421">
        <f>14</f>
        <v>14</v>
      </c>
      <c r="FT271" s="587"/>
      <c r="FU271" s="421">
        <v>1335</v>
      </c>
      <c r="FV271" s="421">
        <f>14</f>
        <v>14</v>
      </c>
      <c r="FW271" s="587"/>
      <c r="FX271" s="421">
        <v>1335</v>
      </c>
      <c r="FY271" s="421">
        <f>14</f>
        <v>14</v>
      </c>
      <c r="FZ271" s="587"/>
      <c r="GA271" s="421">
        <v>1335</v>
      </c>
      <c r="GB271" s="421">
        <f>14</f>
        <v>14</v>
      </c>
      <c r="GC271" s="587"/>
      <c r="GD271" s="421">
        <v>1335</v>
      </c>
      <c r="GE271" s="421">
        <f>14</f>
        <v>14</v>
      </c>
      <c r="GF271" s="587"/>
      <c r="GG271" s="421">
        <v>1335</v>
      </c>
      <c r="GH271" s="421">
        <f>14</f>
        <v>14</v>
      </c>
      <c r="GI271" s="587"/>
      <c r="GJ271" s="421">
        <v>1335</v>
      </c>
      <c r="GK271" s="421">
        <f>14</f>
        <v>14</v>
      </c>
      <c r="GL271" s="587"/>
      <c r="GM271" s="421">
        <v>1335</v>
      </c>
      <c r="GN271" s="421">
        <f>14</f>
        <v>14</v>
      </c>
      <c r="GO271" s="587"/>
      <c r="GP271" s="421">
        <v>1335</v>
      </c>
      <c r="GQ271" s="421">
        <f>14</f>
        <v>14</v>
      </c>
      <c r="GR271" s="587"/>
      <c r="GS271" s="421">
        <v>1335</v>
      </c>
      <c r="GT271" s="421">
        <f>14</f>
        <v>14</v>
      </c>
      <c r="GU271" s="587"/>
      <c r="GV271" s="421">
        <v>1335</v>
      </c>
      <c r="GW271" s="421">
        <f>14</f>
        <v>14</v>
      </c>
      <c r="GX271" s="587"/>
      <c r="GY271" s="421">
        <v>1335</v>
      </c>
      <c r="GZ271" s="421">
        <f>14</f>
        <v>14</v>
      </c>
      <c r="HA271" s="587"/>
      <c r="HB271" s="421">
        <v>1335</v>
      </c>
      <c r="HC271" s="421">
        <f>14</f>
        <v>14</v>
      </c>
      <c r="HD271" s="587"/>
      <c r="HE271" s="421">
        <v>1335</v>
      </c>
      <c r="HF271" s="422">
        <f>(14/30.5)*133</f>
        <v>61.049180327868854</v>
      </c>
      <c r="HG271" s="587"/>
      <c r="HH271" s="421">
        <v>1335</v>
      </c>
      <c r="HI271" s="587"/>
      <c r="HJ271" s="421">
        <v>1335</v>
      </c>
      <c r="HK271" s="587"/>
      <c r="HL271" s="684">
        <v>1838.360655737705</v>
      </c>
      <c r="HM271" s="587"/>
      <c r="HN271" s="567"/>
      <c r="HO271" s="567"/>
      <c r="HP271" s="567"/>
      <c r="HQ271" s="567"/>
      <c r="HR271" s="567"/>
      <c r="HS271" s="567"/>
      <c r="HT271" s="567"/>
      <c r="HU271" s="567"/>
      <c r="HV271" s="567"/>
      <c r="HW271" s="567"/>
      <c r="HX271" s="587"/>
      <c r="HY271" s="587"/>
      <c r="HZ271" s="587"/>
      <c r="IA271" s="587"/>
      <c r="IB271" s="587"/>
      <c r="IC271" s="587"/>
      <c r="ID271" s="587"/>
      <c r="IE271" s="587"/>
      <c r="IF271" s="587"/>
      <c r="IG271" s="587"/>
      <c r="IH271" s="588"/>
      <c r="II271" s="589"/>
      <c r="IJ271" s="588"/>
      <c r="IK271" s="589"/>
      <c r="IL271" s="588"/>
      <c r="IM271" s="589"/>
      <c r="IN271" s="588"/>
      <c r="IO271" s="589"/>
      <c r="IP271" s="588"/>
      <c r="IQ271" s="589"/>
      <c r="IR271" s="601" t="s">
        <v>3472</v>
      </c>
      <c r="IS271" s="587" t="s">
        <v>77</v>
      </c>
      <c r="IT271" s="611">
        <v>43880</v>
      </c>
      <c r="IU271" s="518">
        <v>43922</v>
      </c>
      <c r="IV271" s="552"/>
      <c r="IW271" s="526">
        <f t="shared" si="27"/>
        <v>42</v>
      </c>
      <c r="IX271" s="621">
        <f t="shared" si="32"/>
        <v>60.274119860252625</v>
      </c>
      <c r="IY271" s="665">
        <v>1838.360655737705</v>
      </c>
    </row>
    <row r="272" spans="1:259" s="367" customFormat="1" ht="16.5" customHeight="1" x14ac:dyDescent="0.3">
      <c r="A272" s="401" t="s">
        <v>3315</v>
      </c>
      <c r="B272" s="402" t="s">
        <v>3315</v>
      </c>
      <c r="C272" s="688" t="s">
        <v>2760</v>
      </c>
      <c r="D272" s="919"/>
      <c r="E272" s="920"/>
      <c r="F272" s="920"/>
      <c r="G272" s="920"/>
      <c r="H272" s="921"/>
      <c r="I272" s="924">
        <v>0</v>
      </c>
      <c r="J272" s="635">
        <f>(5/30.5)*7</f>
        <v>1.1475409836065573</v>
      </c>
      <c r="K272" s="600"/>
      <c r="L272" s="635">
        <v>0</v>
      </c>
      <c r="M272" s="635">
        <f>(5/30.5)*7</f>
        <v>1.1475409836065573</v>
      </c>
      <c r="N272" s="600"/>
      <c r="O272" s="635">
        <v>0</v>
      </c>
      <c r="P272" s="635">
        <f>(5/30.5)*7</f>
        <v>1.1475409836065573</v>
      </c>
      <c r="Q272" s="600"/>
      <c r="R272" s="635">
        <v>0</v>
      </c>
      <c r="S272" s="635">
        <f>(5/30.5)*7</f>
        <v>1.1475409836065573</v>
      </c>
      <c r="T272" s="600"/>
      <c r="U272" s="635">
        <v>0</v>
      </c>
      <c r="V272" s="635">
        <f>(5/30.5)*7</f>
        <v>1.1475409836065573</v>
      </c>
      <c r="W272" s="600"/>
      <c r="X272" s="635">
        <v>0</v>
      </c>
      <c r="Y272" s="635">
        <f>(5/30.5)*7</f>
        <v>1.1475409836065573</v>
      </c>
      <c r="Z272" s="600"/>
      <c r="AA272" s="597">
        <v>1233</v>
      </c>
      <c r="AB272" s="597">
        <f>5</f>
        <v>5</v>
      </c>
      <c r="AC272" s="600"/>
      <c r="AD272" s="597">
        <v>1233</v>
      </c>
      <c r="AE272" s="597">
        <f>5</f>
        <v>5</v>
      </c>
      <c r="AF272" s="600"/>
      <c r="AG272" s="597">
        <v>1233</v>
      </c>
      <c r="AH272" s="597">
        <f>5</f>
        <v>5</v>
      </c>
      <c r="AI272" s="600"/>
      <c r="AJ272" s="597">
        <v>1233</v>
      </c>
      <c r="AK272" s="597">
        <f>5</f>
        <v>5</v>
      </c>
      <c r="AL272" s="600"/>
      <c r="AM272" s="597">
        <v>1233</v>
      </c>
      <c r="AN272" s="597">
        <f>5</f>
        <v>5</v>
      </c>
      <c r="AO272" s="600"/>
      <c r="AP272" s="597">
        <v>1233</v>
      </c>
      <c r="AQ272" s="597">
        <f>5</f>
        <v>5</v>
      </c>
      <c r="AR272" s="600"/>
      <c r="AS272" s="597">
        <v>1233</v>
      </c>
      <c r="AT272" s="597">
        <f>5</f>
        <v>5</v>
      </c>
      <c r="AU272" s="600"/>
      <c r="AV272" s="597">
        <v>1233</v>
      </c>
      <c r="AW272" s="597">
        <f>5</f>
        <v>5</v>
      </c>
      <c r="AX272" s="600"/>
      <c r="AY272" s="597">
        <v>1233</v>
      </c>
      <c r="AZ272" s="597">
        <f>5</f>
        <v>5</v>
      </c>
      <c r="BA272" s="600"/>
      <c r="BB272" s="421">
        <v>1233</v>
      </c>
      <c r="BC272" s="421">
        <f>5</f>
        <v>5</v>
      </c>
      <c r="BD272" s="600"/>
      <c r="BE272" s="421">
        <v>1233</v>
      </c>
      <c r="BF272" s="421">
        <f>5</f>
        <v>5</v>
      </c>
      <c r="BG272" s="600"/>
      <c r="BH272" s="421">
        <v>1233</v>
      </c>
      <c r="BI272" s="421">
        <f>5</f>
        <v>5</v>
      </c>
      <c r="BJ272" s="655"/>
      <c r="BK272" s="421">
        <v>1233</v>
      </c>
      <c r="BL272" s="421">
        <f>5</f>
        <v>5</v>
      </c>
      <c r="BM272" s="655"/>
      <c r="BN272" s="421">
        <v>1233</v>
      </c>
      <c r="BO272" s="421">
        <f>5</f>
        <v>5</v>
      </c>
      <c r="BP272" s="655"/>
      <c r="BQ272" s="421">
        <v>1233</v>
      </c>
      <c r="BR272" s="421">
        <f>5</f>
        <v>5</v>
      </c>
      <c r="BS272" s="655"/>
      <c r="BT272" s="421">
        <v>1233</v>
      </c>
      <c r="BU272" s="421">
        <f>5</f>
        <v>5</v>
      </c>
      <c r="BV272" s="655"/>
      <c r="BW272" s="421">
        <v>1233</v>
      </c>
      <c r="BX272" s="421">
        <f>5</f>
        <v>5</v>
      </c>
      <c r="BY272" s="655"/>
      <c r="BZ272" s="421">
        <v>1233</v>
      </c>
      <c r="CA272" s="421">
        <f>5</f>
        <v>5</v>
      </c>
      <c r="CB272" s="655"/>
      <c r="CC272" s="421">
        <v>1233</v>
      </c>
      <c r="CD272" s="421">
        <f>5</f>
        <v>5</v>
      </c>
      <c r="CE272" s="655"/>
      <c r="CF272" s="421">
        <v>1233</v>
      </c>
      <c r="CG272" s="421">
        <f>5</f>
        <v>5</v>
      </c>
      <c r="CH272" s="655"/>
      <c r="CI272" s="421">
        <v>1233</v>
      </c>
      <c r="CJ272" s="421">
        <f>5</f>
        <v>5</v>
      </c>
      <c r="CK272" s="655"/>
      <c r="CL272" s="421">
        <v>1233</v>
      </c>
      <c r="CM272" s="421">
        <f>5</f>
        <v>5</v>
      </c>
      <c r="CN272" s="655"/>
      <c r="CO272" s="421">
        <v>1233</v>
      </c>
      <c r="CP272" s="421">
        <f>5</f>
        <v>5</v>
      </c>
      <c r="CQ272" s="655"/>
      <c r="CR272" s="421">
        <v>1233</v>
      </c>
      <c r="CS272" s="421">
        <f>5</f>
        <v>5</v>
      </c>
      <c r="CT272" s="655"/>
      <c r="CU272" s="421">
        <v>1233</v>
      </c>
      <c r="CV272" s="421">
        <f>5</f>
        <v>5</v>
      </c>
      <c r="CW272" s="655"/>
      <c r="CX272" s="421">
        <v>1233</v>
      </c>
      <c r="CY272" s="421">
        <f>5</f>
        <v>5</v>
      </c>
      <c r="CZ272" s="655"/>
      <c r="DA272" s="421">
        <v>1233</v>
      </c>
      <c r="DB272" s="421">
        <f>5</f>
        <v>5</v>
      </c>
      <c r="DC272" s="655"/>
      <c r="DD272" s="421">
        <v>1233</v>
      </c>
      <c r="DE272" s="421">
        <f>5</f>
        <v>5</v>
      </c>
      <c r="DF272" s="655"/>
      <c r="DG272" s="421">
        <v>1233</v>
      </c>
      <c r="DH272" s="421">
        <f>5</f>
        <v>5</v>
      </c>
      <c r="DI272" s="655"/>
      <c r="DJ272" s="421">
        <v>1233</v>
      </c>
      <c r="DK272" s="421">
        <f>5</f>
        <v>5</v>
      </c>
      <c r="DL272" s="655"/>
      <c r="DM272" s="421">
        <v>1233</v>
      </c>
      <c r="DN272" s="421">
        <f>5</f>
        <v>5</v>
      </c>
      <c r="DO272" s="655"/>
      <c r="DP272" s="421">
        <v>1233</v>
      </c>
      <c r="DQ272" s="421">
        <f>5</f>
        <v>5</v>
      </c>
      <c r="DR272" s="655"/>
      <c r="DS272" s="421">
        <v>1233</v>
      </c>
      <c r="DT272" s="421">
        <f>5</f>
        <v>5</v>
      </c>
      <c r="DU272" s="655"/>
      <c r="DV272" s="421">
        <v>1233</v>
      </c>
      <c r="DW272" s="421">
        <f>5</f>
        <v>5</v>
      </c>
      <c r="DX272" s="655"/>
      <c r="DY272" s="421">
        <v>1233</v>
      </c>
      <c r="DZ272" s="421">
        <f>5</f>
        <v>5</v>
      </c>
      <c r="EA272" s="655"/>
      <c r="EB272" s="421">
        <v>1233</v>
      </c>
      <c r="EC272" s="421">
        <f>5</f>
        <v>5</v>
      </c>
      <c r="ED272" s="655"/>
      <c r="EE272" s="421">
        <v>1233</v>
      </c>
      <c r="EF272" s="421">
        <f>5</f>
        <v>5</v>
      </c>
      <c r="EG272" s="655"/>
      <c r="EH272" s="421">
        <v>1233</v>
      </c>
      <c r="EI272" s="421">
        <f>5</f>
        <v>5</v>
      </c>
      <c r="EJ272" s="655"/>
      <c r="EK272" s="421">
        <v>1233</v>
      </c>
      <c r="EL272" s="421">
        <f>5</f>
        <v>5</v>
      </c>
      <c r="EM272" s="655"/>
      <c r="EN272" s="421">
        <v>1233</v>
      </c>
      <c r="EO272" s="421">
        <f>5</f>
        <v>5</v>
      </c>
      <c r="EP272" s="655"/>
      <c r="EQ272" s="421">
        <v>1233</v>
      </c>
      <c r="ER272" s="421">
        <f>5</f>
        <v>5</v>
      </c>
      <c r="ES272" s="655"/>
      <c r="ET272" s="421">
        <v>1233</v>
      </c>
      <c r="EU272" s="421">
        <f>5</f>
        <v>5</v>
      </c>
      <c r="EV272" s="655"/>
      <c r="EW272" s="421">
        <v>1233</v>
      </c>
      <c r="EX272" s="421">
        <f>5</f>
        <v>5</v>
      </c>
      <c r="EY272" s="655"/>
      <c r="EZ272" s="421">
        <v>1233</v>
      </c>
      <c r="FA272" s="421">
        <f>5</f>
        <v>5</v>
      </c>
      <c r="FB272" s="655"/>
      <c r="FC272" s="421">
        <v>1233</v>
      </c>
      <c r="FD272" s="421">
        <f>5</f>
        <v>5</v>
      </c>
      <c r="FE272" s="655"/>
      <c r="FF272" s="421">
        <v>1233</v>
      </c>
      <c r="FG272" s="421">
        <f>5</f>
        <v>5</v>
      </c>
      <c r="FH272" s="655"/>
      <c r="FI272" s="421">
        <v>1233</v>
      </c>
      <c r="FJ272" s="421">
        <f>5</f>
        <v>5</v>
      </c>
      <c r="FK272" s="655"/>
      <c r="FL272" s="421">
        <v>1233</v>
      </c>
      <c r="FM272" s="421">
        <f>5</f>
        <v>5</v>
      </c>
      <c r="FN272" s="655"/>
      <c r="FO272" s="421">
        <v>1233</v>
      </c>
      <c r="FP272" s="421">
        <f>5</f>
        <v>5</v>
      </c>
      <c r="FQ272" s="655"/>
      <c r="FR272" s="421">
        <v>1233</v>
      </c>
      <c r="FS272" s="421">
        <f>5</f>
        <v>5</v>
      </c>
      <c r="FT272" s="655"/>
      <c r="FU272" s="421">
        <v>1233</v>
      </c>
      <c r="FV272" s="421">
        <f>5</f>
        <v>5</v>
      </c>
      <c r="FW272" s="655"/>
      <c r="FX272" s="421">
        <v>1233</v>
      </c>
      <c r="FY272" s="421">
        <f>5</f>
        <v>5</v>
      </c>
      <c r="FZ272" s="655"/>
      <c r="GA272" s="421">
        <v>1233</v>
      </c>
      <c r="GB272" s="421">
        <f>5</f>
        <v>5</v>
      </c>
      <c r="GC272" s="655"/>
      <c r="GD272" s="421">
        <v>1233</v>
      </c>
      <c r="GE272" s="421">
        <f>5</f>
        <v>5</v>
      </c>
      <c r="GF272" s="655"/>
      <c r="GG272" s="421">
        <v>1233</v>
      </c>
      <c r="GH272" s="421">
        <f>5</f>
        <v>5</v>
      </c>
      <c r="GI272" s="655"/>
      <c r="GJ272" s="421">
        <v>1233</v>
      </c>
      <c r="GK272" s="421">
        <f>5</f>
        <v>5</v>
      </c>
      <c r="GL272" s="655"/>
      <c r="GM272" s="421">
        <v>1233</v>
      </c>
      <c r="GN272" s="421">
        <f>5</f>
        <v>5</v>
      </c>
      <c r="GO272" s="655"/>
      <c r="GP272" s="421">
        <v>1233</v>
      </c>
      <c r="GQ272" s="421">
        <f>5</f>
        <v>5</v>
      </c>
      <c r="GR272" s="655"/>
      <c r="GS272" s="421">
        <v>1233</v>
      </c>
      <c r="GT272" s="421">
        <f>5</f>
        <v>5</v>
      </c>
      <c r="GU272" s="655"/>
      <c r="GV272" s="421">
        <v>1233</v>
      </c>
      <c r="GW272" s="421">
        <f>5</f>
        <v>5</v>
      </c>
      <c r="GX272" s="655"/>
      <c r="GY272" s="421">
        <v>1233</v>
      </c>
      <c r="GZ272" s="421">
        <f>5</f>
        <v>5</v>
      </c>
      <c r="HA272" s="655"/>
      <c r="HB272" s="421">
        <v>1233</v>
      </c>
      <c r="HC272" s="421">
        <f>5</f>
        <v>5</v>
      </c>
      <c r="HD272" s="655"/>
      <c r="HE272" s="421">
        <v>1233</v>
      </c>
      <c r="HF272" s="422">
        <f>(5/30.5)*124</f>
        <v>20.327868852459016</v>
      </c>
      <c r="HG272" s="655"/>
      <c r="HH272" s="421">
        <v>1233</v>
      </c>
      <c r="HI272" s="655"/>
      <c r="HJ272" s="421">
        <v>1233</v>
      </c>
      <c r="HK272" s="655"/>
      <c r="HL272" s="684">
        <v>1334.0655737704917</v>
      </c>
      <c r="HM272" s="655"/>
      <c r="HN272" s="567"/>
      <c r="HO272" s="567"/>
      <c r="HP272" s="567"/>
      <c r="HQ272" s="567"/>
      <c r="HR272" s="567"/>
      <c r="HS272" s="567"/>
      <c r="HT272" s="567"/>
      <c r="HU272" s="567"/>
      <c r="HV272" s="567"/>
      <c r="HW272" s="567"/>
      <c r="HX272" s="587"/>
      <c r="HY272" s="587"/>
      <c r="HZ272" s="587"/>
      <c r="IA272" s="587"/>
      <c r="IB272" s="587"/>
      <c r="IC272" s="587"/>
      <c r="ID272" s="587"/>
      <c r="IE272" s="587"/>
      <c r="IF272" s="587"/>
      <c r="IG272" s="587"/>
      <c r="IH272" s="588"/>
      <c r="II272" s="589"/>
      <c r="IJ272" s="588"/>
      <c r="IK272" s="589"/>
      <c r="IL272" s="588"/>
      <c r="IM272" s="589"/>
      <c r="IN272" s="588"/>
      <c r="IO272" s="589"/>
      <c r="IP272" s="588"/>
      <c r="IQ272" s="589"/>
      <c r="IR272" s="601" t="s">
        <v>3473</v>
      </c>
      <c r="IS272" s="587" t="s">
        <v>77</v>
      </c>
      <c r="IT272" s="611">
        <v>43889</v>
      </c>
      <c r="IU272" s="518">
        <v>43922</v>
      </c>
      <c r="IV272" s="552"/>
      <c r="IW272" s="526">
        <f t="shared" si="27"/>
        <v>33</v>
      </c>
      <c r="IX272" s="621">
        <f t="shared" si="32"/>
        <v>43.739854877721037</v>
      </c>
      <c r="IY272" s="665">
        <v>1334.0655737704917</v>
      </c>
    </row>
    <row r="273" spans="1:260" s="367" customFormat="1" ht="16.5" customHeight="1" x14ac:dyDescent="0.3">
      <c r="A273" s="526" t="s">
        <v>2743</v>
      </c>
      <c r="B273" s="411" t="s">
        <v>3208</v>
      </c>
      <c r="C273" s="692" t="s">
        <v>2427</v>
      </c>
      <c r="D273" s="693">
        <v>1716</v>
      </c>
      <c r="E273" s="694">
        <v>47</v>
      </c>
      <c r="F273" s="694">
        <v>8</v>
      </c>
      <c r="G273" s="694">
        <v>36</v>
      </c>
      <c r="H273" s="695">
        <v>0</v>
      </c>
      <c r="I273" s="855">
        <v>1771</v>
      </c>
      <c r="J273" s="597">
        <v>36</v>
      </c>
      <c r="K273" s="600"/>
      <c r="L273" s="597">
        <v>1771</v>
      </c>
      <c r="M273" s="597">
        <v>36</v>
      </c>
      <c r="N273" s="600"/>
      <c r="O273" s="597">
        <v>1771</v>
      </c>
      <c r="P273" s="597">
        <v>36</v>
      </c>
      <c r="Q273" s="600"/>
      <c r="R273" s="597">
        <v>1771</v>
      </c>
      <c r="S273" s="597">
        <v>36</v>
      </c>
      <c r="T273" s="600"/>
      <c r="U273" s="597">
        <v>1771</v>
      </c>
      <c r="V273" s="597">
        <v>36</v>
      </c>
      <c r="W273" s="600"/>
      <c r="X273" s="597">
        <v>1771</v>
      </c>
      <c r="Y273" s="597">
        <v>36</v>
      </c>
      <c r="Z273" s="600"/>
      <c r="AA273" s="597">
        <v>1771</v>
      </c>
      <c r="AB273" s="597">
        <v>36</v>
      </c>
      <c r="AC273" s="600"/>
      <c r="AD273" s="597">
        <v>1771</v>
      </c>
      <c r="AE273" s="597">
        <v>36</v>
      </c>
      <c r="AF273" s="600"/>
      <c r="AG273" s="597">
        <v>1771</v>
      </c>
      <c r="AH273" s="597">
        <v>36</v>
      </c>
      <c r="AI273" s="600"/>
      <c r="AJ273" s="597">
        <v>1771</v>
      </c>
      <c r="AK273" s="597">
        <v>36</v>
      </c>
      <c r="AL273" s="600"/>
      <c r="AM273" s="597">
        <v>1771</v>
      </c>
      <c r="AN273" s="597">
        <v>36</v>
      </c>
      <c r="AO273" s="600"/>
      <c r="AP273" s="597">
        <v>1771</v>
      </c>
      <c r="AQ273" s="597">
        <v>36</v>
      </c>
      <c r="AR273" s="600"/>
      <c r="AS273" s="597">
        <v>1771</v>
      </c>
      <c r="AT273" s="597">
        <v>36</v>
      </c>
      <c r="AU273" s="600"/>
      <c r="AV273" s="597">
        <v>1771</v>
      </c>
      <c r="AW273" s="597">
        <v>36</v>
      </c>
      <c r="AX273" s="600"/>
      <c r="AY273" s="597">
        <v>1771</v>
      </c>
      <c r="AZ273" s="597">
        <v>36</v>
      </c>
      <c r="BA273" s="600"/>
      <c r="BB273" s="421">
        <v>1771</v>
      </c>
      <c r="BC273" s="421">
        <v>36</v>
      </c>
      <c r="BD273" s="600"/>
      <c r="BE273" s="421">
        <v>1771</v>
      </c>
      <c r="BF273" s="421">
        <v>36</v>
      </c>
      <c r="BG273" s="600"/>
      <c r="BH273" s="421">
        <v>1771</v>
      </c>
      <c r="BI273" s="421">
        <v>36</v>
      </c>
      <c r="BJ273" s="690"/>
      <c r="BK273" s="421">
        <v>1771</v>
      </c>
      <c r="BL273" s="421">
        <v>36</v>
      </c>
      <c r="BM273" s="690"/>
      <c r="BN273" s="421">
        <v>1771</v>
      </c>
      <c r="BO273" s="421">
        <v>36</v>
      </c>
      <c r="BP273" s="690"/>
      <c r="BQ273" s="421">
        <v>1771</v>
      </c>
      <c r="BR273" s="421">
        <v>36</v>
      </c>
      <c r="BS273" s="690"/>
      <c r="BT273" s="421">
        <v>1771</v>
      </c>
      <c r="BU273" s="421">
        <v>36</v>
      </c>
      <c r="BV273" s="690"/>
      <c r="BW273" s="421">
        <v>1771</v>
      </c>
      <c r="BX273" s="421">
        <v>36</v>
      </c>
      <c r="BY273" s="690"/>
      <c r="BZ273" s="421">
        <v>1771</v>
      </c>
      <c r="CA273" s="421">
        <v>36</v>
      </c>
      <c r="CB273" s="690"/>
      <c r="CC273" s="421">
        <v>1771</v>
      </c>
      <c r="CD273" s="421">
        <v>36</v>
      </c>
      <c r="CE273" s="690"/>
      <c r="CF273" s="421">
        <v>1771</v>
      </c>
      <c r="CG273" s="421">
        <v>36</v>
      </c>
      <c r="CH273" s="690"/>
      <c r="CI273" s="421">
        <v>1771</v>
      </c>
      <c r="CJ273" s="421">
        <v>36</v>
      </c>
      <c r="CK273" s="690"/>
      <c r="CL273" s="421">
        <v>1771</v>
      </c>
      <c r="CM273" s="421">
        <v>36</v>
      </c>
      <c r="CN273" s="690"/>
      <c r="CO273" s="421">
        <v>1771</v>
      </c>
      <c r="CP273" s="421">
        <v>36</v>
      </c>
      <c r="CQ273" s="690"/>
      <c r="CR273" s="422">
        <f>((1771-1480)/30.5)*15+1771</f>
        <v>1914.1147540983607</v>
      </c>
      <c r="CS273" s="422">
        <f>(36/30.5)*15+36</f>
        <v>53.704918032786885</v>
      </c>
      <c r="CT273" s="691"/>
      <c r="CU273" s="421">
        <v>1480</v>
      </c>
      <c r="CV273" s="421"/>
      <c r="CW273" s="587"/>
      <c r="CX273" s="421">
        <v>1480</v>
      </c>
      <c r="CY273" s="421"/>
      <c r="CZ273" s="587"/>
      <c r="DA273" s="421">
        <v>1480</v>
      </c>
      <c r="DB273" s="421"/>
      <c r="DC273" s="587"/>
      <c r="DD273" s="421">
        <v>1480</v>
      </c>
      <c r="DE273" s="421"/>
      <c r="DF273" s="587"/>
      <c r="DG273" s="421">
        <v>1480</v>
      </c>
      <c r="DH273" s="421"/>
      <c r="DI273" s="587"/>
      <c r="DJ273" s="421">
        <v>1480</v>
      </c>
      <c r="DK273" s="421"/>
      <c r="DL273" s="587"/>
      <c r="DM273" s="421">
        <v>1480</v>
      </c>
      <c r="DN273" s="421"/>
      <c r="DO273" s="587"/>
      <c r="DP273" s="421">
        <v>1480</v>
      </c>
      <c r="DQ273" s="421"/>
      <c r="DR273" s="587"/>
      <c r="DS273" s="421">
        <v>1480</v>
      </c>
      <c r="DT273" s="421"/>
      <c r="DU273" s="587"/>
      <c r="DV273" s="421">
        <v>1480</v>
      </c>
      <c r="DW273" s="421"/>
      <c r="DX273" s="587"/>
      <c r="DY273" s="421">
        <v>1480</v>
      </c>
      <c r="DZ273" s="421"/>
      <c r="EA273" s="587"/>
      <c r="EB273" s="421">
        <v>1480</v>
      </c>
      <c r="EC273" s="421"/>
      <c r="ED273" s="587"/>
      <c r="EE273" s="421">
        <v>1480</v>
      </c>
      <c r="EF273" s="421"/>
      <c r="EG273" s="587"/>
      <c r="EH273" s="421">
        <v>1480</v>
      </c>
      <c r="EI273" s="421"/>
      <c r="EJ273" s="587"/>
      <c r="EK273" s="421">
        <v>1480</v>
      </c>
      <c r="EL273" s="421"/>
      <c r="EM273" s="587"/>
      <c r="EN273" s="421">
        <v>1480</v>
      </c>
      <c r="EO273" s="421"/>
      <c r="EP273" s="587"/>
      <c r="EQ273" s="421">
        <v>1480</v>
      </c>
      <c r="ER273" s="421"/>
      <c r="ES273" s="587"/>
      <c r="ET273" s="421">
        <v>1480</v>
      </c>
      <c r="EU273" s="421"/>
      <c r="EV273" s="587"/>
      <c r="EW273" s="421">
        <v>1480</v>
      </c>
      <c r="EX273" s="421"/>
      <c r="EY273" s="587"/>
      <c r="EZ273" s="421">
        <v>1480</v>
      </c>
      <c r="FA273" s="421"/>
      <c r="FB273" s="587"/>
      <c r="FC273" s="421">
        <v>1480</v>
      </c>
      <c r="FD273" s="421"/>
      <c r="FE273" s="587"/>
      <c r="FF273" s="421">
        <v>1480</v>
      </c>
      <c r="FG273" s="421"/>
      <c r="FH273" s="587"/>
      <c r="FI273" s="421">
        <v>1480</v>
      </c>
      <c r="FJ273" s="421"/>
      <c r="FK273" s="587"/>
      <c r="FL273" s="421">
        <v>1480</v>
      </c>
      <c r="FM273" s="421"/>
      <c r="FN273" s="587"/>
      <c r="FO273" s="421">
        <v>1480</v>
      </c>
      <c r="FP273" s="421"/>
      <c r="FQ273" s="587"/>
      <c r="FR273" s="421">
        <v>1480</v>
      </c>
      <c r="FS273" s="421"/>
      <c r="FT273" s="587"/>
      <c r="FU273" s="421">
        <v>1480</v>
      </c>
      <c r="FV273" s="421"/>
      <c r="FW273" s="587"/>
      <c r="FX273" s="421">
        <v>1480</v>
      </c>
      <c r="FY273" s="421"/>
      <c r="FZ273" s="587"/>
      <c r="GA273" s="421">
        <v>1480</v>
      </c>
      <c r="GB273" s="421"/>
      <c r="GC273" s="587"/>
      <c r="GD273" s="421">
        <v>1480</v>
      </c>
      <c r="GE273" s="421"/>
      <c r="GF273" s="587"/>
      <c r="GG273" s="421">
        <v>1480</v>
      </c>
      <c r="GH273" s="421"/>
      <c r="GI273" s="587"/>
      <c r="GJ273" s="421">
        <v>1480</v>
      </c>
      <c r="GK273" s="421"/>
      <c r="GL273" s="587"/>
      <c r="GM273" s="421">
        <v>1480</v>
      </c>
      <c r="GN273" s="421"/>
      <c r="GO273" s="587"/>
      <c r="GP273" s="421">
        <v>1480</v>
      </c>
      <c r="GQ273" s="421"/>
      <c r="GR273" s="587"/>
      <c r="GS273" s="421">
        <v>1480</v>
      </c>
      <c r="GT273" s="421"/>
      <c r="GU273" s="587"/>
      <c r="GV273" s="421">
        <v>1480</v>
      </c>
      <c r="GW273" s="421"/>
      <c r="GX273" s="587"/>
      <c r="GY273" s="421">
        <v>1480</v>
      </c>
      <c r="GZ273" s="421"/>
      <c r="HA273" s="587"/>
      <c r="HB273" s="421">
        <v>1480</v>
      </c>
      <c r="HC273" s="421"/>
      <c r="HD273" s="587"/>
      <c r="HE273" s="421">
        <v>1480</v>
      </c>
      <c r="HF273" s="421"/>
      <c r="HG273" s="587"/>
      <c r="HH273" s="421">
        <v>1480</v>
      </c>
      <c r="HI273" s="587"/>
      <c r="HJ273" s="421">
        <v>1480</v>
      </c>
      <c r="HK273" s="587"/>
      <c r="HL273" s="684">
        <v>1698.360655737705</v>
      </c>
      <c r="HM273" s="587"/>
      <c r="HN273" s="567"/>
      <c r="HO273" s="567"/>
      <c r="HP273" s="567"/>
      <c r="HQ273" s="567"/>
      <c r="HR273" s="567"/>
      <c r="HS273" s="567"/>
      <c r="HT273" s="567"/>
      <c r="HU273" s="567"/>
      <c r="HV273" s="567"/>
      <c r="HW273" s="567"/>
      <c r="HX273" s="587"/>
      <c r="HY273" s="587"/>
      <c r="HZ273" s="587"/>
      <c r="IA273" s="587"/>
      <c r="IB273" s="587"/>
      <c r="IC273" s="587"/>
      <c r="ID273" s="587"/>
      <c r="IE273" s="587"/>
      <c r="IF273" s="587"/>
      <c r="IG273" s="587"/>
      <c r="IH273" s="588"/>
      <c r="II273" s="589"/>
      <c r="IJ273" s="588"/>
      <c r="IK273" s="589"/>
      <c r="IL273" s="588"/>
      <c r="IM273" s="589"/>
      <c r="IN273" s="588"/>
      <c r="IO273" s="589"/>
      <c r="IP273" s="588"/>
      <c r="IQ273" s="589"/>
      <c r="IR273" s="601" t="s">
        <v>3474</v>
      </c>
      <c r="IS273" s="587" t="s">
        <v>77</v>
      </c>
      <c r="IT273" s="611">
        <v>43887</v>
      </c>
      <c r="IU273" s="518">
        <v>43922</v>
      </c>
      <c r="IV273" s="552"/>
      <c r="IW273" s="526">
        <f t="shared" ref="IW273:IW337" si="33">IU273-IT273</f>
        <v>35</v>
      </c>
      <c r="IX273" s="621">
        <f t="shared" si="32"/>
        <v>55.683955925826396</v>
      </c>
      <c r="IY273" s="665">
        <v>1698.360655737705</v>
      </c>
    </row>
    <row r="274" spans="1:260" s="367" customFormat="1" ht="16.5" customHeight="1" x14ac:dyDescent="0.3">
      <c r="A274" s="526" t="s">
        <v>2743</v>
      </c>
      <c r="B274" s="411" t="s">
        <v>3208</v>
      </c>
      <c r="C274" s="378" t="s">
        <v>969</v>
      </c>
      <c r="D274" s="882">
        <f>(1066*12)+1716</f>
        <v>14508</v>
      </c>
      <c r="E274" s="880">
        <v>47.3</v>
      </c>
      <c r="F274" s="880">
        <v>8</v>
      </c>
      <c r="G274" s="882">
        <f>(36*12)+36</f>
        <v>468</v>
      </c>
      <c r="H274" s="655">
        <v>0</v>
      </c>
      <c r="I274" s="855">
        <v>705</v>
      </c>
      <c r="J274" s="600"/>
      <c r="K274" s="600"/>
      <c r="L274" s="597">
        <v>705</v>
      </c>
      <c r="M274" s="600"/>
      <c r="N274" s="600"/>
      <c r="O274" s="597">
        <v>705</v>
      </c>
      <c r="P274" s="600"/>
      <c r="Q274" s="600"/>
      <c r="R274" s="597">
        <v>705</v>
      </c>
      <c r="S274" s="600"/>
      <c r="T274" s="600"/>
      <c r="U274" s="597">
        <v>705</v>
      </c>
      <c r="V274" s="600"/>
      <c r="W274" s="600"/>
      <c r="X274" s="597">
        <v>705</v>
      </c>
      <c r="Y274" s="600"/>
      <c r="Z274" s="600"/>
      <c r="AA274" s="597">
        <v>705</v>
      </c>
      <c r="AB274" s="600"/>
      <c r="AC274" s="600"/>
      <c r="AD274" s="597">
        <v>705</v>
      </c>
      <c r="AE274" s="600"/>
      <c r="AF274" s="600"/>
      <c r="AG274" s="597">
        <v>705</v>
      </c>
      <c r="AH274" s="600"/>
      <c r="AI274" s="600"/>
      <c r="AJ274" s="597">
        <v>705</v>
      </c>
      <c r="AK274" s="600"/>
      <c r="AL274" s="600"/>
      <c r="AM274" s="597">
        <v>705</v>
      </c>
      <c r="AN274" s="600"/>
      <c r="AO274" s="600"/>
      <c r="AP274" s="597">
        <v>705</v>
      </c>
      <c r="AQ274" s="600"/>
      <c r="AR274" s="600"/>
      <c r="AS274" s="597">
        <v>705</v>
      </c>
      <c r="AT274" s="600"/>
      <c r="AU274" s="600"/>
      <c r="AV274" s="597">
        <v>705</v>
      </c>
      <c r="AW274" s="600"/>
      <c r="AX274" s="600"/>
      <c r="AY274" s="597">
        <v>705</v>
      </c>
      <c r="AZ274" s="600"/>
      <c r="BA274" s="600"/>
      <c r="BB274" s="421">
        <v>705</v>
      </c>
      <c r="BC274" s="600"/>
      <c r="BD274" s="600"/>
      <c r="BE274" s="421">
        <v>705</v>
      </c>
      <c r="BF274" s="600"/>
      <c r="BG274" s="600"/>
      <c r="BH274" s="421">
        <v>705</v>
      </c>
      <c r="BI274" s="421"/>
      <c r="BJ274" s="690"/>
      <c r="BK274" s="421">
        <v>705</v>
      </c>
      <c r="BL274" s="421"/>
      <c r="BM274" s="690"/>
      <c r="BN274" s="421">
        <v>705</v>
      </c>
      <c r="BO274" s="421"/>
      <c r="BP274" s="690"/>
      <c r="BQ274" s="421">
        <v>705</v>
      </c>
      <c r="BR274" s="421"/>
      <c r="BS274" s="690"/>
      <c r="BT274" s="421">
        <v>705</v>
      </c>
      <c r="BU274" s="421"/>
      <c r="BV274" s="690"/>
      <c r="BW274" s="421">
        <v>705</v>
      </c>
      <c r="BX274" s="421"/>
      <c r="BY274" s="690"/>
      <c r="BZ274" s="421">
        <v>705</v>
      </c>
      <c r="CA274" s="421"/>
      <c r="CB274" s="690"/>
      <c r="CC274" s="421">
        <v>705</v>
      </c>
      <c r="CD274" s="421"/>
      <c r="CE274" s="690"/>
      <c r="CF274" s="421">
        <v>705</v>
      </c>
      <c r="CG274" s="421"/>
      <c r="CH274" s="690"/>
      <c r="CI274" s="421">
        <v>705</v>
      </c>
      <c r="CJ274" s="421"/>
      <c r="CK274" s="690"/>
      <c r="CL274" s="421">
        <v>705</v>
      </c>
      <c r="CM274" s="421"/>
      <c r="CN274" s="690"/>
      <c r="CO274" s="421">
        <v>705</v>
      </c>
      <c r="CP274" s="421"/>
      <c r="CQ274" s="690"/>
      <c r="CR274" s="421">
        <v>705</v>
      </c>
      <c r="CS274" s="421"/>
      <c r="CT274" s="690"/>
      <c r="CU274" s="421">
        <v>705</v>
      </c>
      <c r="CV274" s="421"/>
      <c r="CW274" s="690"/>
      <c r="CX274" s="421">
        <v>705</v>
      </c>
      <c r="CY274" s="421"/>
      <c r="CZ274" s="690"/>
      <c r="DA274" s="421">
        <v>705</v>
      </c>
      <c r="DB274" s="421"/>
      <c r="DC274" s="690"/>
      <c r="DD274" s="421">
        <v>705</v>
      </c>
      <c r="DE274" s="421"/>
      <c r="DF274" s="690"/>
      <c r="DG274" s="421">
        <v>705</v>
      </c>
      <c r="DH274" s="421"/>
      <c r="DI274" s="690"/>
      <c r="DJ274" s="421">
        <v>705</v>
      </c>
      <c r="DK274" s="421"/>
      <c r="DL274" s="690"/>
      <c r="DM274" s="421">
        <v>705</v>
      </c>
      <c r="DN274" s="421"/>
      <c r="DO274" s="690"/>
      <c r="DP274" s="421">
        <v>705</v>
      </c>
      <c r="DQ274" s="421"/>
      <c r="DR274" s="690"/>
      <c r="DS274" s="421">
        <v>705</v>
      </c>
      <c r="DT274" s="421"/>
      <c r="DU274" s="587"/>
      <c r="DV274" s="421">
        <v>705</v>
      </c>
      <c r="DW274" s="421"/>
      <c r="DX274" s="587"/>
      <c r="DY274" s="421">
        <v>705</v>
      </c>
      <c r="DZ274" s="421"/>
      <c r="EA274" s="587"/>
      <c r="EB274" s="421">
        <v>705</v>
      </c>
      <c r="EC274" s="421"/>
      <c r="ED274" s="587"/>
      <c r="EE274" s="421">
        <v>705</v>
      </c>
      <c r="EF274" s="421"/>
      <c r="EG274" s="587"/>
      <c r="EH274" s="421">
        <v>705</v>
      </c>
      <c r="EI274" s="421"/>
      <c r="EJ274" s="587"/>
      <c r="EK274" s="421">
        <v>705</v>
      </c>
      <c r="EL274" s="421"/>
      <c r="EM274" s="587"/>
      <c r="EN274" s="421">
        <v>705</v>
      </c>
      <c r="EO274" s="421"/>
      <c r="EP274" s="587"/>
      <c r="EQ274" s="421">
        <v>705</v>
      </c>
      <c r="ER274" s="421"/>
      <c r="ES274" s="587"/>
      <c r="ET274" s="421">
        <v>705</v>
      </c>
      <c r="EU274" s="421"/>
      <c r="EV274" s="587"/>
      <c r="EW274" s="421">
        <v>705</v>
      </c>
      <c r="EX274" s="421"/>
      <c r="EY274" s="587"/>
      <c r="EZ274" s="421">
        <v>705</v>
      </c>
      <c r="FA274" s="421"/>
      <c r="FB274" s="587"/>
      <c r="FC274" s="421">
        <v>705</v>
      </c>
      <c r="FD274" s="421"/>
      <c r="FE274" s="587"/>
      <c r="FF274" s="421">
        <v>705</v>
      </c>
      <c r="FG274" s="421"/>
      <c r="FH274" s="587"/>
      <c r="FI274" s="421">
        <v>705</v>
      </c>
      <c r="FJ274" s="421"/>
      <c r="FK274" s="587"/>
      <c r="FL274" s="421">
        <v>705</v>
      </c>
      <c r="FM274" s="421"/>
      <c r="FN274" s="587"/>
      <c r="FO274" s="421">
        <v>705</v>
      </c>
      <c r="FP274" s="421"/>
      <c r="FQ274" s="587"/>
      <c r="FR274" s="421">
        <v>705</v>
      </c>
      <c r="FS274" s="421"/>
      <c r="FT274" s="587"/>
      <c r="FU274" s="421">
        <v>705</v>
      </c>
      <c r="FV274" s="421"/>
      <c r="FW274" s="587"/>
      <c r="FX274" s="421">
        <v>705</v>
      </c>
      <c r="FY274" s="421"/>
      <c r="FZ274" s="587"/>
      <c r="GA274" s="421">
        <v>705</v>
      </c>
      <c r="GB274" s="421"/>
      <c r="GC274" s="587"/>
      <c r="GD274" s="421">
        <v>705</v>
      </c>
      <c r="GE274" s="421"/>
      <c r="GF274" s="587"/>
      <c r="GG274" s="421">
        <v>705</v>
      </c>
      <c r="GH274" s="421"/>
      <c r="GI274" s="587"/>
      <c r="GJ274" s="421">
        <v>705</v>
      </c>
      <c r="GK274" s="421"/>
      <c r="GL274" s="587"/>
      <c r="GM274" s="421">
        <v>705</v>
      </c>
      <c r="GN274" s="421"/>
      <c r="GO274" s="587"/>
      <c r="GP274" s="421">
        <v>705</v>
      </c>
      <c r="GQ274" s="421"/>
      <c r="GR274" s="587"/>
      <c r="GS274" s="421">
        <v>705</v>
      </c>
      <c r="GT274" s="421"/>
      <c r="GU274" s="587"/>
      <c r="GV274" s="421">
        <v>705</v>
      </c>
      <c r="GW274" s="421"/>
      <c r="GX274" s="587"/>
      <c r="GY274" s="421">
        <v>705</v>
      </c>
      <c r="GZ274" s="421"/>
      <c r="HA274" s="587"/>
      <c r="HB274" s="421">
        <v>705</v>
      </c>
      <c r="HC274" s="421"/>
      <c r="HD274" s="587"/>
      <c r="HE274" s="421">
        <v>705</v>
      </c>
      <c r="HF274" s="421"/>
      <c r="HG274" s="587"/>
      <c r="HH274" s="421">
        <v>705</v>
      </c>
      <c r="HI274" s="587"/>
      <c r="HJ274" s="421">
        <v>705</v>
      </c>
      <c r="HK274" s="587"/>
      <c r="HL274" s="684">
        <v>809.01639344262298</v>
      </c>
      <c r="HM274" s="587"/>
      <c r="HN274" s="567"/>
      <c r="HO274" s="567"/>
      <c r="HP274" s="567"/>
      <c r="HQ274" s="567"/>
      <c r="HR274" s="567"/>
      <c r="HS274" s="567"/>
      <c r="HT274" s="567"/>
      <c r="HU274" s="567"/>
      <c r="HV274" s="567"/>
      <c r="HW274" s="567"/>
      <c r="HX274" s="587"/>
      <c r="HY274" s="587"/>
      <c r="HZ274" s="587"/>
      <c r="IA274" s="587"/>
      <c r="IB274" s="587"/>
      <c r="IC274" s="587"/>
      <c r="ID274" s="587"/>
      <c r="IE274" s="587"/>
      <c r="IF274" s="587"/>
      <c r="IG274" s="587"/>
      <c r="IH274" s="588"/>
      <c r="II274" s="589"/>
      <c r="IJ274" s="588"/>
      <c r="IK274" s="589"/>
      <c r="IL274" s="588"/>
      <c r="IM274" s="589"/>
      <c r="IN274" s="588"/>
      <c r="IO274" s="589"/>
      <c r="IP274" s="588"/>
      <c r="IQ274" s="589"/>
      <c r="IR274" s="601" t="s">
        <v>3475</v>
      </c>
      <c r="IS274" s="587" t="s">
        <v>77</v>
      </c>
      <c r="IT274" s="611">
        <v>43887</v>
      </c>
      <c r="IU274" s="518">
        <v>43922</v>
      </c>
      <c r="IV274" s="552"/>
      <c r="IW274" s="526">
        <f t="shared" si="33"/>
        <v>35</v>
      </c>
      <c r="IX274" s="621">
        <f t="shared" si="32"/>
        <v>26.52512765385649</v>
      </c>
      <c r="IY274" s="665">
        <v>809.01639344262298</v>
      </c>
    </row>
    <row r="275" spans="1:260" s="367" customFormat="1" ht="16.5" customHeight="1" x14ac:dyDescent="0.3">
      <c r="A275" s="526" t="s">
        <v>2743</v>
      </c>
      <c r="B275" s="411" t="s">
        <v>3837</v>
      </c>
      <c r="C275" s="696" t="s">
        <v>2607</v>
      </c>
      <c r="D275" s="697">
        <v>290</v>
      </c>
      <c r="E275" s="681">
        <v>30</v>
      </c>
      <c r="F275" s="681">
        <v>0</v>
      </c>
      <c r="G275" s="681">
        <v>0</v>
      </c>
      <c r="H275" s="698">
        <v>0</v>
      </c>
      <c r="I275" s="844">
        <v>320</v>
      </c>
      <c r="J275" s="600"/>
      <c r="K275" s="600"/>
      <c r="L275" s="606">
        <v>320</v>
      </c>
      <c r="M275" s="600"/>
      <c r="N275" s="600"/>
      <c r="O275" s="606">
        <v>320</v>
      </c>
      <c r="P275" s="600"/>
      <c r="Q275" s="600"/>
      <c r="R275" s="606">
        <v>320</v>
      </c>
      <c r="S275" s="600"/>
      <c r="T275" s="600"/>
      <c r="U275" s="606">
        <v>320</v>
      </c>
      <c r="V275" s="600"/>
      <c r="W275" s="600"/>
      <c r="X275" s="606">
        <v>320</v>
      </c>
      <c r="Y275" s="600"/>
      <c r="Z275" s="600"/>
      <c r="AA275" s="606">
        <v>320</v>
      </c>
      <c r="AB275" s="600"/>
      <c r="AC275" s="600"/>
      <c r="AD275" s="606">
        <v>320</v>
      </c>
      <c r="AE275" s="600"/>
      <c r="AF275" s="600"/>
      <c r="AG275" s="606">
        <v>320</v>
      </c>
      <c r="AH275" s="600"/>
      <c r="AI275" s="600"/>
      <c r="AJ275" s="606">
        <v>320</v>
      </c>
      <c r="AK275" s="600"/>
      <c r="AL275" s="600"/>
      <c r="AM275" s="606">
        <v>320</v>
      </c>
      <c r="AN275" s="600"/>
      <c r="AO275" s="600"/>
      <c r="AP275" s="606">
        <v>320</v>
      </c>
      <c r="AQ275" s="600"/>
      <c r="AR275" s="600"/>
      <c r="AS275" s="909">
        <f>((320-272)/30.5)*31+320</f>
        <v>368.78688524590166</v>
      </c>
      <c r="AT275" s="600"/>
      <c r="AU275" s="600"/>
      <c r="AV275" s="597">
        <v>272</v>
      </c>
      <c r="AW275" s="600"/>
      <c r="AX275" s="600"/>
      <c r="AY275" s="597">
        <v>272</v>
      </c>
      <c r="AZ275" s="600"/>
      <c r="BA275" s="600"/>
      <c r="BB275" s="421">
        <v>272</v>
      </c>
      <c r="BC275" s="600"/>
      <c r="BD275" s="600"/>
      <c r="BE275" s="421">
        <v>272</v>
      </c>
      <c r="BF275" s="600"/>
      <c r="BG275" s="600"/>
      <c r="BH275" s="421">
        <v>272</v>
      </c>
      <c r="BI275" s="421"/>
      <c r="BJ275" s="587"/>
      <c r="BK275" s="421">
        <v>272</v>
      </c>
      <c r="BL275" s="421"/>
      <c r="BM275" s="587"/>
      <c r="BN275" s="421">
        <v>272</v>
      </c>
      <c r="BO275" s="421"/>
      <c r="BP275" s="587"/>
      <c r="BQ275" s="421">
        <v>272</v>
      </c>
      <c r="BR275" s="421"/>
      <c r="BS275" s="587"/>
      <c r="BT275" s="421">
        <v>272</v>
      </c>
      <c r="BU275" s="421"/>
      <c r="BV275" s="587"/>
      <c r="BW275" s="421">
        <v>272</v>
      </c>
      <c r="BX275" s="421"/>
      <c r="BY275" s="587"/>
      <c r="BZ275" s="421">
        <v>272</v>
      </c>
      <c r="CA275" s="421"/>
      <c r="CB275" s="587"/>
      <c r="CC275" s="421">
        <v>272</v>
      </c>
      <c r="CD275" s="421"/>
      <c r="CE275" s="587"/>
      <c r="CF275" s="421">
        <v>272</v>
      </c>
      <c r="CG275" s="421"/>
      <c r="CH275" s="587"/>
      <c r="CI275" s="421">
        <v>272</v>
      </c>
      <c r="CJ275" s="421"/>
      <c r="CK275" s="587"/>
      <c r="CL275" s="421">
        <v>272</v>
      </c>
      <c r="CM275" s="421"/>
      <c r="CN275" s="587"/>
      <c r="CO275" s="421">
        <v>272</v>
      </c>
      <c r="CP275" s="421"/>
      <c r="CQ275" s="587"/>
      <c r="CR275" s="421">
        <v>272</v>
      </c>
      <c r="CS275" s="421"/>
      <c r="CT275" s="587"/>
      <c r="CU275" s="421">
        <v>272</v>
      </c>
      <c r="CV275" s="421"/>
      <c r="CW275" s="587"/>
      <c r="CX275" s="421">
        <v>272</v>
      </c>
      <c r="CY275" s="421"/>
      <c r="CZ275" s="587"/>
      <c r="DA275" s="421">
        <v>272</v>
      </c>
      <c r="DB275" s="421"/>
      <c r="DC275" s="587"/>
      <c r="DD275" s="421">
        <v>272</v>
      </c>
      <c r="DE275" s="421"/>
      <c r="DF275" s="587"/>
      <c r="DG275" s="421">
        <v>272</v>
      </c>
      <c r="DH275" s="421"/>
      <c r="DI275" s="587"/>
      <c r="DJ275" s="421">
        <v>272</v>
      </c>
      <c r="DK275" s="421"/>
      <c r="DL275" s="587"/>
      <c r="DM275" s="421">
        <v>272</v>
      </c>
      <c r="DN275" s="421"/>
      <c r="DO275" s="587"/>
      <c r="DP275" s="421">
        <v>272</v>
      </c>
      <c r="DQ275" s="421"/>
      <c r="DR275" s="587"/>
      <c r="DS275" s="421">
        <v>272</v>
      </c>
      <c r="DT275" s="421"/>
      <c r="DU275" s="587"/>
      <c r="DV275" s="421">
        <v>272</v>
      </c>
      <c r="DW275" s="421"/>
      <c r="DX275" s="587"/>
      <c r="DY275" s="421">
        <v>272</v>
      </c>
      <c r="DZ275" s="421"/>
      <c r="EA275" s="587"/>
      <c r="EB275" s="421">
        <v>272</v>
      </c>
      <c r="EC275" s="421"/>
      <c r="ED275" s="587"/>
      <c r="EE275" s="421">
        <v>272</v>
      </c>
      <c r="EF275" s="421"/>
      <c r="EG275" s="587"/>
      <c r="EH275" s="421">
        <v>272</v>
      </c>
      <c r="EI275" s="421"/>
      <c r="EJ275" s="587"/>
      <c r="EK275" s="421">
        <v>272</v>
      </c>
      <c r="EL275" s="421"/>
      <c r="EM275" s="587"/>
      <c r="EN275" s="421">
        <v>272</v>
      </c>
      <c r="EO275" s="421"/>
      <c r="EP275" s="587"/>
      <c r="EQ275" s="421">
        <v>272</v>
      </c>
      <c r="ER275" s="421"/>
      <c r="ES275" s="587"/>
      <c r="ET275" s="421">
        <v>272</v>
      </c>
      <c r="EU275" s="421"/>
      <c r="EV275" s="587"/>
      <c r="EW275" s="421">
        <v>272</v>
      </c>
      <c r="EX275" s="421"/>
      <c r="EY275" s="587"/>
      <c r="EZ275" s="421">
        <v>272</v>
      </c>
      <c r="FA275" s="421"/>
      <c r="FB275" s="587"/>
      <c r="FC275" s="421">
        <v>272</v>
      </c>
      <c r="FD275" s="421"/>
      <c r="FE275" s="587"/>
      <c r="FF275" s="421">
        <v>272</v>
      </c>
      <c r="FG275" s="421"/>
      <c r="FH275" s="587"/>
      <c r="FI275" s="421">
        <v>272</v>
      </c>
      <c r="FJ275" s="421"/>
      <c r="FK275" s="587"/>
      <c r="FL275" s="421">
        <v>272</v>
      </c>
      <c r="FM275" s="421"/>
      <c r="FN275" s="587"/>
      <c r="FO275" s="421">
        <v>272</v>
      </c>
      <c r="FP275" s="421"/>
      <c r="FQ275" s="587"/>
      <c r="FR275" s="421">
        <v>272</v>
      </c>
      <c r="FS275" s="421"/>
      <c r="FT275" s="587"/>
      <c r="FU275" s="421">
        <v>272</v>
      </c>
      <c r="FV275" s="421"/>
      <c r="FW275" s="587"/>
      <c r="FX275" s="421">
        <v>272</v>
      </c>
      <c r="FY275" s="421"/>
      <c r="FZ275" s="587"/>
      <c r="GA275" s="421">
        <v>272</v>
      </c>
      <c r="GB275" s="421"/>
      <c r="GC275" s="587"/>
      <c r="GD275" s="421">
        <v>272</v>
      </c>
      <c r="GE275" s="421"/>
      <c r="GF275" s="587"/>
      <c r="GG275" s="421">
        <v>272</v>
      </c>
      <c r="GH275" s="421"/>
      <c r="GI275" s="587"/>
      <c r="GJ275" s="421">
        <v>272</v>
      </c>
      <c r="GK275" s="421"/>
      <c r="GL275" s="587"/>
      <c r="GM275" s="421">
        <v>272</v>
      </c>
      <c r="GN275" s="421"/>
      <c r="GO275" s="587"/>
      <c r="GP275" s="421">
        <v>272</v>
      </c>
      <c r="GQ275" s="421"/>
      <c r="GR275" s="587"/>
      <c r="GS275" s="421">
        <v>272</v>
      </c>
      <c r="GT275" s="421"/>
      <c r="GU275" s="587"/>
      <c r="GV275" s="421">
        <v>272</v>
      </c>
      <c r="GW275" s="421"/>
      <c r="GX275" s="587"/>
      <c r="GY275" s="421">
        <v>272</v>
      </c>
      <c r="GZ275" s="421"/>
      <c r="HA275" s="587"/>
      <c r="HB275" s="421">
        <v>272</v>
      </c>
      <c r="HC275" s="421"/>
      <c r="HD275" s="587"/>
      <c r="HE275" s="421">
        <v>272</v>
      </c>
      <c r="HF275" s="421"/>
      <c r="HG275" s="587"/>
      <c r="HH275" s="421">
        <v>272</v>
      </c>
      <c r="HI275" s="587"/>
      <c r="HJ275" s="421">
        <v>272</v>
      </c>
      <c r="HK275" s="587"/>
      <c r="HL275" s="684">
        <v>312.13114754098359</v>
      </c>
      <c r="HM275" s="587"/>
      <c r="HN275" s="567"/>
      <c r="HO275" s="567"/>
      <c r="HP275" s="567"/>
      <c r="HQ275" s="567"/>
      <c r="HR275" s="567"/>
      <c r="HS275" s="567"/>
      <c r="HT275" s="567"/>
      <c r="HU275" s="567"/>
      <c r="HV275" s="567"/>
      <c r="HW275" s="567"/>
      <c r="HX275" s="587"/>
      <c r="HY275" s="587"/>
      <c r="HZ275" s="587"/>
      <c r="IA275" s="587"/>
      <c r="IB275" s="587"/>
      <c r="IC275" s="587"/>
      <c r="ID275" s="587"/>
      <c r="IE275" s="587"/>
      <c r="IF275" s="587"/>
      <c r="IG275" s="587"/>
      <c r="IH275" s="588"/>
      <c r="II275" s="589"/>
      <c r="IJ275" s="588"/>
      <c r="IK275" s="589"/>
      <c r="IL275" s="588"/>
      <c r="IM275" s="589"/>
      <c r="IN275" s="588"/>
      <c r="IO275" s="589"/>
      <c r="IP275" s="588"/>
      <c r="IQ275" s="589"/>
      <c r="IR275" s="601" t="s">
        <v>3168</v>
      </c>
      <c r="IS275" s="587" t="s">
        <v>77</v>
      </c>
      <c r="IT275" s="611">
        <v>43887</v>
      </c>
      <c r="IU275" s="518">
        <v>43922</v>
      </c>
      <c r="IV275" s="552"/>
      <c r="IW275" s="526">
        <f t="shared" si="33"/>
        <v>35</v>
      </c>
      <c r="IX275" s="621">
        <f t="shared" si="32"/>
        <v>10.233808116097823</v>
      </c>
      <c r="IY275" s="665">
        <v>312.13114754098359</v>
      </c>
    </row>
    <row r="276" spans="1:260" s="367" customFormat="1" ht="16.5" customHeight="1" x14ac:dyDescent="0.3">
      <c r="A276" s="401" t="s">
        <v>3315</v>
      </c>
      <c r="B276" s="402" t="s">
        <v>3315</v>
      </c>
      <c r="C276" s="699" t="s">
        <v>3476</v>
      </c>
      <c r="D276" s="925"/>
      <c r="E276" s="660"/>
      <c r="F276" s="660"/>
      <c r="G276" s="660"/>
      <c r="H276" s="926"/>
      <c r="I276" s="853">
        <v>0</v>
      </c>
      <c r="J276" s="833">
        <v>0</v>
      </c>
      <c r="K276" s="833">
        <v>0</v>
      </c>
      <c r="L276" s="833">
        <v>0</v>
      </c>
      <c r="M276" s="833">
        <v>0</v>
      </c>
      <c r="N276" s="833">
        <v>0</v>
      </c>
      <c r="O276" s="833">
        <v>0</v>
      </c>
      <c r="P276" s="833">
        <v>0</v>
      </c>
      <c r="Q276" s="833">
        <v>0</v>
      </c>
      <c r="R276" s="833">
        <v>0</v>
      </c>
      <c r="S276" s="833">
        <v>0</v>
      </c>
      <c r="T276" s="833">
        <v>0</v>
      </c>
      <c r="U276" s="833">
        <v>0</v>
      </c>
      <c r="V276" s="833">
        <v>0</v>
      </c>
      <c r="W276" s="833">
        <v>0</v>
      </c>
      <c r="X276" s="833">
        <v>0</v>
      </c>
      <c r="Y276" s="833">
        <v>0</v>
      </c>
      <c r="Z276" s="833">
        <v>0</v>
      </c>
      <c r="AA276" s="833">
        <v>0</v>
      </c>
      <c r="AB276" s="833">
        <v>0</v>
      </c>
      <c r="AC276" s="833">
        <v>0</v>
      </c>
      <c r="AD276" s="833">
        <v>0</v>
      </c>
      <c r="AE276" s="833">
        <v>0</v>
      </c>
      <c r="AF276" s="833">
        <v>0</v>
      </c>
      <c r="AG276" s="833">
        <v>0</v>
      </c>
      <c r="AH276" s="833">
        <v>0</v>
      </c>
      <c r="AI276" s="833">
        <v>0</v>
      </c>
      <c r="AJ276" s="833">
        <v>0</v>
      </c>
      <c r="AK276" s="833">
        <v>0</v>
      </c>
      <c r="AL276" s="833">
        <v>0</v>
      </c>
      <c r="AM276" s="833">
        <v>0</v>
      </c>
      <c r="AN276" s="833">
        <v>0</v>
      </c>
      <c r="AO276" s="833">
        <v>0</v>
      </c>
      <c r="AP276" s="833">
        <v>0</v>
      </c>
      <c r="AQ276" s="833">
        <v>0</v>
      </c>
      <c r="AR276" s="833">
        <v>0</v>
      </c>
      <c r="AS276" s="833">
        <v>0</v>
      </c>
      <c r="AT276" s="833">
        <v>0</v>
      </c>
      <c r="AU276" s="833">
        <v>0</v>
      </c>
      <c r="AV276" s="635"/>
      <c r="AW276" s="635"/>
      <c r="AX276" s="660"/>
      <c r="AY276" s="635"/>
      <c r="AZ276" s="635"/>
      <c r="BA276" s="652"/>
      <c r="BB276" s="511"/>
      <c r="BC276" s="511"/>
      <c r="BD276" s="652"/>
      <c r="BE276" s="511"/>
      <c r="BF276" s="511"/>
      <c r="BG276" s="652"/>
      <c r="BH276" s="511"/>
      <c r="BI276" s="511"/>
      <c r="BJ276" s="652"/>
      <c r="BK276" s="511"/>
      <c r="BL276" s="511"/>
      <c r="BM276" s="652"/>
      <c r="BN276" s="511"/>
      <c r="BO276" s="511"/>
      <c r="BP276" s="652"/>
      <c r="BQ276" s="511"/>
      <c r="BR276" s="511"/>
      <c r="BS276" s="652"/>
      <c r="BT276" s="511"/>
      <c r="BU276" s="511"/>
      <c r="BV276" s="652"/>
      <c r="BW276" s="511"/>
      <c r="BX276" s="511"/>
      <c r="BY276" s="652"/>
      <c r="BZ276" s="511"/>
      <c r="CA276" s="511"/>
      <c r="CB276" s="652"/>
      <c r="CC276" s="511"/>
      <c r="CD276" s="511"/>
      <c r="CE276" s="652"/>
      <c r="CF276" s="511"/>
      <c r="CG276" s="511"/>
      <c r="CH276" s="652"/>
      <c r="CI276" s="511"/>
      <c r="CJ276" s="511"/>
      <c r="CK276" s="652"/>
      <c r="CL276" s="511"/>
      <c r="CM276" s="511"/>
      <c r="CN276" s="652"/>
      <c r="CO276" s="511"/>
      <c r="CP276" s="511"/>
      <c r="CQ276" s="652"/>
      <c r="CR276" s="511"/>
      <c r="CS276" s="511"/>
      <c r="CT276" s="652"/>
      <c r="CU276" s="511"/>
      <c r="CV276" s="511"/>
      <c r="CW276" s="652"/>
      <c r="CX276" s="511"/>
      <c r="CY276" s="511"/>
      <c r="CZ276" s="652"/>
      <c r="DA276" s="511"/>
      <c r="DB276" s="511"/>
      <c r="DC276" s="652"/>
      <c r="DD276" s="511"/>
      <c r="DE276" s="511"/>
      <c r="DF276" s="652"/>
      <c r="DG276" s="511"/>
      <c r="DH276" s="511"/>
      <c r="DI276" s="652"/>
      <c r="DJ276" s="511"/>
      <c r="DK276" s="511"/>
      <c r="DL276" s="652"/>
      <c r="DM276" s="511"/>
      <c r="DN276" s="511"/>
      <c r="DO276" s="652"/>
      <c r="DP276" s="511"/>
      <c r="DQ276" s="511"/>
      <c r="DR276" s="652"/>
      <c r="DS276" s="511"/>
      <c r="DT276" s="511"/>
      <c r="DU276" s="652"/>
      <c r="DV276" s="511"/>
      <c r="DW276" s="511"/>
      <c r="DX276" s="652"/>
      <c r="DY276" s="511"/>
      <c r="DZ276" s="511"/>
      <c r="EA276" s="652"/>
      <c r="EB276" s="511"/>
      <c r="EC276" s="511"/>
      <c r="ED276" s="652"/>
      <c r="EE276" s="511"/>
      <c r="EF276" s="511"/>
      <c r="EG276" s="652"/>
      <c r="EH276" s="511"/>
      <c r="EI276" s="511"/>
      <c r="EJ276" s="652"/>
      <c r="EK276" s="511"/>
      <c r="EL276" s="511"/>
      <c r="EM276" s="652"/>
      <c r="EN276" s="511"/>
      <c r="EO276" s="511"/>
      <c r="EP276" s="652"/>
      <c r="EQ276" s="511"/>
      <c r="ER276" s="511"/>
      <c r="ES276" s="652"/>
      <c r="ET276" s="511"/>
      <c r="EU276" s="511"/>
      <c r="EV276" s="652"/>
      <c r="EW276" s="511"/>
      <c r="EX276" s="511"/>
      <c r="EY276" s="652"/>
      <c r="EZ276" s="511"/>
      <c r="FA276" s="511"/>
      <c r="FB276" s="652"/>
      <c r="FC276" s="511"/>
      <c r="FD276" s="511"/>
      <c r="FE276" s="652"/>
      <c r="FF276" s="511"/>
      <c r="FG276" s="511"/>
      <c r="FH276" s="652"/>
      <c r="FI276" s="511"/>
      <c r="FJ276" s="511"/>
      <c r="FK276" s="652"/>
      <c r="FL276" s="511"/>
      <c r="FM276" s="511"/>
      <c r="FN276" s="652"/>
      <c r="FO276" s="511"/>
      <c r="FP276" s="511"/>
      <c r="FQ276" s="652"/>
      <c r="FR276" s="511"/>
      <c r="FS276" s="511"/>
      <c r="FT276" s="652"/>
      <c r="FU276" s="511"/>
      <c r="FV276" s="511"/>
      <c r="FW276" s="652"/>
      <c r="FX276" s="511"/>
      <c r="FY276" s="511"/>
      <c r="FZ276" s="652"/>
      <c r="GA276" s="511"/>
      <c r="GB276" s="511"/>
      <c r="GC276" s="652"/>
      <c r="GD276" s="511"/>
      <c r="GE276" s="511"/>
      <c r="GF276" s="652"/>
      <c r="GG276" s="511"/>
      <c r="GH276" s="511"/>
      <c r="GI276" s="652"/>
      <c r="GJ276" s="511"/>
      <c r="GK276" s="511"/>
      <c r="GL276" s="652"/>
      <c r="GM276" s="511"/>
      <c r="GN276" s="511"/>
      <c r="GO276" s="652"/>
      <c r="GP276" s="511"/>
      <c r="GQ276" s="511"/>
      <c r="GR276" s="652"/>
      <c r="GS276" s="511"/>
      <c r="GT276" s="511"/>
      <c r="GU276" s="567"/>
      <c r="GV276" s="511"/>
      <c r="GW276" s="511"/>
      <c r="GX276" s="567"/>
      <c r="GY276" s="511"/>
      <c r="GZ276" s="511"/>
      <c r="HA276" s="567"/>
      <c r="HB276" s="421">
        <v>1251</v>
      </c>
      <c r="HC276" s="421"/>
      <c r="HD276" s="587"/>
      <c r="HE276" s="421">
        <v>1251</v>
      </c>
      <c r="HF276" s="421"/>
      <c r="HG276" s="587"/>
      <c r="HH276" s="421">
        <v>1251</v>
      </c>
      <c r="HI276" s="587"/>
      <c r="HJ276" s="421">
        <v>1251</v>
      </c>
      <c r="HK276" s="587"/>
      <c r="HL276" s="684">
        <v>1394.5573770491803</v>
      </c>
      <c r="HM276" s="587"/>
      <c r="HN276" s="567"/>
      <c r="HO276" s="567"/>
      <c r="HP276" s="567"/>
      <c r="HQ276" s="567"/>
      <c r="HR276" s="567"/>
      <c r="HS276" s="567"/>
      <c r="HT276" s="567"/>
      <c r="HU276" s="567"/>
      <c r="HV276" s="567"/>
      <c r="HW276" s="567"/>
      <c r="HX276" s="587"/>
      <c r="HY276" s="587"/>
      <c r="HZ276" s="587"/>
      <c r="IA276" s="587"/>
      <c r="IB276" s="587"/>
      <c r="IC276" s="587"/>
      <c r="ID276" s="587"/>
      <c r="IE276" s="587"/>
      <c r="IF276" s="587"/>
      <c r="IG276" s="587"/>
      <c r="IH276" s="588"/>
      <c r="II276" s="589"/>
      <c r="IJ276" s="588"/>
      <c r="IK276" s="589"/>
      <c r="IL276" s="588"/>
      <c r="IM276" s="589"/>
      <c r="IN276" s="588"/>
      <c r="IO276" s="589"/>
      <c r="IP276" s="588"/>
      <c r="IQ276" s="589"/>
      <c r="IR276" s="601" t="s">
        <v>3477</v>
      </c>
      <c r="IS276" s="587" t="s">
        <v>77</v>
      </c>
      <c r="IT276" s="611">
        <v>43888</v>
      </c>
      <c r="IU276" s="518">
        <v>43922</v>
      </c>
      <c r="IV276" s="552"/>
      <c r="IW276" s="526">
        <f t="shared" si="33"/>
        <v>34</v>
      </c>
      <c r="IX276" s="621">
        <f t="shared" si="32"/>
        <v>45.723192690137061</v>
      </c>
      <c r="IY276" s="665">
        <v>1394.5573770491803</v>
      </c>
    </row>
    <row r="277" spans="1:260" s="367" customFormat="1" ht="16.5" customHeight="1" x14ac:dyDescent="0.3">
      <c r="A277" s="401" t="s">
        <v>3315</v>
      </c>
      <c r="B277" s="402" t="s">
        <v>3315</v>
      </c>
      <c r="C277" s="699" t="s">
        <v>3478</v>
      </c>
      <c r="D277" s="925"/>
      <c r="E277" s="660"/>
      <c r="F277" s="660"/>
      <c r="G277" s="660"/>
      <c r="H277" s="926"/>
      <c r="I277" s="853">
        <v>0</v>
      </c>
      <c r="J277" s="833">
        <v>0</v>
      </c>
      <c r="K277" s="833">
        <v>0</v>
      </c>
      <c r="L277" s="833">
        <v>0</v>
      </c>
      <c r="M277" s="833">
        <v>0</v>
      </c>
      <c r="N277" s="833">
        <v>0</v>
      </c>
      <c r="O277" s="833">
        <v>0</v>
      </c>
      <c r="P277" s="833">
        <v>0</v>
      </c>
      <c r="Q277" s="833">
        <v>0</v>
      </c>
      <c r="R277" s="833">
        <v>0</v>
      </c>
      <c r="S277" s="833">
        <v>0</v>
      </c>
      <c r="T277" s="833">
        <v>0</v>
      </c>
      <c r="U277" s="833">
        <v>0</v>
      </c>
      <c r="V277" s="833">
        <v>0</v>
      </c>
      <c r="W277" s="833">
        <v>0</v>
      </c>
      <c r="X277" s="833">
        <v>0</v>
      </c>
      <c r="Y277" s="833">
        <v>0</v>
      </c>
      <c r="Z277" s="833">
        <v>0</v>
      </c>
      <c r="AA277" s="833">
        <v>0</v>
      </c>
      <c r="AB277" s="833">
        <v>0</v>
      </c>
      <c r="AC277" s="833">
        <v>0</v>
      </c>
      <c r="AD277" s="833">
        <v>0</v>
      </c>
      <c r="AE277" s="833">
        <v>0</v>
      </c>
      <c r="AF277" s="833">
        <v>0</v>
      </c>
      <c r="AG277" s="833">
        <v>0</v>
      </c>
      <c r="AH277" s="833">
        <v>0</v>
      </c>
      <c r="AI277" s="833">
        <v>0</v>
      </c>
      <c r="AJ277" s="833">
        <v>0</v>
      </c>
      <c r="AK277" s="833">
        <v>0</v>
      </c>
      <c r="AL277" s="833">
        <v>0</v>
      </c>
      <c r="AM277" s="833">
        <v>0</v>
      </c>
      <c r="AN277" s="833">
        <v>0</v>
      </c>
      <c r="AO277" s="833">
        <v>0</v>
      </c>
      <c r="AP277" s="833">
        <v>0</v>
      </c>
      <c r="AQ277" s="833">
        <v>0</v>
      </c>
      <c r="AR277" s="833">
        <v>0</v>
      </c>
      <c r="AS277" s="833">
        <v>0</v>
      </c>
      <c r="AT277" s="833">
        <v>0</v>
      </c>
      <c r="AU277" s="833">
        <v>0</v>
      </c>
      <c r="AV277" s="635"/>
      <c r="AW277" s="635"/>
      <c r="AX277" s="660"/>
      <c r="AY277" s="635"/>
      <c r="AZ277" s="635"/>
      <c r="BA277" s="652"/>
      <c r="BB277" s="511"/>
      <c r="BC277" s="511"/>
      <c r="BD277" s="652"/>
      <c r="BE277" s="511"/>
      <c r="BF277" s="511"/>
      <c r="BG277" s="652"/>
      <c r="BH277" s="511"/>
      <c r="BI277" s="511"/>
      <c r="BJ277" s="652"/>
      <c r="BK277" s="511"/>
      <c r="BL277" s="511"/>
      <c r="BM277" s="652"/>
      <c r="BN277" s="511"/>
      <c r="BO277" s="511"/>
      <c r="BP277" s="652"/>
      <c r="BQ277" s="511"/>
      <c r="BR277" s="511"/>
      <c r="BS277" s="652"/>
      <c r="BT277" s="511"/>
      <c r="BU277" s="511"/>
      <c r="BV277" s="652"/>
      <c r="BW277" s="511"/>
      <c r="BX277" s="511"/>
      <c r="BY277" s="652"/>
      <c r="BZ277" s="511"/>
      <c r="CA277" s="511"/>
      <c r="CB277" s="652"/>
      <c r="CC277" s="511"/>
      <c r="CD277" s="511"/>
      <c r="CE277" s="652"/>
      <c r="CF277" s="511"/>
      <c r="CG277" s="511"/>
      <c r="CH277" s="652"/>
      <c r="CI277" s="511"/>
      <c r="CJ277" s="511"/>
      <c r="CK277" s="652"/>
      <c r="CL277" s="511"/>
      <c r="CM277" s="511"/>
      <c r="CN277" s="652"/>
      <c r="CO277" s="511"/>
      <c r="CP277" s="511"/>
      <c r="CQ277" s="652"/>
      <c r="CR277" s="511"/>
      <c r="CS277" s="511"/>
      <c r="CT277" s="652"/>
      <c r="CU277" s="511"/>
      <c r="CV277" s="511"/>
      <c r="CW277" s="652"/>
      <c r="CX277" s="511"/>
      <c r="CY277" s="511"/>
      <c r="CZ277" s="652"/>
      <c r="DA277" s="511"/>
      <c r="DB277" s="511"/>
      <c r="DC277" s="652"/>
      <c r="DD277" s="511"/>
      <c r="DE277" s="511"/>
      <c r="DF277" s="652"/>
      <c r="DG277" s="511"/>
      <c r="DH277" s="511"/>
      <c r="DI277" s="652"/>
      <c r="DJ277" s="511"/>
      <c r="DK277" s="511"/>
      <c r="DL277" s="652"/>
      <c r="DM277" s="511"/>
      <c r="DN277" s="511"/>
      <c r="DO277" s="652"/>
      <c r="DP277" s="511"/>
      <c r="DQ277" s="511"/>
      <c r="DR277" s="652"/>
      <c r="DS277" s="511"/>
      <c r="DT277" s="511"/>
      <c r="DU277" s="652"/>
      <c r="DV277" s="511"/>
      <c r="DW277" s="511"/>
      <c r="DX277" s="652"/>
      <c r="DY277" s="511"/>
      <c r="DZ277" s="511"/>
      <c r="EA277" s="652"/>
      <c r="EB277" s="511"/>
      <c r="EC277" s="511"/>
      <c r="ED277" s="652"/>
      <c r="EE277" s="511"/>
      <c r="EF277" s="511"/>
      <c r="EG277" s="652"/>
      <c r="EH277" s="511"/>
      <c r="EI277" s="511"/>
      <c r="EJ277" s="652"/>
      <c r="EK277" s="511"/>
      <c r="EL277" s="511"/>
      <c r="EM277" s="652"/>
      <c r="EN277" s="421">
        <v>272</v>
      </c>
      <c r="EO277" s="421"/>
      <c r="EP277" s="587"/>
      <c r="EQ277" s="421">
        <v>272</v>
      </c>
      <c r="ER277" s="421"/>
      <c r="ES277" s="587"/>
      <c r="ET277" s="421">
        <v>272</v>
      </c>
      <c r="EU277" s="421"/>
      <c r="EV277" s="587"/>
      <c r="EW277" s="421">
        <v>272</v>
      </c>
      <c r="EX277" s="421"/>
      <c r="EY277" s="587"/>
      <c r="EZ277" s="421">
        <v>272</v>
      </c>
      <c r="FA277" s="421"/>
      <c r="FB277" s="587"/>
      <c r="FC277" s="421">
        <v>272</v>
      </c>
      <c r="FD277" s="421"/>
      <c r="FE277" s="587"/>
      <c r="FF277" s="421">
        <v>272</v>
      </c>
      <c r="FG277" s="421"/>
      <c r="FH277" s="587"/>
      <c r="FI277" s="421">
        <v>272</v>
      </c>
      <c r="FJ277" s="421"/>
      <c r="FK277" s="587"/>
      <c r="FL277" s="421">
        <v>272</v>
      </c>
      <c r="FM277" s="421"/>
      <c r="FN277" s="587"/>
      <c r="FO277" s="421">
        <v>272</v>
      </c>
      <c r="FP277" s="421"/>
      <c r="FQ277" s="587"/>
      <c r="FR277" s="421">
        <v>272</v>
      </c>
      <c r="FS277" s="421"/>
      <c r="FT277" s="587"/>
      <c r="FU277" s="421">
        <v>272</v>
      </c>
      <c r="FV277" s="421"/>
      <c r="FW277" s="587"/>
      <c r="FX277" s="421">
        <v>272</v>
      </c>
      <c r="FY277" s="421"/>
      <c r="FZ277" s="587"/>
      <c r="GA277" s="421">
        <v>272</v>
      </c>
      <c r="GB277" s="421"/>
      <c r="GC277" s="587"/>
      <c r="GD277" s="421">
        <v>272</v>
      </c>
      <c r="GE277" s="421"/>
      <c r="GF277" s="587"/>
      <c r="GG277" s="421">
        <v>272</v>
      </c>
      <c r="GH277" s="421"/>
      <c r="GI277" s="587"/>
      <c r="GJ277" s="421">
        <v>272</v>
      </c>
      <c r="GK277" s="421"/>
      <c r="GL277" s="587"/>
      <c r="GM277" s="421">
        <v>272</v>
      </c>
      <c r="GN277" s="421"/>
      <c r="GO277" s="587"/>
      <c r="GP277" s="421">
        <v>272</v>
      </c>
      <c r="GQ277" s="421"/>
      <c r="GR277" s="587"/>
      <c r="GS277" s="421">
        <v>272</v>
      </c>
      <c r="GT277" s="421"/>
      <c r="GU277" s="587"/>
      <c r="GV277" s="421">
        <v>272</v>
      </c>
      <c r="GW277" s="421"/>
      <c r="GX277" s="587"/>
      <c r="GY277" s="421">
        <v>272</v>
      </c>
      <c r="GZ277" s="421"/>
      <c r="HA277" s="587"/>
      <c r="HB277" s="421">
        <v>272</v>
      </c>
      <c r="HC277" s="421"/>
      <c r="HD277" s="587"/>
      <c r="HE277" s="421">
        <v>272</v>
      </c>
      <c r="HF277" s="421"/>
      <c r="HG277" s="587"/>
      <c r="HH277" s="421">
        <v>272</v>
      </c>
      <c r="HI277" s="587"/>
      <c r="HJ277" s="421">
        <v>272</v>
      </c>
      <c r="HK277" s="587"/>
      <c r="HL277" s="684">
        <v>294.29508196721309</v>
      </c>
      <c r="HM277" s="587"/>
      <c r="HN277" s="567"/>
      <c r="HO277" s="567"/>
      <c r="HP277" s="567"/>
      <c r="HQ277" s="567"/>
      <c r="HR277" s="567"/>
      <c r="HS277" s="567"/>
      <c r="HT277" s="567"/>
      <c r="HU277" s="567"/>
      <c r="HV277" s="567"/>
      <c r="HW277" s="567"/>
      <c r="HX277" s="587"/>
      <c r="HY277" s="587"/>
      <c r="HZ277" s="587"/>
      <c r="IA277" s="587"/>
      <c r="IB277" s="587"/>
      <c r="IC277" s="587"/>
      <c r="ID277" s="587"/>
      <c r="IE277" s="587"/>
      <c r="IF277" s="587"/>
      <c r="IG277" s="587"/>
      <c r="IH277" s="588"/>
      <c r="II277" s="589"/>
      <c r="IJ277" s="588"/>
      <c r="IK277" s="589"/>
      <c r="IL277" s="588"/>
      <c r="IM277" s="589"/>
      <c r="IN277" s="588"/>
      <c r="IO277" s="589"/>
      <c r="IP277" s="588"/>
      <c r="IQ277" s="589"/>
      <c r="IR277" s="601" t="s">
        <v>3479</v>
      </c>
      <c r="IS277" s="587" t="s">
        <v>77</v>
      </c>
      <c r="IT277" s="611">
        <v>43889</v>
      </c>
      <c r="IU277" s="518">
        <v>43922</v>
      </c>
      <c r="IV277" s="552"/>
      <c r="IW277" s="526">
        <f t="shared" si="33"/>
        <v>33</v>
      </c>
      <c r="IX277" s="621">
        <f t="shared" si="32"/>
        <v>9.6490190808922325</v>
      </c>
      <c r="IY277" s="665">
        <v>294.29508196721309</v>
      </c>
    </row>
    <row r="278" spans="1:260" s="367" customFormat="1" ht="16.5" customHeight="1" x14ac:dyDescent="0.3">
      <c r="A278" s="526" t="s">
        <v>2743</v>
      </c>
      <c r="B278" s="594" t="s">
        <v>2765</v>
      </c>
      <c r="C278" s="595" t="s">
        <v>1297</v>
      </c>
      <c r="D278" s="596">
        <v>1249</v>
      </c>
      <c r="E278" s="597">
        <v>71</v>
      </c>
      <c r="F278" s="597">
        <v>16</v>
      </c>
      <c r="G278" s="597">
        <v>0</v>
      </c>
      <c r="H278" s="598"/>
      <c r="I278" s="855">
        <v>1335</v>
      </c>
      <c r="J278" s="597"/>
      <c r="K278" s="655">
        <v>0</v>
      </c>
      <c r="L278" s="597">
        <v>1335</v>
      </c>
      <c r="M278" s="597"/>
      <c r="N278" s="655">
        <v>0</v>
      </c>
      <c r="O278" s="597">
        <v>1335</v>
      </c>
      <c r="P278" s="597"/>
      <c r="Q278" s="655">
        <v>0</v>
      </c>
      <c r="R278" s="597">
        <v>1335</v>
      </c>
      <c r="S278" s="597"/>
      <c r="T278" s="655">
        <v>0</v>
      </c>
      <c r="U278" s="597">
        <v>1335</v>
      </c>
      <c r="V278" s="597"/>
      <c r="W278" s="655">
        <v>0</v>
      </c>
      <c r="X278" s="597">
        <v>1335</v>
      </c>
      <c r="Y278" s="597"/>
      <c r="Z278" s="655">
        <v>0</v>
      </c>
      <c r="AA278" s="597">
        <v>1335</v>
      </c>
      <c r="AB278" s="597"/>
      <c r="AC278" s="655">
        <v>0</v>
      </c>
      <c r="AD278" s="597">
        <v>1335</v>
      </c>
      <c r="AE278" s="597"/>
      <c r="AF278" s="655">
        <v>0</v>
      </c>
      <c r="AG278" s="597">
        <v>1335</v>
      </c>
      <c r="AH278" s="597"/>
      <c r="AI278" s="655">
        <v>0</v>
      </c>
      <c r="AJ278" s="597">
        <v>1335</v>
      </c>
      <c r="AK278" s="597"/>
      <c r="AL278" s="655">
        <v>0</v>
      </c>
      <c r="AM278" s="597">
        <v>1335</v>
      </c>
      <c r="AN278" s="597"/>
      <c r="AO278" s="655">
        <v>0</v>
      </c>
      <c r="AP278" s="597">
        <v>1335</v>
      </c>
      <c r="AQ278" s="597"/>
      <c r="AR278" s="655">
        <v>0</v>
      </c>
      <c r="AS278" s="597">
        <v>1335</v>
      </c>
      <c r="AT278" s="597"/>
      <c r="AU278" s="655">
        <v>0</v>
      </c>
      <c r="AV278" s="597">
        <v>1335</v>
      </c>
      <c r="AW278" s="597"/>
      <c r="AX278" s="655">
        <v>0</v>
      </c>
      <c r="AY278" s="597">
        <v>1335</v>
      </c>
      <c r="AZ278" s="597"/>
      <c r="BA278" s="655">
        <v>0</v>
      </c>
      <c r="BB278" s="421">
        <v>1335</v>
      </c>
      <c r="BC278" s="421"/>
      <c r="BD278" s="655">
        <v>0</v>
      </c>
      <c r="BE278" s="421">
        <v>1335</v>
      </c>
      <c r="BF278" s="421"/>
      <c r="BG278" s="655">
        <v>0</v>
      </c>
      <c r="BH278" s="421">
        <v>1335</v>
      </c>
      <c r="BI278" s="421"/>
      <c r="BJ278" s="655">
        <v>0</v>
      </c>
      <c r="BK278" s="421">
        <v>1335</v>
      </c>
      <c r="BL278" s="421"/>
      <c r="BM278" s="655">
        <v>0</v>
      </c>
      <c r="BN278" s="421">
        <v>1335</v>
      </c>
      <c r="BO278" s="421"/>
      <c r="BP278" s="655">
        <v>0</v>
      </c>
      <c r="BQ278" s="421">
        <v>1335</v>
      </c>
      <c r="BR278" s="421"/>
      <c r="BS278" s="655">
        <v>0</v>
      </c>
      <c r="BT278" s="421">
        <v>1335</v>
      </c>
      <c r="BU278" s="421"/>
      <c r="BV278" s="655">
        <v>0</v>
      </c>
      <c r="BW278" s="421">
        <v>1335</v>
      </c>
      <c r="BX278" s="421"/>
      <c r="BY278" s="655">
        <v>0</v>
      </c>
      <c r="BZ278" s="421">
        <v>1335</v>
      </c>
      <c r="CA278" s="421"/>
      <c r="CB278" s="655">
        <v>0</v>
      </c>
      <c r="CC278" s="421">
        <v>1335</v>
      </c>
      <c r="CD278" s="421"/>
      <c r="CE278" s="655">
        <v>0</v>
      </c>
      <c r="CF278" s="421">
        <v>1335</v>
      </c>
      <c r="CG278" s="421"/>
      <c r="CH278" s="655">
        <v>0</v>
      </c>
      <c r="CI278" s="421">
        <v>1335</v>
      </c>
      <c r="CJ278" s="421"/>
      <c r="CK278" s="655">
        <v>0</v>
      </c>
      <c r="CL278" s="421">
        <v>1335</v>
      </c>
      <c r="CM278" s="421"/>
      <c r="CN278" s="655">
        <v>0</v>
      </c>
      <c r="CO278" s="421">
        <v>1335</v>
      </c>
      <c r="CP278" s="421"/>
      <c r="CQ278" s="655">
        <v>0</v>
      </c>
      <c r="CR278" s="421">
        <v>1335</v>
      </c>
      <c r="CS278" s="421"/>
      <c r="CT278" s="655">
        <v>0</v>
      </c>
      <c r="CU278" s="421">
        <v>1335</v>
      </c>
      <c r="CV278" s="421"/>
      <c r="CW278" s="655">
        <v>0</v>
      </c>
      <c r="CX278" s="421">
        <v>1335</v>
      </c>
      <c r="CY278" s="421"/>
      <c r="CZ278" s="655">
        <v>0</v>
      </c>
      <c r="DA278" s="421">
        <v>1335</v>
      </c>
      <c r="DB278" s="421"/>
      <c r="DC278" s="655">
        <v>0</v>
      </c>
      <c r="DD278" s="421">
        <v>1335</v>
      </c>
      <c r="DE278" s="421"/>
      <c r="DF278" s="655">
        <v>0</v>
      </c>
      <c r="DG278" s="421">
        <v>1335</v>
      </c>
      <c r="DH278" s="421"/>
      <c r="DI278" s="655">
        <v>0</v>
      </c>
      <c r="DJ278" s="421">
        <v>1335</v>
      </c>
      <c r="DK278" s="421"/>
      <c r="DL278" s="655">
        <v>0</v>
      </c>
      <c r="DM278" s="421">
        <v>1335</v>
      </c>
      <c r="DN278" s="421"/>
      <c r="DO278" s="655">
        <v>0</v>
      </c>
      <c r="DP278" s="421">
        <v>1335</v>
      </c>
      <c r="DQ278" s="421"/>
      <c r="DR278" s="655">
        <v>0</v>
      </c>
      <c r="DS278" s="421">
        <v>1335</v>
      </c>
      <c r="DT278" s="421"/>
      <c r="DU278" s="655">
        <v>0</v>
      </c>
      <c r="DV278" s="421">
        <v>1335</v>
      </c>
      <c r="DW278" s="421"/>
      <c r="DX278" s="655">
        <v>0</v>
      </c>
      <c r="DY278" s="421">
        <v>1335</v>
      </c>
      <c r="DZ278" s="421"/>
      <c r="EA278" s="655">
        <v>0</v>
      </c>
      <c r="EB278" s="421">
        <v>1335</v>
      </c>
      <c r="EC278" s="421"/>
      <c r="ED278" s="655">
        <v>0</v>
      </c>
      <c r="EE278" s="421">
        <v>1335</v>
      </c>
      <c r="EF278" s="421"/>
      <c r="EG278" s="655">
        <v>0</v>
      </c>
      <c r="EH278" s="421">
        <v>1335</v>
      </c>
      <c r="EI278" s="421"/>
      <c r="EJ278" s="655">
        <v>0</v>
      </c>
      <c r="EK278" s="421">
        <v>1335</v>
      </c>
      <c r="EL278" s="421"/>
      <c r="EM278" s="655">
        <v>0</v>
      </c>
      <c r="EN278" s="421">
        <v>1335</v>
      </c>
      <c r="EO278" s="421"/>
      <c r="EP278" s="655">
        <v>0</v>
      </c>
      <c r="EQ278" s="421">
        <v>1335</v>
      </c>
      <c r="ER278" s="421"/>
      <c r="ES278" s="655">
        <v>0</v>
      </c>
      <c r="ET278" s="421">
        <v>1335</v>
      </c>
      <c r="EU278" s="421"/>
      <c r="EV278" s="655">
        <v>0</v>
      </c>
      <c r="EW278" s="421">
        <v>1335</v>
      </c>
      <c r="EX278" s="421"/>
      <c r="EY278" s="655">
        <v>0</v>
      </c>
      <c r="EZ278" s="421">
        <v>1335</v>
      </c>
      <c r="FA278" s="421"/>
      <c r="FB278" s="655">
        <v>0</v>
      </c>
      <c r="FC278" s="421">
        <v>1335</v>
      </c>
      <c r="FD278" s="421"/>
      <c r="FE278" s="655">
        <v>0</v>
      </c>
      <c r="FF278" s="421">
        <v>1335</v>
      </c>
      <c r="FG278" s="421"/>
      <c r="FH278" s="655">
        <v>0</v>
      </c>
      <c r="FI278" s="421">
        <v>1335</v>
      </c>
      <c r="FJ278" s="421"/>
      <c r="FK278" s="655">
        <v>0</v>
      </c>
      <c r="FL278" s="421">
        <v>1335</v>
      </c>
      <c r="FM278" s="421"/>
      <c r="FN278" s="655">
        <v>0</v>
      </c>
      <c r="FO278" s="421">
        <v>1335</v>
      </c>
      <c r="FP278" s="421"/>
      <c r="FQ278" s="655">
        <v>0</v>
      </c>
      <c r="FR278" s="421">
        <v>1335</v>
      </c>
      <c r="FS278" s="421"/>
      <c r="FT278" s="655">
        <v>0</v>
      </c>
      <c r="FU278" s="421">
        <v>1335</v>
      </c>
      <c r="FV278" s="421"/>
      <c r="FW278" s="655">
        <v>0</v>
      </c>
      <c r="FX278" s="421">
        <v>1335</v>
      </c>
      <c r="FY278" s="421"/>
      <c r="FZ278" s="655">
        <v>0</v>
      </c>
      <c r="GA278" s="421">
        <v>1335</v>
      </c>
      <c r="GB278" s="421"/>
      <c r="GC278" s="655">
        <v>0</v>
      </c>
      <c r="GD278" s="421">
        <v>1335</v>
      </c>
      <c r="GE278" s="421"/>
      <c r="GF278" s="655">
        <v>0</v>
      </c>
      <c r="GG278" s="421">
        <v>1335</v>
      </c>
      <c r="GH278" s="421"/>
      <c r="GI278" s="655">
        <v>0</v>
      </c>
      <c r="GJ278" s="421">
        <v>1335</v>
      </c>
      <c r="GK278" s="421"/>
      <c r="GL278" s="655">
        <v>0</v>
      </c>
      <c r="GM278" s="421">
        <v>1335</v>
      </c>
      <c r="GN278" s="421"/>
      <c r="GO278" s="655">
        <v>0</v>
      </c>
      <c r="GP278" s="421">
        <v>1335</v>
      </c>
      <c r="GQ278" s="421"/>
      <c r="GR278" s="655">
        <v>0</v>
      </c>
      <c r="GS278" s="421">
        <v>1335</v>
      </c>
      <c r="GT278" s="421"/>
      <c r="GU278" s="655">
        <v>0</v>
      </c>
      <c r="GV278" s="421">
        <v>1335</v>
      </c>
      <c r="GW278" s="421"/>
      <c r="GX278" s="655">
        <v>0</v>
      </c>
      <c r="GY278" s="421">
        <v>1335</v>
      </c>
      <c r="GZ278" s="421"/>
      <c r="HA278" s="655">
        <v>0</v>
      </c>
      <c r="HB278" s="421">
        <v>1335</v>
      </c>
      <c r="HC278" s="421"/>
      <c r="HD278" s="655">
        <v>0</v>
      </c>
      <c r="HE278" s="421">
        <v>1335</v>
      </c>
      <c r="HF278" s="421"/>
      <c r="HG278" s="517">
        <v>0</v>
      </c>
      <c r="HH278" s="421">
        <v>1335</v>
      </c>
      <c r="HI278" s="655">
        <v>66</v>
      </c>
      <c r="HJ278" s="422">
        <v>2538.688524590164</v>
      </c>
      <c r="HK278" s="517">
        <v>124.77606557377047</v>
      </c>
      <c r="HL278" s="567"/>
      <c r="HM278" s="567"/>
      <c r="HN278" s="567"/>
      <c r="HO278" s="567"/>
      <c r="HP278" s="567"/>
      <c r="HQ278" s="567"/>
      <c r="HR278" s="567"/>
      <c r="HS278" s="567"/>
      <c r="HT278" s="567"/>
      <c r="HU278" s="567"/>
      <c r="HV278" s="567"/>
      <c r="HW278" s="567"/>
      <c r="HX278" s="587"/>
      <c r="HY278" s="587"/>
      <c r="HZ278" s="587"/>
      <c r="IA278" s="587"/>
      <c r="IB278" s="587"/>
      <c r="IC278" s="587"/>
      <c r="ID278" s="587"/>
      <c r="IE278" s="587"/>
      <c r="IF278" s="587"/>
      <c r="IG278" s="587"/>
      <c r="IH278" s="588"/>
      <c r="II278" s="589"/>
      <c r="IJ278" s="588"/>
      <c r="IK278" s="589"/>
      <c r="IL278" s="588"/>
      <c r="IM278" s="589"/>
      <c r="IN278" s="588"/>
      <c r="IO278" s="589"/>
      <c r="IP278" s="588"/>
      <c r="IQ278" s="589"/>
      <c r="IR278" s="552" t="s">
        <v>3041</v>
      </c>
      <c r="IS278" s="587" t="s">
        <v>77</v>
      </c>
      <c r="IT278" s="611">
        <v>43894</v>
      </c>
      <c r="IU278" s="518">
        <v>43952</v>
      </c>
      <c r="IV278" s="552"/>
      <c r="IW278" s="526">
        <f t="shared" si="33"/>
        <v>58</v>
      </c>
      <c r="IX278" s="621">
        <f>HJ278/30.5</f>
        <v>83.235689330825053</v>
      </c>
      <c r="IY278" s="665">
        <v>2538.688524590164</v>
      </c>
    </row>
    <row r="279" spans="1:260" s="367" customFormat="1" ht="16.5" customHeight="1" x14ac:dyDescent="0.3">
      <c r="A279" s="633" t="s">
        <v>2735</v>
      </c>
      <c r="B279" s="700" t="s">
        <v>2874</v>
      </c>
      <c r="C279" s="608" t="s">
        <v>857</v>
      </c>
      <c r="D279" s="634">
        <v>285</v>
      </c>
      <c r="E279" s="635">
        <v>27</v>
      </c>
      <c r="F279" s="635">
        <v>0</v>
      </c>
      <c r="G279" s="635">
        <v>0</v>
      </c>
      <c r="H279" s="636">
        <v>0</v>
      </c>
      <c r="I279" s="844">
        <v>312</v>
      </c>
      <c r="J279" s="597"/>
      <c r="K279" s="827"/>
      <c r="L279" s="606">
        <v>312</v>
      </c>
      <c r="M279" s="597"/>
      <c r="N279" s="827"/>
      <c r="O279" s="606">
        <v>312</v>
      </c>
      <c r="P279" s="597"/>
      <c r="Q279" s="827"/>
      <c r="R279" s="606">
        <v>312</v>
      </c>
      <c r="S279" s="597"/>
      <c r="T279" s="827"/>
      <c r="U279" s="606">
        <v>312</v>
      </c>
      <c r="V279" s="597"/>
      <c r="W279" s="827"/>
      <c r="X279" s="606">
        <v>312</v>
      </c>
      <c r="Y279" s="597"/>
      <c r="Z279" s="827"/>
      <c r="AA279" s="606">
        <v>312</v>
      </c>
      <c r="AB279" s="597"/>
      <c r="AC279" s="827"/>
      <c r="AD279" s="606">
        <v>312</v>
      </c>
      <c r="AE279" s="597"/>
      <c r="AF279" s="827"/>
      <c r="AG279" s="606">
        <v>312</v>
      </c>
      <c r="AH279" s="597"/>
      <c r="AI279" s="827"/>
      <c r="AJ279" s="606">
        <v>312</v>
      </c>
      <c r="AK279" s="597"/>
      <c r="AL279" s="827"/>
      <c r="AM279" s="606">
        <v>312</v>
      </c>
      <c r="AN279" s="597"/>
      <c r="AO279" s="827"/>
      <c r="AP279" s="606">
        <v>312</v>
      </c>
      <c r="AQ279" s="597"/>
      <c r="AR279" s="827"/>
      <c r="AS279" s="909">
        <f>((312-269)/30.5)*31+312</f>
        <v>355.70491803278691</v>
      </c>
      <c r="AT279" s="597"/>
      <c r="AU279" s="827"/>
      <c r="AV279" s="597">
        <v>269</v>
      </c>
      <c r="AW279" s="597"/>
      <c r="AX279" s="827"/>
      <c r="AY279" s="597">
        <v>269</v>
      </c>
      <c r="AZ279" s="597"/>
      <c r="BA279" s="405"/>
      <c r="BB279" s="421">
        <v>269</v>
      </c>
      <c r="BC279" s="421"/>
      <c r="BD279" s="405"/>
      <c r="BE279" s="421">
        <v>269</v>
      </c>
      <c r="BF279" s="421"/>
      <c r="BG279" s="405"/>
      <c r="BH279" s="421">
        <v>269</v>
      </c>
      <c r="BI279" s="421"/>
      <c r="BJ279" s="690"/>
      <c r="BK279" s="421">
        <v>269</v>
      </c>
      <c r="BL279" s="421"/>
      <c r="BM279" s="690"/>
      <c r="BN279" s="421">
        <v>269</v>
      </c>
      <c r="BO279" s="421"/>
      <c r="BP279" s="690"/>
      <c r="BQ279" s="421">
        <v>269</v>
      </c>
      <c r="BR279" s="421"/>
      <c r="BS279" s="690"/>
      <c r="BT279" s="421">
        <v>269</v>
      </c>
      <c r="BU279" s="421"/>
      <c r="BV279" s="690"/>
      <c r="BW279" s="421">
        <v>269</v>
      </c>
      <c r="BX279" s="421"/>
      <c r="BY279" s="690"/>
      <c r="BZ279" s="421">
        <v>269</v>
      </c>
      <c r="CA279" s="421"/>
      <c r="CB279" s="690"/>
      <c r="CC279" s="421">
        <v>269</v>
      </c>
      <c r="CD279" s="421"/>
      <c r="CE279" s="690"/>
      <c r="CF279" s="421">
        <v>269</v>
      </c>
      <c r="CG279" s="421"/>
      <c r="CH279" s="690"/>
      <c r="CI279" s="421">
        <v>269</v>
      </c>
      <c r="CJ279" s="421"/>
      <c r="CK279" s="690"/>
      <c r="CL279" s="421">
        <v>269</v>
      </c>
      <c r="CM279" s="421"/>
      <c r="CN279" s="690"/>
      <c r="CO279" s="421">
        <v>269</v>
      </c>
      <c r="CP279" s="421"/>
      <c r="CQ279" s="690"/>
      <c r="CR279" s="421">
        <v>269</v>
      </c>
      <c r="CS279" s="421"/>
      <c r="CT279" s="690"/>
      <c r="CU279" s="421">
        <v>269</v>
      </c>
      <c r="CV279" s="421"/>
      <c r="CW279" s="690"/>
      <c r="CX279" s="421">
        <v>269</v>
      </c>
      <c r="CY279" s="421"/>
      <c r="CZ279" s="690"/>
      <c r="DA279" s="421">
        <v>269</v>
      </c>
      <c r="DB279" s="421"/>
      <c r="DC279" s="690"/>
      <c r="DD279" s="421">
        <v>269</v>
      </c>
      <c r="DE279" s="421"/>
      <c r="DF279" s="690"/>
      <c r="DG279" s="421">
        <v>269</v>
      </c>
      <c r="DH279" s="421"/>
      <c r="DI279" s="690"/>
      <c r="DJ279" s="421">
        <v>269</v>
      </c>
      <c r="DK279" s="421"/>
      <c r="DL279" s="690"/>
      <c r="DM279" s="421">
        <v>269</v>
      </c>
      <c r="DN279" s="421"/>
      <c r="DO279" s="690"/>
      <c r="DP279" s="421">
        <v>269</v>
      </c>
      <c r="DQ279" s="421"/>
      <c r="DR279" s="690"/>
      <c r="DS279" s="421">
        <v>269</v>
      </c>
      <c r="DT279" s="421"/>
      <c r="DU279" s="690"/>
      <c r="DV279" s="421">
        <v>269</v>
      </c>
      <c r="DW279" s="421"/>
      <c r="DX279" s="690"/>
      <c r="DY279" s="421">
        <v>269</v>
      </c>
      <c r="DZ279" s="421"/>
      <c r="EA279" s="690"/>
      <c r="EB279" s="421">
        <v>269</v>
      </c>
      <c r="EC279" s="421"/>
      <c r="ED279" s="690"/>
      <c r="EE279" s="421">
        <v>269</v>
      </c>
      <c r="EF279" s="421"/>
      <c r="EG279" s="690"/>
      <c r="EH279" s="421">
        <v>269</v>
      </c>
      <c r="EI279" s="421"/>
      <c r="EJ279" s="690"/>
      <c r="EK279" s="421">
        <v>269</v>
      </c>
      <c r="EL279" s="421"/>
      <c r="EM279" s="690"/>
      <c r="EN279" s="421">
        <v>269</v>
      </c>
      <c r="EO279" s="421"/>
      <c r="EP279" s="690"/>
      <c r="EQ279" s="421">
        <v>269</v>
      </c>
      <c r="ER279" s="421"/>
      <c r="ES279" s="690"/>
      <c r="ET279" s="421">
        <v>269</v>
      </c>
      <c r="EU279" s="421"/>
      <c r="EV279" s="690"/>
      <c r="EW279" s="421">
        <v>269</v>
      </c>
      <c r="EX279" s="421"/>
      <c r="EY279" s="690"/>
      <c r="EZ279" s="421">
        <v>269</v>
      </c>
      <c r="FA279" s="421"/>
      <c r="FB279" s="690"/>
      <c r="FC279" s="421">
        <v>269</v>
      </c>
      <c r="FD279" s="421"/>
      <c r="FE279" s="690"/>
      <c r="FF279" s="421">
        <v>269</v>
      </c>
      <c r="FG279" s="421"/>
      <c r="FH279" s="690"/>
      <c r="FI279" s="421">
        <v>269</v>
      </c>
      <c r="FJ279" s="421"/>
      <c r="FK279" s="690"/>
      <c r="FL279" s="421">
        <v>269</v>
      </c>
      <c r="FM279" s="421"/>
      <c r="FN279" s="690"/>
      <c r="FO279" s="421">
        <v>269</v>
      </c>
      <c r="FP279" s="421"/>
      <c r="FQ279" s="690"/>
      <c r="FR279" s="421">
        <v>269</v>
      </c>
      <c r="FS279" s="421"/>
      <c r="FT279" s="690"/>
      <c r="FU279" s="421">
        <v>269</v>
      </c>
      <c r="FV279" s="421"/>
      <c r="FW279" s="690"/>
      <c r="FX279" s="421">
        <v>269</v>
      </c>
      <c r="FY279" s="421"/>
      <c r="FZ279" s="690"/>
      <c r="GA279" s="421">
        <v>269</v>
      </c>
      <c r="GB279" s="421"/>
      <c r="GC279" s="690"/>
      <c r="GD279" s="421">
        <v>269</v>
      </c>
      <c r="GE279" s="421"/>
      <c r="GF279" s="690"/>
      <c r="GG279" s="421">
        <v>269</v>
      </c>
      <c r="GH279" s="421"/>
      <c r="GI279" s="690"/>
      <c r="GJ279" s="421">
        <v>269</v>
      </c>
      <c r="GK279" s="421"/>
      <c r="GL279" s="690"/>
      <c r="GM279" s="421">
        <v>269</v>
      </c>
      <c r="GN279" s="421"/>
      <c r="GO279" s="690"/>
      <c r="GP279" s="421">
        <v>269</v>
      </c>
      <c r="GQ279" s="421"/>
      <c r="GR279" s="690"/>
      <c r="GS279" s="421">
        <v>269</v>
      </c>
      <c r="GT279" s="421"/>
      <c r="GU279" s="690"/>
      <c r="GV279" s="421">
        <v>269</v>
      </c>
      <c r="GW279" s="421"/>
      <c r="GX279" s="690"/>
      <c r="GY279" s="421">
        <v>269</v>
      </c>
      <c r="GZ279" s="421"/>
      <c r="HA279" s="690"/>
      <c r="HB279" s="421">
        <v>269</v>
      </c>
      <c r="HC279" s="421"/>
      <c r="HD279" s="690"/>
      <c r="HE279" s="421">
        <v>269</v>
      </c>
      <c r="HF279" s="421"/>
      <c r="HG279" s="690"/>
      <c r="HH279" s="421">
        <v>269</v>
      </c>
      <c r="HI279" s="690"/>
      <c r="HJ279" s="684">
        <v>405.70491803278691</v>
      </c>
      <c r="HK279" s="691"/>
      <c r="HL279" s="567"/>
      <c r="HM279" s="567"/>
      <c r="HN279" s="567"/>
      <c r="HO279" s="567"/>
      <c r="HP279" s="567"/>
      <c r="HQ279" s="567"/>
      <c r="HR279" s="567"/>
      <c r="HS279" s="567"/>
      <c r="HT279" s="567"/>
      <c r="HU279" s="567"/>
      <c r="HV279" s="567"/>
      <c r="HW279" s="567"/>
      <c r="HX279" s="587"/>
      <c r="HY279" s="587"/>
      <c r="HZ279" s="587"/>
      <c r="IA279" s="587"/>
      <c r="IB279" s="587"/>
      <c r="IC279" s="587"/>
      <c r="ID279" s="587"/>
      <c r="IE279" s="587"/>
      <c r="IF279" s="587"/>
      <c r="IG279" s="587"/>
      <c r="IH279" s="588"/>
      <c r="II279" s="589"/>
      <c r="IJ279" s="588"/>
      <c r="IK279" s="589"/>
      <c r="IL279" s="588"/>
      <c r="IM279" s="589"/>
      <c r="IN279" s="588"/>
      <c r="IO279" s="589"/>
      <c r="IP279" s="588"/>
      <c r="IQ279" s="589"/>
      <c r="IR279" s="552" t="s">
        <v>3045</v>
      </c>
      <c r="IS279" s="587" t="s">
        <v>77</v>
      </c>
      <c r="IT279" s="611">
        <v>43906</v>
      </c>
      <c r="IU279" s="518">
        <v>43952</v>
      </c>
      <c r="IV279" s="552"/>
      <c r="IW279" s="526">
        <f t="shared" si="33"/>
        <v>46</v>
      </c>
      <c r="IX279" s="621">
        <f>HJ279/30.5</f>
        <v>13.301800591238916</v>
      </c>
      <c r="IY279" s="665">
        <v>405.70491803278691</v>
      </c>
    </row>
    <row r="280" spans="1:260" s="367" customFormat="1" ht="16.5" customHeight="1" x14ac:dyDescent="0.3">
      <c r="A280" s="526" t="s">
        <v>2758</v>
      </c>
      <c r="B280" s="411" t="s">
        <v>3833</v>
      </c>
      <c r="C280" s="604" t="s">
        <v>2246</v>
      </c>
      <c r="D280" s="605">
        <v>5101</v>
      </c>
      <c r="E280" s="606">
        <v>47</v>
      </c>
      <c r="F280" s="606">
        <v>8</v>
      </c>
      <c r="G280" s="606">
        <v>108</v>
      </c>
      <c r="H280" s="607">
        <v>36</v>
      </c>
      <c r="I280" s="855">
        <v>5156</v>
      </c>
      <c r="J280" s="597">
        <v>108</v>
      </c>
      <c r="K280" s="827">
        <v>36</v>
      </c>
      <c r="L280" s="597">
        <v>5156</v>
      </c>
      <c r="M280" s="597">
        <v>108</v>
      </c>
      <c r="N280" s="827">
        <v>36</v>
      </c>
      <c r="O280" s="597">
        <v>5156</v>
      </c>
      <c r="P280" s="597">
        <v>108</v>
      </c>
      <c r="Q280" s="827">
        <v>36</v>
      </c>
      <c r="R280" s="597">
        <v>5156</v>
      </c>
      <c r="S280" s="597">
        <v>108</v>
      </c>
      <c r="T280" s="827">
        <v>36</v>
      </c>
      <c r="U280" s="597">
        <v>5156</v>
      </c>
      <c r="V280" s="597">
        <v>108</v>
      </c>
      <c r="W280" s="827">
        <v>36</v>
      </c>
      <c r="X280" s="597">
        <v>5156</v>
      </c>
      <c r="Y280" s="597">
        <v>108</v>
      </c>
      <c r="Z280" s="827">
        <v>36</v>
      </c>
      <c r="AA280" s="597">
        <v>5156</v>
      </c>
      <c r="AB280" s="597">
        <v>108</v>
      </c>
      <c r="AC280" s="827">
        <v>36</v>
      </c>
      <c r="AD280" s="597">
        <v>5156</v>
      </c>
      <c r="AE280" s="597">
        <v>108</v>
      </c>
      <c r="AF280" s="827">
        <v>36</v>
      </c>
      <c r="AG280" s="597">
        <v>5156</v>
      </c>
      <c r="AH280" s="597">
        <v>108</v>
      </c>
      <c r="AI280" s="827">
        <v>36</v>
      </c>
      <c r="AJ280" s="597">
        <v>5156</v>
      </c>
      <c r="AK280" s="597">
        <v>108</v>
      </c>
      <c r="AL280" s="827">
        <v>36</v>
      </c>
      <c r="AM280" s="597">
        <v>5156</v>
      </c>
      <c r="AN280" s="597">
        <v>108</v>
      </c>
      <c r="AO280" s="827">
        <v>36</v>
      </c>
      <c r="AP280" s="597">
        <v>5156</v>
      </c>
      <c r="AQ280" s="597">
        <v>108</v>
      </c>
      <c r="AR280" s="827">
        <v>36</v>
      </c>
      <c r="AS280" s="597">
        <v>5156</v>
      </c>
      <c r="AT280" s="597">
        <v>108</v>
      </c>
      <c r="AU280" s="827">
        <v>36</v>
      </c>
      <c r="AV280" s="597">
        <v>5156</v>
      </c>
      <c r="AW280" s="597">
        <v>108</v>
      </c>
      <c r="AX280" s="827">
        <v>36</v>
      </c>
      <c r="AY280" s="597">
        <v>5156</v>
      </c>
      <c r="AZ280" s="597">
        <v>108</v>
      </c>
      <c r="BA280" s="405">
        <v>36</v>
      </c>
      <c r="BB280" s="647">
        <v>5156</v>
      </c>
      <c r="BC280" s="647">
        <v>108</v>
      </c>
      <c r="BD280" s="405">
        <v>36</v>
      </c>
      <c r="BE280" s="647">
        <v>5156</v>
      </c>
      <c r="BF280" s="647">
        <v>108</v>
      </c>
      <c r="BG280" s="405">
        <v>36</v>
      </c>
      <c r="BH280" s="647">
        <v>5156</v>
      </c>
      <c r="BI280" s="647">
        <v>108</v>
      </c>
      <c r="BJ280" s="655">
        <v>36</v>
      </c>
      <c r="BK280" s="647">
        <v>5156</v>
      </c>
      <c r="BL280" s="647">
        <v>108</v>
      </c>
      <c r="BM280" s="655">
        <v>36</v>
      </c>
      <c r="BN280" s="647">
        <v>5156</v>
      </c>
      <c r="BO280" s="647">
        <v>108</v>
      </c>
      <c r="BP280" s="655">
        <v>36</v>
      </c>
      <c r="BQ280" s="647">
        <v>5156</v>
      </c>
      <c r="BR280" s="647">
        <v>108</v>
      </c>
      <c r="BS280" s="655">
        <v>36</v>
      </c>
      <c r="BT280" s="647">
        <v>5156</v>
      </c>
      <c r="BU280" s="647">
        <v>108</v>
      </c>
      <c r="BV280" s="655">
        <v>36</v>
      </c>
      <c r="BW280" s="647">
        <v>5156</v>
      </c>
      <c r="BX280" s="647">
        <v>108</v>
      </c>
      <c r="BY280" s="655">
        <v>36</v>
      </c>
      <c r="BZ280" s="647">
        <v>5156</v>
      </c>
      <c r="CA280" s="647">
        <v>108</v>
      </c>
      <c r="CB280" s="655">
        <v>36</v>
      </c>
      <c r="CC280" s="647">
        <v>5156</v>
      </c>
      <c r="CD280" s="647">
        <v>108</v>
      </c>
      <c r="CE280" s="655">
        <v>36</v>
      </c>
      <c r="CF280" s="647">
        <v>5156</v>
      </c>
      <c r="CG280" s="647">
        <v>108</v>
      </c>
      <c r="CH280" s="655">
        <v>36</v>
      </c>
      <c r="CI280" s="647">
        <v>5156</v>
      </c>
      <c r="CJ280" s="647">
        <v>108</v>
      </c>
      <c r="CK280" s="655">
        <v>36</v>
      </c>
      <c r="CL280" s="647">
        <v>5156</v>
      </c>
      <c r="CM280" s="647">
        <v>108</v>
      </c>
      <c r="CN280" s="655">
        <v>36</v>
      </c>
      <c r="CO280" s="647">
        <v>5156</v>
      </c>
      <c r="CP280" s="647">
        <v>108</v>
      </c>
      <c r="CQ280" s="655">
        <v>36</v>
      </c>
      <c r="CR280" s="647">
        <v>5156</v>
      </c>
      <c r="CS280" s="647">
        <v>108</v>
      </c>
      <c r="CT280" s="655">
        <v>36</v>
      </c>
      <c r="CU280" s="647">
        <v>5156</v>
      </c>
      <c r="CV280" s="647">
        <v>108</v>
      </c>
      <c r="CW280" s="655">
        <v>36</v>
      </c>
      <c r="CX280" s="647">
        <v>5156</v>
      </c>
      <c r="CY280" s="647">
        <v>108</v>
      </c>
      <c r="CZ280" s="655">
        <v>36</v>
      </c>
      <c r="DA280" s="647">
        <v>5156</v>
      </c>
      <c r="DB280" s="647">
        <v>108</v>
      </c>
      <c r="DC280" s="655">
        <v>36</v>
      </c>
      <c r="DD280" s="647">
        <v>5156</v>
      </c>
      <c r="DE280" s="647">
        <v>108</v>
      </c>
      <c r="DF280" s="655">
        <v>36</v>
      </c>
      <c r="DG280" s="647">
        <v>5156</v>
      </c>
      <c r="DH280" s="647">
        <v>108</v>
      </c>
      <c r="DI280" s="655">
        <v>36</v>
      </c>
      <c r="DJ280" s="647">
        <v>5156</v>
      </c>
      <c r="DK280" s="647">
        <v>108</v>
      </c>
      <c r="DL280" s="655">
        <v>36</v>
      </c>
      <c r="DM280" s="647">
        <v>5156</v>
      </c>
      <c r="DN280" s="647">
        <v>108</v>
      </c>
      <c r="DO280" s="655">
        <v>36</v>
      </c>
      <c r="DP280" s="647">
        <v>5156</v>
      </c>
      <c r="DQ280" s="647">
        <v>108</v>
      </c>
      <c r="DR280" s="655">
        <v>36</v>
      </c>
      <c r="DS280" s="647">
        <v>5156</v>
      </c>
      <c r="DT280" s="647">
        <v>108</v>
      </c>
      <c r="DU280" s="655">
        <v>36</v>
      </c>
      <c r="DV280" s="647">
        <v>5156</v>
      </c>
      <c r="DW280" s="647">
        <v>108</v>
      </c>
      <c r="DX280" s="655">
        <v>36</v>
      </c>
      <c r="DY280" s="647">
        <v>5156</v>
      </c>
      <c r="DZ280" s="647">
        <v>108</v>
      </c>
      <c r="EA280" s="655">
        <v>36</v>
      </c>
      <c r="EB280" s="647">
        <v>5156</v>
      </c>
      <c r="EC280" s="647">
        <v>108</v>
      </c>
      <c r="ED280" s="655">
        <v>36</v>
      </c>
      <c r="EE280" s="647">
        <v>5156</v>
      </c>
      <c r="EF280" s="647">
        <v>108</v>
      </c>
      <c r="EG280" s="655">
        <v>36</v>
      </c>
      <c r="EH280" s="648">
        <f>(((5156/30.5)*10)-((1345/30.5)*10)+5156)</f>
        <v>6405.5081967213118</v>
      </c>
      <c r="EI280" s="648">
        <f>(((108/30.5)*10)+108)</f>
        <v>143.40983606557376</v>
      </c>
      <c r="EJ280" s="517">
        <v>36</v>
      </c>
      <c r="EK280" s="421">
        <v>1345</v>
      </c>
      <c r="EL280" s="421"/>
      <c r="EM280" s="655">
        <v>36</v>
      </c>
      <c r="EN280" s="421">
        <v>1345</v>
      </c>
      <c r="EO280" s="421"/>
      <c r="EP280" s="655">
        <v>36</v>
      </c>
      <c r="EQ280" s="421">
        <v>1345</v>
      </c>
      <c r="ER280" s="421"/>
      <c r="ES280" s="655">
        <v>36</v>
      </c>
      <c r="ET280" s="421">
        <v>1345</v>
      </c>
      <c r="EU280" s="421"/>
      <c r="EV280" s="655">
        <v>36</v>
      </c>
      <c r="EW280" s="421">
        <v>1345</v>
      </c>
      <c r="EX280" s="421"/>
      <c r="EY280" s="655">
        <v>36</v>
      </c>
      <c r="EZ280" s="421">
        <v>1345</v>
      </c>
      <c r="FA280" s="421"/>
      <c r="FB280" s="655">
        <v>36</v>
      </c>
      <c r="FC280" s="421">
        <v>1345</v>
      </c>
      <c r="FD280" s="421"/>
      <c r="FE280" s="655">
        <v>36</v>
      </c>
      <c r="FF280" s="421">
        <v>1345</v>
      </c>
      <c r="FG280" s="421"/>
      <c r="FH280" s="655">
        <v>36</v>
      </c>
      <c r="FI280" s="421">
        <v>1345</v>
      </c>
      <c r="FJ280" s="421"/>
      <c r="FK280" s="655">
        <v>36</v>
      </c>
      <c r="FL280" s="421">
        <v>1345</v>
      </c>
      <c r="FM280" s="421"/>
      <c r="FN280" s="655">
        <v>36</v>
      </c>
      <c r="FO280" s="421">
        <v>1345</v>
      </c>
      <c r="FP280" s="421"/>
      <c r="FQ280" s="655">
        <v>36</v>
      </c>
      <c r="FR280" s="421">
        <v>1345</v>
      </c>
      <c r="FS280" s="421"/>
      <c r="FT280" s="655">
        <v>36</v>
      </c>
      <c r="FU280" s="422">
        <v>1345</v>
      </c>
      <c r="FV280" s="422"/>
      <c r="FW280" s="517">
        <v>36</v>
      </c>
      <c r="FX280" s="421">
        <v>1345</v>
      </c>
      <c r="FY280" s="421"/>
      <c r="FZ280" s="690"/>
      <c r="GA280" s="421">
        <v>1345</v>
      </c>
      <c r="GB280" s="421"/>
      <c r="GC280" s="690"/>
      <c r="GD280" s="421">
        <v>1345</v>
      </c>
      <c r="GE280" s="421"/>
      <c r="GF280" s="690"/>
      <c r="GG280" s="421">
        <v>1345</v>
      </c>
      <c r="GH280" s="421"/>
      <c r="GI280" s="690"/>
      <c r="GJ280" s="421">
        <v>1345</v>
      </c>
      <c r="GK280" s="421"/>
      <c r="GL280" s="690"/>
      <c r="GM280" s="421">
        <v>1345</v>
      </c>
      <c r="GN280" s="421"/>
      <c r="GO280" s="690"/>
      <c r="GP280" s="421">
        <v>1345</v>
      </c>
      <c r="GQ280" s="421"/>
      <c r="GR280" s="690"/>
      <c r="GS280" s="421">
        <v>1345</v>
      </c>
      <c r="GT280" s="421"/>
      <c r="GU280" s="690"/>
      <c r="GV280" s="421">
        <v>1345</v>
      </c>
      <c r="GW280" s="421"/>
      <c r="GX280" s="690"/>
      <c r="GY280" s="421">
        <v>1345</v>
      </c>
      <c r="GZ280" s="421"/>
      <c r="HA280" s="690"/>
      <c r="HB280" s="421">
        <v>1345</v>
      </c>
      <c r="HC280" s="421"/>
      <c r="HD280" s="690"/>
      <c r="HE280" s="421">
        <v>1345</v>
      </c>
      <c r="HF280" s="421"/>
      <c r="HG280" s="690"/>
      <c r="HH280" s="421">
        <v>1345</v>
      </c>
      <c r="HI280" s="690"/>
      <c r="HJ280" s="684">
        <v>1984.4262295081969</v>
      </c>
      <c r="HK280" s="691"/>
      <c r="HL280" s="567"/>
      <c r="HM280" s="567"/>
      <c r="HN280" s="567"/>
      <c r="HO280" s="567"/>
      <c r="HP280" s="567"/>
      <c r="HQ280" s="567"/>
      <c r="HR280" s="567"/>
      <c r="HS280" s="567"/>
      <c r="HT280" s="567"/>
      <c r="HU280" s="567"/>
      <c r="HV280" s="567"/>
      <c r="HW280" s="567"/>
      <c r="HX280" s="587"/>
      <c r="HY280" s="587"/>
      <c r="HZ280" s="587"/>
      <c r="IA280" s="587"/>
      <c r="IB280" s="587"/>
      <c r="IC280" s="587"/>
      <c r="ID280" s="587"/>
      <c r="IE280" s="587"/>
      <c r="IF280" s="587"/>
      <c r="IG280" s="587"/>
      <c r="IH280" s="588"/>
      <c r="II280" s="589"/>
      <c r="IJ280" s="588"/>
      <c r="IK280" s="589"/>
      <c r="IL280" s="588"/>
      <c r="IM280" s="589"/>
      <c r="IN280" s="588"/>
      <c r="IO280" s="589"/>
      <c r="IP280" s="588"/>
      <c r="IQ280" s="589"/>
      <c r="IR280" s="552" t="s">
        <v>3480</v>
      </c>
      <c r="IS280" s="587" t="s">
        <v>77</v>
      </c>
      <c r="IT280" s="611">
        <v>43907</v>
      </c>
      <c r="IU280" s="518">
        <v>43952</v>
      </c>
      <c r="IV280" s="518">
        <v>44733</v>
      </c>
      <c r="IW280" s="526">
        <f t="shared" si="33"/>
        <v>45</v>
      </c>
      <c r="IX280" s="621">
        <f>HJ280/30.5</f>
        <v>65.063155065842523</v>
      </c>
      <c r="IY280" s="665">
        <v>1984.4262295081969</v>
      </c>
    </row>
    <row r="281" spans="1:260" s="367" customFormat="1" ht="16.5" customHeight="1" x14ac:dyDescent="0.3">
      <c r="A281" s="526" t="s">
        <v>2758</v>
      </c>
      <c r="B281" s="411" t="s">
        <v>3833</v>
      </c>
      <c r="C281" s="595" t="s">
        <v>2292</v>
      </c>
      <c r="D281" s="596">
        <v>5101</v>
      </c>
      <c r="E281" s="597">
        <v>47</v>
      </c>
      <c r="F281" s="597">
        <v>8</v>
      </c>
      <c r="G281" s="597">
        <v>108</v>
      </c>
      <c r="H281" s="598">
        <v>36</v>
      </c>
      <c r="I281" s="855">
        <v>5156</v>
      </c>
      <c r="J281" s="597">
        <v>108</v>
      </c>
      <c r="K281" s="827">
        <v>36</v>
      </c>
      <c r="L281" s="597">
        <v>5156</v>
      </c>
      <c r="M281" s="597">
        <v>108</v>
      </c>
      <c r="N281" s="827">
        <v>36</v>
      </c>
      <c r="O281" s="597">
        <v>5156</v>
      </c>
      <c r="P281" s="597">
        <v>108</v>
      </c>
      <c r="Q281" s="827">
        <v>36</v>
      </c>
      <c r="R281" s="597">
        <v>5156</v>
      </c>
      <c r="S281" s="597">
        <v>108</v>
      </c>
      <c r="T281" s="827">
        <v>36</v>
      </c>
      <c r="U281" s="597">
        <v>5156</v>
      </c>
      <c r="V281" s="597">
        <v>108</v>
      </c>
      <c r="W281" s="827">
        <v>36</v>
      </c>
      <c r="X281" s="597">
        <v>5156</v>
      </c>
      <c r="Y281" s="597">
        <v>108</v>
      </c>
      <c r="Z281" s="827">
        <v>36</v>
      </c>
      <c r="AA281" s="597">
        <v>5156</v>
      </c>
      <c r="AB281" s="597">
        <v>108</v>
      </c>
      <c r="AC281" s="827">
        <v>36</v>
      </c>
      <c r="AD281" s="597">
        <v>5156</v>
      </c>
      <c r="AE281" s="597">
        <v>108</v>
      </c>
      <c r="AF281" s="827">
        <v>36</v>
      </c>
      <c r="AG281" s="597">
        <v>5156</v>
      </c>
      <c r="AH281" s="597">
        <v>108</v>
      </c>
      <c r="AI281" s="827">
        <v>36</v>
      </c>
      <c r="AJ281" s="597">
        <v>5156</v>
      </c>
      <c r="AK281" s="597">
        <v>108</v>
      </c>
      <c r="AL281" s="827">
        <v>36</v>
      </c>
      <c r="AM281" s="597">
        <v>5156</v>
      </c>
      <c r="AN281" s="597">
        <v>108</v>
      </c>
      <c r="AO281" s="827">
        <v>36</v>
      </c>
      <c r="AP281" s="597">
        <v>5156</v>
      </c>
      <c r="AQ281" s="597">
        <v>108</v>
      </c>
      <c r="AR281" s="827">
        <v>36</v>
      </c>
      <c r="AS281" s="597">
        <v>5156</v>
      </c>
      <c r="AT281" s="597">
        <v>108</v>
      </c>
      <c r="AU281" s="827">
        <v>36</v>
      </c>
      <c r="AV281" s="597">
        <v>5156</v>
      </c>
      <c r="AW281" s="597">
        <v>108</v>
      </c>
      <c r="AX281" s="827">
        <v>36</v>
      </c>
      <c r="AY281" s="597">
        <v>5156</v>
      </c>
      <c r="AZ281" s="597">
        <v>108</v>
      </c>
      <c r="BA281" s="405">
        <v>36</v>
      </c>
      <c r="BB281" s="647">
        <v>5156</v>
      </c>
      <c r="BC281" s="647">
        <v>108</v>
      </c>
      <c r="BD281" s="405">
        <v>36</v>
      </c>
      <c r="BE281" s="647">
        <v>5156</v>
      </c>
      <c r="BF281" s="647">
        <v>108</v>
      </c>
      <c r="BG281" s="405">
        <v>36</v>
      </c>
      <c r="BH281" s="647">
        <v>5156</v>
      </c>
      <c r="BI281" s="647">
        <v>108</v>
      </c>
      <c r="BJ281" s="655">
        <v>36</v>
      </c>
      <c r="BK281" s="647">
        <v>5156</v>
      </c>
      <c r="BL281" s="647">
        <v>108</v>
      </c>
      <c r="BM281" s="655">
        <v>36</v>
      </c>
      <c r="BN281" s="647">
        <v>5156</v>
      </c>
      <c r="BO281" s="647">
        <v>108</v>
      </c>
      <c r="BP281" s="655">
        <v>36</v>
      </c>
      <c r="BQ281" s="647">
        <v>5156</v>
      </c>
      <c r="BR281" s="647">
        <v>108</v>
      </c>
      <c r="BS281" s="655">
        <v>36</v>
      </c>
      <c r="BT281" s="647">
        <v>5156</v>
      </c>
      <c r="BU281" s="647">
        <v>108</v>
      </c>
      <c r="BV281" s="655">
        <v>36</v>
      </c>
      <c r="BW281" s="647">
        <v>5156</v>
      </c>
      <c r="BX281" s="647">
        <v>108</v>
      </c>
      <c r="BY281" s="655">
        <v>36</v>
      </c>
      <c r="BZ281" s="647">
        <v>5156</v>
      </c>
      <c r="CA281" s="647">
        <v>108</v>
      </c>
      <c r="CB281" s="655">
        <v>36</v>
      </c>
      <c r="CC281" s="647">
        <v>5156</v>
      </c>
      <c r="CD281" s="647">
        <v>108</v>
      </c>
      <c r="CE281" s="655">
        <v>36</v>
      </c>
      <c r="CF281" s="647">
        <v>5156</v>
      </c>
      <c r="CG281" s="647">
        <v>108</v>
      </c>
      <c r="CH281" s="655">
        <v>36</v>
      </c>
      <c r="CI281" s="647">
        <v>5156</v>
      </c>
      <c r="CJ281" s="647">
        <v>108</v>
      </c>
      <c r="CK281" s="655">
        <v>36</v>
      </c>
      <c r="CL281" s="647">
        <v>5156</v>
      </c>
      <c r="CM281" s="647">
        <v>108</v>
      </c>
      <c r="CN281" s="655">
        <v>36</v>
      </c>
      <c r="CO281" s="647">
        <v>5156</v>
      </c>
      <c r="CP281" s="647">
        <v>108</v>
      </c>
      <c r="CQ281" s="655">
        <v>36</v>
      </c>
      <c r="CR281" s="647">
        <v>5156</v>
      </c>
      <c r="CS281" s="647">
        <v>108</v>
      </c>
      <c r="CT281" s="655">
        <v>36</v>
      </c>
      <c r="CU281" s="647">
        <v>5156</v>
      </c>
      <c r="CV281" s="647">
        <v>108</v>
      </c>
      <c r="CW281" s="655">
        <v>36</v>
      </c>
      <c r="CX281" s="647">
        <v>5156</v>
      </c>
      <c r="CY281" s="647">
        <v>108</v>
      </c>
      <c r="CZ281" s="655">
        <v>36</v>
      </c>
      <c r="DA281" s="647">
        <v>5156</v>
      </c>
      <c r="DB281" s="647">
        <v>108</v>
      </c>
      <c r="DC281" s="655">
        <v>36</v>
      </c>
      <c r="DD281" s="647">
        <v>5156</v>
      </c>
      <c r="DE281" s="647">
        <v>108</v>
      </c>
      <c r="DF281" s="655">
        <v>36</v>
      </c>
      <c r="DG281" s="647">
        <v>5156</v>
      </c>
      <c r="DH281" s="647">
        <v>108</v>
      </c>
      <c r="DI281" s="655">
        <v>36</v>
      </c>
      <c r="DJ281" s="647">
        <v>5156</v>
      </c>
      <c r="DK281" s="647">
        <v>108</v>
      </c>
      <c r="DL281" s="655">
        <v>36</v>
      </c>
      <c r="DM281" s="647">
        <v>5156</v>
      </c>
      <c r="DN281" s="647">
        <v>108</v>
      </c>
      <c r="DO281" s="655">
        <v>36</v>
      </c>
      <c r="DP281" s="647">
        <v>5156</v>
      </c>
      <c r="DQ281" s="647">
        <v>108</v>
      </c>
      <c r="DR281" s="655">
        <v>36</v>
      </c>
      <c r="DS281" s="647">
        <v>5156</v>
      </c>
      <c r="DT281" s="647">
        <v>108</v>
      </c>
      <c r="DU281" s="655">
        <v>36</v>
      </c>
      <c r="DV281" s="647">
        <v>5156</v>
      </c>
      <c r="DW281" s="647">
        <v>108</v>
      </c>
      <c r="DX281" s="655">
        <v>36</v>
      </c>
      <c r="DY281" s="647">
        <v>5156</v>
      </c>
      <c r="DZ281" s="647">
        <v>108</v>
      </c>
      <c r="EA281" s="655">
        <v>36</v>
      </c>
      <c r="EB281" s="647">
        <v>5156</v>
      </c>
      <c r="EC281" s="647">
        <v>108</v>
      </c>
      <c r="ED281" s="655">
        <v>36</v>
      </c>
      <c r="EE281" s="647">
        <v>5156</v>
      </c>
      <c r="EF281" s="647">
        <v>108</v>
      </c>
      <c r="EG281" s="655">
        <v>36</v>
      </c>
      <c r="EH281" s="648">
        <f>(((5156/30.5)*11)-((1345/30.5)*11)+5156)</f>
        <v>6530.4590163934427</v>
      </c>
      <c r="EI281" s="648">
        <f>(((108/30.5)*11)+108)</f>
        <v>146.95081967213116</v>
      </c>
      <c r="EJ281" s="517">
        <v>36</v>
      </c>
      <c r="EK281" s="421">
        <v>1345</v>
      </c>
      <c r="EL281" s="421"/>
      <c r="EM281" s="655">
        <v>36</v>
      </c>
      <c r="EN281" s="421">
        <v>1345</v>
      </c>
      <c r="EO281" s="421"/>
      <c r="EP281" s="655">
        <v>36</v>
      </c>
      <c r="EQ281" s="421">
        <v>1345</v>
      </c>
      <c r="ER281" s="421"/>
      <c r="ES281" s="655">
        <v>36</v>
      </c>
      <c r="ET281" s="421">
        <v>1345</v>
      </c>
      <c r="EU281" s="421"/>
      <c r="EV281" s="655">
        <v>36</v>
      </c>
      <c r="EW281" s="421">
        <v>1345</v>
      </c>
      <c r="EX281" s="421"/>
      <c r="EY281" s="655">
        <v>36</v>
      </c>
      <c r="EZ281" s="421">
        <v>1345</v>
      </c>
      <c r="FA281" s="421"/>
      <c r="FB281" s="655">
        <v>36</v>
      </c>
      <c r="FC281" s="421">
        <v>1345</v>
      </c>
      <c r="FD281" s="421"/>
      <c r="FE281" s="655">
        <v>36</v>
      </c>
      <c r="FF281" s="421">
        <v>1345</v>
      </c>
      <c r="FG281" s="421"/>
      <c r="FH281" s="655">
        <v>36</v>
      </c>
      <c r="FI281" s="421">
        <v>1345</v>
      </c>
      <c r="FJ281" s="421"/>
      <c r="FK281" s="655">
        <v>36</v>
      </c>
      <c r="FL281" s="421">
        <v>1345</v>
      </c>
      <c r="FM281" s="421"/>
      <c r="FN281" s="655">
        <v>36</v>
      </c>
      <c r="FO281" s="421">
        <v>1345</v>
      </c>
      <c r="FP281" s="421"/>
      <c r="FQ281" s="655">
        <v>36</v>
      </c>
      <c r="FR281" s="421">
        <v>1345</v>
      </c>
      <c r="FS281" s="421"/>
      <c r="FT281" s="655">
        <v>36</v>
      </c>
      <c r="FU281" s="422">
        <v>1345</v>
      </c>
      <c r="FV281" s="422"/>
      <c r="FW281" s="517">
        <v>36</v>
      </c>
      <c r="FX281" s="421">
        <v>1345</v>
      </c>
      <c r="FY281" s="421"/>
      <c r="FZ281" s="690"/>
      <c r="GA281" s="421">
        <v>1345</v>
      </c>
      <c r="GB281" s="421"/>
      <c r="GC281" s="690"/>
      <c r="GD281" s="421">
        <v>1345</v>
      </c>
      <c r="GE281" s="421"/>
      <c r="GF281" s="690"/>
      <c r="GG281" s="421">
        <v>1345</v>
      </c>
      <c r="GH281" s="421"/>
      <c r="GI281" s="690"/>
      <c r="GJ281" s="421">
        <v>1345</v>
      </c>
      <c r="GK281" s="421"/>
      <c r="GL281" s="690"/>
      <c r="GM281" s="421">
        <v>1345</v>
      </c>
      <c r="GN281" s="421"/>
      <c r="GO281" s="690"/>
      <c r="GP281" s="421">
        <v>1345</v>
      </c>
      <c r="GQ281" s="421"/>
      <c r="GR281" s="690"/>
      <c r="GS281" s="421">
        <v>1345</v>
      </c>
      <c r="GT281" s="421"/>
      <c r="GU281" s="690"/>
      <c r="GV281" s="421">
        <v>1345</v>
      </c>
      <c r="GW281" s="421"/>
      <c r="GX281" s="690"/>
      <c r="GY281" s="421">
        <v>1345</v>
      </c>
      <c r="GZ281" s="421"/>
      <c r="HA281" s="690"/>
      <c r="HB281" s="421">
        <v>1345</v>
      </c>
      <c r="HC281" s="421"/>
      <c r="HD281" s="690"/>
      <c r="HE281" s="421">
        <v>1345</v>
      </c>
      <c r="HF281" s="421"/>
      <c r="HG281" s="690"/>
      <c r="HH281" s="421">
        <v>1345</v>
      </c>
      <c r="HI281" s="690"/>
      <c r="HJ281" s="684">
        <v>1984.4262295081969</v>
      </c>
      <c r="HK281" s="691"/>
      <c r="HL281" s="567"/>
      <c r="HM281" s="567"/>
      <c r="HN281" s="567"/>
      <c r="HO281" s="567"/>
      <c r="HP281" s="567"/>
      <c r="HQ281" s="567"/>
      <c r="HR281" s="567"/>
      <c r="HS281" s="567"/>
      <c r="HT281" s="567"/>
      <c r="HU281" s="567"/>
      <c r="HV281" s="567"/>
      <c r="HW281" s="567"/>
      <c r="HX281" s="587"/>
      <c r="HY281" s="587"/>
      <c r="HZ281" s="587"/>
      <c r="IA281" s="587"/>
      <c r="IB281" s="587"/>
      <c r="IC281" s="587"/>
      <c r="ID281" s="587"/>
      <c r="IE281" s="587"/>
      <c r="IF281" s="587"/>
      <c r="IG281" s="587"/>
      <c r="IH281" s="588"/>
      <c r="II281" s="589"/>
      <c r="IJ281" s="588"/>
      <c r="IK281" s="589"/>
      <c r="IL281" s="588"/>
      <c r="IM281" s="589"/>
      <c r="IN281" s="588"/>
      <c r="IO281" s="589"/>
      <c r="IP281" s="588"/>
      <c r="IQ281" s="589"/>
      <c r="IR281" s="552" t="s">
        <v>2922</v>
      </c>
      <c r="IS281" s="587" t="s">
        <v>77</v>
      </c>
      <c r="IT281" s="611">
        <v>43907</v>
      </c>
      <c r="IU281" s="518">
        <v>43952</v>
      </c>
      <c r="IV281" s="518">
        <v>44732</v>
      </c>
      <c r="IW281" s="526">
        <f t="shared" si="33"/>
        <v>45</v>
      </c>
      <c r="IX281" s="621">
        <f>HJ281/30.5</f>
        <v>65.063155065842523</v>
      </c>
      <c r="IY281" s="665">
        <v>1984.4262295081969</v>
      </c>
    </row>
    <row r="282" spans="1:260" s="367" customFormat="1" ht="16.5" customHeight="1" x14ac:dyDescent="0.3">
      <c r="A282" s="401" t="s">
        <v>3315</v>
      </c>
      <c r="B282" s="402" t="s">
        <v>3315</v>
      </c>
      <c r="C282" s="608" t="s">
        <v>2787</v>
      </c>
      <c r="D282" s="634"/>
      <c r="E282" s="635"/>
      <c r="F282" s="635"/>
      <c r="G282" s="635"/>
      <c r="H282" s="636"/>
      <c r="I282" s="853">
        <v>0</v>
      </c>
      <c r="J282" s="635"/>
      <c r="K282" s="833"/>
      <c r="L282" s="833">
        <v>0</v>
      </c>
      <c r="M282" s="635"/>
      <c r="N282" s="833"/>
      <c r="O282" s="833">
        <v>0</v>
      </c>
      <c r="P282" s="635"/>
      <c r="Q282" s="833"/>
      <c r="R282" s="833">
        <v>0</v>
      </c>
      <c r="S282" s="635"/>
      <c r="T282" s="833"/>
      <c r="U282" s="833">
        <v>0</v>
      </c>
      <c r="V282" s="635"/>
      <c r="W282" s="833"/>
      <c r="X282" s="833">
        <v>0</v>
      </c>
      <c r="Y282" s="635"/>
      <c r="Z282" s="833"/>
      <c r="AA282" s="833">
        <v>0</v>
      </c>
      <c r="AB282" s="635"/>
      <c r="AC282" s="833"/>
      <c r="AD282" s="833">
        <v>0</v>
      </c>
      <c r="AE282" s="635"/>
      <c r="AF282" s="833"/>
      <c r="AG282" s="833">
        <v>0</v>
      </c>
      <c r="AH282" s="635"/>
      <c r="AI282" s="833"/>
      <c r="AJ282" s="833">
        <v>0</v>
      </c>
      <c r="AK282" s="635"/>
      <c r="AL282" s="833"/>
      <c r="AM282" s="833">
        <v>0</v>
      </c>
      <c r="AN282" s="635"/>
      <c r="AO282" s="833"/>
      <c r="AP282" s="635">
        <v>302</v>
      </c>
      <c r="AQ282" s="635"/>
      <c r="AR282" s="833"/>
      <c r="AS282" s="909">
        <f>((302-254)/30.5)*31+302</f>
        <v>350.78688524590166</v>
      </c>
      <c r="AT282" s="597"/>
      <c r="AU282" s="827"/>
      <c r="AV282" s="597">
        <v>254</v>
      </c>
      <c r="AW282" s="597"/>
      <c r="AX282" s="827"/>
      <c r="AY282" s="597">
        <v>254</v>
      </c>
      <c r="AZ282" s="597"/>
      <c r="BA282" s="405"/>
      <c r="BB282" s="421">
        <v>254</v>
      </c>
      <c r="BC282" s="421"/>
      <c r="BD282" s="405"/>
      <c r="BE282" s="421">
        <v>254</v>
      </c>
      <c r="BF282" s="421"/>
      <c r="BG282" s="405"/>
      <c r="BH282" s="421">
        <v>254</v>
      </c>
      <c r="BI282" s="421"/>
      <c r="BJ282" s="690"/>
      <c r="BK282" s="421">
        <v>254</v>
      </c>
      <c r="BL282" s="421"/>
      <c r="BM282" s="690"/>
      <c r="BN282" s="421">
        <v>254</v>
      </c>
      <c r="BO282" s="421"/>
      <c r="BP282" s="690"/>
      <c r="BQ282" s="421">
        <v>254</v>
      </c>
      <c r="BR282" s="421"/>
      <c r="BS282" s="690"/>
      <c r="BT282" s="421">
        <v>254</v>
      </c>
      <c r="BU282" s="421"/>
      <c r="BV282" s="690"/>
      <c r="BW282" s="421">
        <v>254</v>
      </c>
      <c r="BX282" s="421"/>
      <c r="BY282" s="690"/>
      <c r="BZ282" s="421">
        <v>254</v>
      </c>
      <c r="CA282" s="421"/>
      <c r="CB282" s="690"/>
      <c r="CC282" s="421">
        <v>254</v>
      </c>
      <c r="CD282" s="421"/>
      <c r="CE282" s="690"/>
      <c r="CF282" s="421">
        <v>254</v>
      </c>
      <c r="CG282" s="421"/>
      <c r="CH282" s="690"/>
      <c r="CI282" s="421">
        <v>254</v>
      </c>
      <c r="CJ282" s="421"/>
      <c r="CK282" s="690"/>
      <c r="CL282" s="421">
        <v>254</v>
      </c>
      <c r="CM282" s="421"/>
      <c r="CN282" s="690"/>
      <c r="CO282" s="421">
        <v>254</v>
      </c>
      <c r="CP282" s="421"/>
      <c r="CQ282" s="690"/>
      <c r="CR282" s="421">
        <v>254</v>
      </c>
      <c r="CS282" s="421"/>
      <c r="CT282" s="690"/>
      <c r="CU282" s="421">
        <v>254</v>
      </c>
      <c r="CV282" s="421"/>
      <c r="CW282" s="690"/>
      <c r="CX282" s="421">
        <v>254</v>
      </c>
      <c r="CY282" s="421"/>
      <c r="CZ282" s="690"/>
      <c r="DA282" s="421">
        <v>254</v>
      </c>
      <c r="DB282" s="421"/>
      <c r="DC282" s="690"/>
      <c r="DD282" s="421">
        <v>254</v>
      </c>
      <c r="DE282" s="421"/>
      <c r="DF282" s="690"/>
      <c r="DG282" s="421">
        <v>254</v>
      </c>
      <c r="DH282" s="421"/>
      <c r="DI282" s="690"/>
      <c r="DJ282" s="421">
        <v>254</v>
      </c>
      <c r="DK282" s="421"/>
      <c r="DL282" s="690"/>
      <c r="DM282" s="421">
        <v>254</v>
      </c>
      <c r="DN282" s="421"/>
      <c r="DO282" s="690"/>
      <c r="DP282" s="421">
        <v>254</v>
      </c>
      <c r="DQ282" s="421"/>
      <c r="DR282" s="690"/>
      <c r="DS282" s="422">
        <f>((254-374)/30.5)*21+254</f>
        <v>171.37704918032787</v>
      </c>
      <c r="DT282" s="422"/>
      <c r="DU282" s="691"/>
      <c r="DV282" s="421">
        <v>374</v>
      </c>
      <c r="DW282" s="421"/>
      <c r="DX282" s="690"/>
      <c r="DY282" s="421">
        <v>374</v>
      </c>
      <c r="DZ282" s="421"/>
      <c r="EA282" s="690"/>
      <c r="EB282" s="421">
        <v>374</v>
      </c>
      <c r="EC282" s="421"/>
      <c r="ED282" s="690"/>
      <c r="EE282" s="421">
        <v>374</v>
      </c>
      <c r="EF282" s="421"/>
      <c r="EG282" s="690"/>
      <c r="EH282" s="421">
        <v>374</v>
      </c>
      <c r="EI282" s="421"/>
      <c r="EJ282" s="690"/>
      <c r="EK282" s="421">
        <v>374</v>
      </c>
      <c r="EL282" s="421"/>
      <c r="EM282" s="690"/>
      <c r="EN282" s="421">
        <v>374</v>
      </c>
      <c r="EO282" s="421"/>
      <c r="EP282" s="690"/>
      <c r="EQ282" s="421">
        <v>374</v>
      </c>
      <c r="ER282" s="421"/>
      <c r="ES282" s="690"/>
      <c r="ET282" s="421">
        <v>374</v>
      </c>
      <c r="EU282" s="421"/>
      <c r="EV282" s="690"/>
      <c r="EW282" s="421">
        <v>374</v>
      </c>
      <c r="EX282" s="421"/>
      <c r="EY282" s="690"/>
      <c r="EZ282" s="421">
        <v>374</v>
      </c>
      <c r="FA282" s="421"/>
      <c r="FB282" s="690"/>
      <c r="FC282" s="421">
        <v>374</v>
      </c>
      <c r="FD282" s="421"/>
      <c r="FE282" s="690"/>
      <c r="FF282" s="421">
        <v>374</v>
      </c>
      <c r="FG282" s="421"/>
      <c r="FH282" s="690"/>
      <c r="FI282" s="421">
        <v>374</v>
      </c>
      <c r="FJ282" s="421"/>
      <c r="FK282" s="690"/>
      <c r="FL282" s="421">
        <v>374</v>
      </c>
      <c r="FM282" s="421"/>
      <c r="FN282" s="690"/>
      <c r="FO282" s="421">
        <v>374</v>
      </c>
      <c r="FP282" s="421"/>
      <c r="FQ282" s="690"/>
      <c r="FR282" s="421">
        <v>374</v>
      </c>
      <c r="FS282" s="421"/>
      <c r="FT282" s="690"/>
      <c r="FU282" s="421">
        <v>374</v>
      </c>
      <c r="FV282" s="421"/>
      <c r="FW282" s="690"/>
      <c r="FX282" s="421">
        <v>374</v>
      </c>
      <c r="FY282" s="421"/>
      <c r="FZ282" s="690"/>
      <c r="GA282" s="421">
        <v>374</v>
      </c>
      <c r="GB282" s="421"/>
      <c r="GC282" s="690"/>
      <c r="GD282" s="421">
        <v>374</v>
      </c>
      <c r="GE282" s="421"/>
      <c r="GF282" s="690"/>
      <c r="GG282" s="421">
        <v>374</v>
      </c>
      <c r="GH282" s="421"/>
      <c r="GI282" s="690"/>
      <c r="GJ282" s="421">
        <v>374</v>
      </c>
      <c r="GK282" s="421"/>
      <c r="GL282" s="690"/>
      <c r="GM282" s="421">
        <v>374</v>
      </c>
      <c r="GN282" s="421"/>
      <c r="GO282" s="690"/>
      <c r="GP282" s="421">
        <v>374</v>
      </c>
      <c r="GQ282" s="421"/>
      <c r="GR282" s="690"/>
      <c r="GS282" s="421">
        <v>374</v>
      </c>
      <c r="GT282" s="421"/>
      <c r="GU282" s="690"/>
      <c r="GV282" s="421">
        <v>374</v>
      </c>
      <c r="GW282" s="421"/>
      <c r="GX282" s="690"/>
      <c r="GY282" s="421">
        <v>374</v>
      </c>
      <c r="GZ282" s="421"/>
      <c r="HA282" s="690"/>
      <c r="HB282" s="421">
        <v>374</v>
      </c>
      <c r="HC282" s="421"/>
      <c r="HD282" s="690"/>
      <c r="HE282" s="421">
        <v>374</v>
      </c>
      <c r="HF282" s="421"/>
      <c r="HG282" s="690"/>
      <c r="HH282" s="421">
        <v>374</v>
      </c>
      <c r="HI282" s="690"/>
      <c r="HJ282" s="422">
        <v>551.80327868852464</v>
      </c>
      <c r="HK282" s="691"/>
      <c r="HL282" s="567"/>
      <c r="HM282" s="567"/>
      <c r="HN282" s="567"/>
      <c r="HO282" s="567"/>
      <c r="HP282" s="567"/>
      <c r="HQ282" s="567"/>
      <c r="HR282" s="567"/>
      <c r="HS282" s="567"/>
      <c r="HT282" s="567"/>
      <c r="HU282" s="567"/>
      <c r="HV282" s="567"/>
      <c r="HW282" s="567"/>
      <c r="HX282" s="587"/>
      <c r="HY282" s="587"/>
      <c r="HZ282" s="587"/>
      <c r="IA282" s="587"/>
      <c r="IB282" s="587"/>
      <c r="IC282" s="587"/>
      <c r="ID282" s="587"/>
      <c r="IE282" s="587"/>
      <c r="IF282" s="587"/>
      <c r="IG282" s="587"/>
      <c r="IH282" s="588"/>
      <c r="II282" s="589"/>
      <c r="IJ282" s="588"/>
      <c r="IK282" s="589"/>
      <c r="IL282" s="588"/>
      <c r="IM282" s="589"/>
      <c r="IN282" s="588"/>
      <c r="IO282" s="589"/>
      <c r="IP282" s="588"/>
      <c r="IQ282" s="589"/>
      <c r="IR282" s="552" t="s">
        <v>3481</v>
      </c>
      <c r="IS282" s="587" t="s">
        <v>77</v>
      </c>
      <c r="IT282" s="611">
        <v>43907</v>
      </c>
      <c r="IU282" s="518">
        <v>43952</v>
      </c>
      <c r="IV282" s="552"/>
      <c r="IW282" s="526">
        <f t="shared" si="33"/>
        <v>45</v>
      </c>
      <c r="IX282" s="621">
        <f>HJ282/30.5</f>
        <v>18.09191077667294</v>
      </c>
      <c r="IY282" s="665">
        <v>551.80327868852464</v>
      </c>
    </row>
    <row r="283" spans="1:260" s="367" customFormat="1" ht="16.5" customHeight="1" x14ac:dyDescent="0.3">
      <c r="A283" s="526" t="s">
        <v>2735</v>
      </c>
      <c r="B283" s="603" t="s">
        <v>2748</v>
      </c>
      <c r="C283" s="604" t="s">
        <v>484</v>
      </c>
      <c r="D283" s="605">
        <v>2384</v>
      </c>
      <c r="E283" s="606">
        <v>44.4</v>
      </c>
      <c r="F283" s="606">
        <v>32</v>
      </c>
      <c r="G283" s="606">
        <v>4.5</v>
      </c>
      <c r="H283" s="607">
        <v>0</v>
      </c>
      <c r="I283" s="844">
        <v>2460</v>
      </c>
      <c r="J283" s="606">
        <v>5</v>
      </c>
      <c r="K283" s="827"/>
      <c r="L283" s="606">
        <v>2460</v>
      </c>
      <c r="M283" s="606">
        <v>5</v>
      </c>
      <c r="N283" s="827"/>
      <c r="O283" s="606">
        <v>2460</v>
      </c>
      <c r="P283" s="606">
        <v>5</v>
      </c>
      <c r="Q283" s="827"/>
      <c r="R283" s="606">
        <v>2460</v>
      </c>
      <c r="S283" s="606">
        <v>5</v>
      </c>
      <c r="T283" s="827"/>
      <c r="U283" s="606">
        <v>2460</v>
      </c>
      <c r="V283" s="606">
        <v>5</v>
      </c>
      <c r="W283" s="827"/>
      <c r="X283" s="606">
        <v>2460</v>
      </c>
      <c r="Y283" s="606">
        <v>5</v>
      </c>
      <c r="Z283" s="827"/>
      <c r="AA283" s="606">
        <v>2460</v>
      </c>
      <c r="AB283" s="606">
        <v>5</v>
      </c>
      <c r="AC283" s="827"/>
      <c r="AD283" s="606">
        <v>2460</v>
      </c>
      <c r="AE283" s="606">
        <v>5</v>
      </c>
      <c r="AF283" s="827"/>
      <c r="AG283" s="606">
        <v>2460</v>
      </c>
      <c r="AH283" s="606">
        <v>5</v>
      </c>
      <c r="AI283" s="827"/>
      <c r="AJ283" s="606">
        <v>2460</v>
      </c>
      <c r="AK283" s="606">
        <v>5</v>
      </c>
      <c r="AL283" s="827"/>
      <c r="AM283" s="606">
        <v>2460</v>
      </c>
      <c r="AN283" s="606">
        <v>5</v>
      </c>
      <c r="AO283" s="827"/>
      <c r="AP283" s="606">
        <v>2460</v>
      </c>
      <c r="AQ283" s="606">
        <v>5</v>
      </c>
      <c r="AR283" s="827"/>
      <c r="AS283" s="606">
        <v>2460</v>
      </c>
      <c r="AT283" s="606">
        <v>5</v>
      </c>
      <c r="AU283" s="827"/>
      <c r="AV283" s="606">
        <v>2460</v>
      </c>
      <c r="AW283" s="606">
        <v>5</v>
      </c>
      <c r="AX283" s="827"/>
      <c r="AY283" s="606">
        <v>2460</v>
      </c>
      <c r="AZ283" s="606">
        <v>5</v>
      </c>
      <c r="BA283" s="405"/>
      <c r="BB283" s="433">
        <v>2460</v>
      </c>
      <c r="BC283" s="433">
        <v>5</v>
      </c>
      <c r="BD283" s="405"/>
      <c r="BE283" s="433">
        <v>2460</v>
      </c>
      <c r="BF283" s="433">
        <v>5</v>
      </c>
      <c r="BG283" s="405"/>
      <c r="BH283" s="433">
        <v>2460</v>
      </c>
      <c r="BI283" s="433">
        <v>5</v>
      </c>
      <c r="BJ283" s="587"/>
      <c r="BK283" s="422">
        <f>((2460-2064)/30.5*30)+2460</f>
        <v>2849.5081967213114</v>
      </c>
      <c r="BL283" s="422">
        <v>5</v>
      </c>
      <c r="BM283" s="691"/>
      <c r="BN283" s="421">
        <v>2064</v>
      </c>
      <c r="BO283" s="421">
        <f>5</f>
        <v>5</v>
      </c>
      <c r="BP283" s="690"/>
      <c r="BQ283" s="421">
        <v>2064</v>
      </c>
      <c r="BR283" s="421">
        <f>5</f>
        <v>5</v>
      </c>
      <c r="BS283" s="690"/>
      <c r="BT283" s="421">
        <v>2064</v>
      </c>
      <c r="BU283" s="421">
        <f>5</f>
        <v>5</v>
      </c>
      <c r="BV283" s="690"/>
      <c r="BW283" s="421">
        <v>2064</v>
      </c>
      <c r="BX283" s="421">
        <f>5</f>
        <v>5</v>
      </c>
      <c r="BY283" s="690"/>
      <c r="BZ283" s="421">
        <v>2064</v>
      </c>
      <c r="CA283" s="421">
        <f>5</f>
        <v>5</v>
      </c>
      <c r="CB283" s="690"/>
      <c r="CC283" s="421">
        <v>2064</v>
      </c>
      <c r="CD283" s="421">
        <f>5</f>
        <v>5</v>
      </c>
      <c r="CE283" s="690"/>
      <c r="CF283" s="421">
        <v>2064</v>
      </c>
      <c r="CG283" s="421">
        <f>5</f>
        <v>5</v>
      </c>
      <c r="CH283" s="690"/>
      <c r="CI283" s="421">
        <v>2064</v>
      </c>
      <c r="CJ283" s="421">
        <f>5</f>
        <v>5</v>
      </c>
      <c r="CK283" s="690"/>
      <c r="CL283" s="421">
        <v>2064</v>
      </c>
      <c r="CM283" s="421">
        <f>5</f>
        <v>5</v>
      </c>
      <c r="CN283" s="690"/>
      <c r="CO283" s="421">
        <v>2064</v>
      </c>
      <c r="CP283" s="421">
        <f>5</f>
        <v>5</v>
      </c>
      <c r="CQ283" s="690"/>
      <c r="CR283" s="421">
        <v>2064</v>
      </c>
      <c r="CS283" s="421">
        <f>5</f>
        <v>5</v>
      </c>
      <c r="CT283" s="690"/>
      <c r="CU283" s="421">
        <v>2064</v>
      </c>
      <c r="CV283" s="421">
        <f>5</f>
        <v>5</v>
      </c>
      <c r="CW283" s="690"/>
      <c r="CX283" s="421">
        <v>2064</v>
      </c>
      <c r="CY283" s="421">
        <f>5</f>
        <v>5</v>
      </c>
      <c r="CZ283" s="690"/>
      <c r="DA283" s="421">
        <v>2064</v>
      </c>
      <c r="DB283" s="421">
        <f>5</f>
        <v>5</v>
      </c>
      <c r="DC283" s="690"/>
      <c r="DD283" s="421">
        <v>2064</v>
      </c>
      <c r="DE283" s="421">
        <f>5</f>
        <v>5</v>
      </c>
      <c r="DF283" s="690"/>
      <c r="DG283" s="421">
        <v>2064</v>
      </c>
      <c r="DH283" s="421">
        <f>5</f>
        <v>5</v>
      </c>
      <c r="DI283" s="690"/>
      <c r="DJ283" s="421">
        <v>2064</v>
      </c>
      <c r="DK283" s="421">
        <f>5</f>
        <v>5</v>
      </c>
      <c r="DL283" s="690"/>
      <c r="DM283" s="421">
        <v>2064</v>
      </c>
      <c r="DN283" s="421">
        <f>5</f>
        <v>5</v>
      </c>
      <c r="DO283" s="690"/>
      <c r="DP283" s="421">
        <v>2064</v>
      </c>
      <c r="DQ283" s="421">
        <f>5</f>
        <v>5</v>
      </c>
      <c r="DR283" s="690"/>
      <c r="DS283" s="421">
        <v>2064</v>
      </c>
      <c r="DT283" s="421">
        <f>5</f>
        <v>5</v>
      </c>
      <c r="DU283" s="690"/>
      <c r="DV283" s="421">
        <v>2064</v>
      </c>
      <c r="DW283" s="421">
        <f>5</f>
        <v>5</v>
      </c>
      <c r="DX283" s="690"/>
      <c r="DY283" s="421">
        <v>2064</v>
      </c>
      <c r="DZ283" s="421">
        <f>5</f>
        <v>5</v>
      </c>
      <c r="EA283" s="690"/>
      <c r="EB283" s="421">
        <v>2064</v>
      </c>
      <c r="EC283" s="421">
        <f>5</f>
        <v>5</v>
      </c>
      <c r="ED283" s="690"/>
      <c r="EE283" s="421">
        <v>2064</v>
      </c>
      <c r="EF283" s="421">
        <f>5</f>
        <v>5</v>
      </c>
      <c r="EG283" s="690"/>
      <c r="EH283" s="421">
        <v>2064</v>
      </c>
      <c r="EI283" s="421">
        <f>5</f>
        <v>5</v>
      </c>
      <c r="EJ283" s="690"/>
      <c r="EK283" s="421">
        <v>2064</v>
      </c>
      <c r="EL283" s="421">
        <f>5</f>
        <v>5</v>
      </c>
      <c r="EM283" s="690"/>
      <c r="EN283" s="421">
        <v>2064</v>
      </c>
      <c r="EO283" s="421">
        <f>5</f>
        <v>5</v>
      </c>
      <c r="EP283" s="690"/>
      <c r="EQ283" s="421">
        <v>2064</v>
      </c>
      <c r="ER283" s="421">
        <f>5</f>
        <v>5</v>
      </c>
      <c r="ES283" s="690"/>
      <c r="ET283" s="421">
        <v>2064</v>
      </c>
      <c r="EU283" s="421">
        <f>5</f>
        <v>5</v>
      </c>
      <c r="EV283" s="690"/>
      <c r="EW283" s="421">
        <v>2064</v>
      </c>
      <c r="EX283" s="421">
        <f>5</f>
        <v>5</v>
      </c>
      <c r="EY283" s="690"/>
      <c r="EZ283" s="421">
        <v>2064</v>
      </c>
      <c r="FA283" s="421">
        <f>5</f>
        <v>5</v>
      </c>
      <c r="FB283" s="690"/>
      <c r="FC283" s="421">
        <v>2064</v>
      </c>
      <c r="FD283" s="421">
        <f>5</f>
        <v>5</v>
      </c>
      <c r="FE283" s="690"/>
      <c r="FF283" s="421">
        <v>2064</v>
      </c>
      <c r="FG283" s="421">
        <f>5</f>
        <v>5</v>
      </c>
      <c r="FH283" s="690"/>
      <c r="FI283" s="421">
        <v>2064</v>
      </c>
      <c r="FJ283" s="421">
        <f>5</f>
        <v>5</v>
      </c>
      <c r="FK283" s="690"/>
      <c r="FL283" s="421">
        <v>2064</v>
      </c>
      <c r="FM283" s="421">
        <f>5</f>
        <v>5</v>
      </c>
      <c r="FN283" s="690"/>
      <c r="FO283" s="421">
        <v>2064</v>
      </c>
      <c r="FP283" s="421">
        <f>5</f>
        <v>5</v>
      </c>
      <c r="FQ283" s="690"/>
      <c r="FR283" s="421">
        <v>2064</v>
      </c>
      <c r="FS283" s="421">
        <f>5</f>
        <v>5</v>
      </c>
      <c r="FT283" s="690"/>
      <c r="FU283" s="421">
        <v>2064</v>
      </c>
      <c r="FV283" s="421">
        <f>5</f>
        <v>5</v>
      </c>
      <c r="FW283" s="690"/>
      <c r="FX283" s="421">
        <v>2064</v>
      </c>
      <c r="FY283" s="421">
        <f>5</f>
        <v>5</v>
      </c>
      <c r="FZ283" s="690"/>
      <c r="GA283" s="421">
        <v>2064</v>
      </c>
      <c r="GB283" s="421">
        <f>5</f>
        <v>5</v>
      </c>
      <c r="GC283" s="690"/>
      <c r="GD283" s="421">
        <v>2064</v>
      </c>
      <c r="GE283" s="421">
        <f>5</f>
        <v>5</v>
      </c>
      <c r="GF283" s="690"/>
      <c r="GG283" s="421">
        <v>2064</v>
      </c>
      <c r="GH283" s="421">
        <f>5</f>
        <v>5</v>
      </c>
      <c r="GI283" s="690"/>
      <c r="GJ283" s="421">
        <v>2064</v>
      </c>
      <c r="GK283" s="421">
        <f>5</f>
        <v>5</v>
      </c>
      <c r="GL283" s="690"/>
      <c r="GM283" s="421">
        <v>2064</v>
      </c>
      <c r="GN283" s="421">
        <f>5</f>
        <v>5</v>
      </c>
      <c r="GO283" s="690"/>
      <c r="GP283" s="421">
        <v>2064</v>
      </c>
      <c r="GQ283" s="421">
        <f>5</f>
        <v>5</v>
      </c>
      <c r="GR283" s="690"/>
      <c r="GS283" s="421">
        <v>2064</v>
      </c>
      <c r="GT283" s="421">
        <f>5</f>
        <v>5</v>
      </c>
      <c r="GU283" s="690"/>
      <c r="GV283" s="421">
        <v>2064</v>
      </c>
      <c r="GW283" s="421">
        <f>5</f>
        <v>5</v>
      </c>
      <c r="GX283" s="690"/>
      <c r="GY283" s="421">
        <v>2064</v>
      </c>
      <c r="GZ283" s="421">
        <f>5</f>
        <v>5</v>
      </c>
      <c r="HA283" s="690"/>
      <c r="HB283" s="421">
        <v>2064</v>
      </c>
      <c r="HC283" s="421">
        <f>5</f>
        <v>5</v>
      </c>
      <c r="HD283" s="690"/>
      <c r="HE283" s="421">
        <v>2064</v>
      </c>
      <c r="HF283" s="422">
        <f>(5/30.5)*78</f>
        <v>12.786885245901638</v>
      </c>
      <c r="HG283" s="690"/>
      <c r="HH283" s="422">
        <v>3248.2622950819668</v>
      </c>
      <c r="HI283" s="691"/>
      <c r="HJ283" s="567"/>
      <c r="HK283" s="567"/>
      <c r="HL283" s="567"/>
      <c r="HM283" s="567"/>
      <c r="HN283" s="567"/>
      <c r="HO283" s="567"/>
      <c r="HP283" s="567"/>
      <c r="HQ283" s="567"/>
      <c r="HR283" s="567"/>
      <c r="HS283" s="567"/>
      <c r="HT283" s="567"/>
      <c r="HU283" s="567"/>
      <c r="HV283" s="567"/>
      <c r="HW283" s="567"/>
      <c r="HX283" s="587"/>
      <c r="HY283" s="587"/>
      <c r="HZ283" s="587"/>
      <c r="IA283" s="587"/>
      <c r="IB283" s="587"/>
      <c r="IC283" s="587"/>
      <c r="ID283" s="587"/>
      <c r="IE283" s="587"/>
      <c r="IF283" s="587"/>
      <c r="IG283" s="587"/>
      <c r="IH283" s="588"/>
      <c r="II283" s="589"/>
      <c r="IJ283" s="588"/>
      <c r="IK283" s="589"/>
      <c r="IL283" s="588"/>
      <c r="IM283" s="589"/>
      <c r="IN283" s="588"/>
      <c r="IO283" s="589"/>
      <c r="IP283" s="588"/>
      <c r="IQ283" s="589"/>
      <c r="IR283" s="552" t="s">
        <v>3482</v>
      </c>
      <c r="IS283" s="587" t="s">
        <v>77</v>
      </c>
      <c r="IT283" s="611">
        <v>43935</v>
      </c>
      <c r="IU283" s="518">
        <v>43983</v>
      </c>
      <c r="IV283" s="552"/>
      <c r="IW283" s="526">
        <f t="shared" si="33"/>
        <v>48</v>
      </c>
      <c r="IX283" s="701">
        <f>HH283/30.5</f>
        <v>106.50040311744154</v>
      </c>
      <c r="IY283" s="665">
        <v>3248.2622950819668</v>
      </c>
    </row>
    <row r="284" spans="1:260" s="367" customFormat="1" ht="16.5" customHeight="1" x14ac:dyDescent="0.3">
      <c r="A284" s="526" t="s">
        <v>2735</v>
      </c>
      <c r="B284" s="594" t="s">
        <v>2813</v>
      </c>
      <c r="C284" s="595" t="s">
        <v>831</v>
      </c>
      <c r="D284" s="596">
        <v>1149</v>
      </c>
      <c r="E284" s="597">
        <v>44</v>
      </c>
      <c r="F284" s="597">
        <v>32</v>
      </c>
      <c r="G284" s="597">
        <v>5</v>
      </c>
      <c r="H284" s="598">
        <v>0</v>
      </c>
      <c r="I284" s="855">
        <v>1225</v>
      </c>
      <c r="J284" s="655">
        <f>5</f>
        <v>5</v>
      </c>
      <c r="K284" s="827"/>
      <c r="L284" s="597">
        <v>1225</v>
      </c>
      <c r="M284" s="655">
        <f>5</f>
        <v>5</v>
      </c>
      <c r="N284" s="827"/>
      <c r="O284" s="597">
        <v>1225</v>
      </c>
      <c r="P284" s="655">
        <f>5</f>
        <v>5</v>
      </c>
      <c r="Q284" s="827"/>
      <c r="R284" s="597">
        <v>1225</v>
      </c>
      <c r="S284" s="655">
        <f>5</f>
        <v>5</v>
      </c>
      <c r="T284" s="827"/>
      <c r="U284" s="597">
        <v>1225</v>
      </c>
      <c r="V284" s="655">
        <f>5</f>
        <v>5</v>
      </c>
      <c r="W284" s="827"/>
      <c r="X284" s="597">
        <v>1225</v>
      </c>
      <c r="Y284" s="655">
        <f>5</f>
        <v>5</v>
      </c>
      <c r="Z284" s="827"/>
      <c r="AA284" s="597">
        <v>1225</v>
      </c>
      <c r="AB284" s="655">
        <f>5</f>
        <v>5</v>
      </c>
      <c r="AC284" s="827"/>
      <c r="AD284" s="597">
        <v>1225</v>
      </c>
      <c r="AE284" s="655">
        <f>5</f>
        <v>5</v>
      </c>
      <c r="AF284" s="827"/>
      <c r="AG284" s="597">
        <v>1225</v>
      </c>
      <c r="AH284" s="655">
        <f>5</f>
        <v>5</v>
      </c>
      <c r="AI284" s="827"/>
      <c r="AJ284" s="597">
        <v>1225</v>
      </c>
      <c r="AK284" s="655">
        <f>5</f>
        <v>5</v>
      </c>
      <c r="AL284" s="827"/>
      <c r="AM284" s="597">
        <v>1225</v>
      </c>
      <c r="AN284" s="655">
        <f>5</f>
        <v>5</v>
      </c>
      <c r="AO284" s="827"/>
      <c r="AP284" s="597">
        <v>1225</v>
      </c>
      <c r="AQ284" s="655">
        <f>5</f>
        <v>5</v>
      </c>
      <c r="AR284" s="827"/>
      <c r="AS284" s="597">
        <v>1225</v>
      </c>
      <c r="AT284" s="655">
        <f>5</f>
        <v>5</v>
      </c>
      <c r="AU284" s="827"/>
      <c r="AV284" s="597">
        <v>1225</v>
      </c>
      <c r="AW284" s="655">
        <f>5</f>
        <v>5</v>
      </c>
      <c r="AX284" s="827"/>
      <c r="AY284" s="597">
        <v>1225</v>
      </c>
      <c r="AZ284" s="655">
        <f>5</f>
        <v>5</v>
      </c>
      <c r="BA284" s="405"/>
      <c r="BB284" s="421">
        <v>1225</v>
      </c>
      <c r="BC284" s="655">
        <f>5</f>
        <v>5</v>
      </c>
      <c r="BD284" s="405"/>
      <c r="BE284" s="421">
        <v>1225</v>
      </c>
      <c r="BF284" s="655">
        <f>5</f>
        <v>5</v>
      </c>
      <c r="BG284" s="405"/>
      <c r="BH284" s="421">
        <v>1225</v>
      </c>
      <c r="BI284" s="655">
        <f>5</f>
        <v>5</v>
      </c>
      <c r="BJ284" s="405"/>
      <c r="BK284" s="421">
        <v>1225</v>
      </c>
      <c r="BL284" s="655">
        <f>5</f>
        <v>5</v>
      </c>
      <c r="BM284" s="405"/>
      <c r="BN284" s="421">
        <v>1225</v>
      </c>
      <c r="BO284" s="655">
        <f>5</f>
        <v>5</v>
      </c>
      <c r="BP284" s="405"/>
      <c r="BQ284" s="421">
        <v>1225</v>
      </c>
      <c r="BR284" s="655">
        <f>5</f>
        <v>5</v>
      </c>
      <c r="BS284" s="405"/>
      <c r="BT284" s="421">
        <v>1225</v>
      </c>
      <c r="BU284" s="655">
        <f>5</f>
        <v>5</v>
      </c>
      <c r="BV284" s="405"/>
      <c r="BW284" s="421">
        <v>1225</v>
      </c>
      <c r="BX284" s="655">
        <f>5</f>
        <v>5</v>
      </c>
      <c r="BY284" s="405"/>
      <c r="BZ284" s="421">
        <v>1225</v>
      </c>
      <c r="CA284" s="655">
        <f>5</f>
        <v>5</v>
      </c>
      <c r="CB284" s="405"/>
      <c r="CC284" s="421">
        <v>1225</v>
      </c>
      <c r="CD284" s="655">
        <f>5</f>
        <v>5</v>
      </c>
      <c r="CE284" s="405"/>
      <c r="CF284" s="421">
        <v>1225</v>
      </c>
      <c r="CG284" s="655">
        <f>5</f>
        <v>5</v>
      </c>
      <c r="CH284" s="405"/>
      <c r="CI284" s="421">
        <v>1225</v>
      </c>
      <c r="CJ284" s="655">
        <f>5</f>
        <v>5</v>
      </c>
      <c r="CK284" s="405"/>
      <c r="CL284" s="421">
        <v>1225</v>
      </c>
      <c r="CM284" s="655">
        <f>5</f>
        <v>5</v>
      </c>
      <c r="CN284" s="405"/>
      <c r="CO284" s="421">
        <v>1225</v>
      </c>
      <c r="CP284" s="655">
        <f>5</f>
        <v>5</v>
      </c>
      <c r="CQ284" s="405"/>
      <c r="CR284" s="421">
        <v>1225</v>
      </c>
      <c r="CS284" s="655">
        <f>5</f>
        <v>5</v>
      </c>
      <c r="CT284" s="405"/>
      <c r="CU284" s="421">
        <v>1225</v>
      </c>
      <c r="CV284" s="655">
        <f>5</f>
        <v>5</v>
      </c>
      <c r="CW284" s="405"/>
      <c r="CX284" s="421">
        <v>1225</v>
      </c>
      <c r="CY284" s="655">
        <f>5</f>
        <v>5</v>
      </c>
      <c r="CZ284" s="405"/>
      <c r="DA284" s="421">
        <v>1225</v>
      </c>
      <c r="DB284" s="655">
        <f>5</f>
        <v>5</v>
      </c>
      <c r="DC284" s="405"/>
      <c r="DD284" s="421">
        <v>1225</v>
      </c>
      <c r="DE284" s="655">
        <f>5</f>
        <v>5</v>
      </c>
      <c r="DF284" s="405"/>
      <c r="DG284" s="421">
        <v>1225</v>
      </c>
      <c r="DH284" s="655">
        <f>5</f>
        <v>5</v>
      </c>
      <c r="DI284" s="405"/>
      <c r="DJ284" s="421">
        <v>1225</v>
      </c>
      <c r="DK284" s="655">
        <f>5</f>
        <v>5</v>
      </c>
      <c r="DL284" s="405"/>
      <c r="DM284" s="421">
        <v>1225</v>
      </c>
      <c r="DN284" s="655">
        <f>5</f>
        <v>5</v>
      </c>
      <c r="DO284" s="405"/>
      <c r="DP284" s="421">
        <v>1225</v>
      </c>
      <c r="DQ284" s="655">
        <f>5</f>
        <v>5</v>
      </c>
      <c r="DR284" s="405"/>
      <c r="DS284" s="421">
        <v>1225</v>
      </c>
      <c r="DT284" s="655">
        <f>5</f>
        <v>5</v>
      </c>
      <c r="DU284" s="405"/>
      <c r="DV284" s="421">
        <v>1225</v>
      </c>
      <c r="DW284" s="655">
        <f>5</f>
        <v>5</v>
      </c>
      <c r="DX284" s="405"/>
      <c r="DY284" s="421">
        <v>1225</v>
      </c>
      <c r="DZ284" s="655">
        <f>5</f>
        <v>5</v>
      </c>
      <c r="EA284" s="405"/>
      <c r="EB284" s="421">
        <v>1225</v>
      </c>
      <c r="EC284" s="655">
        <f>5</f>
        <v>5</v>
      </c>
      <c r="ED284" s="405"/>
      <c r="EE284" s="421">
        <v>1225</v>
      </c>
      <c r="EF284" s="655">
        <f>5</f>
        <v>5</v>
      </c>
      <c r="EG284" s="405"/>
      <c r="EH284" s="421">
        <v>1225</v>
      </c>
      <c r="EI284" s="655">
        <f>5</f>
        <v>5</v>
      </c>
      <c r="EJ284" s="405"/>
      <c r="EK284" s="421">
        <v>1225</v>
      </c>
      <c r="EL284" s="655">
        <f>5</f>
        <v>5</v>
      </c>
      <c r="EM284" s="405"/>
      <c r="EN284" s="421">
        <v>1225</v>
      </c>
      <c r="EO284" s="655">
        <f>5</f>
        <v>5</v>
      </c>
      <c r="EP284" s="405"/>
      <c r="EQ284" s="421">
        <v>1225</v>
      </c>
      <c r="ER284" s="655">
        <f>5</f>
        <v>5</v>
      </c>
      <c r="ES284" s="405"/>
      <c r="ET284" s="421">
        <v>1225</v>
      </c>
      <c r="EU284" s="655">
        <f>5</f>
        <v>5</v>
      </c>
      <c r="EV284" s="405"/>
      <c r="EW284" s="421">
        <v>1225</v>
      </c>
      <c r="EX284" s="655">
        <f>5</f>
        <v>5</v>
      </c>
      <c r="EY284" s="405"/>
      <c r="EZ284" s="421">
        <v>1225</v>
      </c>
      <c r="FA284" s="655">
        <f>5</f>
        <v>5</v>
      </c>
      <c r="FB284" s="405"/>
      <c r="FC284" s="421">
        <v>1225</v>
      </c>
      <c r="FD284" s="655">
        <f>5</f>
        <v>5</v>
      </c>
      <c r="FE284" s="405"/>
      <c r="FF284" s="421">
        <v>1225</v>
      </c>
      <c r="FG284" s="655">
        <f>5</f>
        <v>5</v>
      </c>
      <c r="FH284" s="405"/>
      <c r="FI284" s="421">
        <v>1225</v>
      </c>
      <c r="FJ284" s="655">
        <f>5</f>
        <v>5</v>
      </c>
      <c r="FK284" s="405"/>
      <c r="FL284" s="421">
        <v>1225</v>
      </c>
      <c r="FM284" s="655">
        <f>5</f>
        <v>5</v>
      </c>
      <c r="FN284" s="405"/>
      <c r="FO284" s="421">
        <v>1225</v>
      </c>
      <c r="FP284" s="655">
        <f>5</f>
        <v>5</v>
      </c>
      <c r="FQ284" s="405"/>
      <c r="FR284" s="421">
        <v>1225</v>
      </c>
      <c r="FS284" s="655">
        <f>5</f>
        <v>5</v>
      </c>
      <c r="FT284" s="405"/>
      <c r="FU284" s="421">
        <v>1225</v>
      </c>
      <c r="FV284" s="655">
        <f>5</f>
        <v>5</v>
      </c>
      <c r="FW284" s="405"/>
      <c r="FX284" s="421">
        <v>1225</v>
      </c>
      <c r="FY284" s="655">
        <f>5</f>
        <v>5</v>
      </c>
      <c r="FZ284" s="405"/>
      <c r="GA284" s="421">
        <v>1225</v>
      </c>
      <c r="GB284" s="655">
        <f>5</f>
        <v>5</v>
      </c>
      <c r="GC284" s="405"/>
      <c r="GD284" s="421">
        <v>1225</v>
      </c>
      <c r="GE284" s="655">
        <f>5</f>
        <v>5</v>
      </c>
      <c r="GF284" s="405"/>
      <c r="GG284" s="421">
        <v>1225</v>
      </c>
      <c r="GH284" s="655">
        <f>5</f>
        <v>5</v>
      </c>
      <c r="GI284" s="405"/>
      <c r="GJ284" s="421">
        <v>1225</v>
      </c>
      <c r="GK284" s="655">
        <f>5</f>
        <v>5</v>
      </c>
      <c r="GL284" s="405"/>
      <c r="GM284" s="421">
        <v>1225</v>
      </c>
      <c r="GN284" s="655">
        <f>5</f>
        <v>5</v>
      </c>
      <c r="GO284" s="405"/>
      <c r="GP284" s="421">
        <v>1225</v>
      </c>
      <c r="GQ284" s="655">
        <f>5</f>
        <v>5</v>
      </c>
      <c r="GR284" s="405"/>
      <c r="GS284" s="421">
        <v>1225</v>
      </c>
      <c r="GT284" s="655">
        <f>5</f>
        <v>5</v>
      </c>
      <c r="GU284" s="405"/>
      <c r="GV284" s="422">
        <f>1225+72.46</f>
        <v>1297.46</v>
      </c>
      <c r="GW284" s="517">
        <f>5</f>
        <v>5</v>
      </c>
      <c r="GX284" s="386"/>
      <c r="GY284" s="421">
        <v>1055</v>
      </c>
      <c r="GZ284" s="655">
        <f>5</f>
        <v>5</v>
      </c>
      <c r="HA284" s="567"/>
      <c r="HB284" s="421">
        <v>1055</v>
      </c>
      <c r="HC284" s="655">
        <f>5</f>
        <v>5</v>
      </c>
      <c r="HD284" s="567"/>
      <c r="HE284" s="422">
        <v>5880.3278688524588</v>
      </c>
      <c r="HF284" s="517">
        <f>(5/30.5)*170</f>
        <v>27.868852459016392</v>
      </c>
      <c r="HG284" s="691"/>
      <c r="HH284" s="567"/>
      <c r="HI284" s="567"/>
      <c r="HJ284" s="567"/>
      <c r="HK284" s="567"/>
      <c r="HL284" s="567"/>
      <c r="HM284" s="567"/>
      <c r="HN284" s="567"/>
      <c r="HO284" s="567"/>
      <c r="HP284" s="567"/>
      <c r="HQ284" s="567"/>
      <c r="HR284" s="567"/>
      <c r="HS284" s="567"/>
      <c r="HT284" s="567"/>
      <c r="HU284" s="567"/>
      <c r="HV284" s="567"/>
      <c r="HW284" s="567"/>
      <c r="HX284" s="587"/>
      <c r="HY284" s="587"/>
      <c r="HZ284" s="587"/>
      <c r="IA284" s="587"/>
      <c r="IB284" s="587"/>
      <c r="IC284" s="587"/>
      <c r="ID284" s="587"/>
      <c r="IE284" s="587"/>
      <c r="IF284" s="587"/>
      <c r="IG284" s="587"/>
      <c r="IH284" s="588"/>
      <c r="II284" s="589"/>
      <c r="IJ284" s="588"/>
      <c r="IK284" s="589"/>
      <c r="IL284" s="588"/>
      <c r="IM284" s="589"/>
      <c r="IN284" s="588"/>
      <c r="IO284" s="589"/>
      <c r="IP284" s="588"/>
      <c r="IQ284" s="589"/>
      <c r="IR284" s="601" t="s">
        <v>3483</v>
      </c>
      <c r="IS284" s="587" t="s">
        <v>77</v>
      </c>
      <c r="IT284" s="611">
        <v>43843</v>
      </c>
      <c r="IU284" s="518">
        <v>44013</v>
      </c>
      <c r="IV284" s="515">
        <v>44062</v>
      </c>
      <c r="IW284" s="526">
        <f t="shared" si="33"/>
        <v>170</v>
      </c>
      <c r="IX284" s="701">
        <f>HE284/30.5</f>
        <v>192.79763504434291</v>
      </c>
      <c r="IY284" s="665">
        <v>5880.3278688524588</v>
      </c>
      <c r="IZ284" s="367">
        <v>1225</v>
      </c>
    </row>
    <row r="285" spans="1:260" s="367" customFormat="1" ht="16.5" customHeight="1" x14ac:dyDescent="0.3">
      <c r="A285" s="401" t="s">
        <v>3315</v>
      </c>
      <c r="B285" s="402" t="s">
        <v>3315</v>
      </c>
      <c r="C285" s="608" t="s">
        <v>2773</v>
      </c>
      <c r="D285" s="634"/>
      <c r="E285" s="635"/>
      <c r="F285" s="635"/>
      <c r="G285" s="635"/>
      <c r="H285" s="636"/>
      <c r="I285" s="853">
        <v>0</v>
      </c>
      <c r="J285" s="833">
        <v>0</v>
      </c>
      <c r="K285" s="833">
        <v>0</v>
      </c>
      <c r="L285" s="833">
        <v>0</v>
      </c>
      <c r="M285" s="833">
        <v>0</v>
      </c>
      <c r="N285" s="833">
        <v>0</v>
      </c>
      <c r="O285" s="833">
        <v>0</v>
      </c>
      <c r="P285" s="833">
        <v>0</v>
      </c>
      <c r="Q285" s="833">
        <v>0</v>
      </c>
      <c r="R285" s="833">
        <v>0</v>
      </c>
      <c r="S285" s="833">
        <v>0</v>
      </c>
      <c r="T285" s="833">
        <v>0</v>
      </c>
      <c r="U285" s="833">
        <v>0</v>
      </c>
      <c r="V285" s="833">
        <v>0</v>
      </c>
      <c r="W285" s="833">
        <v>0</v>
      </c>
      <c r="X285" s="833">
        <v>0</v>
      </c>
      <c r="Y285" s="833">
        <v>0</v>
      </c>
      <c r="Z285" s="833">
        <v>0</v>
      </c>
      <c r="AA285" s="833">
        <v>0</v>
      </c>
      <c r="AB285" s="833">
        <v>0</v>
      </c>
      <c r="AC285" s="833">
        <v>0</v>
      </c>
      <c r="AD285" s="833">
        <v>0</v>
      </c>
      <c r="AE285" s="833">
        <v>0</v>
      </c>
      <c r="AF285" s="833">
        <v>0</v>
      </c>
      <c r="AG285" s="833">
        <v>0</v>
      </c>
      <c r="AH285" s="833">
        <v>0</v>
      </c>
      <c r="AI285" s="833">
        <v>0</v>
      </c>
      <c r="AJ285" s="833">
        <v>0</v>
      </c>
      <c r="AK285" s="833">
        <v>0</v>
      </c>
      <c r="AL285" s="833">
        <v>0</v>
      </c>
      <c r="AM285" s="833">
        <v>0</v>
      </c>
      <c r="AN285" s="833">
        <v>0</v>
      </c>
      <c r="AO285" s="833">
        <v>0</v>
      </c>
      <c r="AP285" s="833">
        <v>0</v>
      </c>
      <c r="AQ285" s="833">
        <v>0</v>
      </c>
      <c r="AR285" s="833">
        <v>0</v>
      </c>
      <c r="AS285" s="833">
        <v>0</v>
      </c>
      <c r="AT285" s="833">
        <v>0</v>
      </c>
      <c r="AU285" s="833">
        <v>0</v>
      </c>
      <c r="AV285" s="833"/>
      <c r="AW285" s="833"/>
      <c r="AX285" s="833"/>
      <c r="AY285" s="833"/>
      <c r="AZ285" s="833"/>
      <c r="BA285" s="404"/>
      <c r="BB285" s="404"/>
      <c r="BC285" s="404"/>
      <c r="BD285" s="404"/>
      <c r="BE285" s="404"/>
      <c r="BF285" s="404"/>
      <c r="BG285" s="404"/>
      <c r="BH285" s="404">
        <v>368</v>
      </c>
      <c r="BI285" s="404">
        <v>27</v>
      </c>
      <c r="BJ285" s="652"/>
      <c r="BK285" s="404">
        <v>368</v>
      </c>
      <c r="BL285" s="404">
        <v>27</v>
      </c>
      <c r="BM285" s="652"/>
      <c r="BN285" s="404">
        <v>368</v>
      </c>
      <c r="BO285" s="404">
        <v>27</v>
      </c>
      <c r="BP285" s="652"/>
      <c r="BQ285" s="404">
        <v>368</v>
      </c>
      <c r="BR285" s="404">
        <v>27</v>
      </c>
      <c r="BS285" s="652"/>
      <c r="BT285" s="404">
        <v>368</v>
      </c>
      <c r="BU285" s="404">
        <v>27</v>
      </c>
      <c r="BV285" s="652"/>
      <c r="BW285" s="404">
        <v>368</v>
      </c>
      <c r="BX285" s="404">
        <v>27</v>
      </c>
      <c r="BY285" s="652"/>
      <c r="BZ285" s="404">
        <v>368</v>
      </c>
      <c r="CA285" s="404">
        <v>27</v>
      </c>
      <c r="CB285" s="652"/>
      <c r="CC285" s="404">
        <v>368</v>
      </c>
      <c r="CD285" s="404">
        <v>27</v>
      </c>
      <c r="CE285" s="652"/>
      <c r="CF285" s="404">
        <v>368</v>
      </c>
      <c r="CG285" s="404">
        <v>27</v>
      </c>
      <c r="CH285" s="652"/>
      <c r="CI285" s="404">
        <v>368</v>
      </c>
      <c r="CJ285" s="404">
        <v>27</v>
      </c>
      <c r="CK285" s="652"/>
      <c r="CL285" s="404">
        <v>368</v>
      </c>
      <c r="CM285" s="404">
        <v>27</v>
      </c>
      <c r="CN285" s="652"/>
      <c r="CO285" s="404">
        <v>368</v>
      </c>
      <c r="CP285" s="404">
        <v>27</v>
      </c>
      <c r="CQ285" s="652"/>
      <c r="CR285" s="404">
        <v>368</v>
      </c>
      <c r="CS285" s="404">
        <v>27</v>
      </c>
      <c r="CT285" s="652"/>
      <c r="CU285" s="404">
        <v>368</v>
      </c>
      <c r="CV285" s="404">
        <v>27</v>
      </c>
      <c r="CW285" s="652"/>
      <c r="CX285" s="404">
        <v>368</v>
      </c>
      <c r="CY285" s="404">
        <v>27</v>
      </c>
      <c r="CZ285" s="652"/>
      <c r="DA285" s="404">
        <v>368</v>
      </c>
      <c r="DB285" s="404">
        <v>27</v>
      </c>
      <c r="DC285" s="652"/>
      <c r="DD285" s="404">
        <v>368</v>
      </c>
      <c r="DE285" s="404">
        <v>27</v>
      </c>
      <c r="DF285" s="652"/>
      <c r="DG285" s="404">
        <v>368</v>
      </c>
      <c r="DH285" s="404">
        <v>27</v>
      </c>
      <c r="DI285" s="652"/>
      <c r="DJ285" s="404">
        <v>368</v>
      </c>
      <c r="DK285" s="404">
        <v>27</v>
      </c>
      <c r="DL285" s="652"/>
      <c r="DM285" s="404">
        <v>368</v>
      </c>
      <c r="DN285" s="404">
        <v>27</v>
      </c>
      <c r="DO285" s="652"/>
      <c r="DP285" s="404">
        <v>368</v>
      </c>
      <c r="DQ285" s="404">
        <v>27</v>
      </c>
      <c r="DR285" s="652"/>
      <c r="DS285" s="404">
        <v>368</v>
      </c>
      <c r="DT285" s="404">
        <v>27</v>
      </c>
      <c r="DU285" s="652"/>
      <c r="DV285" s="404">
        <v>368</v>
      </c>
      <c r="DW285" s="404">
        <v>27</v>
      </c>
      <c r="DX285" s="652"/>
      <c r="DY285" s="404">
        <v>368</v>
      </c>
      <c r="DZ285" s="404">
        <v>27</v>
      </c>
      <c r="EA285" s="652"/>
      <c r="EB285" s="404">
        <v>368</v>
      </c>
      <c r="EC285" s="404">
        <v>27</v>
      </c>
      <c r="ED285" s="652"/>
      <c r="EE285" s="404">
        <v>368</v>
      </c>
      <c r="EF285" s="404">
        <v>27</v>
      </c>
      <c r="EG285" s="652"/>
      <c r="EH285" s="404">
        <v>368</v>
      </c>
      <c r="EI285" s="404">
        <v>27</v>
      </c>
      <c r="EJ285" s="652"/>
      <c r="EK285" s="404">
        <v>368</v>
      </c>
      <c r="EL285" s="404">
        <v>27</v>
      </c>
      <c r="EM285" s="652"/>
      <c r="EN285" s="404">
        <v>368</v>
      </c>
      <c r="EO285" s="404">
        <v>27</v>
      </c>
      <c r="EP285" s="652"/>
      <c r="EQ285" s="404">
        <v>368</v>
      </c>
      <c r="ER285" s="404">
        <v>27</v>
      </c>
      <c r="ES285" s="652"/>
      <c r="ET285" s="404">
        <v>368</v>
      </c>
      <c r="EU285" s="404">
        <v>27</v>
      </c>
      <c r="EV285" s="652"/>
      <c r="EW285" s="404">
        <v>368</v>
      </c>
      <c r="EX285" s="404">
        <v>27</v>
      </c>
      <c r="EY285" s="652"/>
      <c r="EZ285" s="404">
        <v>368</v>
      </c>
      <c r="FA285" s="404">
        <v>27</v>
      </c>
      <c r="FB285" s="652"/>
      <c r="FC285" s="404">
        <v>368</v>
      </c>
      <c r="FD285" s="404">
        <v>27</v>
      </c>
      <c r="FE285" s="652"/>
      <c r="FF285" s="404">
        <v>368</v>
      </c>
      <c r="FG285" s="404">
        <v>27</v>
      </c>
      <c r="FH285" s="652"/>
      <c r="FI285" s="404">
        <v>368</v>
      </c>
      <c r="FJ285" s="404">
        <v>27</v>
      </c>
      <c r="FK285" s="652"/>
      <c r="FL285" s="404">
        <v>368</v>
      </c>
      <c r="FM285" s="404">
        <v>27</v>
      </c>
      <c r="FN285" s="652"/>
      <c r="FO285" s="404">
        <v>368</v>
      </c>
      <c r="FP285" s="404">
        <v>27</v>
      </c>
      <c r="FQ285" s="652"/>
      <c r="FR285" s="404">
        <v>368</v>
      </c>
      <c r="FS285" s="404">
        <v>27</v>
      </c>
      <c r="FT285" s="652"/>
      <c r="FU285" s="385">
        <v>368</v>
      </c>
      <c r="FV285" s="385">
        <v>27</v>
      </c>
      <c r="FW285" s="690"/>
      <c r="FX285" s="385">
        <v>368</v>
      </c>
      <c r="FY285" s="385">
        <v>27</v>
      </c>
      <c r="FZ285" s="690"/>
      <c r="GA285" s="385">
        <v>368</v>
      </c>
      <c r="GB285" s="385">
        <v>27</v>
      </c>
      <c r="GC285" s="690"/>
      <c r="GD285" s="386">
        <f>(((368-254)/30.5)*18)+368</f>
        <v>435.27868852459017</v>
      </c>
      <c r="GE285" s="386">
        <f>(((27/30.5)*18)+27)</f>
        <v>42.934426229508198</v>
      </c>
      <c r="GF285" s="691"/>
      <c r="GG285" s="421">
        <v>254</v>
      </c>
      <c r="GH285" s="655">
        <v>0</v>
      </c>
      <c r="GI285" s="567"/>
      <c r="GJ285" s="421">
        <v>254</v>
      </c>
      <c r="GK285" s="655">
        <v>0</v>
      </c>
      <c r="GL285" s="567"/>
      <c r="GM285" s="421">
        <v>254</v>
      </c>
      <c r="GN285" s="655">
        <v>0</v>
      </c>
      <c r="GO285" s="567"/>
      <c r="GP285" s="421">
        <v>254</v>
      </c>
      <c r="GQ285" s="655">
        <v>0</v>
      </c>
      <c r="GR285" s="567"/>
      <c r="GS285" s="421">
        <v>254</v>
      </c>
      <c r="GT285" s="655">
        <v>0</v>
      </c>
      <c r="GU285" s="567"/>
      <c r="GV285" s="421">
        <v>254</v>
      </c>
      <c r="GW285" s="655">
        <v>0</v>
      </c>
      <c r="GX285" s="567"/>
      <c r="GY285" s="421">
        <v>254</v>
      </c>
      <c r="GZ285" s="655">
        <v>0</v>
      </c>
      <c r="HA285" s="567"/>
      <c r="HB285" s="421">
        <v>254</v>
      </c>
      <c r="HC285" s="655">
        <v>0</v>
      </c>
      <c r="HD285" s="567"/>
      <c r="HE285" s="422">
        <v>1274.1639344262294</v>
      </c>
      <c r="HF285" s="517">
        <v>0</v>
      </c>
      <c r="HG285" s="691"/>
      <c r="HH285" s="567"/>
      <c r="HI285" s="567"/>
      <c r="HJ285" s="567"/>
      <c r="HK285" s="567"/>
      <c r="HL285" s="567"/>
      <c r="HM285" s="567"/>
      <c r="HN285" s="567"/>
      <c r="HO285" s="567"/>
      <c r="HP285" s="567"/>
      <c r="HQ285" s="567"/>
      <c r="HR285" s="567"/>
      <c r="HS285" s="567"/>
      <c r="HT285" s="567"/>
      <c r="HU285" s="567"/>
      <c r="HV285" s="567"/>
      <c r="HW285" s="567"/>
      <c r="HX285" s="587"/>
      <c r="HY285" s="587"/>
      <c r="HZ285" s="587"/>
      <c r="IA285" s="587"/>
      <c r="IB285" s="587"/>
      <c r="IC285" s="587"/>
      <c r="ID285" s="587"/>
      <c r="IE285" s="587"/>
      <c r="IF285" s="587"/>
      <c r="IG285" s="587"/>
      <c r="IH285" s="588"/>
      <c r="II285" s="589"/>
      <c r="IJ285" s="588"/>
      <c r="IK285" s="589"/>
      <c r="IL285" s="588"/>
      <c r="IM285" s="589"/>
      <c r="IN285" s="588"/>
      <c r="IO285" s="589"/>
      <c r="IP285" s="588"/>
      <c r="IQ285" s="589"/>
      <c r="IR285" s="601" t="s">
        <v>3484</v>
      </c>
      <c r="IS285" s="587" t="s">
        <v>77</v>
      </c>
      <c r="IT285" s="611">
        <v>43860</v>
      </c>
      <c r="IU285" s="518">
        <v>44013</v>
      </c>
      <c r="IV285" s="518">
        <v>44238</v>
      </c>
      <c r="IW285" s="526">
        <f t="shared" si="33"/>
        <v>153</v>
      </c>
      <c r="IX285" s="701">
        <f>HE285/30.5</f>
        <v>41.775866702499322</v>
      </c>
      <c r="IY285" s="665">
        <v>1274.1639344262294</v>
      </c>
      <c r="IZ285" s="367" t="s">
        <v>3485</v>
      </c>
    </row>
    <row r="286" spans="1:260" s="367" customFormat="1" ht="16.5" customHeight="1" x14ac:dyDescent="0.3">
      <c r="A286" s="526" t="s">
        <v>2758</v>
      </c>
      <c r="B286" s="594" t="s">
        <v>2909</v>
      </c>
      <c r="C286" s="595" t="s">
        <v>2671</v>
      </c>
      <c r="D286" s="596">
        <v>979</v>
      </c>
      <c r="E286" s="597">
        <v>36</v>
      </c>
      <c r="F286" s="597">
        <v>44</v>
      </c>
      <c r="G286" s="597">
        <v>0</v>
      </c>
      <c r="H286" s="598">
        <v>0</v>
      </c>
      <c r="I286" s="855">
        <v>1059</v>
      </c>
      <c r="J286" s="827"/>
      <c r="K286" s="827"/>
      <c r="L286" s="597">
        <v>1059</v>
      </c>
      <c r="M286" s="827"/>
      <c r="N286" s="827"/>
      <c r="O286" s="597">
        <v>1059</v>
      </c>
      <c r="P286" s="827"/>
      <c r="Q286" s="827"/>
      <c r="R286" s="597">
        <v>1059</v>
      </c>
      <c r="S286" s="827"/>
      <c r="T286" s="827"/>
      <c r="U286" s="597">
        <v>1059</v>
      </c>
      <c r="V286" s="827"/>
      <c r="W286" s="827"/>
      <c r="X286" s="597">
        <v>1059</v>
      </c>
      <c r="Y286" s="827"/>
      <c r="Z286" s="827"/>
      <c r="AA286" s="597">
        <v>1059</v>
      </c>
      <c r="AB286" s="827"/>
      <c r="AC286" s="827"/>
      <c r="AD286" s="597">
        <v>1059</v>
      </c>
      <c r="AE286" s="827"/>
      <c r="AF286" s="827"/>
      <c r="AG286" s="597">
        <v>1059</v>
      </c>
      <c r="AH286" s="827"/>
      <c r="AI286" s="827"/>
      <c r="AJ286" s="597">
        <v>1059</v>
      </c>
      <c r="AK286" s="827"/>
      <c r="AL286" s="827"/>
      <c r="AM286" s="597">
        <v>1059</v>
      </c>
      <c r="AN286" s="827"/>
      <c r="AO286" s="827"/>
      <c r="AP286" s="597">
        <v>1059</v>
      </c>
      <c r="AQ286" s="827"/>
      <c r="AR286" s="827"/>
      <c r="AS286" s="597">
        <v>1059</v>
      </c>
      <c r="AT286" s="827"/>
      <c r="AU286" s="827"/>
      <c r="AV286" s="597">
        <v>1059</v>
      </c>
      <c r="AW286" s="827"/>
      <c r="AX286" s="827"/>
      <c r="AY286" s="597">
        <v>1059</v>
      </c>
      <c r="AZ286" s="827"/>
      <c r="BA286" s="405"/>
      <c r="BB286" s="421">
        <v>1059</v>
      </c>
      <c r="BC286" s="405"/>
      <c r="BD286" s="405"/>
      <c r="BE286" s="421">
        <v>1059</v>
      </c>
      <c r="BF286" s="405"/>
      <c r="BG286" s="405"/>
      <c r="BH286" s="421">
        <v>1059</v>
      </c>
      <c r="BI286" s="587"/>
      <c r="BJ286" s="552"/>
      <c r="BK286" s="421">
        <v>1059</v>
      </c>
      <c r="BL286" s="587"/>
      <c r="BM286" s="552"/>
      <c r="BN286" s="421">
        <v>1059</v>
      </c>
      <c r="BO286" s="587"/>
      <c r="BP286" s="552"/>
      <c r="BQ286" s="421">
        <v>1059</v>
      </c>
      <c r="BR286" s="587"/>
      <c r="BS286" s="552"/>
      <c r="BT286" s="421">
        <v>1059</v>
      </c>
      <c r="BU286" s="587"/>
      <c r="BV286" s="552"/>
      <c r="BW286" s="421">
        <v>1059</v>
      </c>
      <c r="BX286" s="587"/>
      <c r="BY286" s="552"/>
      <c r="BZ286" s="421">
        <v>1059</v>
      </c>
      <c r="CA286" s="587"/>
      <c r="CB286" s="552"/>
      <c r="CC286" s="421">
        <v>1059</v>
      </c>
      <c r="CD286" s="587"/>
      <c r="CE286" s="552"/>
      <c r="CF286" s="421">
        <v>1059</v>
      </c>
      <c r="CG286" s="587"/>
      <c r="CH286" s="552"/>
      <c r="CI286" s="421">
        <v>1059</v>
      </c>
      <c r="CJ286" s="587"/>
      <c r="CK286" s="552"/>
      <c r="CL286" s="421">
        <v>1059</v>
      </c>
      <c r="CM286" s="587"/>
      <c r="CN286" s="552"/>
      <c r="CO286" s="421">
        <v>1059</v>
      </c>
      <c r="CP286" s="587"/>
      <c r="CQ286" s="552"/>
      <c r="CR286" s="421">
        <v>1059</v>
      </c>
      <c r="CS286" s="587"/>
      <c r="CT286" s="552"/>
      <c r="CU286" s="421">
        <v>1059</v>
      </c>
      <c r="CV286" s="587"/>
      <c r="CW286" s="552"/>
      <c r="CX286" s="421">
        <v>1059</v>
      </c>
      <c r="CY286" s="587"/>
      <c r="CZ286" s="552"/>
      <c r="DA286" s="421">
        <v>1059</v>
      </c>
      <c r="DB286" s="587"/>
      <c r="DC286" s="552"/>
      <c r="DD286" s="421">
        <v>1059</v>
      </c>
      <c r="DE286" s="587"/>
      <c r="DF286" s="552"/>
      <c r="DG286" s="421">
        <v>1059</v>
      </c>
      <c r="DH286" s="587"/>
      <c r="DI286" s="552"/>
      <c r="DJ286" s="421">
        <v>1059</v>
      </c>
      <c r="DK286" s="587"/>
      <c r="DL286" s="552"/>
      <c r="DM286" s="421">
        <v>1059</v>
      </c>
      <c r="DN286" s="587"/>
      <c r="DO286" s="552"/>
      <c r="DP286" s="421">
        <v>1059</v>
      </c>
      <c r="DQ286" s="587"/>
      <c r="DR286" s="552"/>
      <c r="DS286" s="421">
        <v>1059</v>
      </c>
      <c r="DT286" s="587"/>
      <c r="DU286" s="552"/>
      <c r="DV286" s="421">
        <v>1059</v>
      </c>
      <c r="DW286" s="587"/>
      <c r="DX286" s="552"/>
      <c r="DY286" s="421">
        <v>1059</v>
      </c>
      <c r="DZ286" s="587"/>
      <c r="EA286" s="552"/>
      <c r="EB286" s="421">
        <v>1059</v>
      </c>
      <c r="EC286" s="587"/>
      <c r="ED286" s="552"/>
      <c r="EE286" s="421">
        <v>1059</v>
      </c>
      <c r="EF286" s="587"/>
      <c r="EG286" s="552"/>
      <c r="EH286" s="421">
        <v>1059</v>
      </c>
      <c r="EI286" s="587"/>
      <c r="EJ286" s="552"/>
      <c r="EK286" s="421">
        <v>1059</v>
      </c>
      <c r="EL286" s="587"/>
      <c r="EM286" s="552"/>
      <c r="EN286" s="421">
        <v>1059</v>
      </c>
      <c r="EO286" s="587"/>
      <c r="EP286" s="552"/>
      <c r="EQ286" s="421">
        <v>1059</v>
      </c>
      <c r="ER286" s="587"/>
      <c r="ES286" s="552"/>
      <c r="ET286" s="421">
        <v>1059</v>
      </c>
      <c r="EU286" s="587"/>
      <c r="EV286" s="552"/>
      <c r="EW286" s="421">
        <v>1059</v>
      </c>
      <c r="EX286" s="587"/>
      <c r="EY286" s="552"/>
      <c r="EZ286" s="421">
        <v>1059</v>
      </c>
      <c r="FA286" s="587"/>
      <c r="FB286" s="552"/>
      <c r="FC286" s="421">
        <v>1059</v>
      </c>
      <c r="FD286" s="587"/>
      <c r="FE286" s="552"/>
      <c r="FF286" s="421">
        <v>1059</v>
      </c>
      <c r="FG286" s="587"/>
      <c r="FH286" s="552"/>
      <c r="FI286" s="421">
        <v>1059</v>
      </c>
      <c r="FJ286" s="587"/>
      <c r="FK286" s="552"/>
      <c r="FL286" s="421">
        <v>1059</v>
      </c>
      <c r="FM286" s="587"/>
      <c r="FN286" s="552"/>
      <c r="FO286" s="421">
        <v>1059</v>
      </c>
      <c r="FP286" s="587"/>
      <c r="FQ286" s="552"/>
      <c r="FR286" s="421">
        <v>1059</v>
      </c>
      <c r="FS286" s="587"/>
      <c r="FT286" s="552"/>
      <c r="FU286" s="421">
        <v>1059</v>
      </c>
      <c r="FV286" s="587"/>
      <c r="FW286" s="552"/>
      <c r="FX286" s="421">
        <v>1059</v>
      </c>
      <c r="FY286" s="587"/>
      <c r="FZ286" s="552"/>
      <c r="GA286" s="421">
        <v>1059</v>
      </c>
      <c r="GB286" s="587"/>
      <c r="GC286" s="552"/>
      <c r="GD286" s="421">
        <v>1059</v>
      </c>
      <c r="GE286" s="587"/>
      <c r="GF286" s="552"/>
      <c r="GG286" s="421">
        <v>1059</v>
      </c>
      <c r="GH286" s="587"/>
      <c r="GI286" s="552"/>
      <c r="GJ286" s="421">
        <v>1059</v>
      </c>
      <c r="GK286" s="587"/>
      <c r="GL286" s="552"/>
      <c r="GM286" s="421">
        <v>1059</v>
      </c>
      <c r="GN286" s="587"/>
      <c r="GO286" s="552"/>
      <c r="GP286" s="421">
        <v>1059</v>
      </c>
      <c r="GQ286" s="587"/>
      <c r="GR286" s="552"/>
      <c r="GS286" s="421">
        <v>1059</v>
      </c>
      <c r="GT286" s="587"/>
      <c r="GU286" s="552"/>
      <c r="GV286" s="421">
        <v>1059</v>
      </c>
      <c r="GW286" s="587"/>
      <c r="GX286" s="552"/>
      <c r="GY286" s="421">
        <v>1059</v>
      </c>
      <c r="GZ286" s="587"/>
      <c r="HA286" s="552"/>
      <c r="HB286" s="422">
        <v>1597.1803278688524</v>
      </c>
      <c r="HC286" s="587"/>
      <c r="HD286" s="552"/>
      <c r="HE286" s="702"/>
      <c r="HF286" s="702"/>
      <c r="HG286" s="567"/>
      <c r="HH286" s="567"/>
      <c r="HI286" s="567"/>
      <c r="HJ286" s="567"/>
      <c r="HK286" s="567"/>
      <c r="HL286" s="567"/>
      <c r="HM286" s="567"/>
      <c r="HN286" s="567"/>
      <c r="HO286" s="567"/>
      <c r="HP286" s="567"/>
      <c r="HQ286" s="567"/>
      <c r="HR286" s="567"/>
      <c r="HS286" s="567"/>
      <c r="HT286" s="567"/>
      <c r="HU286" s="567"/>
      <c r="HV286" s="567"/>
      <c r="HW286" s="567"/>
      <c r="HX286" s="587"/>
      <c r="HY286" s="587"/>
      <c r="HZ286" s="587"/>
      <c r="IA286" s="587"/>
      <c r="IB286" s="587"/>
      <c r="IC286" s="587"/>
      <c r="ID286" s="587"/>
      <c r="IE286" s="587"/>
      <c r="IF286" s="587"/>
      <c r="IG286" s="587"/>
      <c r="IH286" s="588"/>
      <c r="II286" s="589"/>
      <c r="IJ286" s="588"/>
      <c r="IK286" s="589"/>
      <c r="IL286" s="588"/>
      <c r="IM286" s="589"/>
      <c r="IN286" s="588"/>
      <c r="IO286" s="589"/>
      <c r="IP286" s="588"/>
      <c r="IQ286" s="589"/>
      <c r="IR286" s="400" t="s">
        <v>3059</v>
      </c>
      <c r="IS286" s="587" t="s">
        <v>77</v>
      </c>
      <c r="IT286" s="611">
        <v>43998</v>
      </c>
      <c r="IU286" s="518">
        <v>44044</v>
      </c>
      <c r="IV286" s="552"/>
      <c r="IW286" s="526">
        <f t="shared" si="33"/>
        <v>46</v>
      </c>
      <c r="IX286" s="701">
        <f t="shared" ref="IX286:IX294" si="34">HB286/30.5</f>
        <v>52.366568126847618</v>
      </c>
      <c r="IY286" s="665">
        <v>1597.1803278688524</v>
      </c>
    </row>
    <row r="287" spans="1:260" s="367" customFormat="1" ht="16.5" customHeight="1" x14ac:dyDescent="0.3">
      <c r="A287" s="526" t="s">
        <v>2758</v>
      </c>
      <c r="B287" s="603" t="s">
        <v>2885</v>
      </c>
      <c r="C287" s="996" t="s">
        <v>2131</v>
      </c>
      <c r="D287" s="605">
        <v>1026.8564263010344</v>
      </c>
      <c r="E287" s="606">
        <v>44.4</v>
      </c>
      <c r="F287" s="606">
        <v>40</v>
      </c>
      <c r="G287" s="606">
        <v>5.3999999999999995</v>
      </c>
      <c r="H287" s="607">
        <v>0</v>
      </c>
      <c r="I287" s="844">
        <v>1111</v>
      </c>
      <c r="J287" s="870">
        <v>5</v>
      </c>
      <c r="K287" s="827"/>
      <c r="L287" s="606">
        <v>1111</v>
      </c>
      <c r="M287" s="870">
        <v>5</v>
      </c>
      <c r="N287" s="827"/>
      <c r="O287" s="606">
        <v>1111</v>
      </c>
      <c r="P287" s="870">
        <v>5</v>
      </c>
      <c r="Q287" s="827"/>
      <c r="R287" s="606">
        <v>1111</v>
      </c>
      <c r="S287" s="870">
        <v>5</v>
      </c>
      <c r="T287" s="827"/>
      <c r="U287" s="606">
        <v>1111</v>
      </c>
      <c r="V287" s="870">
        <v>5</v>
      </c>
      <c r="W287" s="827"/>
      <c r="X287" s="606">
        <v>1111</v>
      </c>
      <c r="Y287" s="870">
        <v>5</v>
      </c>
      <c r="Z287" s="827"/>
      <c r="AA287" s="606">
        <v>1111</v>
      </c>
      <c r="AB287" s="870">
        <v>5</v>
      </c>
      <c r="AC287" s="827"/>
      <c r="AD287" s="606">
        <v>1111</v>
      </c>
      <c r="AE287" s="870">
        <v>5</v>
      </c>
      <c r="AF287" s="827"/>
      <c r="AG287" s="606">
        <v>1111</v>
      </c>
      <c r="AH287" s="870">
        <v>5</v>
      </c>
      <c r="AI287" s="827"/>
      <c r="AJ287" s="606">
        <v>1111</v>
      </c>
      <c r="AK287" s="870">
        <v>5</v>
      </c>
      <c r="AL287" s="827"/>
      <c r="AM287" s="606">
        <v>1111</v>
      </c>
      <c r="AN287" s="870">
        <v>5</v>
      </c>
      <c r="AO287" s="827"/>
      <c r="AP287" s="606">
        <v>1111</v>
      </c>
      <c r="AQ287" s="870">
        <v>5</v>
      </c>
      <c r="AR287" s="827"/>
      <c r="AS287" s="606">
        <v>1111</v>
      </c>
      <c r="AT287" s="870">
        <v>5</v>
      </c>
      <c r="AU287" s="827"/>
      <c r="AV287" s="606">
        <v>1111</v>
      </c>
      <c r="AW287" s="870">
        <v>5</v>
      </c>
      <c r="AX287" s="827"/>
      <c r="AY287" s="606">
        <v>1111</v>
      </c>
      <c r="AZ287" s="870">
        <v>5</v>
      </c>
      <c r="BA287" s="405"/>
      <c r="BB287" s="433">
        <v>1111</v>
      </c>
      <c r="BC287" s="477">
        <v>5</v>
      </c>
      <c r="BD287" s="405"/>
      <c r="BE287" s="433">
        <v>1111</v>
      </c>
      <c r="BF287" s="477">
        <v>5</v>
      </c>
      <c r="BG287" s="405"/>
      <c r="BH287" s="433">
        <v>1111</v>
      </c>
      <c r="BI287" s="477">
        <v>5</v>
      </c>
      <c r="BJ287" s="552"/>
      <c r="BK287" s="422">
        <f>((1111-1063)/30.5)*48+1111</f>
        <v>1186.5409836065573</v>
      </c>
      <c r="BL287" s="478">
        <f>(5/30.5)*48+5</f>
        <v>12.868852459016393</v>
      </c>
      <c r="BM287" s="703"/>
      <c r="BN287" s="422">
        <v>1111</v>
      </c>
      <c r="BO287" s="478">
        <v>5</v>
      </c>
      <c r="BP287" s="703"/>
      <c r="BQ287" s="433">
        <v>1063</v>
      </c>
      <c r="BR287" s="587"/>
      <c r="BS287" s="552"/>
      <c r="BT287" s="433">
        <v>1063</v>
      </c>
      <c r="BU287" s="587"/>
      <c r="BV287" s="552"/>
      <c r="BW287" s="433">
        <v>1063</v>
      </c>
      <c r="BX287" s="587"/>
      <c r="BY287" s="552"/>
      <c r="BZ287" s="433">
        <v>1063</v>
      </c>
      <c r="CA287" s="587"/>
      <c r="CB287" s="552"/>
      <c r="CC287" s="433">
        <v>1063</v>
      </c>
      <c r="CD287" s="587"/>
      <c r="CE287" s="552"/>
      <c r="CF287" s="433">
        <v>1063</v>
      </c>
      <c r="CG287" s="587"/>
      <c r="CH287" s="552"/>
      <c r="CI287" s="433">
        <v>1063</v>
      </c>
      <c r="CJ287" s="587"/>
      <c r="CK287" s="552"/>
      <c r="CL287" s="433">
        <v>1063</v>
      </c>
      <c r="CM287" s="587"/>
      <c r="CN287" s="552"/>
      <c r="CO287" s="433">
        <v>1063</v>
      </c>
      <c r="CP287" s="587"/>
      <c r="CQ287" s="552"/>
      <c r="CR287" s="433">
        <v>1063</v>
      </c>
      <c r="CS287" s="587"/>
      <c r="CT287" s="552"/>
      <c r="CU287" s="433">
        <v>1063</v>
      </c>
      <c r="CV287" s="587"/>
      <c r="CW287" s="552"/>
      <c r="CX287" s="433">
        <v>1063</v>
      </c>
      <c r="CY287" s="587"/>
      <c r="CZ287" s="552"/>
      <c r="DA287" s="433">
        <v>1063</v>
      </c>
      <c r="DB287" s="587"/>
      <c r="DC287" s="552"/>
      <c r="DD287" s="433">
        <v>1063</v>
      </c>
      <c r="DE287" s="587"/>
      <c r="DF287" s="552"/>
      <c r="DG287" s="433">
        <v>1063</v>
      </c>
      <c r="DH287" s="587"/>
      <c r="DI287" s="552"/>
      <c r="DJ287" s="433">
        <v>1063</v>
      </c>
      <c r="DK287" s="587"/>
      <c r="DL287" s="552"/>
      <c r="DM287" s="433">
        <v>1063</v>
      </c>
      <c r="DN287" s="587"/>
      <c r="DO287" s="552"/>
      <c r="DP287" s="433">
        <v>1063</v>
      </c>
      <c r="DQ287" s="587"/>
      <c r="DR287" s="552"/>
      <c r="DS287" s="433">
        <v>1063</v>
      </c>
      <c r="DT287" s="587"/>
      <c r="DU287" s="552"/>
      <c r="DV287" s="433">
        <v>1063</v>
      </c>
      <c r="DW287" s="587"/>
      <c r="DX287" s="552"/>
      <c r="DY287" s="433">
        <v>1063</v>
      </c>
      <c r="DZ287" s="587"/>
      <c r="EA287" s="552"/>
      <c r="EB287" s="433">
        <v>1063</v>
      </c>
      <c r="EC287" s="587"/>
      <c r="ED287" s="552"/>
      <c r="EE287" s="433">
        <v>1063</v>
      </c>
      <c r="EF287" s="587"/>
      <c r="EG287" s="552"/>
      <c r="EH287" s="433">
        <v>1063</v>
      </c>
      <c r="EI287" s="587"/>
      <c r="EJ287" s="552"/>
      <c r="EK287" s="433">
        <v>1063</v>
      </c>
      <c r="EL287" s="587"/>
      <c r="EM287" s="552"/>
      <c r="EN287" s="433">
        <v>1063</v>
      </c>
      <c r="EO287" s="587"/>
      <c r="EP287" s="552"/>
      <c r="EQ287" s="433">
        <v>1063</v>
      </c>
      <c r="ER287" s="587"/>
      <c r="ES287" s="552"/>
      <c r="ET287" s="433">
        <v>1063</v>
      </c>
      <c r="EU287" s="587"/>
      <c r="EV287" s="552"/>
      <c r="EW287" s="433">
        <v>1063</v>
      </c>
      <c r="EX287" s="587"/>
      <c r="EY287" s="552"/>
      <c r="EZ287" s="433">
        <v>1063</v>
      </c>
      <c r="FA287" s="587"/>
      <c r="FB287" s="552"/>
      <c r="FC287" s="433">
        <v>1063</v>
      </c>
      <c r="FD287" s="587"/>
      <c r="FE287" s="552"/>
      <c r="FF287" s="433">
        <v>1063</v>
      </c>
      <c r="FG287" s="587"/>
      <c r="FH287" s="552"/>
      <c r="FI287" s="433">
        <v>1063</v>
      </c>
      <c r="FJ287" s="587"/>
      <c r="FK287" s="552"/>
      <c r="FL287" s="433">
        <v>1063</v>
      </c>
      <c r="FM287" s="587"/>
      <c r="FN287" s="552"/>
      <c r="FO287" s="433">
        <v>1063</v>
      </c>
      <c r="FP287" s="587"/>
      <c r="FQ287" s="552"/>
      <c r="FR287" s="433">
        <v>1063</v>
      </c>
      <c r="FS287" s="587"/>
      <c r="FT287" s="552"/>
      <c r="FU287" s="421">
        <v>1063</v>
      </c>
      <c r="FV287" s="587"/>
      <c r="FW287" s="552"/>
      <c r="FX287" s="421">
        <v>1063</v>
      </c>
      <c r="FY287" s="587"/>
      <c r="FZ287" s="552"/>
      <c r="GA287" s="421">
        <v>1063</v>
      </c>
      <c r="GB287" s="587"/>
      <c r="GC287" s="552"/>
      <c r="GD287" s="421">
        <v>1063</v>
      </c>
      <c r="GE287" s="587"/>
      <c r="GF287" s="552"/>
      <c r="GG287" s="421">
        <v>1063</v>
      </c>
      <c r="GH287" s="587"/>
      <c r="GI287" s="552"/>
      <c r="GJ287" s="421">
        <v>1063</v>
      </c>
      <c r="GK287" s="587"/>
      <c r="GL287" s="552"/>
      <c r="GM287" s="421">
        <v>1063</v>
      </c>
      <c r="GN287" s="587"/>
      <c r="GO287" s="552"/>
      <c r="GP287" s="421">
        <v>1063</v>
      </c>
      <c r="GQ287" s="587"/>
      <c r="GR287" s="552"/>
      <c r="GS287" s="421">
        <v>1063</v>
      </c>
      <c r="GT287" s="587"/>
      <c r="GU287" s="552"/>
      <c r="GV287" s="421">
        <v>1063</v>
      </c>
      <c r="GW287" s="587"/>
      <c r="GX287" s="552"/>
      <c r="GY287" s="421">
        <v>1063</v>
      </c>
      <c r="GZ287" s="587"/>
      <c r="HA287" s="552"/>
      <c r="HB287" s="422">
        <v>1568.3606557377047</v>
      </c>
      <c r="HC287" s="587"/>
      <c r="HD287" s="552"/>
      <c r="HE287" s="702"/>
      <c r="HF287" s="702"/>
      <c r="HG287" s="567"/>
      <c r="HH287" s="567"/>
      <c r="HI287" s="567"/>
      <c r="HJ287" s="567"/>
      <c r="HK287" s="567"/>
      <c r="HL287" s="567"/>
      <c r="HM287" s="567"/>
      <c r="HN287" s="567"/>
      <c r="HO287" s="567"/>
      <c r="HP287" s="567"/>
      <c r="HQ287" s="567"/>
      <c r="HR287" s="567"/>
      <c r="HS287" s="567"/>
      <c r="HT287" s="567"/>
      <c r="HU287" s="567"/>
      <c r="HV287" s="567"/>
      <c r="HW287" s="567"/>
      <c r="HX287" s="587"/>
      <c r="HY287" s="587"/>
      <c r="HZ287" s="587"/>
      <c r="IA287" s="587"/>
      <c r="IB287" s="587"/>
      <c r="IC287" s="587"/>
      <c r="ID287" s="587"/>
      <c r="IE287" s="587"/>
      <c r="IF287" s="587"/>
      <c r="IG287" s="587"/>
      <c r="IH287" s="588"/>
      <c r="II287" s="589"/>
      <c r="IJ287" s="588"/>
      <c r="IK287" s="589"/>
      <c r="IL287" s="588"/>
      <c r="IM287" s="589"/>
      <c r="IN287" s="588"/>
      <c r="IO287" s="589"/>
      <c r="IP287" s="588"/>
      <c r="IQ287" s="589"/>
      <c r="IR287" s="400" t="s">
        <v>2883</v>
      </c>
      <c r="IS287" s="587" t="s">
        <v>77</v>
      </c>
      <c r="IT287" s="611">
        <v>43999</v>
      </c>
      <c r="IU287" s="611">
        <v>44044</v>
      </c>
      <c r="IV287" s="611"/>
      <c r="IW287" s="587">
        <f t="shared" si="33"/>
        <v>45</v>
      </c>
      <c r="IX287" s="701">
        <f t="shared" si="34"/>
        <v>51.421660843859172</v>
      </c>
      <c r="IY287" s="665">
        <v>1568.3606557377047</v>
      </c>
    </row>
    <row r="288" spans="1:260" s="367" customFormat="1" ht="16.5" customHeight="1" x14ac:dyDescent="0.3">
      <c r="A288" s="526" t="s">
        <v>3836</v>
      </c>
      <c r="B288" s="594" t="s">
        <v>2940</v>
      </c>
      <c r="C288" s="595" t="s">
        <v>2572</v>
      </c>
      <c r="D288" s="596">
        <v>1249</v>
      </c>
      <c r="E288" s="597">
        <v>60</v>
      </c>
      <c r="F288" s="597">
        <v>40</v>
      </c>
      <c r="G288" s="597">
        <v>14</v>
      </c>
      <c r="H288" s="598">
        <v>0</v>
      </c>
      <c r="I288" s="855">
        <f>1349</f>
        <v>1349</v>
      </c>
      <c r="J288" s="655">
        <f>14</f>
        <v>14</v>
      </c>
      <c r="K288" s="827"/>
      <c r="L288" s="597">
        <f>1349</f>
        <v>1349</v>
      </c>
      <c r="M288" s="655">
        <f>14</f>
        <v>14</v>
      </c>
      <c r="N288" s="827"/>
      <c r="O288" s="597">
        <f>1349</f>
        <v>1349</v>
      </c>
      <c r="P288" s="655">
        <f>14</f>
        <v>14</v>
      </c>
      <c r="Q288" s="827"/>
      <c r="R288" s="597">
        <f>1349</f>
        <v>1349</v>
      </c>
      <c r="S288" s="655">
        <f>14</f>
        <v>14</v>
      </c>
      <c r="T288" s="827"/>
      <c r="U288" s="597">
        <f>1349</f>
        <v>1349</v>
      </c>
      <c r="V288" s="655">
        <f>14</f>
        <v>14</v>
      </c>
      <c r="W288" s="827"/>
      <c r="X288" s="597">
        <f>1349</f>
        <v>1349</v>
      </c>
      <c r="Y288" s="655">
        <f>14</f>
        <v>14</v>
      </c>
      <c r="Z288" s="827"/>
      <c r="AA288" s="597">
        <f>1349</f>
        <v>1349</v>
      </c>
      <c r="AB288" s="655">
        <f>14</f>
        <v>14</v>
      </c>
      <c r="AC288" s="827"/>
      <c r="AD288" s="597">
        <f>1349</f>
        <v>1349</v>
      </c>
      <c r="AE288" s="655">
        <f>14</f>
        <v>14</v>
      </c>
      <c r="AF288" s="827"/>
      <c r="AG288" s="597">
        <f>1349</f>
        <v>1349</v>
      </c>
      <c r="AH288" s="655">
        <f>14</f>
        <v>14</v>
      </c>
      <c r="AI288" s="827"/>
      <c r="AJ288" s="597">
        <f>1349</f>
        <v>1349</v>
      </c>
      <c r="AK288" s="655">
        <f>14</f>
        <v>14</v>
      </c>
      <c r="AL288" s="827"/>
      <c r="AM288" s="597">
        <f>1349</f>
        <v>1349</v>
      </c>
      <c r="AN288" s="655">
        <f>14</f>
        <v>14</v>
      </c>
      <c r="AO288" s="827"/>
      <c r="AP288" s="597">
        <f>1349</f>
        <v>1349</v>
      </c>
      <c r="AQ288" s="655">
        <f>14</f>
        <v>14</v>
      </c>
      <c r="AR288" s="827"/>
      <c r="AS288" s="597">
        <f>1349</f>
        <v>1349</v>
      </c>
      <c r="AT288" s="655">
        <f>14</f>
        <v>14</v>
      </c>
      <c r="AU288" s="827"/>
      <c r="AV288" s="597">
        <f>1349</f>
        <v>1349</v>
      </c>
      <c r="AW288" s="655">
        <f>14</f>
        <v>14</v>
      </c>
      <c r="AX288" s="827"/>
      <c r="AY288" s="597">
        <f>1349</f>
        <v>1349</v>
      </c>
      <c r="AZ288" s="655">
        <f>14</f>
        <v>14</v>
      </c>
      <c r="BA288" s="405"/>
      <c r="BB288" s="421">
        <f>1349</f>
        <v>1349</v>
      </c>
      <c r="BC288" s="655">
        <f>14</f>
        <v>14</v>
      </c>
      <c r="BD288" s="405"/>
      <c r="BE288" s="421">
        <f>1349</f>
        <v>1349</v>
      </c>
      <c r="BF288" s="655">
        <f>14</f>
        <v>14</v>
      </c>
      <c r="BG288" s="405"/>
      <c r="BH288" s="421">
        <f>1349</f>
        <v>1349</v>
      </c>
      <c r="BI288" s="655">
        <f>14</f>
        <v>14</v>
      </c>
      <c r="BJ288" s="704"/>
      <c r="BK288" s="421">
        <f>1349</f>
        <v>1349</v>
      </c>
      <c r="BL288" s="655">
        <f>14</f>
        <v>14</v>
      </c>
      <c r="BM288" s="704"/>
      <c r="BN288" s="421">
        <f>1349</f>
        <v>1349</v>
      </c>
      <c r="BO288" s="655">
        <f>14</f>
        <v>14</v>
      </c>
      <c r="BP288" s="704"/>
      <c r="BQ288" s="421">
        <f>1349</f>
        <v>1349</v>
      </c>
      <c r="BR288" s="655">
        <f>14</f>
        <v>14</v>
      </c>
      <c r="BS288" s="704"/>
      <c r="BT288" s="422">
        <f>(1349-1063)*5+1349</f>
        <v>2779</v>
      </c>
      <c r="BU288" s="517">
        <f>14*6</f>
        <v>84</v>
      </c>
      <c r="BV288" s="703"/>
      <c r="BW288" s="421">
        <v>1063</v>
      </c>
      <c r="BX288" s="690"/>
      <c r="BY288" s="552"/>
      <c r="BZ288" s="421">
        <v>1063</v>
      </c>
      <c r="CA288" s="690"/>
      <c r="CB288" s="552"/>
      <c r="CC288" s="421">
        <v>1063</v>
      </c>
      <c r="CD288" s="690"/>
      <c r="CE288" s="552"/>
      <c r="CF288" s="421">
        <v>1063</v>
      </c>
      <c r="CG288" s="690"/>
      <c r="CH288" s="552"/>
      <c r="CI288" s="421">
        <v>1063</v>
      </c>
      <c r="CJ288" s="690"/>
      <c r="CK288" s="552"/>
      <c r="CL288" s="421">
        <v>1063</v>
      </c>
      <c r="CM288" s="690"/>
      <c r="CN288" s="552"/>
      <c r="CO288" s="421">
        <v>1063</v>
      </c>
      <c r="CP288" s="690"/>
      <c r="CQ288" s="552"/>
      <c r="CR288" s="421">
        <v>1063</v>
      </c>
      <c r="CS288" s="690"/>
      <c r="CT288" s="552"/>
      <c r="CU288" s="421">
        <v>1063</v>
      </c>
      <c r="CV288" s="690"/>
      <c r="CW288" s="552"/>
      <c r="CX288" s="421">
        <v>1063</v>
      </c>
      <c r="CY288" s="690"/>
      <c r="CZ288" s="552"/>
      <c r="DA288" s="421">
        <v>1063</v>
      </c>
      <c r="DB288" s="690"/>
      <c r="DC288" s="552"/>
      <c r="DD288" s="421">
        <v>1063</v>
      </c>
      <c r="DE288" s="690"/>
      <c r="DF288" s="552"/>
      <c r="DG288" s="421">
        <v>1063</v>
      </c>
      <c r="DH288" s="690"/>
      <c r="DI288" s="552"/>
      <c r="DJ288" s="421">
        <v>1063</v>
      </c>
      <c r="DK288" s="690"/>
      <c r="DL288" s="552"/>
      <c r="DM288" s="421">
        <v>1063</v>
      </c>
      <c r="DN288" s="690"/>
      <c r="DO288" s="552"/>
      <c r="DP288" s="421">
        <v>1063</v>
      </c>
      <c r="DQ288" s="690"/>
      <c r="DR288" s="552"/>
      <c r="DS288" s="421">
        <v>1063</v>
      </c>
      <c r="DT288" s="690"/>
      <c r="DU288" s="552"/>
      <c r="DV288" s="421">
        <v>1063</v>
      </c>
      <c r="DW288" s="690"/>
      <c r="DX288" s="552"/>
      <c r="DY288" s="421">
        <v>1063</v>
      </c>
      <c r="DZ288" s="690"/>
      <c r="EA288" s="552"/>
      <c r="EB288" s="421">
        <v>1063</v>
      </c>
      <c r="EC288" s="690"/>
      <c r="ED288" s="552"/>
      <c r="EE288" s="421">
        <v>1063</v>
      </c>
      <c r="EF288" s="690"/>
      <c r="EG288" s="552"/>
      <c r="EH288" s="421">
        <v>1063</v>
      </c>
      <c r="EI288" s="690"/>
      <c r="EJ288" s="552"/>
      <c r="EK288" s="421">
        <v>1063</v>
      </c>
      <c r="EL288" s="690"/>
      <c r="EM288" s="552"/>
      <c r="EN288" s="421">
        <v>1063</v>
      </c>
      <c r="EO288" s="690"/>
      <c r="EP288" s="552"/>
      <c r="EQ288" s="421">
        <v>1063</v>
      </c>
      <c r="ER288" s="690"/>
      <c r="ES288" s="552"/>
      <c r="ET288" s="421">
        <v>1063</v>
      </c>
      <c r="EU288" s="690"/>
      <c r="EV288" s="552"/>
      <c r="EW288" s="421">
        <v>1063</v>
      </c>
      <c r="EX288" s="690"/>
      <c r="EY288" s="552"/>
      <c r="EZ288" s="421">
        <v>1063</v>
      </c>
      <c r="FA288" s="690"/>
      <c r="FB288" s="552"/>
      <c r="FC288" s="421">
        <v>1063</v>
      </c>
      <c r="FD288" s="690"/>
      <c r="FE288" s="552"/>
      <c r="FF288" s="421">
        <v>1063</v>
      </c>
      <c r="FG288" s="690"/>
      <c r="FH288" s="552"/>
      <c r="FI288" s="421">
        <v>1063</v>
      </c>
      <c r="FJ288" s="690"/>
      <c r="FK288" s="552"/>
      <c r="FL288" s="421">
        <v>1063</v>
      </c>
      <c r="FM288" s="690"/>
      <c r="FN288" s="552"/>
      <c r="FO288" s="421">
        <v>1063</v>
      </c>
      <c r="FP288" s="690"/>
      <c r="FQ288" s="552"/>
      <c r="FR288" s="421">
        <v>1063</v>
      </c>
      <c r="FS288" s="690"/>
      <c r="FT288" s="552"/>
      <c r="FU288" s="421">
        <v>1063</v>
      </c>
      <c r="FV288" s="690"/>
      <c r="FW288" s="552"/>
      <c r="FX288" s="421">
        <v>1063</v>
      </c>
      <c r="FY288" s="690"/>
      <c r="FZ288" s="552"/>
      <c r="GA288" s="421">
        <v>1063</v>
      </c>
      <c r="GB288" s="690"/>
      <c r="GC288" s="552"/>
      <c r="GD288" s="421">
        <v>1063</v>
      </c>
      <c r="GE288" s="690"/>
      <c r="GF288" s="552"/>
      <c r="GG288" s="421">
        <v>1063</v>
      </c>
      <c r="GH288" s="690"/>
      <c r="GI288" s="552"/>
      <c r="GJ288" s="421">
        <v>1063</v>
      </c>
      <c r="GK288" s="690"/>
      <c r="GL288" s="552"/>
      <c r="GM288" s="421">
        <v>1063</v>
      </c>
      <c r="GN288" s="690"/>
      <c r="GO288" s="552"/>
      <c r="GP288" s="421">
        <v>1063</v>
      </c>
      <c r="GQ288" s="690"/>
      <c r="GR288" s="552"/>
      <c r="GS288" s="421">
        <v>1063</v>
      </c>
      <c r="GT288" s="690"/>
      <c r="GU288" s="552"/>
      <c r="GV288" s="421">
        <v>1063</v>
      </c>
      <c r="GW288" s="690"/>
      <c r="GX288" s="552"/>
      <c r="GY288" s="421">
        <v>1063</v>
      </c>
      <c r="GZ288" s="690"/>
      <c r="HA288" s="552"/>
      <c r="HB288" s="422">
        <v>1289.5409836065573</v>
      </c>
      <c r="HC288" s="690"/>
      <c r="HD288" s="552"/>
      <c r="HE288" s="702"/>
      <c r="HF288" s="702"/>
      <c r="HG288" s="567"/>
      <c r="HH288" s="567"/>
      <c r="HI288" s="567"/>
      <c r="HJ288" s="567"/>
      <c r="HK288" s="567"/>
      <c r="HL288" s="567"/>
      <c r="HM288" s="567"/>
      <c r="HN288" s="567"/>
      <c r="HO288" s="567"/>
      <c r="HP288" s="567"/>
      <c r="HQ288" s="567"/>
      <c r="HR288" s="567"/>
      <c r="HS288" s="567"/>
      <c r="HT288" s="567"/>
      <c r="HU288" s="567"/>
      <c r="HV288" s="567"/>
      <c r="HW288" s="567"/>
      <c r="HX288" s="587"/>
      <c r="HY288" s="587"/>
      <c r="HZ288" s="587"/>
      <c r="IA288" s="587"/>
      <c r="IB288" s="587"/>
      <c r="IC288" s="587"/>
      <c r="ID288" s="587"/>
      <c r="IE288" s="587"/>
      <c r="IF288" s="587"/>
      <c r="IG288" s="587"/>
      <c r="IH288" s="588"/>
      <c r="II288" s="589"/>
      <c r="IJ288" s="588"/>
      <c r="IK288" s="589"/>
      <c r="IL288" s="588"/>
      <c r="IM288" s="589"/>
      <c r="IN288" s="588"/>
      <c r="IO288" s="589"/>
      <c r="IP288" s="588"/>
      <c r="IQ288" s="589"/>
      <c r="IR288" s="400" t="s">
        <v>3186</v>
      </c>
      <c r="IS288" s="587" t="s">
        <v>77</v>
      </c>
      <c r="IT288" s="611">
        <v>44007</v>
      </c>
      <c r="IU288" s="518">
        <v>44044</v>
      </c>
      <c r="IV288" s="552"/>
      <c r="IW288" s="526">
        <f t="shared" si="33"/>
        <v>37</v>
      </c>
      <c r="IX288" s="701">
        <f t="shared" si="34"/>
        <v>42.280032249395326</v>
      </c>
      <c r="IY288" s="665">
        <v>1289.5409836065573</v>
      </c>
    </row>
    <row r="289" spans="1:259" s="367" customFormat="1" ht="16.5" customHeight="1" x14ac:dyDescent="0.3">
      <c r="A289" s="526" t="s">
        <v>2758</v>
      </c>
      <c r="B289" s="594" t="s">
        <v>2867</v>
      </c>
      <c r="C289" s="604" t="s">
        <v>2331</v>
      </c>
      <c r="D289" s="605">
        <v>290</v>
      </c>
      <c r="E289" s="606">
        <v>12</v>
      </c>
      <c r="F289" s="606">
        <v>0</v>
      </c>
      <c r="G289" s="606">
        <v>0</v>
      </c>
      <c r="H289" s="607">
        <v>0</v>
      </c>
      <c r="I289" s="844">
        <v>302</v>
      </c>
      <c r="J289" s="827"/>
      <c r="K289" s="827"/>
      <c r="L289" s="606">
        <v>302</v>
      </c>
      <c r="M289" s="827"/>
      <c r="N289" s="827"/>
      <c r="O289" s="606">
        <v>302</v>
      </c>
      <c r="P289" s="827"/>
      <c r="Q289" s="827"/>
      <c r="R289" s="606">
        <v>302</v>
      </c>
      <c r="S289" s="827"/>
      <c r="T289" s="827"/>
      <c r="U289" s="606">
        <v>302</v>
      </c>
      <c r="V289" s="827"/>
      <c r="W289" s="827"/>
      <c r="X289" s="606">
        <v>302</v>
      </c>
      <c r="Y289" s="827"/>
      <c r="Z289" s="827"/>
      <c r="AA289" s="606">
        <v>302</v>
      </c>
      <c r="AB289" s="827"/>
      <c r="AC289" s="827"/>
      <c r="AD289" s="606">
        <v>302</v>
      </c>
      <c r="AE289" s="827"/>
      <c r="AF289" s="827"/>
      <c r="AG289" s="606">
        <v>302</v>
      </c>
      <c r="AH289" s="827"/>
      <c r="AI289" s="827"/>
      <c r="AJ289" s="606">
        <v>302</v>
      </c>
      <c r="AK289" s="827"/>
      <c r="AL289" s="827"/>
      <c r="AM289" s="606">
        <v>302</v>
      </c>
      <c r="AN289" s="827"/>
      <c r="AO289" s="827"/>
      <c r="AP289" s="606">
        <v>302</v>
      </c>
      <c r="AQ289" s="827"/>
      <c r="AR289" s="827"/>
      <c r="AS289" s="909">
        <f>((320-254)/30.5)*31+302</f>
        <v>369.08196721311475</v>
      </c>
      <c r="AT289" s="827"/>
      <c r="AU289" s="827"/>
      <c r="AV289" s="597">
        <v>254</v>
      </c>
      <c r="AW289" s="827"/>
      <c r="AX289" s="827"/>
      <c r="AY289" s="597">
        <v>254</v>
      </c>
      <c r="AZ289" s="827"/>
      <c r="BA289" s="405"/>
      <c r="BB289" s="421">
        <v>254</v>
      </c>
      <c r="BC289" s="405"/>
      <c r="BD289" s="405"/>
      <c r="BE289" s="421">
        <v>254</v>
      </c>
      <c r="BF289" s="405"/>
      <c r="BG289" s="405"/>
      <c r="BH289" s="421">
        <v>254</v>
      </c>
      <c r="BI289" s="587"/>
      <c r="BJ289" s="552"/>
      <c r="BK289" s="421">
        <v>254</v>
      </c>
      <c r="BL289" s="587"/>
      <c r="BM289" s="552"/>
      <c r="BN289" s="421">
        <v>254</v>
      </c>
      <c r="BO289" s="587"/>
      <c r="BP289" s="552"/>
      <c r="BQ289" s="421">
        <v>254</v>
      </c>
      <c r="BR289" s="587"/>
      <c r="BS289" s="552"/>
      <c r="BT289" s="421">
        <v>254</v>
      </c>
      <c r="BU289" s="587"/>
      <c r="BV289" s="552"/>
      <c r="BW289" s="421">
        <v>254</v>
      </c>
      <c r="BX289" s="587"/>
      <c r="BY289" s="552"/>
      <c r="BZ289" s="421">
        <v>254</v>
      </c>
      <c r="CA289" s="587"/>
      <c r="CB289" s="552"/>
      <c r="CC289" s="421">
        <v>254</v>
      </c>
      <c r="CD289" s="587"/>
      <c r="CE289" s="552"/>
      <c r="CF289" s="421">
        <v>254</v>
      </c>
      <c r="CG289" s="587"/>
      <c r="CH289" s="552"/>
      <c r="CI289" s="421">
        <v>254</v>
      </c>
      <c r="CJ289" s="587"/>
      <c r="CK289" s="552"/>
      <c r="CL289" s="421">
        <v>254</v>
      </c>
      <c r="CM289" s="587"/>
      <c r="CN289" s="552"/>
      <c r="CO289" s="421">
        <v>254</v>
      </c>
      <c r="CP289" s="587"/>
      <c r="CQ289" s="552"/>
      <c r="CR289" s="421">
        <v>254</v>
      </c>
      <c r="CS289" s="587"/>
      <c r="CT289" s="552"/>
      <c r="CU289" s="421">
        <v>254</v>
      </c>
      <c r="CV289" s="587"/>
      <c r="CW289" s="552"/>
      <c r="CX289" s="421">
        <v>254</v>
      </c>
      <c r="CY289" s="587"/>
      <c r="CZ289" s="552"/>
      <c r="DA289" s="421">
        <v>254</v>
      </c>
      <c r="DB289" s="587"/>
      <c r="DC289" s="552"/>
      <c r="DD289" s="421">
        <v>254</v>
      </c>
      <c r="DE289" s="587"/>
      <c r="DF289" s="552"/>
      <c r="DG289" s="421">
        <v>254</v>
      </c>
      <c r="DH289" s="587"/>
      <c r="DI289" s="552"/>
      <c r="DJ289" s="421">
        <v>254</v>
      </c>
      <c r="DK289" s="587"/>
      <c r="DL289" s="552"/>
      <c r="DM289" s="421">
        <v>254</v>
      </c>
      <c r="DN289" s="587"/>
      <c r="DO289" s="552"/>
      <c r="DP289" s="421">
        <v>254</v>
      </c>
      <c r="DQ289" s="587"/>
      <c r="DR289" s="552"/>
      <c r="DS289" s="421">
        <v>254</v>
      </c>
      <c r="DT289" s="587"/>
      <c r="DU289" s="552"/>
      <c r="DV289" s="421">
        <v>254</v>
      </c>
      <c r="DW289" s="587"/>
      <c r="DX289" s="552"/>
      <c r="DY289" s="421">
        <v>254</v>
      </c>
      <c r="DZ289" s="587"/>
      <c r="EA289" s="552"/>
      <c r="EB289" s="421">
        <v>254</v>
      </c>
      <c r="EC289" s="587"/>
      <c r="ED289" s="552"/>
      <c r="EE289" s="421">
        <v>254</v>
      </c>
      <c r="EF289" s="587"/>
      <c r="EG289" s="552"/>
      <c r="EH289" s="421">
        <v>254</v>
      </c>
      <c r="EI289" s="587"/>
      <c r="EJ289" s="552"/>
      <c r="EK289" s="421">
        <v>254</v>
      </c>
      <c r="EL289" s="587"/>
      <c r="EM289" s="552"/>
      <c r="EN289" s="421">
        <v>254</v>
      </c>
      <c r="EO289" s="587"/>
      <c r="EP289" s="552"/>
      <c r="EQ289" s="421">
        <v>254</v>
      </c>
      <c r="ER289" s="587"/>
      <c r="ES289" s="552"/>
      <c r="ET289" s="421">
        <v>254</v>
      </c>
      <c r="EU289" s="587"/>
      <c r="EV289" s="552"/>
      <c r="EW289" s="421">
        <v>254</v>
      </c>
      <c r="EX289" s="587"/>
      <c r="EY289" s="552"/>
      <c r="EZ289" s="421">
        <v>254</v>
      </c>
      <c r="FA289" s="587"/>
      <c r="FB289" s="552"/>
      <c r="FC289" s="421">
        <v>254</v>
      </c>
      <c r="FD289" s="587"/>
      <c r="FE289" s="552"/>
      <c r="FF289" s="421">
        <v>254</v>
      </c>
      <c r="FG289" s="587"/>
      <c r="FH289" s="552"/>
      <c r="FI289" s="421">
        <v>254</v>
      </c>
      <c r="FJ289" s="587"/>
      <c r="FK289" s="552"/>
      <c r="FL289" s="421">
        <v>254</v>
      </c>
      <c r="FM289" s="587"/>
      <c r="FN289" s="552"/>
      <c r="FO289" s="421">
        <v>254</v>
      </c>
      <c r="FP289" s="587"/>
      <c r="FQ289" s="552"/>
      <c r="FR289" s="421">
        <v>254</v>
      </c>
      <c r="FS289" s="587"/>
      <c r="FT289" s="552"/>
      <c r="FU289" s="421">
        <v>254</v>
      </c>
      <c r="FV289" s="587"/>
      <c r="FW289" s="552"/>
      <c r="FX289" s="421">
        <v>254</v>
      </c>
      <c r="FY289" s="587"/>
      <c r="FZ289" s="552"/>
      <c r="GA289" s="421">
        <v>254</v>
      </c>
      <c r="GB289" s="587"/>
      <c r="GC289" s="552"/>
      <c r="GD289" s="421">
        <v>254</v>
      </c>
      <c r="GE289" s="587"/>
      <c r="GF289" s="552"/>
      <c r="GG289" s="421">
        <v>254</v>
      </c>
      <c r="GH289" s="587"/>
      <c r="GI289" s="552"/>
      <c r="GJ289" s="421">
        <v>254</v>
      </c>
      <c r="GK289" s="587"/>
      <c r="GL289" s="552"/>
      <c r="GM289" s="421">
        <v>254</v>
      </c>
      <c r="GN289" s="587"/>
      <c r="GO289" s="552"/>
      <c r="GP289" s="421">
        <v>254</v>
      </c>
      <c r="GQ289" s="587"/>
      <c r="GR289" s="552"/>
      <c r="GS289" s="421">
        <v>254</v>
      </c>
      <c r="GT289" s="587"/>
      <c r="GU289" s="552"/>
      <c r="GV289" s="421">
        <v>254</v>
      </c>
      <c r="GW289" s="587"/>
      <c r="GX289" s="552"/>
      <c r="GY289" s="421">
        <v>254</v>
      </c>
      <c r="GZ289" s="587"/>
      <c r="HA289" s="552"/>
      <c r="HB289" s="422">
        <v>274.81967213114751</v>
      </c>
      <c r="HC289" s="587"/>
      <c r="HD289" s="552"/>
      <c r="HE289" s="702"/>
      <c r="HF289" s="702"/>
      <c r="HG289" s="567"/>
      <c r="HH289" s="567"/>
      <c r="HI289" s="567"/>
      <c r="HJ289" s="567"/>
      <c r="HK289" s="567"/>
      <c r="HL289" s="567"/>
      <c r="HM289" s="567"/>
      <c r="HN289" s="567"/>
      <c r="HO289" s="567"/>
      <c r="HP289" s="567"/>
      <c r="HQ289" s="567"/>
      <c r="HR289" s="567"/>
      <c r="HS289" s="567"/>
      <c r="HT289" s="567"/>
      <c r="HU289" s="567"/>
      <c r="HV289" s="567"/>
      <c r="HW289" s="567"/>
      <c r="HX289" s="587"/>
      <c r="HY289" s="587"/>
      <c r="HZ289" s="587"/>
      <c r="IA289" s="587"/>
      <c r="IB289" s="587"/>
      <c r="IC289" s="587"/>
      <c r="ID289" s="587"/>
      <c r="IE289" s="587"/>
      <c r="IF289" s="587"/>
      <c r="IG289" s="587"/>
      <c r="IH289" s="588"/>
      <c r="II289" s="589"/>
      <c r="IJ289" s="588"/>
      <c r="IK289" s="589"/>
      <c r="IL289" s="588"/>
      <c r="IM289" s="589"/>
      <c r="IN289" s="588"/>
      <c r="IO289" s="589"/>
      <c r="IP289" s="588"/>
      <c r="IQ289" s="589"/>
      <c r="IR289" s="400" t="s">
        <v>2973</v>
      </c>
      <c r="IS289" s="587" t="s">
        <v>77</v>
      </c>
      <c r="IT289" s="611">
        <v>44011</v>
      </c>
      <c r="IU289" s="518">
        <v>44044</v>
      </c>
      <c r="IV289" s="552"/>
      <c r="IW289" s="526">
        <f t="shared" si="33"/>
        <v>33</v>
      </c>
      <c r="IX289" s="701">
        <f t="shared" si="34"/>
        <v>9.0104810534802464</v>
      </c>
      <c r="IY289" s="665">
        <v>274.81967213114751</v>
      </c>
    </row>
    <row r="290" spans="1:259" s="367" customFormat="1" ht="16.5" customHeight="1" x14ac:dyDescent="0.3">
      <c r="A290" s="526" t="s">
        <v>2785</v>
      </c>
      <c r="B290" s="594" t="s">
        <v>2909</v>
      </c>
      <c r="C290" s="595" t="s">
        <v>2390</v>
      </c>
      <c r="D290" s="596">
        <v>979</v>
      </c>
      <c r="E290" s="597">
        <v>44</v>
      </c>
      <c r="F290" s="597">
        <v>40</v>
      </c>
      <c r="G290" s="597">
        <v>0</v>
      </c>
      <c r="H290" s="598">
        <v>0</v>
      </c>
      <c r="I290" s="855">
        <v>1063</v>
      </c>
      <c r="J290" s="827"/>
      <c r="K290" s="827"/>
      <c r="L290" s="597">
        <v>1063</v>
      </c>
      <c r="M290" s="827"/>
      <c r="N290" s="827"/>
      <c r="O290" s="597">
        <v>1063</v>
      </c>
      <c r="P290" s="827"/>
      <c r="Q290" s="827"/>
      <c r="R290" s="597">
        <v>1063</v>
      </c>
      <c r="S290" s="827"/>
      <c r="T290" s="827"/>
      <c r="U290" s="597">
        <v>1063</v>
      </c>
      <c r="V290" s="827"/>
      <c r="W290" s="827"/>
      <c r="X290" s="597">
        <v>1063</v>
      </c>
      <c r="Y290" s="827"/>
      <c r="Z290" s="827"/>
      <c r="AA290" s="597">
        <v>1063</v>
      </c>
      <c r="AB290" s="827"/>
      <c r="AC290" s="827"/>
      <c r="AD290" s="597">
        <v>1063</v>
      </c>
      <c r="AE290" s="827"/>
      <c r="AF290" s="827"/>
      <c r="AG290" s="597">
        <v>1063</v>
      </c>
      <c r="AH290" s="827"/>
      <c r="AI290" s="827"/>
      <c r="AJ290" s="597">
        <v>1063</v>
      </c>
      <c r="AK290" s="827"/>
      <c r="AL290" s="827"/>
      <c r="AM290" s="597">
        <v>1063</v>
      </c>
      <c r="AN290" s="827"/>
      <c r="AO290" s="827"/>
      <c r="AP290" s="597">
        <v>1063</v>
      </c>
      <c r="AQ290" s="827"/>
      <c r="AR290" s="827"/>
      <c r="AS290" s="597">
        <v>1063</v>
      </c>
      <c r="AT290" s="827"/>
      <c r="AU290" s="827"/>
      <c r="AV290" s="597">
        <v>1063</v>
      </c>
      <c r="AW290" s="827"/>
      <c r="AX290" s="827"/>
      <c r="AY290" s="597">
        <v>1063</v>
      </c>
      <c r="AZ290" s="827"/>
      <c r="BA290" s="405"/>
      <c r="BB290" s="421">
        <v>1063</v>
      </c>
      <c r="BC290" s="405"/>
      <c r="BD290" s="405"/>
      <c r="BE290" s="421">
        <v>1063</v>
      </c>
      <c r="BF290" s="405"/>
      <c r="BG290" s="405"/>
      <c r="BH290" s="421">
        <v>1063</v>
      </c>
      <c r="BI290" s="587"/>
      <c r="BJ290" s="552"/>
      <c r="BK290" s="421">
        <v>1063</v>
      </c>
      <c r="BL290" s="587"/>
      <c r="BM290" s="552"/>
      <c r="BN290" s="421">
        <v>1063</v>
      </c>
      <c r="BO290" s="587"/>
      <c r="BP290" s="552"/>
      <c r="BQ290" s="421">
        <v>1063</v>
      </c>
      <c r="BR290" s="587"/>
      <c r="BS290" s="552"/>
      <c r="BT290" s="421">
        <v>1063</v>
      </c>
      <c r="BU290" s="587"/>
      <c r="BV290" s="552"/>
      <c r="BW290" s="421">
        <v>1063</v>
      </c>
      <c r="BX290" s="587"/>
      <c r="BY290" s="552"/>
      <c r="BZ290" s="421">
        <v>1063</v>
      </c>
      <c r="CA290" s="587"/>
      <c r="CB290" s="552"/>
      <c r="CC290" s="421">
        <v>1063</v>
      </c>
      <c r="CD290" s="587"/>
      <c r="CE290" s="552"/>
      <c r="CF290" s="421">
        <v>1063</v>
      </c>
      <c r="CG290" s="587"/>
      <c r="CH290" s="552"/>
      <c r="CI290" s="421">
        <v>1063</v>
      </c>
      <c r="CJ290" s="587"/>
      <c r="CK290" s="552"/>
      <c r="CL290" s="421">
        <v>1063</v>
      </c>
      <c r="CM290" s="587"/>
      <c r="CN290" s="552"/>
      <c r="CO290" s="421">
        <v>1063</v>
      </c>
      <c r="CP290" s="587"/>
      <c r="CQ290" s="552"/>
      <c r="CR290" s="421">
        <v>1063</v>
      </c>
      <c r="CS290" s="587"/>
      <c r="CT290" s="552"/>
      <c r="CU290" s="421">
        <v>1063</v>
      </c>
      <c r="CV290" s="587"/>
      <c r="CW290" s="552"/>
      <c r="CX290" s="421">
        <v>1063</v>
      </c>
      <c r="CY290" s="587"/>
      <c r="CZ290" s="552"/>
      <c r="DA290" s="421">
        <v>1063</v>
      </c>
      <c r="DB290" s="587"/>
      <c r="DC290" s="552"/>
      <c r="DD290" s="421">
        <v>1063</v>
      </c>
      <c r="DE290" s="587"/>
      <c r="DF290" s="552"/>
      <c r="DG290" s="421">
        <v>1063</v>
      </c>
      <c r="DH290" s="587"/>
      <c r="DI290" s="552"/>
      <c r="DJ290" s="421">
        <v>1063</v>
      </c>
      <c r="DK290" s="587"/>
      <c r="DL290" s="552"/>
      <c r="DM290" s="421">
        <v>1063</v>
      </c>
      <c r="DN290" s="587"/>
      <c r="DO290" s="552"/>
      <c r="DP290" s="421">
        <v>1063</v>
      </c>
      <c r="DQ290" s="587"/>
      <c r="DR290" s="552"/>
      <c r="DS290" s="421">
        <v>1063</v>
      </c>
      <c r="DT290" s="587"/>
      <c r="DU290" s="552"/>
      <c r="DV290" s="421">
        <v>1063</v>
      </c>
      <c r="DW290" s="587"/>
      <c r="DX290" s="552"/>
      <c r="DY290" s="421">
        <v>1063</v>
      </c>
      <c r="DZ290" s="587"/>
      <c r="EA290" s="552"/>
      <c r="EB290" s="421">
        <v>1063</v>
      </c>
      <c r="EC290" s="587"/>
      <c r="ED290" s="552"/>
      <c r="EE290" s="421">
        <v>1063</v>
      </c>
      <c r="EF290" s="587"/>
      <c r="EG290" s="552"/>
      <c r="EH290" s="421">
        <v>1063</v>
      </c>
      <c r="EI290" s="587"/>
      <c r="EJ290" s="552"/>
      <c r="EK290" s="421">
        <v>1063</v>
      </c>
      <c r="EL290" s="587"/>
      <c r="EM290" s="552"/>
      <c r="EN290" s="421">
        <v>1063</v>
      </c>
      <c r="EO290" s="587"/>
      <c r="EP290" s="552"/>
      <c r="EQ290" s="421">
        <v>1063</v>
      </c>
      <c r="ER290" s="587"/>
      <c r="ES290" s="552"/>
      <c r="ET290" s="421">
        <v>1063</v>
      </c>
      <c r="EU290" s="587"/>
      <c r="EV290" s="552"/>
      <c r="EW290" s="421">
        <v>1063</v>
      </c>
      <c r="EX290" s="587"/>
      <c r="EY290" s="552"/>
      <c r="EZ290" s="421">
        <v>1063</v>
      </c>
      <c r="FA290" s="587"/>
      <c r="FB290" s="552"/>
      <c r="FC290" s="421">
        <v>1063</v>
      </c>
      <c r="FD290" s="587"/>
      <c r="FE290" s="552"/>
      <c r="FF290" s="421">
        <v>1063</v>
      </c>
      <c r="FG290" s="587"/>
      <c r="FH290" s="552"/>
      <c r="FI290" s="421">
        <v>1063</v>
      </c>
      <c r="FJ290" s="587"/>
      <c r="FK290" s="552"/>
      <c r="FL290" s="421">
        <v>1063</v>
      </c>
      <c r="FM290" s="587"/>
      <c r="FN290" s="552"/>
      <c r="FO290" s="421">
        <v>1063</v>
      </c>
      <c r="FP290" s="587"/>
      <c r="FQ290" s="552"/>
      <c r="FR290" s="421">
        <v>1063</v>
      </c>
      <c r="FS290" s="587"/>
      <c r="FT290" s="552"/>
      <c r="FU290" s="421">
        <v>1063</v>
      </c>
      <c r="FV290" s="587"/>
      <c r="FW290" s="552"/>
      <c r="FX290" s="421">
        <v>1063</v>
      </c>
      <c r="FY290" s="587"/>
      <c r="FZ290" s="552"/>
      <c r="GA290" s="421">
        <v>1063</v>
      </c>
      <c r="GB290" s="587"/>
      <c r="GC290" s="552"/>
      <c r="GD290" s="421">
        <v>1063</v>
      </c>
      <c r="GE290" s="587"/>
      <c r="GF290" s="552"/>
      <c r="GG290" s="421">
        <v>1063</v>
      </c>
      <c r="GH290" s="587"/>
      <c r="GI290" s="552"/>
      <c r="GJ290" s="421">
        <v>1063</v>
      </c>
      <c r="GK290" s="587"/>
      <c r="GL290" s="552"/>
      <c r="GM290" s="421">
        <v>1063</v>
      </c>
      <c r="GN290" s="587"/>
      <c r="GO290" s="552"/>
      <c r="GP290" s="421">
        <v>1063</v>
      </c>
      <c r="GQ290" s="587"/>
      <c r="GR290" s="552"/>
      <c r="GS290" s="421">
        <v>1063</v>
      </c>
      <c r="GT290" s="587"/>
      <c r="GU290" s="552"/>
      <c r="GV290" s="421">
        <v>1063</v>
      </c>
      <c r="GW290" s="587"/>
      <c r="GX290" s="552"/>
      <c r="GY290" s="421">
        <v>1063</v>
      </c>
      <c r="GZ290" s="587"/>
      <c r="HA290" s="552"/>
      <c r="HB290" s="422">
        <v>1115.2786885245901</v>
      </c>
      <c r="HC290" s="587"/>
      <c r="HD290" s="552"/>
      <c r="HE290" s="702"/>
      <c r="HF290" s="702"/>
      <c r="HG290" s="567"/>
      <c r="HH290" s="567"/>
      <c r="HI290" s="567"/>
      <c r="HJ290" s="567"/>
      <c r="HK290" s="567"/>
      <c r="HL290" s="567"/>
      <c r="HM290" s="567"/>
      <c r="HN290" s="567"/>
      <c r="HO290" s="567"/>
      <c r="HP290" s="567"/>
      <c r="HQ290" s="567"/>
      <c r="HR290" s="567"/>
      <c r="HS290" s="567"/>
      <c r="HT290" s="567"/>
      <c r="HU290" s="567"/>
      <c r="HV290" s="567"/>
      <c r="HW290" s="567"/>
      <c r="HX290" s="587"/>
      <c r="HY290" s="587"/>
      <c r="HZ290" s="587"/>
      <c r="IA290" s="587"/>
      <c r="IB290" s="587"/>
      <c r="IC290" s="587"/>
      <c r="ID290" s="587"/>
      <c r="IE290" s="587"/>
      <c r="IF290" s="587"/>
      <c r="IG290" s="587"/>
      <c r="IH290" s="588"/>
      <c r="II290" s="589"/>
      <c r="IJ290" s="588"/>
      <c r="IK290" s="589"/>
      <c r="IL290" s="588"/>
      <c r="IM290" s="589"/>
      <c r="IN290" s="588"/>
      <c r="IO290" s="589"/>
      <c r="IP290" s="588"/>
      <c r="IQ290" s="589"/>
      <c r="IR290" s="705" t="s">
        <v>3486</v>
      </c>
      <c r="IS290" s="587" t="s">
        <v>77</v>
      </c>
      <c r="IT290" s="611">
        <v>44012</v>
      </c>
      <c r="IU290" s="518">
        <v>44044</v>
      </c>
      <c r="IV290" s="552"/>
      <c r="IW290" s="587">
        <f t="shared" si="33"/>
        <v>32</v>
      </c>
      <c r="IX290" s="701">
        <f t="shared" si="34"/>
        <v>36.566514377855412</v>
      </c>
      <c r="IY290" s="665">
        <v>1115.2786885245901</v>
      </c>
    </row>
    <row r="291" spans="1:259" s="367" customFormat="1" ht="16.5" customHeight="1" x14ac:dyDescent="0.3">
      <c r="A291" s="401" t="s">
        <v>3315</v>
      </c>
      <c r="B291" s="402" t="s">
        <v>3315</v>
      </c>
      <c r="C291" s="608" t="s">
        <v>2783</v>
      </c>
      <c r="D291" s="634"/>
      <c r="E291" s="635"/>
      <c r="F291" s="635"/>
      <c r="G291" s="635"/>
      <c r="H291" s="636"/>
      <c r="I291" s="924">
        <v>0</v>
      </c>
      <c r="J291" s="635">
        <v>0</v>
      </c>
      <c r="K291" s="833"/>
      <c r="L291" s="635">
        <v>0</v>
      </c>
      <c r="M291" s="635">
        <v>0</v>
      </c>
      <c r="N291" s="827"/>
      <c r="O291" s="635">
        <v>0</v>
      </c>
      <c r="P291" s="635">
        <v>0</v>
      </c>
      <c r="Q291" s="827"/>
      <c r="R291" s="635">
        <v>0</v>
      </c>
      <c r="S291" s="635">
        <v>0</v>
      </c>
      <c r="T291" s="827"/>
      <c r="U291" s="635">
        <v>0</v>
      </c>
      <c r="V291" s="635">
        <v>0</v>
      </c>
      <c r="W291" s="827"/>
      <c r="X291" s="635">
        <f>-(1620)</f>
        <v>-1620</v>
      </c>
      <c r="Y291" s="635">
        <f xml:space="preserve"> -(36)</f>
        <v>-36</v>
      </c>
      <c r="Z291" s="827"/>
      <c r="AA291" s="606">
        <v>1620</v>
      </c>
      <c r="AB291" s="516">
        <v>36</v>
      </c>
      <c r="AC291" s="827"/>
      <c r="AD291" s="606">
        <v>1620</v>
      </c>
      <c r="AE291" s="516">
        <v>36</v>
      </c>
      <c r="AF291" s="827"/>
      <c r="AG291" s="606">
        <v>1620</v>
      </c>
      <c r="AH291" s="516">
        <v>36</v>
      </c>
      <c r="AI291" s="827"/>
      <c r="AJ291" s="606">
        <v>1620</v>
      </c>
      <c r="AK291" s="516">
        <v>36</v>
      </c>
      <c r="AL291" s="827"/>
      <c r="AM291" s="606">
        <v>1620</v>
      </c>
      <c r="AN291" s="516">
        <v>36</v>
      </c>
      <c r="AO291" s="827"/>
      <c r="AP291" s="606">
        <v>1620</v>
      </c>
      <c r="AQ291" s="516">
        <v>36</v>
      </c>
      <c r="AR291" s="827"/>
      <c r="AS291" s="606">
        <v>1620</v>
      </c>
      <c r="AT291" s="516">
        <v>36</v>
      </c>
      <c r="AU291" s="827"/>
      <c r="AV291" s="606">
        <v>1620</v>
      </c>
      <c r="AW291" s="516">
        <v>36</v>
      </c>
      <c r="AX291" s="827"/>
      <c r="AY291" s="845">
        <v>1620</v>
      </c>
      <c r="AZ291" s="517">
        <v>36</v>
      </c>
      <c r="BA291" s="405"/>
      <c r="BB291" s="421">
        <v>1620</v>
      </c>
      <c r="BC291" s="655">
        <v>36</v>
      </c>
      <c r="BD291" s="405"/>
      <c r="BE291" s="421">
        <v>1620</v>
      </c>
      <c r="BF291" s="655">
        <v>36</v>
      </c>
      <c r="BG291" s="405"/>
      <c r="BH291" s="421">
        <v>1620</v>
      </c>
      <c r="BI291" s="655">
        <v>36</v>
      </c>
      <c r="BJ291" s="655"/>
      <c r="BK291" s="421">
        <v>1620</v>
      </c>
      <c r="BL291" s="655">
        <v>36</v>
      </c>
      <c r="BM291" s="655"/>
      <c r="BN291" s="421">
        <v>1620</v>
      </c>
      <c r="BO291" s="655">
        <v>36</v>
      </c>
      <c r="BP291" s="655"/>
      <c r="BQ291" s="421">
        <v>1620</v>
      </c>
      <c r="BR291" s="655">
        <v>36</v>
      </c>
      <c r="BS291" s="655"/>
      <c r="BT291" s="421">
        <v>1620</v>
      </c>
      <c r="BU291" s="655">
        <v>36</v>
      </c>
      <c r="BV291" s="655"/>
      <c r="BW291" s="421">
        <v>1620</v>
      </c>
      <c r="BX291" s="655">
        <v>36</v>
      </c>
      <c r="BY291" s="655"/>
      <c r="BZ291" s="421">
        <v>1620</v>
      </c>
      <c r="CA291" s="655">
        <v>36</v>
      </c>
      <c r="CB291" s="655"/>
      <c r="CC291" s="421">
        <v>1620</v>
      </c>
      <c r="CD291" s="655">
        <v>36</v>
      </c>
      <c r="CE291" s="655"/>
      <c r="CF291" s="421">
        <v>1620</v>
      </c>
      <c r="CG291" s="655">
        <v>36</v>
      </c>
      <c r="CH291" s="655"/>
      <c r="CI291" s="421">
        <v>1620</v>
      </c>
      <c r="CJ291" s="655">
        <v>36</v>
      </c>
      <c r="CK291" s="655"/>
      <c r="CL291" s="421">
        <v>1620</v>
      </c>
      <c r="CM291" s="655">
        <v>36</v>
      </c>
      <c r="CN291" s="655"/>
      <c r="CO291" s="421">
        <v>1620</v>
      </c>
      <c r="CP291" s="655">
        <v>36</v>
      </c>
      <c r="CQ291" s="655"/>
      <c r="CR291" s="421">
        <v>1620</v>
      </c>
      <c r="CS291" s="655">
        <v>36</v>
      </c>
      <c r="CT291" s="655"/>
      <c r="CU291" s="421">
        <v>1620</v>
      </c>
      <c r="CV291" s="655">
        <v>36</v>
      </c>
      <c r="CW291" s="655"/>
      <c r="CX291" s="421">
        <v>1620</v>
      </c>
      <c r="CY291" s="655">
        <v>36</v>
      </c>
      <c r="CZ291" s="655"/>
      <c r="DA291" s="421">
        <v>1620</v>
      </c>
      <c r="DB291" s="655">
        <v>36</v>
      </c>
      <c r="DC291" s="655"/>
      <c r="DD291" s="421">
        <v>1620</v>
      </c>
      <c r="DE291" s="655">
        <v>36</v>
      </c>
      <c r="DF291" s="655"/>
      <c r="DG291" s="421">
        <v>1620</v>
      </c>
      <c r="DH291" s="655">
        <v>36</v>
      </c>
      <c r="DI291" s="655"/>
      <c r="DJ291" s="421">
        <v>1620</v>
      </c>
      <c r="DK291" s="655">
        <v>36</v>
      </c>
      <c r="DL291" s="655"/>
      <c r="DM291" s="421">
        <v>1620</v>
      </c>
      <c r="DN291" s="655">
        <v>36</v>
      </c>
      <c r="DO291" s="655"/>
      <c r="DP291" s="421">
        <v>1620</v>
      </c>
      <c r="DQ291" s="655">
        <v>36</v>
      </c>
      <c r="DR291" s="655"/>
      <c r="DS291" s="421">
        <v>1620</v>
      </c>
      <c r="DT291" s="655">
        <v>36</v>
      </c>
      <c r="DU291" s="655"/>
      <c r="DV291" s="421">
        <v>1620</v>
      </c>
      <c r="DW291" s="655">
        <v>36</v>
      </c>
      <c r="DX291" s="655"/>
      <c r="DY291" s="421">
        <v>1620</v>
      </c>
      <c r="DZ291" s="655">
        <v>36</v>
      </c>
      <c r="EA291" s="655"/>
      <c r="EB291" s="421">
        <v>1620</v>
      </c>
      <c r="EC291" s="655">
        <v>36</v>
      </c>
      <c r="ED291" s="655"/>
      <c r="EE291" s="421">
        <v>1620</v>
      </c>
      <c r="EF291" s="655">
        <v>36</v>
      </c>
      <c r="EG291" s="655"/>
      <c r="EH291" s="421">
        <v>1620</v>
      </c>
      <c r="EI291" s="655">
        <v>36</v>
      </c>
      <c r="EJ291" s="655"/>
      <c r="EK291" s="421">
        <v>1620</v>
      </c>
      <c r="EL291" s="655">
        <v>36</v>
      </c>
      <c r="EM291" s="655"/>
      <c r="EN291" s="421">
        <v>1620</v>
      </c>
      <c r="EO291" s="655">
        <v>36</v>
      </c>
      <c r="EP291" s="655"/>
      <c r="EQ291" s="421">
        <v>1620</v>
      </c>
      <c r="ER291" s="655">
        <v>36</v>
      </c>
      <c r="ES291" s="655"/>
      <c r="ET291" s="421">
        <v>1620</v>
      </c>
      <c r="EU291" s="655">
        <v>36</v>
      </c>
      <c r="EV291" s="655"/>
      <c r="EW291" s="421">
        <v>1620</v>
      </c>
      <c r="EX291" s="655">
        <v>36</v>
      </c>
      <c r="EY291" s="655"/>
      <c r="EZ291" s="421">
        <v>1620</v>
      </c>
      <c r="FA291" s="655">
        <v>36</v>
      </c>
      <c r="FB291" s="655"/>
      <c r="FC291" s="421">
        <v>1620</v>
      </c>
      <c r="FD291" s="655">
        <v>36</v>
      </c>
      <c r="FE291" s="655"/>
      <c r="FF291" s="421">
        <v>1620</v>
      </c>
      <c r="FG291" s="655">
        <v>36</v>
      </c>
      <c r="FH291" s="655"/>
      <c r="FI291" s="421">
        <v>1620</v>
      </c>
      <c r="FJ291" s="655">
        <v>36</v>
      </c>
      <c r="FK291" s="655"/>
      <c r="FL291" s="421">
        <v>1620</v>
      </c>
      <c r="FM291" s="655">
        <v>36</v>
      </c>
      <c r="FN291" s="655"/>
      <c r="FO291" s="421">
        <v>1620</v>
      </c>
      <c r="FP291" s="655">
        <v>36</v>
      </c>
      <c r="FQ291" s="655"/>
      <c r="FR291" s="421">
        <v>1620</v>
      </c>
      <c r="FS291" s="655">
        <v>36</v>
      </c>
      <c r="FT291" s="655"/>
      <c r="FU291" s="421">
        <v>1620</v>
      </c>
      <c r="FV291" s="655">
        <v>36</v>
      </c>
      <c r="FW291" s="655"/>
      <c r="FX291" s="421">
        <v>1620</v>
      </c>
      <c r="FY291" s="655">
        <v>36</v>
      </c>
      <c r="FZ291" s="655"/>
      <c r="GA291" s="421">
        <v>1620</v>
      </c>
      <c r="GB291" s="655">
        <v>36</v>
      </c>
      <c r="GC291" s="655"/>
      <c r="GD291" s="421">
        <v>1620</v>
      </c>
      <c r="GE291" s="655">
        <v>36</v>
      </c>
      <c r="GF291" s="655"/>
      <c r="GG291" s="422">
        <v>1620</v>
      </c>
      <c r="GH291" s="517">
        <v>36</v>
      </c>
      <c r="GI291" s="517"/>
      <c r="GJ291" s="421">
        <v>1620</v>
      </c>
      <c r="GK291" s="655">
        <v>36</v>
      </c>
      <c r="GL291" s="655">
        <v>66</v>
      </c>
      <c r="GM291" s="421">
        <v>1620</v>
      </c>
      <c r="GN291" s="655">
        <v>36</v>
      </c>
      <c r="GO291" s="655">
        <v>66</v>
      </c>
      <c r="GP291" s="421">
        <v>1620</v>
      </c>
      <c r="GQ291" s="655">
        <v>36</v>
      </c>
      <c r="GR291" s="655">
        <v>66</v>
      </c>
      <c r="GS291" s="421">
        <v>1620</v>
      </c>
      <c r="GT291" s="655">
        <v>36</v>
      </c>
      <c r="GU291" s="655">
        <v>66</v>
      </c>
      <c r="GV291" s="421">
        <v>1620</v>
      </c>
      <c r="GW291" s="655">
        <v>36</v>
      </c>
      <c r="GX291" s="655">
        <v>66</v>
      </c>
      <c r="GY291" s="421">
        <v>1620</v>
      </c>
      <c r="GZ291" s="655">
        <v>36</v>
      </c>
      <c r="HA291" s="655">
        <v>66</v>
      </c>
      <c r="HB291" s="422">
        <v>3027.5409836065573</v>
      </c>
      <c r="HC291" s="517">
        <v>67.278688524590166</v>
      </c>
      <c r="HD291" s="517">
        <v>123.34426229508198</v>
      </c>
      <c r="HE291" s="567"/>
      <c r="HF291" s="567"/>
      <c r="HG291" s="567"/>
      <c r="HH291" s="567"/>
      <c r="HI291" s="567"/>
      <c r="HJ291" s="567"/>
      <c r="HK291" s="567"/>
      <c r="HL291" s="567"/>
      <c r="HM291" s="567"/>
      <c r="HN291" s="567"/>
      <c r="HO291" s="567"/>
      <c r="HP291" s="567"/>
      <c r="HQ291" s="567"/>
      <c r="HR291" s="567"/>
      <c r="HS291" s="567"/>
      <c r="HT291" s="567"/>
      <c r="HU291" s="567"/>
      <c r="HV291" s="567"/>
      <c r="HW291" s="567"/>
      <c r="HX291" s="587"/>
      <c r="HY291" s="587"/>
      <c r="HZ291" s="587"/>
      <c r="IA291" s="587"/>
      <c r="IB291" s="587"/>
      <c r="IC291" s="587"/>
      <c r="ID291" s="587"/>
      <c r="IE291" s="587"/>
      <c r="IF291" s="587"/>
      <c r="IG291" s="587"/>
      <c r="IH291" s="588"/>
      <c r="II291" s="589"/>
      <c r="IJ291" s="588"/>
      <c r="IK291" s="589"/>
      <c r="IL291" s="588"/>
      <c r="IM291" s="589"/>
      <c r="IN291" s="588"/>
      <c r="IO291" s="589"/>
      <c r="IP291" s="588"/>
      <c r="IQ291" s="589"/>
      <c r="IR291" s="552" t="s">
        <v>3487</v>
      </c>
      <c r="IS291" s="587" t="s">
        <v>77</v>
      </c>
      <c r="IT291" s="611">
        <v>43987</v>
      </c>
      <c r="IU291" s="518">
        <v>44044</v>
      </c>
      <c r="IV291" s="552"/>
      <c r="IW291" s="587">
        <f t="shared" si="33"/>
        <v>57</v>
      </c>
      <c r="IX291" s="701">
        <f t="shared" si="34"/>
        <v>99.263638806772377</v>
      </c>
      <c r="IY291" s="665">
        <v>3027.5409836065573</v>
      </c>
    </row>
    <row r="292" spans="1:259" s="367" customFormat="1" ht="16.5" customHeight="1" x14ac:dyDescent="0.3">
      <c r="A292" s="526" t="s">
        <v>2739</v>
      </c>
      <c r="B292" s="594" t="s">
        <v>2867</v>
      </c>
      <c r="C292" s="604" t="s">
        <v>1502</v>
      </c>
      <c r="D292" s="605">
        <v>290</v>
      </c>
      <c r="E292" s="606">
        <v>12</v>
      </c>
      <c r="F292" s="606">
        <v>18</v>
      </c>
      <c r="G292" s="606">
        <v>0</v>
      </c>
      <c r="H292" s="607">
        <v>0</v>
      </c>
      <c r="I292" s="844">
        <v>320</v>
      </c>
      <c r="J292" s="827"/>
      <c r="K292" s="827"/>
      <c r="L292" s="606">
        <v>320</v>
      </c>
      <c r="M292" s="827"/>
      <c r="N292" s="827"/>
      <c r="O292" s="606">
        <v>320</v>
      </c>
      <c r="P292" s="827"/>
      <c r="Q292" s="827"/>
      <c r="R292" s="606">
        <v>320</v>
      </c>
      <c r="S292" s="827"/>
      <c r="T292" s="827"/>
      <c r="U292" s="606">
        <v>320</v>
      </c>
      <c r="V292" s="827"/>
      <c r="W292" s="827"/>
      <c r="X292" s="606">
        <v>320</v>
      </c>
      <c r="Y292" s="827"/>
      <c r="Z292" s="827"/>
      <c r="AA292" s="606">
        <v>320</v>
      </c>
      <c r="AB292" s="827"/>
      <c r="AC292" s="827"/>
      <c r="AD292" s="606">
        <v>320</v>
      </c>
      <c r="AE292" s="827"/>
      <c r="AF292" s="827"/>
      <c r="AG292" s="606">
        <v>320</v>
      </c>
      <c r="AH292" s="827"/>
      <c r="AI292" s="827"/>
      <c r="AJ292" s="606">
        <v>320</v>
      </c>
      <c r="AK292" s="827"/>
      <c r="AL292" s="827"/>
      <c r="AM292" s="606">
        <v>320</v>
      </c>
      <c r="AN292" s="827"/>
      <c r="AO292" s="827"/>
      <c r="AP292" s="606">
        <v>320</v>
      </c>
      <c r="AQ292" s="827"/>
      <c r="AR292" s="827"/>
      <c r="AS292" s="909">
        <f>((320-268)/30.5)*31+320</f>
        <v>372.85245901639342</v>
      </c>
      <c r="AT292" s="827"/>
      <c r="AU292" s="827"/>
      <c r="AV292" s="597">
        <v>268</v>
      </c>
      <c r="AW292" s="827"/>
      <c r="AX292" s="827"/>
      <c r="AY292" s="597">
        <v>268</v>
      </c>
      <c r="AZ292" s="827"/>
      <c r="BA292" s="405"/>
      <c r="BB292" s="421">
        <v>268</v>
      </c>
      <c r="BC292" s="405"/>
      <c r="BD292" s="405"/>
      <c r="BE292" s="421">
        <v>268</v>
      </c>
      <c r="BF292" s="405"/>
      <c r="BG292" s="405"/>
      <c r="BH292" s="421">
        <v>268</v>
      </c>
      <c r="BI292" s="516"/>
      <c r="BJ292" s="516"/>
      <c r="BK292" s="421">
        <v>268</v>
      </c>
      <c r="BL292" s="516"/>
      <c r="BM292" s="516"/>
      <c r="BN292" s="421">
        <v>268</v>
      </c>
      <c r="BO292" s="516"/>
      <c r="BP292" s="516"/>
      <c r="BQ292" s="421">
        <v>268</v>
      </c>
      <c r="BR292" s="516"/>
      <c r="BS292" s="516"/>
      <c r="BT292" s="421">
        <v>268</v>
      </c>
      <c r="BU292" s="516"/>
      <c r="BV292" s="516"/>
      <c r="BW292" s="421">
        <v>268</v>
      </c>
      <c r="BX292" s="516"/>
      <c r="BY292" s="516"/>
      <c r="BZ292" s="421">
        <v>268</v>
      </c>
      <c r="CA292" s="516"/>
      <c r="CB292" s="516"/>
      <c r="CC292" s="421">
        <v>268</v>
      </c>
      <c r="CD292" s="516"/>
      <c r="CE292" s="516"/>
      <c r="CF292" s="421">
        <v>268</v>
      </c>
      <c r="CG292" s="516"/>
      <c r="CH292" s="516"/>
      <c r="CI292" s="421">
        <v>268</v>
      </c>
      <c r="CJ292" s="516"/>
      <c r="CK292" s="516"/>
      <c r="CL292" s="421">
        <v>268</v>
      </c>
      <c r="CM292" s="516"/>
      <c r="CN292" s="516"/>
      <c r="CO292" s="421">
        <v>268</v>
      </c>
      <c r="CP292" s="516"/>
      <c r="CQ292" s="516"/>
      <c r="CR292" s="421">
        <v>268</v>
      </c>
      <c r="CS292" s="516"/>
      <c r="CT292" s="516"/>
      <c r="CU292" s="421">
        <v>268</v>
      </c>
      <c r="CV292" s="516"/>
      <c r="CW292" s="516"/>
      <c r="CX292" s="421">
        <v>268</v>
      </c>
      <c r="CY292" s="516"/>
      <c r="CZ292" s="516"/>
      <c r="DA292" s="421">
        <v>268</v>
      </c>
      <c r="DB292" s="516"/>
      <c r="DC292" s="516"/>
      <c r="DD292" s="421">
        <v>268</v>
      </c>
      <c r="DE292" s="516"/>
      <c r="DF292" s="516"/>
      <c r="DG292" s="421">
        <v>268</v>
      </c>
      <c r="DH292" s="516"/>
      <c r="DI292" s="516"/>
      <c r="DJ292" s="421">
        <v>268</v>
      </c>
      <c r="DK292" s="516"/>
      <c r="DL292" s="516"/>
      <c r="DM292" s="421">
        <v>268</v>
      </c>
      <c r="DN292" s="516"/>
      <c r="DO292" s="516"/>
      <c r="DP292" s="421">
        <v>268</v>
      </c>
      <c r="DQ292" s="516"/>
      <c r="DR292" s="516"/>
      <c r="DS292" s="421">
        <v>268</v>
      </c>
      <c r="DT292" s="516"/>
      <c r="DU292" s="516"/>
      <c r="DV292" s="421">
        <v>268</v>
      </c>
      <c r="DW292" s="516"/>
      <c r="DX292" s="516"/>
      <c r="DY292" s="421">
        <v>268</v>
      </c>
      <c r="DZ292" s="516"/>
      <c r="EA292" s="516"/>
      <c r="EB292" s="421">
        <v>268</v>
      </c>
      <c r="EC292" s="516"/>
      <c r="ED292" s="516"/>
      <c r="EE292" s="421">
        <v>268</v>
      </c>
      <c r="EF292" s="516"/>
      <c r="EG292" s="516"/>
      <c r="EH292" s="421">
        <v>268</v>
      </c>
      <c r="EI292" s="516"/>
      <c r="EJ292" s="516"/>
      <c r="EK292" s="421">
        <v>268</v>
      </c>
      <c r="EL292" s="516"/>
      <c r="EM292" s="516"/>
      <c r="EN292" s="421">
        <v>268</v>
      </c>
      <c r="EO292" s="516"/>
      <c r="EP292" s="516"/>
      <c r="EQ292" s="421">
        <v>268</v>
      </c>
      <c r="ER292" s="516"/>
      <c r="ES292" s="516"/>
      <c r="ET292" s="421">
        <v>268</v>
      </c>
      <c r="EU292" s="516"/>
      <c r="EV292" s="516"/>
      <c r="EW292" s="421">
        <v>268</v>
      </c>
      <c r="EX292" s="516"/>
      <c r="EY292" s="516"/>
      <c r="EZ292" s="421">
        <v>268</v>
      </c>
      <c r="FA292" s="516"/>
      <c r="FB292" s="516"/>
      <c r="FC292" s="421">
        <v>268</v>
      </c>
      <c r="FD292" s="516"/>
      <c r="FE292" s="516"/>
      <c r="FF292" s="421">
        <v>268</v>
      </c>
      <c r="FG292" s="516"/>
      <c r="FH292" s="516"/>
      <c r="FI292" s="421">
        <v>268</v>
      </c>
      <c r="FJ292" s="516"/>
      <c r="FK292" s="516"/>
      <c r="FL292" s="421">
        <v>268</v>
      </c>
      <c r="FM292" s="516"/>
      <c r="FN292" s="516"/>
      <c r="FO292" s="421">
        <v>268</v>
      </c>
      <c r="FP292" s="516"/>
      <c r="FQ292" s="516"/>
      <c r="FR292" s="421">
        <v>268</v>
      </c>
      <c r="FS292" s="516"/>
      <c r="FT292" s="516"/>
      <c r="FU292" s="421">
        <v>268</v>
      </c>
      <c r="FV292" s="516"/>
      <c r="FW292" s="516"/>
      <c r="FX292" s="421">
        <v>268</v>
      </c>
      <c r="FY292" s="516"/>
      <c r="FZ292" s="516"/>
      <c r="GA292" s="421">
        <v>268</v>
      </c>
      <c r="GB292" s="516"/>
      <c r="GC292" s="516"/>
      <c r="GD292" s="421">
        <v>268</v>
      </c>
      <c r="GE292" s="516"/>
      <c r="GF292" s="516"/>
      <c r="GG292" s="421">
        <v>268</v>
      </c>
      <c r="GH292" s="516"/>
      <c r="GI292" s="516"/>
      <c r="GJ292" s="421">
        <v>268</v>
      </c>
      <c r="GK292" s="516"/>
      <c r="GL292" s="516"/>
      <c r="GM292" s="421">
        <v>268</v>
      </c>
      <c r="GN292" s="516"/>
      <c r="GO292" s="516"/>
      <c r="GP292" s="421">
        <v>268</v>
      </c>
      <c r="GQ292" s="516"/>
      <c r="GR292" s="516"/>
      <c r="GS292" s="421">
        <v>268</v>
      </c>
      <c r="GT292" s="516"/>
      <c r="GU292" s="516"/>
      <c r="GV292" s="421">
        <v>268</v>
      </c>
      <c r="GW292" s="516"/>
      <c r="GX292" s="516"/>
      <c r="GY292" s="421">
        <v>268</v>
      </c>
      <c r="GZ292" s="516"/>
      <c r="HA292" s="516"/>
      <c r="HB292" s="422">
        <v>448.13114754098365</v>
      </c>
      <c r="HC292" s="516"/>
      <c r="HD292" s="516"/>
      <c r="HE292" s="567"/>
      <c r="HF292" s="567"/>
      <c r="HG292" s="567"/>
      <c r="HH292" s="567"/>
      <c r="HI292" s="567"/>
      <c r="HJ292" s="567"/>
      <c r="HK292" s="567"/>
      <c r="HL292" s="567"/>
      <c r="HM292" s="567"/>
      <c r="HN292" s="567"/>
      <c r="HO292" s="567"/>
      <c r="HP292" s="567"/>
      <c r="HQ292" s="567"/>
      <c r="HR292" s="567"/>
      <c r="HS292" s="567"/>
      <c r="HT292" s="567"/>
      <c r="HU292" s="567"/>
      <c r="HV292" s="567"/>
      <c r="HW292" s="567"/>
      <c r="HX292" s="587"/>
      <c r="HY292" s="587"/>
      <c r="HZ292" s="587"/>
      <c r="IA292" s="587"/>
      <c r="IB292" s="587"/>
      <c r="IC292" s="587"/>
      <c r="ID292" s="587"/>
      <c r="IE292" s="587"/>
      <c r="IF292" s="587"/>
      <c r="IG292" s="587"/>
      <c r="IH292" s="588"/>
      <c r="II292" s="589"/>
      <c r="IJ292" s="588"/>
      <c r="IK292" s="589"/>
      <c r="IL292" s="588"/>
      <c r="IM292" s="589"/>
      <c r="IN292" s="588"/>
      <c r="IO292" s="589"/>
      <c r="IP292" s="588"/>
      <c r="IQ292" s="589"/>
      <c r="IR292" s="706" t="s">
        <v>3173</v>
      </c>
      <c r="IS292" s="587" t="s">
        <v>77</v>
      </c>
      <c r="IT292" s="611">
        <v>43993</v>
      </c>
      <c r="IU292" s="518">
        <v>44044</v>
      </c>
      <c r="IV292" s="552"/>
      <c r="IW292" s="587">
        <f t="shared" si="33"/>
        <v>51</v>
      </c>
      <c r="IX292" s="701">
        <f t="shared" si="34"/>
        <v>14.692824509540447</v>
      </c>
      <c r="IY292" s="665">
        <v>448.13114754098365</v>
      </c>
    </row>
    <row r="293" spans="1:259" s="367" customFormat="1" ht="16.5" customHeight="1" x14ac:dyDescent="0.3">
      <c r="A293" s="401" t="s">
        <v>3315</v>
      </c>
      <c r="B293" s="402" t="s">
        <v>3315</v>
      </c>
      <c r="C293" s="707" t="s">
        <v>3488</v>
      </c>
      <c r="D293" s="927"/>
      <c r="E293" s="928"/>
      <c r="F293" s="928"/>
      <c r="G293" s="928"/>
      <c r="H293" s="929"/>
      <c r="I293" s="853">
        <v>0</v>
      </c>
      <c r="J293" s="833">
        <v>0</v>
      </c>
      <c r="K293" s="833">
        <v>0</v>
      </c>
      <c r="L293" s="833">
        <v>0</v>
      </c>
      <c r="M293" s="833">
        <v>0</v>
      </c>
      <c r="N293" s="833">
        <v>0</v>
      </c>
      <c r="O293" s="833">
        <v>0</v>
      </c>
      <c r="P293" s="833">
        <v>0</v>
      </c>
      <c r="Q293" s="833">
        <v>0</v>
      </c>
      <c r="R293" s="833">
        <v>0</v>
      </c>
      <c r="S293" s="833">
        <v>0</v>
      </c>
      <c r="T293" s="833">
        <v>0</v>
      </c>
      <c r="U293" s="833">
        <v>0</v>
      </c>
      <c r="V293" s="833">
        <v>0</v>
      </c>
      <c r="W293" s="833">
        <v>0</v>
      </c>
      <c r="X293" s="833">
        <v>0</v>
      </c>
      <c r="Y293" s="833">
        <v>0</v>
      </c>
      <c r="Z293" s="833">
        <v>0</v>
      </c>
      <c r="AA293" s="833">
        <v>0</v>
      </c>
      <c r="AB293" s="833">
        <v>0</v>
      </c>
      <c r="AC293" s="833">
        <v>0</v>
      </c>
      <c r="AD293" s="833">
        <v>0</v>
      </c>
      <c r="AE293" s="833">
        <v>0</v>
      </c>
      <c r="AF293" s="833">
        <v>0</v>
      </c>
      <c r="AG293" s="833">
        <v>0</v>
      </c>
      <c r="AH293" s="833">
        <v>0</v>
      </c>
      <c r="AI293" s="833">
        <v>0</v>
      </c>
      <c r="AJ293" s="833">
        <v>0</v>
      </c>
      <c r="AK293" s="833">
        <v>0</v>
      </c>
      <c r="AL293" s="833">
        <v>0</v>
      </c>
      <c r="AM293" s="833">
        <v>0</v>
      </c>
      <c r="AN293" s="833">
        <v>0</v>
      </c>
      <c r="AO293" s="833">
        <v>0</v>
      </c>
      <c r="AP293" s="833">
        <v>0</v>
      </c>
      <c r="AQ293" s="833">
        <v>0</v>
      </c>
      <c r="AR293" s="833">
        <v>0</v>
      </c>
      <c r="AS293" s="833">
        <v>0</v>
      </c>
      <c r="AT293" s="833">
        <v>0</v>
      </c>
      <c r="AU293" s="833">
        <v>0</v>
      </c>
      <c r="AV293" s="635"/>
      <c r="AW293" s="660"/>
      <c r="AX293" s="660"/>
      <c r="AY293" s="635"/>
      <c r="AZ293" s="660"/>
      <c r="BA293" s="660"/>
      <c r="BB293" s="511"/>
      <c r="BC293" s="660"/>
      <c r="BD293" s="660"/>
      <c r="BE293" s="511"/>
      <c r="BF293" s="660"/>
      <c r="BG293" s="660"/>
      <c r="BH293" s="511"/>
      <c r="BI293" s="660"/>
      <c r="BJ293" s="660"/>
      <c r="BK293" s="511"/>
      <c r="BL293" s="660"/>
      <c r="BM293" s="660"/>
      <c r="BN293" s="511"/>
      <c r="BO293" s="660"/>
      <c r="BP293" s="660"/>
      <c r="BQ293" s="511"/>
      <c r="BR293" s="660"/>
      <c r="BS293" s="660"/>
      <c r="BT293" s="511"/>
      <c r="BU293" s="660"/>
      <c r="BV293" s="660"/>
      <c r="BW293" s="511"/>
      <c r="BX293" s="660"/>
      <c r="BY293" s="660"/>
      <c r="BZ293" s="511"/>
      <c r="CA293" s="660"/>
      <c r="CB293" s="660"/>
      <c r="CC293" s="511"/>
      <c r="CD293" s="660"/>
      <c r="CE293" s="660"/>
      <c r="CF293" s="511"/>
      <c r="CG293" s="660"/>
      <c r="CH293" s="660"/>
      <c r="CI293" s="511"/>
      <c r="CJ293" s="660"/>
      <c r="CK293" s="660"/>
      <c r="CL293" s="511"/>
      <c r="CM293" s="660"/>
      <c r="CN293" s="660"/>
      <c r="CO293" s="511"/>
      <c r="CP293" s="660"/>
      <c r="CQ293" s="660"/>
      <c r="CR293" s="511"/>
      <c r="CS293" s="660"/>
      <c r="CT293" s="660"/>
      <c r="CU293" s="511"/>
      <c r="CV293" s="660"/>
      <c r="CW293" s="660"/>
      <c r="CX293" s="511"/>
      <c r="CY293" s="660"/>
      <c r="CZ293" s="660"/>
      <c r="DA293" s="511"/>
      <c r="DB293" s="660"/>
      <c r="DC293" s="660"/>
      <c r="DD293" s="511"/>
      <c r="DE293" s="660"/>
      <c r="DF293" s="660"/>
      <c r="DG293" s="511"/>
      <c r="DH293" s="660"/>
      <c r="DI293" s="660"/>
      <c r="DJ293" s="511"/>
      <c r="DK293" s="660"/>
      <c r="DL293" s="660"/>
      <c r="DM293" s="511"/>
      <c r="DN293" s="660"/>
      <c r="DO293" s="660"/>
      <c r="DP293" s="511"/>
      <c r="DQ293" s="660"/>
      <c r="DR293" s="660"/>
      <c r="DS293" s="511"/>
      <c r="DT293" s="660"/>
      <c r="DU293" s="660"/>
      <c r="DV293" s="511"/>
      <c r="DW293" s="660"/>
      <c r="DX293" s="660"/>
      <c r="DY293" s="511"/>
      <c r="DZ293" s="660"/>
      <c r="EA293" s="660"/>
      <c r="EB293" s="511"/>
      <c r="EC293" s="660"/>
      <c r="ED293" s="660"/>
      <c r="EE293" s="511"/>
      <c r="EF293" s="660"/>
      <c r="EG293" s="660"/>
      <c r="EH293" s="511"/>
      <c r="EI293" s="660"/>
      <c r="EJ293" s="660"/>
      <c r="EK293" s="511"/>
      <c r="EL293" s="660"/>
      <c r="EM293" s="660"/>
      <c r="EN293" s="511"/>
      <c r="EO293" s="660"/>
      <c r="EP293" s="660"/>
      <c r="EQ293" s="511"/>
      <c r="ER293" s="660"/>
      <c r="ES293" s="660"/>
      <c r="ET293" s="511"/>
      <c r="EU293" s="660"/>
      <c r="EV293" s="660"/>
      <c r="EW293" s="511"/>
      <c r="EX293" s="660"/>
      <c r="EY293" s="660"/>
      <c r="EZ293" s="511"/>
      <c r="FA293" s="660"/>
      <c r="FB293" s="660"/>
      <c r="FC293" s="511"/>
      <c r="FD293" s="660"/>
      <c r="FE293" s="660"/>
      <c r="FF293" s="511"/>
      <c r="FG293" s="660"/>
      <c r="FH293" s="660"/>
      <c r="FI293" s="511"/>
      <c r="FJ293" s="660"/>
      <c r="FK293" s="660"/>
      <c r="FL293" s="511"/>
      <c r="FM293" s="660"/>
      <c r="FN293" s="660"/>
      <c r="FO293" s="511"/>
      <c r="FP293" s="660"/>
      <c r="FQ293" s="660"/>
      <c r="FR293" s="511"/>
      <c r="FS293" s="660"/>
      <c r="FT293" s="660"/>
      <c r="FU293" s="511"/>
      <c r="FV293" s="660"/>
      <c r="FW293" s="660"/>
      <c r="FX293" s="511"/>
      <c r="FY293" s="660"/>
      <c r="FZ293" s="660"/>
      <c r="GA293" s="511"/>
      <c r="GB293" s="660"/>
      <c r="GC293" s="660"/>
      <c r="GD293" s="511"/>
      <c r="GE293" s="660"/>
      <c r="GF293" s="660"/>
      <c r="GG293" s="511"/>
      <c r="GH293" s="660"/>
      <c r="GI293" s="660"/>
      <c r="GJ293" s="511"/>
      <c r="GK293" s="660"/>
      <c r="GL293" s="660"/>
      <c r="GM293" s="511"/>
      <c r="GN293" s="660"/>
      <c r="GO293" s="660"/>
      <c r="GP293" s="421">
        <v>1335</v>
      </c>
      <c r="GQ293" s="655">
        <v>14</v>
      </c>
      <c r="GR293" s="516"/>
      <c r="GS293" s="421">
        <v>1335</v>
      </c>
      <c r="GT293" s="655">
        <v>14</v>
      </c>
      <c r="GU293" s="516"/>
      <c r="GV293" s="421">
        <v>1335</v>
      </c>
      <c r="GW293" s="655">
        <v>14</v>
      </c>
      <c r="GX293" s="516"/>
      <c r="GY293" s="421">
        <v>1335</v>
      </c>
      <c r="GZ293" s="655">
        <v>14</v>
      </c>
      <c r="HA293" s="516"/>
      <c r="HB293" s="422">
        <v>1707.0491803278687</v>
      </c>
      <c r="HC293" s="517">
        <v>17.901639344262296</v>
      </c>
      <c r="HD293" s="516"/>
      <c r="HE293" s="567"/>
      <c r="HF293" s="567"/>
      <c r="HG293" s="567"/>
      <c r="HH293" s="567"/>
      <c r="HI293" s="567"/>
      <c r="HJ293" s="567"/>
      <c r="HK293" s="567"/>
      <c r="HL293" s="567"/>
      <c r="HM293" s="567"/>
      <c r="HN293" s="567"/>
      <c r="HO293" s="567"/>
      <c r="HP293" s="567"/>
      <c r="HQ293" s="567"/>
      <c r="HR293" s="567"/>
      <c r="HS293" s="567"/>
      <c r="HT293" s="567"/>
      <c r="HU293" s="567"/>
      <c r="HV293" s="567"/>
      <c r="HW293" s="567"/>
      <c r="HX293" s="587"/>
      <c r="HY293" s="587"/>
      <c r="HZ293" s="587"/>
      <c r="IA293" s="587"/>
      <c r="IB293" s="587"/>
      <c r="IC293" s="587"/>
      <c r="ID293" s="587"/>
      <c r="IE293" s="587"/>
      <c r="IF293" s="587"/>
      <c r="IG293" s="587"/>
      <c r="IH293" s="588"/>
      <c r="II293" s="589"/>
      <c r="IJ293" s="588"/>
      <c r="IK293" s="589"/>
      <c r="IL293" s="588"/>
      <c r="IM293" s="589"/>
      <c r="IN293" s="588"/>
      <c r="IO293" s="589"/>
      <c r="IP293" s="588"/>
      <c r="IQ293" s="589"/>
      <c r="IR293" s="552" t="s">
        <v>3489</v>
      </c>
      <c r="IS293" s="587" t="s">
        <v>77</v>
      </c>
      <c r="IT293" s="611">
        <v>44005</v>
      </c>
      <c r="IU293" s="518">
        <v>44044</v>
      </c>
      <c r="IV293" s="552"/>
      <c r="IW293" s="587">
        <f t="shared" si="33"/>
        <v>39</v>
      </c>
      <c r="IX293" s="701">
        <f t="shared" si="34"/>
        <v>55.968825584520289</v>
      </c>
      <c r="IY293" s="665">
        <v>1707.0491803278687</v>
      </c>
    </row>
    <row r="294" spans="1:259" s="367" customFormat="1" ht="16.5" customHeight="1" x14ac:dyDescent="0.3">
      <c r="A294" s="526" t="s">
        <v>2739</v>
      </c>
      <c r="B294" s="603" t="s">
        <v>2757</v>
      </c>
      <c r="C294" s="378" t="s">
        <v>1543</v>
      </c>
      <c r="D294" s="846">
        <f>(-199*12)+356</f>
        <v>-2032</v>
      </c>
      <c r="E294" s="846">
        <v>27</v>
      </c>
      <c r="F294" s="868">
        <v>0</v>
      </c>
      <c r="G294" s="868">
        <v>27</v>
      </c>
      <c r="H294" s="606">
        <v>0</v>
      </c>
      <c r="I294" s="664">
        <v>582</v>
      </c>
      <c r="J294" s="516">
        <v>27</v>
      </c>
      <c r="K294" s="827"/>
      <c r="L294" s="516">
        <v>582</v>
      </c>
      <c r="M294" s="516">
        <v>27</v>
      </c>
      <c r="N294" s="827"/>
      <c r="O294" s="516">
        <v>582</v>
      </c>
      <c r="P294" s="516">
        <v>27</v>
      </c>
      <c r="Q294" s="827"/>
      <c r="R294" s="516">
        <v>582</v>
      </c>
      <c r="S294" s="516">
        <v>27</v>
      </c>
      <c r="T294" s="827"/>
      <c r="U294" s="516">
        <v>582</v>
      </c>
      <c r="V294" s="516">
        <v>27</v>
      </c>
      <c r="W294" s="827"/>
      <c r="X294" s="516">
        <v>582</v>
      </c>
      <c r="Y294" s="516">
        <v>27</v>
      </c>
      <c r="Z294" s="827"/>
      <c r="AA294" s="516">
        <v>582</v>
      </c>
      <c r="AB294" s="516">
        <v>27</v>
      </c>
      <c r="AC294" s="827"/>
      <c r="AD294" s="516">
        <v>582</v>
      </c>
      <c r="AE294" s="516">
        <v>27</v>
      </c>
      <c r="AF294" s="827"/>
      <c r="AG294" s="516">
        <v>582</v>
      </c>
      <c r="AH294" s="516">
        <v>27</v>
      </c>
      <c r="AI294" s="827"/>
      <c r="AJ294" s="516">
        <v>582</v>
      </c>
      <c r="AK294" s="516">
        <v>27</v>
      </c>
      <c r="AL294" s="827"/>
      <c r="AM294" s="516">
        <v>582</v>
      </c>
      <c r="AN294" s="516">
        <v>27</v>
      </c>
      <c r="AO294" s="827"/>
      <c r="AP294" s="517">
        <f>((582-254)/30.5)*11+582</f>
        <v>700.29508196721315</v>
      </c>
      <c r="AQ294" s="517">
        <v>27</v>
      </c>
      <c r="AR294" s="827"/>
      <c r="AS294" s="517">
        <f>((582-254)/30.5)*11+582</f>
        <v>700.29508196721315</v>
      </c>
      <c r="AT294" s="517">
        <f>((27/30.5)*11+27)</f>
        <v>36.73770491803279</v>
      </c>
      <c r="AU294" s="827"/>
      <c r="AV294" s="597">
        <v>254</v>
      </c>
      <c r="AW294" s="827"/>
      <c r="AX294" s="827"/>
      <c r="AY294" s="597">
        <v>254</v>
      </c>
      <c r="AZ294" s="827"/>
      <c r="BA294" s="405"/>
      <c r="BB294" s="421">
        <v>254</v>
      </c>
      <c r="BC294" s="405"/>
      <c r="BD294" s="405"/>
      <c r="BE294" s="421">
        <v>254</v>
      </c>
      <c r="BF294" s="405"/>
      <c r="BG294" s="405"/>
      <c r="BH294" s="421">
        <v>254</v>
      </c>
      <c r="BI294" s="587"/>
      <c r="BJ294" s="587"/>
      <c r="BK294" s="421">
        <v>254</v>
      </c>
      <c r="BL294" s="587"/>
      <c r="BM294" s="587"/>
      <c r="BN294" s="421">
        <v>254</v>
      </c>
      <c r="BO294" s="587"/>
      <c r="BP294" s="587"/>
      <c r="BQ294" s="421">
        <v>254</v>
      </c>
      <c r="BR294" s="587"/>
      <c r="BS294" s="587"/>
      <c r="BT294" s="421">
        <v>254</v>
      </c>
      <c r="BU294" s="587"/>
      <c r="BV294" s="587"/>
      <c r="BW294" s="421">
        <v>254</v>
      </c>
      <c r="BX294" s="587"/>
      <c r="BY294" s="587"/>
      <c r="BZ294" s="421">
        <v>254</v>
      </c>
      <c r="CA294" s="587"/>
      <c r="CB294" s="587"/>
      <c r="CC294" s="421">
        <v>254</v>
      </c>
      <c r="CD294" s="587"/>
      <c r="CE294" s="587"/>
      <c r="CF294" s="421">
        <v>254</v>
      </c>
      <c r="CG294" s="587"/>
      <c r="CH294" s="587"/>
      <c r="CI294" s="421">
        <v>254</v>
      </c>
      <c r="CJ294" s="587"/>
      <c r="CK294" s="587"/>
      <c r="CL294" s="421">
        <v>254</v>
      </c>
      <c r="CM294" s="587"/>
      <c r="CN294" s="587"/>
      <c r="CO294" s="421">
        <v>254</v>
      </c>
      <c r="CP294" s="587"/>
      <c r="CQ294" s="587"/>
      <c r="CR294" s="421">
        <v>254</v>
      </c>
      <c r="CS294" s="587"/>
      <c r="CT294" s="587"/>
      <c r="CU294" s="421">
        <v>254</v>
      </c>
      <c r="CV294" s="587"/>
      <c r="CW294" s="587"/>
      <c r="CX294" s="421">
        <v>254</v>
      </c>
      <c r="CY294" s="587"/>
      <c r="CZ294" s="587"/>
      <c r="DA294" s="421">
        <v>254</v>
      </c>
      <c r="DB294" s="587"/>
      <c r="DC294" s="587"/>
      <c r="DD294" s="421">
        <v>254</v>
      </c>
      <c r="DE294" s="587"/>
      <c r="DF294" s="587"/>
      <c r="DG294" s="421">
        <v>254</v>
      </c>
      <c r="DH294" s="587"/>
      <c r="DI294" s="587"/>
      <c r="DJ294" s="421">
        <v>254</v>
      </c>
      <c r="DK294" s="587"/>
      <c r="DL294" s="587"/>
      <c r="DM294" s="421">
        <v>254</v>
      </c>
      <c r="DN294" s="587"/>
      <c r="DO294" s="587"/>
      <c r="DP294" s="421">
        <v>254</v>
      </c>
      <c r="DQ294" s="587"/>
      <c r="DR294" s="587"/>
      <c r="DS294" s="421">
        <v>254</v>
      </c>
      <c r="DT294" s="587"/>
      <c r="DU294" s="587"/>
      <c r="DV294" s="421">
        <v>254</v>
      </c>
      <c r="DW294" s="587"/>
      <c r="DX294" s="587"/>
      <c r="DY294" s="421">
        <v>254</v>
      </c>
      <c r="DZ294" s="587"/>
      <c r="EA294" s="587"/>
      <c r="EB294" s="421">
        <v>254</v>
      </c>
      <c r="EC294" s="587"/>
      <c r="ED294" s="587"/>
      <c r="EE294" s="421">
        <v>254</v>
      </c>
      <c r="EF294" s="587"/>
      <c r="EG294" s="587"/>
      <c r="EH294" s="421">
        <v>254</v>
      </c>
      <c r="EI294" s="587"/>
      <c r="EJ294" s="587"/>
      <c r="EK294" s="421">
        <v>254</v>
      </c>
      <c r="EL294" s="587"/>
      <c r="EM294" s="587"/>
      <c r="EN294" s="421">
        <v>254</v>
      </c>
      <c r="EO294" s="587"/>
      <c r="EP294" s="587"/>
      <c r="EQ294" s="421">
        <v>254</v>
      </c>
      <c r="ER294" s="587"/>
      <c r="ES294" s="587"/>
      <c r="ET294" s="421">
        <v>254</v>
      </c>
      <c r="EU294" s="587"/>
      <c r="EV294" s="587"/>
      <c r="EW294" s="421">
        <v>254</v>
      </c>
      <c r="EX294" s="587"/>
      <c r="EY294" s="587"/>
      <c r="EZ294" s="421">
        <v>254</v>
      </c>
      <c r="FA294" s="587"/>
      <c r="FB294" s="587"/>
      <c r="FC294" s="421">
        <v>254</v>
      </c>
      <c r="FD294" s="587"/>
      <c r="FE294" s="587"/>
      <c r="FF294" s="421">
        <v>254</v>
      </c>
      <c r="FG294" s="587"/>
      <c r="FH294" s="587"/>
      <c r="FI294" s="421">
        <v>254</v>
      </c>
      <c r="FJ294" s="587"/>
      <c r="FK294" s="587"/>
      <c r="FL294" s="421">
        <v>254</v>
      </c>
      <c r="FM294" s="587"/>
      <c r="FN294" s="587"/>
      <c r="FO294" s="421">
        <v>254</v>
      </c>
      <c r="FP294" s="587"/>
      <c r="FQ294" s="587"/>
      <c r="FR294" s="421">
        <v>254</v>
      </c>
      <c r="FS294" s="587"/>
      <c r="FT294" s="587"/>
      <c r="FU294" s="421">
        <v>254</v>
      </c>
      <c r="FV294" s="587"/>
      <c r="FW294" s="587"/>
      <c r="FX294" s="421">
        <v>254</v>
      </c>
      <c r="FY294" s="587"/>
      <c r="FZ294" s="587"/>
      <c r="GA294" s="421">
        <v>254</v>
      </c>
      <c r="GB294" s="587"/>
      <c r="GC294" s="587"/>
      <c r="GD294" s="421">
        <v>254</v>
      </c>
      <c r="GE294" s="587"/>
      <c r="GF294" s="587"/>
      <c r="GG294" s="421">
        <v>254</v>
      </c>
      <c r="GH294" s="587"/>
      <c r="GI294" s="587"/>
      <c r="GJ294" s="421">
        <v>254</v>
      </c>
      <c r="GK294" s="587"/>
      <c r="GL294" s="587"/>
      <c r="GM294" s="421">
        <v>254</v>
      </c>
      <c r="GN294" s="587"/>
      <c r="GO294" s="587"/>
      <c r="GP294" s="421">
        <v>254</v>
      </c>
      <c r="GQ294" s="587"/>
      <c r="GR294" s="587"/>
      <c r="GS294" s="421">
        <v>254</v>
      </c>
      <c r="GT294" s="587"/>
      <c r="GU294" s="587"/>
      <c r="GV294" s="421">
        <v>254</v>
      </c>
      <c r="GW294" s="587"/>
      <c r="GX294" s="587"/>
      <c r="GY294" s="421">
        <v>254</v>
      </c>
      <c r="GZ294" s="587"/>
      <c r="HA294" s="587"/>
      <c r="HB294" s="422">
        <v>324.7868852459016</v>
      </c>
      <c r="HC294" s="587"/>
      <c r="HD294" s="587"/>
      <c r="HE294" s="567"/>
      <c r="HF294" s="567"/>
      <c r="HG294" s="567"/>
      <c r="HH294" s="567"/>
      <c r="HI294" s="567"/>
      <c r="HJ294" s="567"/>
      <c r="HK294" s="567"/>
      <c r="HL294" s="567"/>
      <c r="HM294" s="567"/>
      <c r="HN294" s="567"/>
      <c r="HO294" s="567"/>
      <c r="HP294" s="567"/>
      <c r="HQ294" s="567"/>
      <c r="HR294" s="567"/>
      <c r="HS294" s="567"/>
      <c r="HT294" s="567"/>
      <c r="HU294" s="567"/>
      <c r="HV294" s="567"/>
      <c r="HW294" s="567"/>
      <c r="HX294" s="587"/>
      <c r="HY294" s="587"/>
      <c r="HZ294" s="587"/>
      <c r="IA294" s="587"/>
      <c r="IB294" s="587"/>
      <c r="IC294" s="587"/>
      <c r="ID294" s="587"/>
      <c r="IE294" s="587"/>
      <c r="IF294" s="587"/>
      <c r="IG294" s="587"/>
      <c r="IH294" s="588"/>
      <c r="II294" s="589"/>
      <c r="IJ294" s="588"/>
      <c r="IK294" s="589"/>
      <c r="IL294" s="588"/>
      <c r="IM294" s="589"/>
      <c r="IN294" s="588"/>
      <c r="IO294" s="589"/>
      <c r="IP294" s="588"/>
      <c r="IQ294" s="589"/>
      <c r="IR294" s="552" t="s">
        <v>3490</v>
      </c>
      <c r="IS294" s="587" t="s">
        <v>77</v>
      </c>
      <c r="IT294" s="611">
        <v>44005</v>
      </c>
      <c r="IU294" s="518">
        <v>44044</v>
      </c>
      <c r="IV294" s="552"/>
      <c r="IW294" s="587">
        <f t="shared" si="33"/>
        <v>39</v>
      </c>
      <c r="IX294" s="701">
        <f t="shared" si="34"/>
        <v>10.648750335931201</v>
      </c>
      <c r="IY294" s="708">
        <v>324.7868852459016</v>
      </c>
    </row>
    <row r="295" spans="1:259" s="367" customFormat="1" ht="16.5" customHeight="1" x14ac:dyDescent="0.3">
      <c r="A295" s="526" t="s">
        <v>2739</v>
      </c>
      <c r="B295" s="594" t="s">
        <v>2867</v>
      </c>
      <c r="C295" s="709" t="s">
        <v>1534</v>
      </c>
      <c r="D295" s="710">
        <v>290</v>
      </c>
      <c r="E295" s="711">
        <v>12</v>
      </c>
      <c r="F295" s="711">
        <v>0</v>
      </c>
      <c r="G295" s="711">
        <v>0</v>
      </c>
      <c r="H295" s="712">
        <v>0</v>
      </c>
      <c r="I295" s="844">
        <v>302</v>
      </c>
      <c r="J295" s="827"/>
      <c r="K295" s="827"/>
      <c r="L295" s="606">
        <v>302</v>
      </c>
      <c r="M295" s="827"/>
      <c r="N295" s="827"/>
      <c r="O295" s="606">
        <v>302</v>
      </c>
      <c r="P295" s="827"/>
      <c r="Q295" s="827"/>
      <c r="R295" s="606">
        <v>302</v>
      </c>
      <c r="S295" s="827"/>
      <c r="T295" s="827"/>
      <c r="U295" s="606">
        <v>302</v>
      </c>
      <c r="V295" s="827"/>
      <c r="W295" s="827"/>
      <c r="X295" s="606">
        <v>302</v>
      </c>
      <c r="Y295" s="827"/>
      <c r="Z295" s="827"/>
      <c r="AA295" s="606">
        <v>302</v>
      </c>
      <c r="AB295" s="827"/>
      <c r="AC295" s="827"/>
      <c r="AD295" s="606">
        <v>302</v>
      </c>
      <c r="AE295" s="827"/>
      <c r="AF295" s="827"/>
      <c r="AG295" s="606">
        <v>302</v>
      </c>
      <c r="AH295" s="827"/>
      <c r="AI295" s="827"/>
      <c r="AJ295" s="606">
        <v>302</v>
      </c>
      <c r="AK295" s="827"/>
      <c r="AL295" s="827"/>
      <c r="AM295" s="606">
        <v>302</v>
      </c>
      <c r="AN295" s="827"/>
      <c r="AO295" s="827"/>
      <c r="AP295" s="606">
        <v>302</v>
      </c>
      <c r="AQ295" s="827"/>
      <c r="AR295" s="827"/>
      <c r="AS295" s="909">
        <f>((320-254)/30.5)*31+302</f>
        <v>369.08196721311475</v>
      </c>
      <c r="AT295" s="827"/>
      <c r="AU295" s="827"/>
      <c r="AV295" s="659">
        <v>254</v>
      </c>
      <c r="AW295" s="827"/>
      <c r="AX295" s="827"/>
      <c r="AY295" s="659">
        <v>254</v>
      </c>
      <c r="AZ295" s="827"/>
      <c r="BA295" s="405"/>
      <c r="BB295" s="659">
        <v>254</v>
      </c>
      <c r="BC295" s="405"/>
      <c r="BD295" s="405"/>
      <c r="BE295" s="659">
        <v>254</v>
      </c>
      <c r="BF295" s="405"/>
      <c r="BG295" s="405"/>
      <c r="BH295" s="659">
        <v>254</v>
      </c>
      <c r="BI295" s="690"/>
      <c r="BJ295" s="602"/>
      <c r="BK295" s="659">
        <v>254</v>
      </c>
      <c r="BL295" s="690"/>
      <c r="BM295" s="602"/>
      <c r="BN295" s="659">
        <v>254</v>
      </c>
      <c r="BO295" s="690"/>
      <c r="BP295" s="602"/>
      <c r="BQ295" s="659">
        <v>254</v>
      </c>
      <c r="BR295" s="690"/>
      <c r="BS295" s="602"/>
      <c r="BT295" s="659">
        <v>254</v>
      </c>
      <c r="BU295" s="690"/>
      <c r="BV295" s="602"/>
      <c r="BW295" s="659">
        <v>254</v>
      </c>
      <c r="BX295" s="690"/>
      <c r="BY295" s="602"/>
      <c r="BZ295" s="659">
        <v>254</v>
      </c>
      <c r="CA295" s="690"/>
      <c r="CB295" s="602"/>
      <c r="CC295" s="659">
        <v>254</v>
      </c>
      <c r="CD295" s="690"/>
      <c r="CE295" s="602"/>
      <c r="CF295" s="659">
        <v>254</v>
      </c>
      <c r="CG295" s="690"/>
      <c r="CH295" s="602"/>
      <c r="CI295" s="659">
        <v>254</v>
      </c>
      <c r="CJ295" s="690"/>
      <c r="CK295" s="602"/>
      <c r="CL295" s="659">
        <v>254</v>
      </c>
      <c r="CM295" s="690"/>
      <c r="CN295" s="602"/>
      <c r="CO295" s="659">
        <v>254</v>
      </c>
      <c r="CP295" s="690"/>
      <c r="CQ295" s="602"/>
      <c r="CR295" s="659">
        <v>254</v>
      </c>
      <c r="CS295" s="690"/>
      <c r="CT295" s="602"/>
      <c r="CU295" s="659">
        <v>254</v>
      </c>
      <c r="CV295" s="690"/>
      <c r="CW295" s="602"/>
      <c r="CX295" s="659">
        <v>254</v>
      </c>
      <c r="CY295" s="690"/>
      <c r="CZ295" s="602"/>
      <c r="DA295" s="659">
        <v>254</v>
      </c>
      <c r="DB295" s="690"/>
      <c r="DC295" s="602"/>
      <c r="DD295" s="659">
        <v>254</v>
      </c>
      <c r="DE295" s="690"/>
      <c r="DF295" s="602"/>
      <c r="DG295" s="659">
        <v>254</v>
      </c>
      <c r="DH295" s="690"/>
      <c r="DI295" s="602"/>
      <c r="DJ295" s="659">
        <v>254</v>
      </c>
      <c r="DK295" s="690"/>
      <c r="DL295" s="602"/>
      <c r="DM295" s="659">
        <v>254</v>
      </c>
      <c r="DN295" s="690"/>
      <c r="DO295" s="602"/>
      <c r="DP295" s="659">
        <v>254</v>
      </c>
      <c r="DQ295" s="690"/>
      <c r="DR295" s="602"/>
      <c r="DS295" s="659">
        <v>254</v>
      </c>
      <c r="DT295" s="690"/>
      <c r="DU295" s="602"/>
      <c r="DV295" s="659">
        <v>254</v>
      </c>
      <c r="DW295" s="690"/>
      <c r="DX295" s="602"/>
      <c r="DY295" s="659">
        <v>254</v>
      </c>
      <c r="DZ295" s="690"/>
      <c r="EA295" s="602"/>
      <c r="EB295" s="659">
        <v>254</v>
      </c>
      <c r="EC295" s="690"/>
      <c r="ED295" s="602"/>
      <c r="EE295" s="659">
        <v>254</v>
      </c>
      <c r="EF295" s="690"/>
      <c r="EG295" s="602"/>
      <c r="EH295" s="659">
        <v>254</v>
      </c>
      <c r="EI295" s="690"/>
      <c r="EJ295" s="602"/>
      <c r="EK295" s="659">
        <v>254</v>
      </c>
      <c r="EL295" s="690"/>
      <c r="EM295" s="602"/>
      <c r="EN295" s="659">
        <v>254</v>
      </c>
      <c r="EO295" s="690"/>
      <c r="EP295" s="602"/>
      <c r="EQ295" s="659">
        <v>254</v>
      </c>
      <c r="ER295" s="690"/>
      <c r="ES295" s="602"/>
      <c r="ET295" s="659">
        <v>254</v>
      </c>
      <c r="EU295" s="690"/>
      <c r="EV295" s="602"/>
      <c r="EW295" s="659">
        <v>254</v>
      </c>
      <c r="EX295" s="690"/>
      <c r="EY295" s="602"/>
      <c r="EZ295" s="659">
        <v>254</v>
      </c>
      <c r="FA295" s="690"/>
      <c r="FB295" s="602"/>
      <c r="FC295" s="659">
        <v>254</v>
      </c>
      <c r="FD295" s="690"/>
      <c r="FE295" s="602"/>
      <c r="FF295" s="659">
        <v>254</v>
      </c>
      <c r="FG295" s="690"/>
      <c r="FH295" s="602"/>
      <c r="FI295" s="659">
        <v>254</v>
      </c>
      <c r="FJ295" s="690"/>
      <c r="FK295" s="602"/>
      <c r="FL295" s="659">
        <v>254</v>
      </c>
      <c r="FM295" s="690"/>
      <c r="FN295" s="602"/>
      <c r="FO295" s="659">
        <v>254</v>
      </c>
      <c r="FP295" s="690"/>
      <c r="FQ295" s="602"/>
      <c r="FR295" s="659">
        <v>254</v>
      </c>
      <c r="FS295" s="690"/>
      <c r="FT295" s="602"/>
      <c r="FU295" s="659">
        <v>254</v>
      </c>
      <c r="FV295" s="690"/>
      <c r="FW295" s="602"/>
      <c r="FX295" s="659">
        <v>254</v>
      </c>
      <c r="FY295" s="690"/>
      <c r="FZ295" s="602"/>
      <c r="GA295" s="659">
        <v>254</v>
      </c>
      <c r="GB295" s="690"/>
      <c r="GC295" s="602"/>
      <c r="GD295" s="659">
        <v>254</v>
      </c>
      <c r="GE295" s="690"/>
      <c r="GF295" s="602"/>
      <c r="GG295" s="659">
        <v>254</v>
      </c>
      <c r="GH295" s="690"/>
      <c r="GI295" s="602"/>
      <c r="GJ295" s="659">
        <v>254</v>
      </c>
      <c r="GK295" s="690"/>
      <c r="GL295" s="602"/>
      <c r="GM295" s="659">
        <v>254</v>
      </c>
      <c r="GN295" s="690"/>
      <c r="GO295" s="602"/>
      <c r="GP295" s="659">
        <v>254</v>
      </c>
      <c r="GQ295" s="690"/>
      <c r="GR295" s="602"/>
      <c r="GS295" s="659">
        <v>254</v>
      </c>
      <c r="GT295" s="690"/>
      <c r="GU295" s="602"/>
      <c r="GV295" s="659">
        <v>254</v>
      </c>
      <c r="GW295" s="690"/>
      <c r="GX295" s="602"/>
      <c r="GY295" s="713">
        <v>507.99999999999994</v>
      </c>
      <c r="GZ295" s="691"/>
      <c r="HA295" s="714"/>
      <c r="HB295" s="587"/>
      <c r="HC295" s="587"/>
      <c r="HD295" s="587"/>
      <c r="HE295" s="587"/>
      <c r="HF295" s="587"/>
      <c r="HG295" s="587"/>
      <c r="HH295" s="587"/>
      <c r="HI295" s="587"/>
      <c r="HJ295" s="587"/>
      <c r="HK295" s="587"/>
      <c r="HL295" s="587"/>
      <c r="HM295" s="587"/>
      <c r="HN295" s="587"/>
      <c r="HO295" s="587"/>
      <c r="HP295" s="587"/>
      <c r="HQ295" s="587"/>
      <c r="HR295" s="587"/>
      <c r="HS295" s="587"/>
      <c r="HT295" s="587"/>
      <c r="HU295" s="587"/>
      <c r="HV295" s="587"/>
      <c r="HW295" s="587"/>
      <c r="HX295" s="576"/>
      <c r="HY295" s="576"/>
      <c r="HZ295" s="576"/>
      <c r="IA295" s="576"/>
      <c r="IB295" s="576"/>
      <c r="IC295" s="576"/>
      <c r="ID295" s="576"/>
      <c r="IE295" s="576"/>
      <c r="IF295" s="576"/>
      <c r="IG295" s="576"/>
      <c r="IH295" s="577"/>
      <c r="II295" s="578"/>
      <c r="IJ295" s="577"/>
      <c r="IK295" s="578"/>
      <c r="IL295" s="577"/>
      <c r="IM295" s="578"/>
      <c r="IN295" s="577"/>
      <c r="IO295" s="578"/>
      <c r="IP295" s="577"/>
      <c r="IQ295" s="578"/>
      <c r="IR295" s="704" t="s">
        <v>3050</v>
      </c>
      <c r="IS295" s="587" t="s">
        <v>77</v>
      </c>
      <c r="IT295" s="602">
        <v>44014</v>
      </c>
      <c r="IU295" s="518">
        <v>44075</v>
      </c>
      <c r="IV295" s="552"/>
      <c r="IW295" s="526">
        <f t="shared" si="33"/>
        <v>61</v>
      </c>
      <c r="IX295" s="621">
        <f t="shared" ref="IX295:IX307" si="35">GY295/30.5</f>
        <v>16.655737704918032</v>
      </c>
      <c r="IY295" s="442">
        <v>507.99999999999994</v>
      </c>
    </row>
    <row r="296" spans="1:259" s="367" customFormat="1" ht="16.5" customHeight="1" x14ac:dyDescent="0.3">
      <c r="A296" s="401" t="s">
        <v>3315</v>
      </c>
      <c r="B296" s="402" t="s">
        <v>3315</v>
      </c>
      <c r="C296" s="608" t="s">
        <v>3491</v>
      </c>
      <c r="D296" s="634"/>
      <c r="E296" s="635"/>
      <c r="F296" s="635"/>
      <c r="G296" s="635"/>
      <c r="H296" s="636"/>
      <c r="I296" s="853">
        <v>0</v>
      </c>
      <c r="J296" s="833">
        <v>0</v>
      </c>
      <c r="K296" s="833">
        <v>0</v>
      </c>
      <c r="L296" s="833">
        <v>0</v>
      </c>
      <c r="M296" s="833">
        <v>0</v>
      </c>
      <c r="N296" s="833">
        <v>0</v>
      </c>
      <c r="O296" s="833">
        <v>0</v>
      </c>
      <c r="P296" s="833">
        <v>0</v>
      </c>
      <c r="Q296" s="833">
        <v>0</v>
      </c>
      <c r="R296" s="833">
        <v>0</v>
      </c>
      <c r="S296" s="833">
        <v>0</v>
      </c>
      <c r="T296" s="833">
        <v>0</v>
      </c>
      <c r="U296" s="833">
        <v>0</v>
      </c>
      <c r="V296" s="833">
        <v>0</v>
      </c>
      <c r="W296" s="833">
        <v>0</v>
      </c>
      <c r="X296" s="833">
        <v>0</v>
      </c>
      <c r="Y296" s="833">
        <v>0</v>
      </c>
      <c r="Z296" s="833">
        <v>0</v>
      </c>
      <c r="AA296" s="833">
        <v>0</v>
      </c>
      <c r="AB296" s="833">
        <v>0</v>
      </c>
      <c r="AC296" s="833">
        <v>0</v>
      </c>
      <c r="AD296" s="833">
        <v>0</v>
      </c>
      <c r="AE296" s="833">
        <v>0</v>
      </c>
      <c r="AF296" s="833">
        <v>0</v>
      </c>
      <c r="AG296" s="833">
        <v>0</v>
      </c>
      <c r="AH296" s="833">
        <v>0</v>
      </c>
      <c r="AI296" s="833">
        <v>0</v>
      </c>
      <c r="AJ296" s="833">
        <v>0</v>
      </c>
      <c r="AK296" s="833">
        <v>0</v>
      </c>
      <c r="AL296" s="833">
        <v>0</v>
      </c>
      <c r="AM296" s="833">
        <v>0</v>
      </c>
      <c r="AN296" s="833">
        <v>0</v>
      </c>
      <c r="AO296" s="833">
        <v>0</v>
      </c>
      <c r="AP296" s="833">
        <v>0</v>
      </c>
      <c r="AQ296" s="833">
        <v>0</v>
      </c>
      <c r="AR296" s="833">
        <v>0</v>
      </c>
      <c r="AS296" s="833">
        <v>0</v>
      </c>
      <c r="AT296" s="833">
        <v>0</v>
      </c>
      <c r="AU296" s="833">
        <v>0</v>
      </c>
      <c r="AV296" s="715">
        <v>0</v>
      </c>
      <c r="AW296" s="660"/>
      <c r="AX296" s="660"/>
      <c r="AY296" s="715">
        <v>0</v>
      </c>
      <c r="AZ296" s="660"/>
      <c r="BA296" s="716"/>
      <c r="BB296" s="715">
        <v>0</v>
      </c>
      <c r="BC296" s="652"/>
      <c r="BD296" s="716"/>
      <c r="BE296" s="715">
        <v>0</v>
      </c>
      <c r="BF296" s="652"/>
      <c r="BG296" s="716"/>
      <c r="BH296" s="715">
        <v>0</v>
      </c>
      <c r="BI296" s="652"/>
      <c r="BJ296" s="716"/>
      <c r="BK296" s="715">
        <v>0</v>
      </c>
      <c r="BL296" s="652"/>
      <c r="BM296" s="716"/>
      <c r="BN296" s="715">
        <v>0</v>
      </c>
      <c r="BO296" s="652"/>
      <c r="BP296" s="716"/>
      <c r="BQ296" s="715">
        <v>0</v>
      </c>
      <c r="BR296" s="652"/>
      <c r="BS296" s="716"/>
      <c r="BT296" s="715">
        <v>0</v>
      </c>
      <c r="BU296" s="652"/>
      <c r="BV296" s="716"/>
      <c r="BW296" s="715">
        <v>0</v>
      </c>
      <c r="BX296" s="652"/>
      <c r="BY296" s="716"/>
      <c r="BZ296" s="715">
        <v>0</v>
      </c>
      <c r="CA296" s="652"/>
      <c r="CB296" s="716"/>
      <c r="CC296" s="715">
        <v>0</v>
      </c>
      <c r="CD296" s="652"/>
      <c r="CE296" s="716"/>
      <c r="CF296" s="715">
        <v>0</v>
      </c>
      <c r="CG296" s="652"/>
      <c r="CH296" s="716"/>
      <c r="CI296" s="715">
        <v>0</v>
      </c>
      <c r="CJ296" s="652"/>
      <c r="CK296" s="716"/>
      <c r="CL296" s="659">
        <v>599</v>
      </c>
      <c r="CM296" s="690"/>
      <c r="CN296" s="602"/>
      <c r="CO296" s="659">
        <v>599</v>
      </c>
      <c r="CP296" s="690"/>
      <c r="CQ296" s="602"/>
      <c r="CR296" s="659">
        <v>599</v>
      </c>
      <c r="CS296" s="690"/>
      <c r="CT296" s="602"/>
      <c r="CU296" s="659">
        <v>599</v>
      </c>
      <c r="CV296" s="690"/>
      <c r="CW296" s="602"/>
      <c r="CX296" s="659">
        <v>599</v>
      </c>
      <c r="CY296" s="690"/>
      <c r="CZ296" s="602"/>
      <c r="DA296" s="659">
        <v>599</v>
      </c>
      <c r="DB296" s="690"/>
      <c r="DC296" s="602"/>
      <c r="DD296" s="659">
        <v>599</v>
      </c>
      <c r="DE296" s="690"/>
      <c r="DF296" s="602"/>
      <c r="DG296" s="659">
        <v>599</v>
      </c>
      <c r="DH296" s="690"/>
      <c r="DI296" s="602"/>
      <c r="DJ296" s="659">
        <v>599</v>
      </c>
      <c r="DK296" s="690"/>
      <c r="DL296" s="602"/>
      <c r="DM296" s="659">
        <v>599</v>
      </c>
      <c r="DN296" s="690"/>
      <c r="DO296" s="602"/>
      <c r="DP296" s="659">
        <v>599</v>
      </c>
      <c r="DQ296" s="690"/>
      <c r="DR296" s="602"/>
      <c r="DS296" s="659">
        <v>599</v>
      </c>
      <c r="DT296" s="690"/>
      <c r="DU296" s="602"/>
      <c r="DV296" s="659">
        <v>599</v>
      </c>
      <c r="DW296" s="690"/>
      <c r="DX296" s="602"/>
      <c r="DY296" s="659">
        <v>599</v>
      </c>
      <c r="DZ296" s="690"/>
      <c r="EA296" s="602"/>
      <c r="EB296" s="659">
        <v>599</v>
      </c>
      <c r="EC296" s="690"/>
      <c r="ED296" s="602"/>
      <c r="EE296" s="659">
        <v>599</v>
      </c>
      <c r="EF296" s="690"/>
      <c r="EG296" s="602"/>
      <c r="EH296" s="659">
        <v>599</v>
      </c>
      <c r="EI296" s="690"/>
      <c r="EJ296" s="602"/>
      <c r="EK296" s="659">
        <v>599</v>
      </c>
      <c r="EL296" s="690"/>
      <c r="EM296" s="602"/>
      <c r="EN296" s="659">
        <v>599</v>
      </c>
      <c r="EO296" s="690"/>
      <c r="EP296" s="602"/>
      <c r="EQ296" s="659">
        <v>599</v>
      </c>
      <c r="ER296" s="690"/>
      <c r="ES296" s="602"/>
      <c r="ET296" s="659">
        <v>599</v>
      </c>
      <c r="EU296" s="690"/>
      <c r="EV296" s="602"/>
      <c r="EW296" s="659">
        <v>599</v>
      </c>
      <c r="EX296" s="690"/>
      <c r="EY296" s="602"/>
      <c r="EZ296" s="659">
        <v>599</v>
      </c>
      <c r="FA296" s="690"/>
      <c r="FB296" s="602"/>
      <c r="FC296" s="659">
        <v>599</v>
      </c>
      <c r="FD296" s="690"/>
      <c r="FE296" s="602"/>
      <c r="FF296" s="659">
        <v>599</v>
      </c>
      <c r="FG296" s="690"/>
      <c r="FH296" s="602"/>
      <c r="FI296" s="659">
        <v>599</v>
      </c>
      <c r="FJ296" s="690"/>
      <c r="FK296" s="602"/>
      <c r="FL296" s="659">
        <v>599</v>
      </c>
      <c r="FM296" s="690"/>
      <c r="FN296" s="602"/>
      <c r="FO296" s="659">
        <v>599</v>
      </c>
      <c r="FP296" s="690"/>
      <c r="FQ296" s="602"/>
      <c r="FR296" s="659">
        <v>599</v>
      </c>
      <c r="FS296" s="690"/>
      <c r="FT296" s="602"/>
      <c r="FU296" s="659">
        <v>599</v>
      </c>
      <c r="FV296" s="690"/>
      <c r="FW296" s="602"/>
      <c r="FX296" s="659">
        <v>599</v>
      </c>
      <c r="FY296" s="690"/>
      <c r="FZ296" s="602"/>
      <c r="GA296" s="659">
        <v>599</v>
      </c>
      <c r="GB296" s="690"/>
      <c r="GC296" s="602"/>
      <c r="GD296" s="659">
        <v>599</v>
      </c>
      <c r="GE296" s="690"/>
      <c r="GF296" s="602"/>
      <c r="GG296" s="659">
        <v>599</v>
      </c>
      <c r="GH296" s="690"/>
      <c r="GI296" s="602"/>
      <c r="GJ296" s="659">
        <v>599</v>
      </c>
      <c r="GK296" s="690"/>
      <c r="GL296" s="602"/>
      <c r="GM296" s="659">
        <v>599</v>
      </c>
      <c r="GN296" s="690"/>
      <c r="GO296" s="602"/>
      <c r="GP296" s="659">
        <v>599</v>
      </c>
      <c r="GQ296" s="690"/>
      <c r="GR296" s="602"/>
      <c r="GS296" s="659">
        <v>599</v>
      </c>
      <c r="GT296" s="690"/>
      <c r="GU296" s="602"/>
      <c r="GV296" s="659">
        <v>599</v>
      </c>
      <c r="GW296" s="690"/>
      <c r="GX296" s="602"/>
      <c r="GY296" s="713">
        <v>903.40983606557381</v>
      </c>
      <c r="GZ296" s="691"/>
      <c r="HA296" s="714"/>
      <c r="HB296" s="587"/>
      <c r="HC296" s="587"/>
      <c r="HD296" s="587"/>
      <c r="HE296" s="587"/>
      <c r="HF296" s="587"/>
      <c r="HG296" s="587"/>
      <c r="HH296" s="587"/>
      <c r="HI296" s="587"/>
      <c r="HJ296" s="587"/>
      <c r="HK296" s="587"/>
      <c r="HL296" s="587"/>
      <c r="HM296" s="587"/>
      <c r="HN296" s="587"/>
      <c r="HO296" s="587"/>
      <c r="HP296" s="587"/>
      <c r="HQ296" s="587"/>
      <c r="HR296" s="587"/>
      <c r="HS296" s="587"/>
      <c r="HT296" s="587"/>
      <c r="HU296" s="587"/>
      <c r="HV296" s="587"/>
      <c r="HW296" s="587"/>
      <c r="HX296" s="576"/>
      <c r="HY296" s="576"/>
      <c r="HZ296" s="576"/>
      <c r="IA296" s="576"/>
      <c r="IB296" s="576"/>
      <c r="IC296" s="576"/>
      <c r="ID296" s="576"/>
      <c r="IE296" s="576"/>
      <c r="IF296" s="576"/>
      <c r="IG296" s="576"/>
      <c r="IH296" s="577"/>
      <c r="II296" s="578"/>
      <c r="IJ296" s="577"/>
      <c r="IK296" s="578"/>
      <c r="IL296" s="577"/>
      <c r="IM296" s="578"/>
      <c r="IN296" s="577"/>
      <c r="IO296" s="578"/>
      <c r="IP296" s="577"/>
      <c r="IQ296" s="578"/>
      <c r="IR296" s="717" t="s">
        <v>3492</v>
      </c>
      <c r="IS296" s="587" t="s">
        <v>77</v>
      </c>
      <c r="IT296" s="602">
        <v>44029</v>
      </c>
      <c r="IU296" s="518">
        <v>44075</v>
      </c>
      <c r="IV296" s="552"/>
      <c r="IW296" s="526">
        <f t="shared" si="33"/>
        <v>46</v>
      </c>
      <c r="IX296" s="621">
        <f t="shared" si="35"/>
        <v>29.61999462510078</v>
      </c>
      <c r="IY296" s="442">
        <v>903.40983606557381</v>
      </c>
    </row>
    <row r="297" spans="1:259" s="367" customFormat="1" ht="16.5" customHeight="1" x14ac:dyDescent="0.3">
      <c r="A297" s="401" t="s">
        <v>3315</v>
      </c>
      <c r="B297" s="402" t="s">
        <v>3315</v>
      </c>
      <c r="C297" s="707" t="s">
        <v>2779</v>
      </c>
      <c r="D297" s="927"/>
      <c r="E297" s="928"/>
      <c r="F297" s="928"/>
      <c r="G297" s="928"/>
      <c r="H297" s="929"/>
      <c r="I297" s="715"/>
      <c r="J297" s="660"/>
      <c r="K297" s="833"/>
      <c r="L297" s="715"/>
      <c r="M297" s="660"/>
      <c r="N297" s="833"/>
      <c r="O297" s="715"/>
      <c r="P297" s="660"/>
      <c r="Q297" s="833"/>
      <c r="R297" s="715">
        <v>610</v>
      </c>
      <c r="S297" s="660">
        <v>6</v>
      </c>
      <c r="T297" s="833"/>
      <c r="U297" s="659">
        <v>610</v>
      </c>
      <c r="V297" s="655">
        <v>6</v>
      </c>
      <c r="W297" s="827"/>
      <c r="X297" s="659">
        <v>610</v>
      </c>
      <c r="Y297" s="655">
        <v>6</v>
      </c>
      <c r="Z297" s="827"/>
      <c r="AA297" s="659">
        <v>610</v>
      </c>
      <c r="AB297" s="655">
        <v>6</v>
      </c>
      <c r="AC297" s="827"/>
      <c r="AD297" s="659">
        <v>610</v>
      </c>
      <c r="AE297" s="655">
        <v>6</v>
      </c>
      <c r="AF297" s="827"/>
      <c r="AG297" s="659">
        <v>610</v>
      </c>
      <c r="AH297" s="655">
        <v>6</v>
      </c>
      <c r="AI297" s="827"/>
      <c r="AJ297" s="659">
        <v>610</v>
      </c>
      <c r="AK297" s="655">
        <v>6</v>
      </c>
      <c r="AL297" s="827"/>
      <c r="AM297" s="659">
        <v>610</v>
      </c>
      <c r="AN297" s="655">
        <v>6</v>
      </c>
      <c r="AO297" s="827"/>
      <c r="AP297" s="659">
        <v>610</v>
      </c>
      <c r="AQ297" s="655">
        <v>6</v>
      </c>
      <c r="AR297" s="827"/>
      <c r="AS297" s="659">
        <v>610</v>
      </c>
      <c r="AT297" s="655">
        <v>6</v>
      </c>
      <c r="AU297" s="827"/>
      <c r="AV297" s="659">
        <v>610</v>
      </c>
      <c r="AW297" s="655">
        <v>6</v>
      </c>
      <c r="AX297" s="827"/>
      <c r="AY297" s="659">
        <v>610</v>
      </c>
      <c r="AZ297" s="655">
        <v>6</v>
      </c>
      <c r="BA297" s="405"/>
      <c r="BB297" s="659">
        <v>610</v>
      </c>
      <c r="BC297" s="655">
        <v>6</v>
      </c>
      <c r="BD297" s="405"/>
      <c r="BE297" s="659">
        <v>610</v>
      </c>
      <c r="BF297" s="655">
        <v>6</v>
      </c>
      <c r="BG297" s="405"/>
      <c r="BH297" s="659">
        <v>610</v>
      </c>
      <c r="BI297" s="655">
        <v>6</v>
      </c>
      <c r="BJ297" s="602"/>
      <c r="BK297" s="659">
        <v>610</v>
      </c>
      <c r="BL297" s="655">
        <v>6</v>
      </c>
      <c r="BM297" s="602"/>
      <c r="BN297" s="659">
        <v>610</v>
      </c>
      <c r="BO297" s="655">
        <v>6</v>
      </c>
      <c r="BP297" s="602"/>
      <c r="BQ297" s="659">
        <v>610</v>
      </c>
      <c r="BR297" s="655">
        <v>6</v>
      </c>
      <c r="BS297" s="602"/>
      <c r="BT297" s="659">
        <v>610</v>
      </c>
      <c r="BU297" s="655">
        <v>6</v>
      </c>
      <c r="BV297" s="602"/>
      <c r="BW297" s="659">
        <v>610</v>
      </c>
      <c r="BX297" s="655">
        <v>6</v>
      </c>
      <c r="BY297" s="602"/>
      <c r="BZ297" s="659">
        <v>610</v>
      </c>
      <c r="CA297" s="655">
        <v>6</v>
      </c>
      <c r="CB297" s="602"/>
      <c r="CC297" s="659">
        <v>610</v>
      </c>
      <c r="CD297" s="655">
        <v>6</v>
      </c>
      <c r="CE297" s="602"/>
      <c r="CF297" s="659">
        <v>610</v>
      </c>
      <c r="CG297" s="655">
        <v>6</v>
      </c>
      <c r="CH297" s="602"/>
      <c r="CI297" s="659">
        <v>610</v>
      </c>
      <c r="CJ297" s="655">
        <v>6</v>
      </c>
      <c r="CK297" s="602"/>
      <c r="CL297" s="659">
        <v>610</v>
      </c>
      <c r="CM297" s="655">
        <v>6</v>
      </c>
      <c r="CN297" s="602"/>
      <c r="CO297" s="659">
        <v>610</v>
      </c>
      <c r="CP297" s="655">
        <v>6</v>
      </c>
      <c r="CQ297" s="602"/>
      <c r="CR297" s="659">
        <v>610</v>
      </c>
      <c r="CS297" s="655">
        <v>6</v>
      </c>
      <c r="CT297" s="602"/>
      <c r="CU297" s="659">
        <v>610</v>
      </c>
      <c r="CV297" s="655">
        <v>6</v>
      </c>
      <c r="CW297" s="602"/>
      <c r="CX297" s="659">
        <v>610</v>
      </c>
      <c r="CY297" s="655">
        <v>6</v>
      </c>
      <c r="CZ297" s="602"/>
      <c r="DA297" s="659">
        <v>610</v>
      </c>
      <c r="DB297" s="655">
        <v>6</v>
      </c>
      <c r="DC297" s="602"/>
      <c r="DD297" s="659">
        <v>610</v>
      </c>
      <c r="DE297" s="655">
        <v>6</v>
      </c>
      <c r="DF297" s="602"/>
      <c r="DG297" s="659">
        <v>610</v>
      </c>
      <c r="DH297" s="655">
        <v>6</v>
      </c>
      <c r="DI297" s="602"/>
      <c r="DJ297" s="659">
        <v>610</v>
      </c>
      <c r="DK297" s="655">
        <v>6</v>
      </c>
      <c r="DL297" s="602"/>
      <c r="DM297" s="659">
        <v>610</v>
      </c>
      <c r="DN297" s="655">
        <v>6</v>
      </c>
      <c r="DO297" s="602"/>
      <c r="DP297" s="659">
        <v>610</v>
      </c>
      <c r="DQ297" s="655">
        <v>6</v>
      </c>
      <c r="DR297" s="602"/>
      <c r="DS297" s="659">
        <v>610</v>
      </c>
      <c r="DT297" s="655">
        <v>6</v>
      </c>
      <c r="DU297" s="602"/>
      <c r="DV297" s="659">
        <v>610</v>
      </c>
      <c r="DW297" s="655">
        <v>6</v>
      </c>
      <c r="DX297" s="602"/>
      <c r="DY297" s="659">
        <v>610</v>
      </c>
      <c r="DZ297" s="655">
        <v>6</v>
      </c>
      <c r="EA297" s="602"/>
      <c r="EB297" s="659">
        <v>610</v>
      </c>
      <c r="EC297" s="655">
        <v>6</v>
      </c>
      <c r="ED297" s="602"/>
      <c r="EE297" s="659">
        <v>610</v>
      </c>
      <c r="EF297" s="655">
        <v>6</v>
      </c>
      <c r="EG297" s="602"/>
      <c r="EH297" s="659">
        <v>610</v>
      </c>
      <c r="EI297" s="655">
        <v>6</v>
      </c>
      <c r="EJ297" s="602"/>
      <c r="EK297" s="659">
        <v>610</v>
      </c>
      <c r="EL297" s="655">
        <v>6</v>
      </c>
      <c r="EM297" s="602"/>
      <c r="EN297" s="659">
        <v>610</v>
      </c>
      <c r="EO297" s="655">
        <v>6</v>
      </c>
      <c r="EP297" s="602"/>
      <c r="EQ297" s="659">
        <v>610</v>
      </c>
      <c r="ER297" s="655">
        <v>6</v>
      </c>
      <c r="ES297" s="602"/>
      <c r="ET297" s="659">
        <v>610</v>
      </c>
      <c r="EU297" s="655">
        <v>6</v>
      </c>
      <c r="EV297" s="602"/>
      <c r="EW297" s="659">
        <v>610</v>
      </c>
      <c r="EX297" s="655">
        <v>6</v>
      </c>
      <c r="EY297" s="602"/>
      <c r="EZ297" s="659">
        <v>610</v>
      </c>
      <c r="FA297" s="655">
        <v>6</v>
      </c>
      <c r="FB297" s="602"/>
      <c r="FC297" s="659">
        <v>610</v>
      </c>
      <c r="FD297" s="655">
        <v>6</v>
      </c>
      <c r="FE297" s="602"/>
      <c r="FF297" s="659">
        <v>610</v>
      </c>
      <c r="FG297" s="655">
        <v>6</v>
      </c>
      <c r="FH297" s="602"/>
      <c r="FI297" s="659">
        <v>610</v>
      </c>
      <c r="FJ297" s="655">
        <v>6</v>
      </c>
      <c r="FK297" s="602"/>
      <c r="FL297" s="659">
        <v>610</v>
      </c>
      <c r="FM297" s="655">
        <v>6</v>
      </c>
      <c r="FN297" s="602"/>
      <c r="FO297" s="659">
        <v>610</v>
      </c>
      <c r="FP297" s="655">
        <v>6</v>
      </c>
      <c r="FQ297" s="602"/>
      <c r="FR297" s="659">
        <v>610</v>
      </c>
      <c r="FS297" s="655">
        <v>6</v>
      </c>
      <c r="FT297" s="602"/>
      <c r="FU297" s="659">
        <v>610</v>
      </c>
      <c r="FV297" s="655">
        <v>6</v>
      </c>
      <c r="FW297" s="602"/>
      <c r="FX297" s="659">
        <v>610</v>
      </c>
      <c r="FY297" s="655">
        <v>6</v>
      </c>
      <c r="FZ297" s="602"/>
      <c r="GA297" s="659">
        <v>610</v>
      </c>
      <c r="GB297" s="655">
        <v>6</v>
      </c>
      <c r="GC297" s="602"/>
      <c r="GD297" s="659">
        <v>610</v>
      </c>
      <c r="GE297" s="655">
        <v>6</v>
      </c>
      <c r="GF297" s="602"/>
      <c r="GG297" s="659">
        <v>610</v>
      </c>
      <c r="GH297" s="655">
        <v>6</v>
      </c>
      <c r="GI297" s="602"/>
      <c r="GJ297" s="659">
        <v>610</v>
      </c>
      <c r="GK297" s="655">
        <v>6</v>
      </c>
      <c r="GL297" s="602"/>
      <c r="GM297" s="659">
        <v>610</v>
      </c>
      <c r="GN297" s="655">
        <v>6</v>
      </c>
      <c r="GO297" s="602"/>
      <c r="GP297" s="659">
        <v>610</v>
      </c>
      <c r="GQ297" s="655">
        <v>6</v>
      </c>
      <c r="GR297" s="602"/>
      <c r="GS297" s="659">
        <v>610</v>
      </c>
      <c r="GT297" s="655">
        <v>6</v>
      </c>
      <c r="GU297" s="602"/>
      <c r="GV297" s="659">
        <v>610</v>
      </c>
      <c r="GW297" s="655">
        <v>6</v>
      </c>
      <c r="GX297" s="602"/>
      <c r="GY297" s="713">
        <v>1100</v>
      </c>
      <c r="GZ297" s="517">
        <v>10.819672131147541</v>
      </c>
      <c r="HA297" s="714"/>
      <c r="HB297" s="587"/>
      <c r="HC297" s="587"/>
      <c r="HD297" s="587"/>
      <c r="HE297" s="587"/>
      <c r="HF297" s="587"/>
      <c r="HG297" s="587"/>
      <c r="HH297" s="587"/>
      <c r="HI297" s="587"/>
      <c r="HJ297" s="587"/>
      <c r="HK297" s="587"/>
      <c r="HL297" s="587"/>
      <c r="HM297" s="587"/>
      <c r="HN297" s="587"/>
      <c r="HO297" s="587"/>
      <c r="HP297" s="587"/>
      <c r="HQ297" s="587"/>
      <c r="HR297" s="587"/>
      <c r="HS297" s="587"/>
      <c r="HT297" s="587"/>
      <c r="HU297" s="587"/>
      <c r="HV297" s="587"/>
      <c r="HW297" s="587"/>
      <c r="HX297" s="576"/>
      <c r="HY297" s="576"/>
      <c r="HZ297" s="576"/>
      <c r="IA297" s="576"/>
      <c r="IB297" s="576"/>
      <c r="IC297" s="576"/>
      <c r="ID297" s="576"/>
      <c r="IE297" s="576"/>
      <c r="IF297" s="576"/>
      <c r="IG297" s="576"/>
      <c r="IH297" s="577"/>
      <c r="II297" s="578"/>
      <c r="IJ297" s="577"/>
      <c r="IK297" s="578"/>
      <c r="IL297" s="577"/>
      <c r="IM297" s="578"/>
      <c r="IN297" s="577"/>
      <c r="IO297" s="578"/>
      <c r="IP297" s="577"/>
      <c r="IQ297" s="578"/>
      <c r="IR297" s="717" t="s">
        <v>2778</v>
      </c>
      <c r="IS297" s="587" t="s">
        <v>77</v>
      </c>
      <c r="IT297" s="602">
        <v>44020</v>
      </c>
      <c r="IU297" s="518">
        <v>44075</v>
      </c>
      <c r="IV297" s="552"/>
      <c r="IW297" s="526">
        <f t="shared" si="33"/>
        <v>55</v>
      </c>
      <c r="IX297" s="621">
        <f t="shared" si="35"/>
        <v>36.065573770491802</v>
      </c>
      <c r="IY297" s="442">
        <v>1100</v>
      </c>
    </row>
    <row r="298" spans="1:259" s="367" customFormat="1" ht="16.5" customHeight="1" x14ac:dyDescent="0.3">
      <c r="A298" s="526" t="s">
        <v>2785</v>
      </c>
      <c r="B298" s="594" t="s">
        <v>2867</v>
      </c>
      <c r="C298" s="378" t="s">
        <v>2071</v>
      </c>
      <c r="D298" s="890">
        <f>(18*12)+290</f>
        <v>506</v>
      </c>
      <c r="E298" s="832">
        <v>12</v>
      </c>
      <c r="F298" s="832">
        <v>18</v>
      </c>
      <c r="G298" s="832">
        <v>0</v>
      </c>
      <c r="H298" s="606">
        <v>0</v>
      </c>
      <c r="I298" s="664">
        <v>302</v>
      </c>
      <c r="J298" s="827"/>
      <c r="K298" s="827"/>
      <c r="L298" s="664">
        <v>302</v>
      </c>
      <c r="M298" s="827"/>
      <c r="N298" s="827"/>
      <c r="O298" s="664">
        <v>302</v>
      </c>
      <c r="P298" s="827"/>
      <c r="Q298" s="827"/>
      <c r="R298" s="664">
        <v>302</v>
      </c>
      <c r="S298" s="827"/>
      <c r="T298" s="827"/>
      <c r="U298" s="664">
        <v>302</v>
      </c>
      <c r="V298" s="827"/>
      <c r="W298" s="827"/>
      <c r="X298" s="664">
        <v>302</v>
      </c>
      <c r="Y298" s="827"/>
      <c r="Z298" s="827"/>
      <c r="AA298" s="664">
        <v>302</v>
      </c>
      <c r="AB298" s="827"/>
      <c r="AC298" s="827"/>
      <c r="AD298" s="664">
        <v>302</v>
      </c>
      <c r="AE298" s="827"/>
      <c r="AF298" s="827"/>
      <c r="AG298" s="664">
        <v>302</v>
      </c>
      <c r="AH298" s="827"/>
      <c r="AI298" s="827"/>
      <c r="AJ298" s="664">
        <v>302</v>
      </c>
      <c r="AK298" s="827"/>
      <c r="AL298" s="827"/>
      <c r="AM298" s="664">
        <v>302</v>
      </c>
      <c r="AN298" s="827"/>
      <c r="AO298" s="827"/>
      <c r="AP298" s="664">
        <v>302</v>
      </c>
      <c r="AQ298" s="827"/>
      <c r="AR298" s="827"/>
      <c r="AS298" s="718">
        <f>((302-272)/30.5)*31+302</f>
        <v>332.49180327868851</v>
      </c>
      <c r="AT298" s="827"/>
      <c r="AU298" s="827"/>
      <c r="AV298" s="659">
        <v>272</v>
      </c>
      <c r="AW298" s="827"/>
      <c r="AX298" s="827"/>
      <c r="AY298" s="659">
        <v>272</v>
      </c>
      <c r="AZ298" s="827"/>
      <c r="BA298" s="405"/>
      <c r="BB298" s="659">
        <v>272</v>
      </c>
      <c r="BC298" s="405"/>
      <c r="BD298" s="405"/>
      <c r="BE298" s="659">
        <v>272</v>
      </c>
      <c r="BF298" s="405"/>
      <c r="BG298" s="405"/>
      <c r="BH298" s="659">
        <v>272</v>
      </c>
      <c r="BI298" s="690"/>
      <c r="BJ298" s="602"/>
      <c r="BK298" s="659">
        <v>272</v>
      </c>
      <c r="BL298" s="690"/>
      <c r="BM298" s="602"/>
      <c r="BN298" s="659">
        <v>272</v>
      </c>
      <c r="BO298" s="690"/>
      <c r="BP298" s="602"/>
      <c r="BQ298" s="659">
        <v>272</v>
      </c>
      <c r="BR298" s="690"/>
      <c r="BS298" s="602"/>
      <c r="BT298" s="659">
        <v>272</v>
      </c>
      <c r="BU298" s="690"/>
      <c r="BV298" s="602"/>
      <c r="BW298" s="659">
        <v>272</v>
      </c>
      <c r="BX298" s="690"/>
      <c r="BY298" s="602"/>
      <c r="BZ298" s="659">
        <v>272</v>
      </c>
      <c r="CA298" s="690"/>
      <c r="CB298" s="602"/>
      <c r="CC298" s="659">
        <v>272</v>
      </c>
      <c r="CD298" s="690"/>
      <c r="CE298" s="602"/>
      <c r="CF298" s="659">
        <v>272</v>
      </c>
      <c r="CG298" s="690"/>
      <c r="CH298" s="602"/>
      <c r="CI298" s="659">
        <v>272</v>
      </c>
      <c r="CJ298" s="690"/>
      <c r="CK298" s="602"/>
      <c r="CL298" s="659">
        <v>272</v>
      </c>
      <c r="CM298" s="690"/>
      <c r="CN298" s="602"/>
      <c r="CO298" s="659">
        <v>272</v>
      </c>
      <c r="CP298" s="690"/>
      <c r="CQ298" s="602"/>
      <c r="CR298" s="659">
        <v>272</v>
      </c>
      <c r="CS298" s="690"/>
      <c r="CT298" s="602"/>
      <c r="CU298" s="659">
        <v>272</v>
      </c>
      <c r="CV298" s="690"/>
      <c r="CW298" s="602"/>
      <c r="CX298" s="659">
        <v>272</v>
      </c>
      <c r="CY298" s="690"/>
      <c r="CZ298" s="602"/>
      <c r="DA298" s="659">
        <v>272</v>
      </c>
      <c r="DB298" s="690"/>
      <c r="DC298" s="602"/>
      <c r="DD298" s="659">
        <v>272</v>
      </c>
      <c r="DE298" s="690"/>
      <c r="DF298" s="602"/>
      <c r="DG298" s="659">
        <v>272</v>
      </c>
      <c r="DH298" s="690"/>
      <c r="DI298" s="602"/>
      <c r="DJ298" s="659">
        <v>272</v>
      </c>
      <c r="DK298" s="690"/>
      <c r="DL298" s="602"/>
      <c r="DM298" s="659">
        <v>272</v>
      </c>
      <c r="DN298" s="690"/>
      <c r="DO298" s="602"/>
      <c r="DP298" s="659">
        <v>272</v>
      </c>
      <c r="DQ298" s="690"/>
      <c r="DR298" s="602"/>
      <c r="DS298" s="659">
        <v>272</v>
      </c>
      <c r="DT298" s="690"/>
      <c r="DU298" s="602"/>
      <c r="DV298" s="659">
        <v>272</v>
      </c>
      <c r="DW298" s="690"/>
      <c r="DX298" s="602"/>
      <c r="DY298" s="659">
        <v>272</v>
      </c>
      <c r="DZ298" s="690"/>
      <c r="EA298" s="602"/>
      <c r="EB298" s="659">
        <v>272</v>
      </c>
      <c r="EC298" s="690"/>
      <c r="ED298" s="602"/>
      <c r="EE298" s="659">
        <v>272</v>
      </c>
      <c r="EF298" s="690"/>
      <c r="EG298" s="602"/>
      <c r="EH298" s="659">
        <v>272</v>
      </c>
      <c r="EI298" s="690"/>
      <c r="EJ298" s="602"/>
      <c r="EK298" s="659">
        <v>272</v>
      </c>
      <c r="EL298" s="690"/>
      <c r="EM298" s="602"/>
      <c r="EN298" s="659">
        <v>272</v>
      </c>
      <c r="EO298" s="690"/>
      <c r="EP298" s="602"/>
      <c r="EQ298" s="659">
        <v>272</v>
      </c>
      <c r="ER298" s="690"/>
      <c r="ES298" s="602"/>
      <c r="ET298" s="659">
        <v>272</v>
      </c>
      <c r="EU298" s="690"/>
      <c r="EV298" s="602"/>
      <c r="EW298" s="659">
        <v>272</v>
      </c>
      <c r="EX298" s="690"/>
      <c r="EY298" s="602"/>
      <c r="EZ298" s="659">
        <v>272</v>
      </c>
      <c r="FA298" s="690"/>
      <c r="FB298" s="602"/>
      <c r="FC298" s="659">
        <v>272</v>
      </c>
      <c r="FD298" s="690"/>
      <c r="FE298" s="602"/>
      <c r="FF298" s="659">
        <v>272</v>
      </c>
      <c r="FG298" s="690"/>
      <c r="FH298" s="602"/>
      <c r="FI298" s="659">
        <v>272</v>
      </c>
      <c r="FJ298" s="690"/>
      <c r="FK298" s="602"/>
      <c r="FL298" s="659">
        <v>272</v>
      </c>
      <c r="FM298" s="690"/>
      <c r="FN298" s="602"/>
      <c r="FO298" s="659">
        <v>272</v>
      </c>
      <c r="FP298" s="690"/>
      <c r="FQ298" s="602"/>
      <c r="FR298" s="659">
        <v>272</v>
      </c>
      <c r="FS298" s="690"/>
      <c r="FT298" s="602"/>
      <c r="FU298" s="659">
        <v>272</v>
      </c>
      <c r="FV298" s="690"/>
      <c r="FW298" s="602"/>
      <c r="FX298" s="659">
        <v>272</v>
      </c>
      <c r="FY298" s="690"/>
      <c r="FZ298" s="602"/>
      <c r="GA298" s="659">
        <v>272</v>
      </c>
      <c r="GB298" s="690"/>
      <c r="GC298" s="602"/>
      <c r="GD298" s="659">
        <v>272</v>
      </c>
      <c r="GE298" s="690"/>
      <c r="GF298" s="602"/>
      <c r="GG298" s="659">
        <v>272</v>
      </c>
      <c r="GH298" s="690"/>
      <c r="GI298" s="602"/>
      <c r="GJ298" s="659">
        <v>272</v>
      </c>
      <c r="GK298" s="690"/>
      <c r="GL298" s="602"/>
      <c r="GM298" s="659">
        <v>272</v>
      </c>
      <c r="GN298" s="690"/>
      <c r="GO298" s="602"/>
      <c r="GP298" s="659">
        <v>272</v>
      </c>
      <c r="GQ298" s="690"/>
      <c r="GR298" s="602"/>
      <c r="GS298" s="659">
        <v>272</v>
      </c>
      <c r="GT298" s="690"/>
      <c r="GU298" s="602"/>
      <c r="GV298" s="659">
        <v>272</v>
      </c>
      <c r="GW298" s="690"/>
      <c r="GX298" s="602"/>
      <c r="GY298" s="713">
        <v>535.08196721311469</v>
      </c>
      <c r="GZ298" s="691"/>
      <c r="HA298" s="714"/>
      <c r="HB298" s="587"/>
      <c r="HC298" s="587"/>
      <c r="HD298" s="587"/>
      <c r="HE298" s="587"/>
      <c r="HF298" s="587"/>
      <c r="HG298" s="587"/>
      <c r="HH298" s="587"/>
      <c r="HI298" s="587"/>
      <c r="HJ298" s="587"/>
      <c r="HK298" s="587"/>
      <c r="HL298" s="587"/>
      <c r="HM298" s="587"/>
      <c r="HN298" s="587"/>
      <c r="HO298" s="587"/>
      <c r="HP298" s="587"/>
      <c r="HQ298" s="587"/>
      <c r="HR298" s="587"/>
      <c r="HS298" s="587"/>
      <c r="HT298" s="587"/>
      <c r="HU298" s="587"/>
      <c r="HV298" s="587"/>
      <c r="HW298" s="587"/>
      <c r="HX298" s="576"/>
      <c r="HY298" s="576"/>
      <c r="HZ298" s="576"/>
      <c r="IA298" s="576"/>
      <c r="IB298" s="576"/>
      <c r="IC298" s="576"/>
      <c r="ID298" s="576"/>
      <c r="IE298" s="576"/>
      <c r="IF298" s="576"/>
      <c r="IG298" s="576"/>
      <c r="IH298" s="577"/>
      <c r="II298" s="578"/>
      <c r="IJ298" s="577"/>
      <c r="IK298" s="578"/>
      <c r="IL298" s="577"/>
      <c r="IM298" s="578"/>
      <c r="IN298" s="577"/>
      <c r="IO298" s="578"/>
      <c r="IP298" s="577"/>
      <c r="IQ298" s="578"/>
      <c r="IR298" s="552" t="s">
        <v>2872</v>
      </c>
      <c r="IS298" s="587" t="s">
        <v>77</v>
      </c>
      <c r="IT298" s="602">
        <v>44015</v>
      </c>
      <c r="IU298" s="518">
        <v>44075</v>
      </c>
      <c r="IV298" s="552"/>
      <c r="IW298" s="526">
        <f t="shared" si="33"/>
        <v>60</v>
      </c>
      <c r="IX298" s="621">
        <f t="shared" si="35"/>
        <v>17.543671056167696</v>
      </c>
      <c r="IY298" s="442">
        <v>535.08196721311469</v>
      </c>
    </row>
    <row r="299" spans="1:259" s="367" customFormat="1" ht="16.5" customHeight="1" x14ac:dyDescent="0.3">
      <c r="A299" s="526" t="s">
        <v>3085</v>
      </c>
      <c r="B299" s="594" t="s">
        <v>2791</v>
      </c>
      <c r="C299" s="675" t="s">
        <v>2307</v>
      </c>
      <c r="D299" s="676">
        <v>1454</v>
      </c>
      <c r="E299" s="677">
        <v>95</v>
      </c>
      <c r="F299" s="677">
        <v>40</v>
      </c>
      <c r="G299" s="677">
        <v>36</v>
      </c>
      <c r="H299" s="678">
        <v>0</v>
      </c>
      <c r="I299" s="659">
        <v>1588</v>
      </c>
      <c r="J299" s="655">
        <v>36</v>
      </c>
      <c r="K299" s="827"/>
      <c r="L299" s="655">
        <v>1588</v>
      </c>
      <c r="M299" s="655">
        <v>36</v>
      </c>
      <c r="N299" s="827"/>
      <c r="O299" s="655">
        <v>1588</v>
      </c>
      <c r="P299" s="655">
        <v>36</v>
      </c>
      <c r="Q299" s="827"/>
      <c r="R299" s="655">
        <v>1588</v>
      </c>
      <c r="S299" s="655">
        <v>36</v>
      </c>
      <c r="T299" s="827"/>
      <c r="U299" s="655">
        <v>1588</v>
      </c>
      <c r="V299" s="655">
        <v>36</v>
      </c>
      <c r="W299" s="827"/>
      <c r="X299" s="655">
        <v>1588</v>
      </c>
      <c r="Y299" s="655">
        <v>36</v>
      </c>
      <c r="Z299" s="827"/>
      <c r="AA299" s="655">
        <v>1588</v>
      </c>
      <c r="AB299" s="655">
        <v>36</v>
      </c>
      <c r="AC299" s="827"/>
      <c r="AD299" s="655">
        <v>1588</v>
      </c>
      <c r="AE299" s="655">
        <v>36</v>
      </c>
      <c r="AF299" s="827"/>
      <c r="AG299" s="655">
        <v>1588</v>
      </c>
      <c r="AH299" s="655">
        <v>36</v>
      </c>
      <c r="AI299" s="827"/>
      <c r="AJ299" s="655">
        <v>1588</v>
      </c>
      <c r="AK299" s="655">
        <v>36</v>
      </c>
      <c r="AL299" s="827"/>
      <c r="AM299" s="655">
        <v>1588</v>
      </c>
      <c r="AN299" s="655">
        <v>36</v>
      </c>
      <c r="AO299" s="827"/>
      <c r="AP299" s="655">
        <v>1588</v>
      </c>
      <c r="AQ299" s="655">
        <v>36</v>
      </c>
      <c r="AR299" s="827"/>
      <c r="AS299" s="655">
        <v>1588</v>
      </c>
      <c r="AT299" s="655">
        <v>36</v>
      </c>
      <c r="AU299" s="827"/>
      <c r="AV299" s="655">
        <v>1588</v>
      </c>
      <c r="AW299" s="655">
        <v>36</v>
      </c>
      <c r="AX299" s="827"/>
      <c r="AY299" s="655">
        <v>1588</v>
      </c>
      <c r="AZ299" s="655">
        <v>36</v>
      </c>
      <c r="BA299" s="405"/>
      <c r="BB299" s="655">
        <v>1588</v>
      </c>
      <c r="BC299" s="655">
        <v>36</v>
      </c>
      <c r="BD299" s="405"/>
      <c r="BE299" s="655">
        <v>1588</v>
      </c>
      <c r="BF299" s="655">
        <v>36</v>
      </c>
      <c r="BG299" s="405"/>
      <c r="BH299" s="655">
        <v>1588</v>
      </c>
      <c r="BI299" s="655">
        <v>36</v>
      </c>
      <c r="BJ299" s="602"/>
      <c r="BK299" s="655">
        <v>1588</v>
      </c>
      <c r="BL299" s="655">
        <v>36</v>
      </c>
      <c r="BM299" s="602"/>
      <c r="BN299" s="655">
        <v>1588</v>
      </c>
      <c r="BO299" s="655">
        <v>36</v>
      </c>
      <c r="BP299" s="602"/>
      <c r="BQ299" s="655">
        <v>1588</v>
      </c>
      <c r="BR299" s="655">
        <v>36</v>
      </c>
      <c r="BS299" s="602"/>
      <c r="BT299" s="655">
        <v>1588</v>
      </c>
      <c r="BU299" s="655">
        <v>36</v>
      </c>
      <c r="BV299" s="602"/>
      <c r="BW299" s="655">
        <v>1588</v>
      </c>
      <c r="BX299" s="655">
        <v>36</v>
      </c>
      <c r="BY299" s="602"/>
      <c r="BZ299" s="655">
        <v>1588</v>
      </c>
      <c r="CA299" s="655">
        <v>36</v>
      </c>
      <c r="CB299" s="602"/>
      <c r="CC299" s="655">
        <v>1588</v>
      </c>
      <c r="CD299" s="655">
        <v>36</v>
      </c>
      <c r="CE299" s="602"/>
      <c r="CF299" s="655">
        <v>1588</v>
      </c>
      <c r="CG299" s="655">
        <v>36</v>
      </c>
      <c r="CH299" s="602"/>
      <c r="CI299" s="655">
        <v>1588</v>
      </c>
      <c r="CJ299" s="655">
        <v>36</v>
      </c>
      <c r="CK299" s="602"/>
      <c r="CL299" s="655">
        <v>1588</v>
      </c>
      <c r="CM299" s="655">
        <v>36</v>
      </c>
      <c r="CN299" s="602"/>
      <c r="CO299" s="655">
        <v>1588</v>
      </c>
      <c r="CP299" s="655">
        <v>36</v>
      </c>
      <c r="CQ299" s="602"/>
      <c r="CR299" s="517">
        <f>((1588-1299)/30.5)*30+1588</f>
        <v>1872.2622950819673</v>
      </c>
      <c r="CS299" s="517">
        <f>((36-5)/30.5)*30+36</f>
        <v>66.491803278688522</v>
      </c>
      <c r="CT299" s="714"/>
      <c r="CU299" s="655">
        <v>1299</v>
      </c>
      <c r="CV299" s="655">
        <v>5</v>
      </c>
      <c r="CW299" s="602"/>
      <c r="CX299" s="655">
        <v>1299</v>
      </c>
      <c r="CY299" s="655">
        <v>5</v>
      </c>
      <c r="CZ299" s="602"/>
      <c r="DA299" s="655">
        <v>1299</v>
      </c>
      <c r="DB299" s="655">
        <v>5</v>
      </c>
      <c r="DC299" s="602"/>
      <c r="DD299" s="655">
        <v>1299</v>
      </c>
      <c r="DE299" s="655">
        <v>5</v>
      </c>
      <c r="DF299" s="602"/>
      <c r="DG299" s="655">
        <v>1299</v>
      </c>
      <c r="DH299" s="655">
        <v>5</v>
      </c>
      <c r="DI299" s="602"/>
      <c r="DJ299" s="655">
        <v>1299</v>
      </c>
      <c r="DK299" s="655">
        <v>5</v>
      </c>
      <c r="DL299" s="602"/>
      <c r="DM299" s="655">
        <v>1299</v>
      </c>
      <c r="DN299" s="655">
        <v>5</v>
      </c>
      <c r="DO299" s="602"/>
      <c r="DP299" s="655">
        <v>1299</v>
      </c>
      <c r="DQ299" s="655">
        <v>5</v>
      </c>
      <c r="DR299" s="602"/>
      <c r="DS299" s="655">
        <v>1299</v>
      </c>
      <c r="DT299" s="655">
        <v>5</v>
      </c>
      <c r="DU299" s="602"/>
      <c r="DV299" s="655">
        <v>1299</v>
      </c>
      <c r="DW299" s="655">
        <v>5</v>
      </c>
      <c r="DX299" s="602"/>
      <c r="DY299" s="655">
        <v>1299</v>
      </c>
      <c r="DZ299" s="655">
        <v>5</v>
      </c>
      <c r="EA299" s="602"/>
      <c r="EB299" s="655">
        <v>1299</v>
      </c>
      <c r="EC299" s="655">
        <v>5</v>
      </c>
      <c r="ED299" s="602"/>
      <c r="EE299" s="655">
        <v>1299</v>
      </c>
      <c r="EF299" s="655">
        <v>5</v>
      </c>
      <c r="EG299" s="602"/>
      <c r="EH299" s="655">
        <v>1299</v>
      </c>
      <c r="EI299" s="655">
        <v>5</v>
      </c>
      <c r="EJ299" s="602"/>
      <c r="EK299" s="655">
        <v>1299</v>
      </c>
      <c r="EL299" s="655">
        <v>5</v>
      </c>
      <c r="EM299" s="602"/>
      <c r="EN299" s="655">
        <v>1299</v>
      </c>
      <c r="EO299" s="655">
        <v>5</v>
      </c>
      <c r="EP299" s="602"/>
      <c r="EQ299" s="655">
        <v>1299</v>
      </c>
      <c r="ER299" s="655">
        <v>5</v>
      </c>
      <c r="ES299" s="602"/>
      <c r="ET299" s="655">
        <v>1299</v>
      </c>
      <c r="EU299" s="655">
        <v>5</v>
      </c>
      <c r="EV299" s="602"/>
      <c r="EW299" s="655">
        <v>1299</v>
      </c>
      <c r="EX299" s="655">
        <v>5</v>
      </c>
      <c r="EY299" s="602"/>
      <c r="EZ299" s="517">
        <f>((1299-1233)/30)*17+1299</f>
        <v>1336.4</v>
      </c>
      <c r="FA299" s="517">
        <f>((5/30)*17)+5</f>
        <v>7.833333333333333</v>
      </c>
      <c r="FB299" s="714"/>
      <c r="FC299" s="655">
        <v>1233</v>
      </c>
      <c r="FD299" s="690"/>
      <c r="FE299" s="602"/>
      <c r="FF299" s="655">
        <v>1233</v>
      </c>
      <c r="FG299" s="690"/>
      <c r="FH299" s="602"/>
      <c r="FI299" s="655">
        <v>1233</v>
      </c>
      <c r="FJ299" s="690"/>
      <c r="FK299" s="602"/>
      <c r="FL299" s="719">
        <v>1233</v>
      </c>
      <c r="FM299" s="720"/>
      <c r="FN299" s="602"/>
      <c r="FO299" s="719">
        <v>1233</v>
      </c>
      <c r="FP299" s="720"/>
      <c r="FQ299" s="602"/>
      <c r="FR299" s="719">
        <v>1233</v>
      </c>
      <c r="FS299" s="720"/>
      <c r="FT299" s="602"/>
      <c r="FU299" s="719">
        <v>1233</v>
      </c>
      <c r="FV299" s="720"/>
      <c r="FW299" s="602"/>
      <c r="FX299" s="719">
        <v>1233</v>
      </c>
      <c r="FY299" s="720"/>
      <c r="FZ299" s="602"/>
      <c r="GA299" s="719">
        <v>1233</v>
      </c>
      <c r="GB299" s="720"/>
      <c r="GC299" s="602"/>
      <c r="GD299" s="719">
        <v>1233</v>
      </c>
      <c r="GE299" s="720"/>
      <c r="GF299" s="602"/>
      <c r="GG299" s="719">
        <v>1233</v>
      </c>
      <c r="GH299" s="720"/>
      <c r="GI299" s="602"/>
      <c r="GJ299" s="719">
        <v>1233</v>
      </c>
      <c r="GK299" s="720"/>
      <c r="GL299" s="602"/>
      <c r="GM299" s="719">
        <v>1233</v>
      </c>
      <c r="GN299" s="720"/>
      <c r="GO299" s="602"/>
      <c r="GP299" s="719">
        <v>1233</v>
      </c>
      <c r="GQ299" s="720"/>
      <c r="GR299" s="602"/>
      <c r="GS299" s="719">
        <v>1233</v>
      </c>
      <c r="GT299" s="720"/>
      <c r="GU299" s="602"/>
      <c r="GV299" s="719">
        <v>1233</v>
      </c>
      <c r="GW299" s="720"/>
      <c r="GX299" s="602"/>
      <c r="GY299" s="721">
        <v>1900.0327868852457</v>
      </c>
      <c r="GZ299" s="722"/>
      <c r="HA299" s="723"/>
      <c r="HB299" s="587"/>
      <c r="HC299" s="587"/>
      <c r="HD299" s="587"/>
      <c r="HE299" s="587"/>
      <c r="HF299" s="587"/>
      <c r="HG299" s="587"/>
      <c r="HH299" s="587"/>
      <c r="HI299" s="587"/>
      <c r="HJ299" s="587"/>
      <c r="HK299" s="587"/>
      <c r="HL299" s="587"/>
      <c r="HM299" s="587"/>
      <c r="HN299" s="587"/>
      <c r="HO299" s="587"/>
      <c r="HP299" s="587"/>
      <c r="HQ299" s="587"/>
      <c r="HR299" s="587"/>
      <c r="HS299" s="587"/>
      <c r="HT299" s="587"/>
      <c r="HU299" s="587"/>
      <c r="HV299" s="587"/>
      <c r="HW299" s="587"/>
      <c r="HX299" s="576"/>
      <c r="HY299" s="576"/>
      <c r="HZ299" s="576"/>
      <c r="IA299" s="576"/>
      <c r="IB299" s="576"/>
      <c r="IC299" s="576"/>
      <c r="ID299" s="576"/>
      <c r="IE299" s="576"/>
      <c r="IF299" s="576"/>
      <c r="IG299" s="576"/>
      <c r="IH299" s="577"/>
      <c r="II299" s="578"/>
      <c r="IJ299" s="577"/>
      <c r="IK299" s="578"/>
      <c r="IL299" s="577"/>
      <c r="IM299" s="578"/>
      <c r="IN299" s="577"/>
      <c r="IO299" s="578"/>
      <c r="IP299" s="577"/>
      <c r="IQ299" s="578"/>
      <c r="IR299" s="552" t="s">
        <v>3086</v>
      </c>
      <c r="IS299" s="587" t="s">
        <v>77</v>
      </c>
      <c r="IT299" s="602">
        <v>44028</v>
      </c>
      <c r="IU299" s="518">
        <v>44075</v>
      </c>
      <c r="IV299" s="518">
        <v>44545</v>
      </c>
      <c r="IW299" s="526">
        <f t="shared" si="33"/>
        <v>47</v>
      </c>
      <c r="IX299" s="621">
        <f t="shared" si="35"/>
        <v>62.296156947057234</v>
      </c>
      <c r="IY299" s="442">
        <v>1900.0327868852457</v>
      </c>
    </row>
    <row r="300" spans="1:259" s="367" customFormat="1" ht="16.5" customHeight="1" x14ac:dyDescent="0.3">
      <c r="A300" s="526" t="s">
        <v>2758</v>
      </c>
      <c r="B300" s="603" t="s">
        <v>2909</v>
      </c>
      <c r="C300" s="604" t="s">
        <v>1438</v>
      </c>
      <c r="D300" s="605">
        <v>979</v>
      </c>
      <c r="E300" s="606">
        <v>24</v>
      </c>
      <c r="F300" s="606">
        <v>0</v>
      </c>
      <c r="G300" s="606">
        <v>5</v>
      </c>
      <c r="H300" s="607">
        <v>0</v>
      </c>
      <c r="I300" s="664">
        <v>1003</v>
      </c>
      <c r="J300" s="516">
        <v>5</v>
      </c>
      <c r="K300" s="827"/>
      <c r="L300" s="516">
        <v>1003</v>
      </c>
      <c r="M300" s="516">
        <v>5</v>
      </c>
      <c r="N300" s="827"/>
      <c r="O300" s="516">
        <v>1003</v>
      </c>
      <c r="P300" s="516">
        <v>5</v>
      </c>
      <c r="Q300" s="827"/>
      <c r="R300" s="516">
        <v>1003</v>
      </c>
      <c r="S300" s="516">
        <v>5</v>
      </c>
      <c r="T300" s="827"/>
      <c r="U300" s="516">
        <v>1003</v>
      </c>
      <c r="V300" s="516">
        <v>5</v>
      </c>
      <c r="W300" s="827"/>
      <c r="X300" s="516">
        <v>1003</v>
      </c>
      <c r="Y300" s="516">
        <v>5</v>
      </c>
      <c r="Z300" s="827"/>
      <c r="AA300" s="516">
        <v>1003</v>
      </c>
      <c r="AB300" s="516">
        <v>5</v>
      </c>
      <c r="AC300" s="827"/>
      <c r="AD300" s="516">
        <v>1003</v>
      </c>
      <c r="AE300" s="516">
        <v>5</v>
      </c>
      <c r="AF300" s="827"/>
      <c r="AG300" s="516">
        <v>1003</v>
      </c>
      <c r="AH300" s="516">
        <v>5</v>
      </c>
      <c r="AI300" s="827"/>
      <c r="AJ300" s="516">
        <v>1003</v>
      </c>
      <c r="AK300" s="516">
        <v>5</v>
      </c>
      <c r="AL300" s="827"/>
      <c r="AM300" s="516">
        <v>1003</v>
      </c>
      <c r="AN300" s="516">
        <v>5</v>
      </c>
      <c r="AO300" s="827"/>
      <c r="AP300" s="516">
        <v>1003</v>
      </c>
      <c r="AQ300" s="516">
        <v>5</v>
      </c>
      <c r="AR300" s="827"/>
      <c r="AS300" s="516">
        <v>1003</v>
      </c>
      <c r="AT300" s="516">
        <v>5</v>
      </c>
      <c r="AU300" s="827"/>
      <c r="AV300" s="516">
        <v>1003</v>
      </c>
      <c r="AW300" s="516">
        <v>5</v>
      </c>
      <c r="AX300" s="827"/>
      <c r="AY300" s="516">
        <v>1003</v>
      </c>
      <c r="AZ300" s="516">
        <v>5</v>
      </c>
      <c r="BA300" s="405"/>
      <c r="BB300" s="516">
        <v>1003</v>
      </c>
      <c r="BC300" s="516">
        <v>5</v>
      </c>
      <c r="BD300" s="405"/>
      <c r="BE300" s="516">
        <v>1003</v>
      </c>
      <c r="BF300" s="516">
        <v>5</v>
      </c>
      <c r="BG300" s="405"/>
      <c r="BH300" s="516">
        <v>1003</v>
      </c>
      <c r="BI300" s="516">
        <v>5</v>
      </c>
      <c r="BJ300" s="611"/>
      <c r="BK300" s="655">
        <v>1003</v>
      </c>
      <c r="BL300" s="655">
        <v>5</v>
      </c>
      <c r="BM300" s="602"/>
      <c r="BN300" s="655">
        <v>1003</v>
      </c>
      <c r="BO300" s="655">
        <v>5</v>
      </c>
      <c r="BP300" s="602"/>
      <c r="BQ300" s="655">
        <v>1003</v>
      </c>
      <c r="BR300" s="655">
        <v>5</v>
      </c>
      <c r="BS300" s="602"/>
      <c r="BT300" s="655">
        <v>1003</v>
      </c>
      <c r="BU300" s="655">
        <v>5</v>
      </c>
      <c r="BV300" s="602"/>
      <c r="BW300" s="517">
        <f>((1003-755)/30.5)*14+1003</f>
        <v>1116.8360655737706</v>
      </c>
      <c r="BX300" s="517">
        <f>(5/30.5)*14+5</f>
        <v>7.2950819672131146</v>
      </c>
      <c r="BY300" s="714"/>
      <c r="BZ300" s="655">
        <v>755</v>
      </c>
      <c r="CA300" s="690"/>
      <c r="CB300" s="602"/>
      <c r="CC300" s="655">
        <v>755</v>
      </c>
      <c r="CD300" s="690"/>
      <c r="CE300" s="602"/>
      <c r="CF300" s="655">
        <v>755</v>
      </c>
      <c r="CG300" s="690"/>
      <c r="CH300" s="602"/>
      <c r="CI300" s="655">
        <v>755</v>
      </c>
      <c r="CJ300" s="690"/>
      <c r="CK300" s="602"/>
      <c r="CL300" s="655">
        <v>755</v>
      </c>
      <c r="CM300" s="690"/>
      <c r="CN300" s="602"/>
      <c r="CO300" s="655">
        <v>755</v>
      </c>
      <c r="CP300" s="690"/>
      <c r="CQ300" s="602"/>
      <c r="CR300" s="655">
        <v>755</v>
      </c>
      <c r="CS300" s="690"/>
      <c r="CT300" s="602"/>
      <c r="CU300" s="655">
        <v>755</v>
      </c>
      <c r="CV300" s="690"/>
      <c r="CW300" s="602"/>
      <c r="CX300" s="655">
        <v>755</v>
      </c>
      <c r="CY300" s="690"/>
      <c r="CZ300" s="602"/>
      <c r="DA300" s="655">
        <v>755</v>
      </c>
      <c r="DB300" s="690"/>
      <c r="DC300" s="602"/>
      <c r="DD300" s="655">
        <v>755</v>
      </c>
      <c r="DE300" s="690"/>
      <c r="DF300" s="602"/>
      <c r="DG300" s="655">
        <v>755</v>
      </c>
      <c r="DH300" s="690"/>
      <c r="DI300" s="602"/>
      <c r="DJ300" s="655">
        <v>755</v>
      </c>
      <c r="DK300" s="690"/>
      <c r="DL300" s="602"/>
      <c r="DM300" s="655">
        <v>755</v>
      </c>
      <c r="DN300" s="690"/>
      <c r="DO300" s="602"/>
      <c r="DP300" s="655">
        <v>755</v>
      </c>
      <c r="DQ300" s="690"/>
      <c r="DR300" s="602"/>
      <c r="DS300" s="655">
        <v>755</v>
      </c>
      <c r="DT300" s="690"/>
      <c r="DU300" s="602"/>
      <c r="DV300" s="655">
        <v>755</v>
      </c>
      <c r="DW300" s="690"/>
      <c r="DX300" s="602"/>
      <c r="DY300" s="655">
        <v>755</v>
      </c>
      <c r="DZ300" s="690"/>
      <c r="EA300" s="602"/>
      <c r="EB300" s="655">
        <v>755</v>
      </c>
      <c r="EC300" s="690"/>
      <c r="ED300" s="602"/>
      <c r="EE300" s="655">
        <v>755</v>
      </c>
      <c r="EF300" s="690"/>
      <c r="EG300" s="602"/>
      <c r="EH300" s="655">
        <v>755</v>
      </c>
      <c r="EI300" s="690"/>
      <c r="EJ300" s="602"/>
      <c r="EK300" s="655">
        <v>755</v>
      </c>
      <c r="EL300" s="690"/>
      <c r="EM300" s="602"/>
      <c r="EN300" s="655">
        <v>755</v>
      </c>
      <c r="EO300" s="690"/>
      <c r="EP300" s="602"/>
      <c r="EQ300" s="655">
        <v>755</v>
      </c>
      <c r="ER300" s="690"/>
      <c r="ES300" s="602"/>
      <c r="ET300" s="655">
        <v>755</v>
      </c>
      <c r="EU300" s="690"/>
      <c r="EV300" s="602"/>
      <c r="EW300" s="655">
        <v>755</v>
      </c>
      <c r="EX300" s="690"/>
      <c r="EY300" s="602"/>
      <c r="EZ300" s="655">
        <v>755</v>
      </c>
      <c r="FA300" s="690"/>
      <c r="FB300" s="602"/>
      <c r="FC300" s="655">
        <v>755</v>
      </c>
      <c r="FD300" s="690"/>
      <c r="FE300" s="602"/>
      <c r="FF300" s="655">
        <v>755</v>
      </c>
      <c r="FG300" s="690"/>
      <c r="FH300" s="602"/>
      <c r="FI300" s="655">
        <v>755</v>
      </c>
      <c r="FJ300" s="690"/>
      <c r="FK300" s="602"/>
      <c r="FL300" s="655">
        <v>755</v>
      </c>
      <c r="FM300" s="690"/>
      <c r="FN300" s="602"/>
      <c r="FO300" s="655">
        <v>755</v>
      </c>
      <c r="FP300" s="690"/>
      <c r="FQ300" s="602"/>
      <c r="FR300" s="655">
        <v>755</v>
      </c>
      <c r="FS300" s="690"/>
      <c r="FT300" s="602"/>
      <c r="FU300" s="655">
        <v>755</v>
      </c>
      <c r="FV300" s="690"/>
      <c r="FW300" s="602"/>
      <c r="FX300" s="655">
        <v>755</v>
      </c>
      <c r="FY300" s="690"/>
      <c r="FZ300" s="602"/>
      <c r="GA300" s="655">
        <v>755</v>
      </c>
      <c r="GB300" s="690"/>
      <c r="GC300" s="602"/>
      <c r="GD300" s="655">
        <v>755</v>
      </c>
      <c r="GE300" s="690"/>
      <c r="GF300" s="602"/>
      <c r="GG300" s="655">
        <v>755</v>
      </c>
      <c r="GH300" s="690"/>
      <c r="GI300" s="602"/>
      <c r="GJ300" s="655">
        <v>755</v>
      </c>
      <c r="GK300" s="690"/>
      <c r="GL300" s="602"/>
      <c r="GM300" s="655">
        <v>755</v>
      </c>
      <c r="GN300" s="690"/>
      <c r="GO300" s="602"/>
      <c r="GP300" s="655">
        <v>755</v>
      </c>
      <c r="GQ300" s="690"/>
      <c r="GR300" s="602"/>
      <c r="GS300" s="655">
        <v>755</v>
      </c>
      <c r="GT300" s="690"/>
      <c r="GU300" s="602"/>
      <c r="GV300" s="655">
        <v>755</v>
      </c>
      <c r="GW300" s="690"/>
      <c r="GX300" s="602"/>
      <c r="GY300" s="517">
        <v>1534.7540983606559</v>
      </c>
      <c r="GZ300" s="691"/>
      <c r="HA300" s="714"/>
      <c r="HB300" s="587"/>
      <c r="HC300" s="587"/>
      <c r="HD300" s="587"/>
      <c r="HE300" s="587"/>
      <c r="HF300" s="587"/>
      <c r="HG300" s="587"/>
      <c r="HH300" s="587"/>
      <c r="HI300" s="587"/>
      <c r="HJ300" s="587"/>
      <c r="HK300" s="587"/>
      <c r="HL300" s="587"/>
      <c r="HM300" s="587"/>
      <c r="HN300" s="587"/>
      <c r="HO300" s="587"/>
      <c r="HP300" s="587"/>
      <c r="HQ300" s="587"/>
      <c r="HR300" s="587"/>
      <c r="HS300" s="587"/>
      <c r="HT300" s="587"/>
      <c r="HU300" s="587"/>
      <c r="HV300" s="587"/>
      <c r="HW300" s="587"/>
      <c r="HX300" s="576"/>
      <c r="HY300" s="576"/>
      <c r="HZ300" s="576"/>
      <c r="IA300" s="576"/>
      <c r="IB300" s="576"/>
      <c r="IC300" s="576"/>
      <c r="ID300" s="576"/>
      <c r="IE300" s="576"/>
      <c r="IF300" s="576"/>
      <c r="IG300" s="576"/>
      <c r="IH300" s="577"/>
      <c r="II300" s="578"/>
      <c r="IJ300" s="577"/>
      <c r="IK300" s="578"/>
      <c r="IL300" s="577"/>
      <c r="IM300" s="578"/>
      <c r="IN300" s="577"/>
      <c r="IO300" s="578"/>
      <c r="IP300" s="577"/>
      <c r="IQ300" s="578"/>
      <c r="IR300" s="717" t="s">
        <v>3149</v>
      </c>
      <c r="IS300" s="587" t="s">
        <v>77</v>
      </c>
      <c r="IT300" s="602">
        <v>44013</v>
      </c>
      <c r="IU300" s="518">
        <v>44075</v>
      </c>
      <c r="IV300" s="552"/>
      <c r="IW300" s="526">
        <f t="shared" si="33"/>
        <v>62</v>
      </c>
      <c r="IX300" s="621">
        <f t="shared" si="35"/>
        <v>50.319806503628065</v>
      </c>
      <c r="IY300" s="442">
        <v>1534.7540983606559</v>
      </c>
    </row>
    <row r="301" spans="1:259" s="367" customFormat="1" ht="16.5" customHeight="1" x14ac:dyDescent="0.3">
      <c r="A301" s="401" t="s">
        <v>3315</v>
      </c>
      <c r="B301" s="402" t="s">
        <v>3315</v>
      </c>
      <c r="C301" s="608" t="s">
        <v>3493</v>
      </c>
      <c r="D301" s="634"/>
      <c r="E301" s="635"/>
      <c r="F301" s="635"/>
      <c r="G301" s="635"/>
      <c r="H301" s="636"/>
      <c r="I301" s="853">
        <v>0</v>
      </c>
      <c r="J301" s="833">
        <v>0</v>
      </c>
      <c r="K301" s="833">
        <v>0</v>
      </c>
      <c r="L301" s="833">
        <v>0</v>
      </c>
      <c r="M301" s="833">
        <v>0</v>
      </c>
      <c r="N301" s="833">
        <v>0</v>
      </c>
      <c r="O301" s="833">
        <v>0</v>
      </c>
      <c r="P301" s="833">
        <v>0</v>
      </c>
      <c r="Q301" s="833">
        <v>0</v>
      </c>
      <c r="R301" s="833">
        <v>0</v>
      </c>
      <c r="S301" s="833">
        <v>0</v>
      </c>
      <c r="T301" s="833">
        <v>0</v>
      </c>
      <c r="U301" s="833">
        <v>0</v>
      </c>
      <c r="V301" s="833">
        <v>0</v>
      </c>
      <c r="W301" s="833">
        <v>0</v>
      </c>
      <c r="X301" s="833">
        <v>0</v>
      </c>
      <c r="Y301" s="833">
        <v>0</v>
      </c>
      <c r="Z301" s="833">
        <v>0</v>
      </c>
      <c r="AA301" s="833">
        <v>0</v>
      </c>
      <c r="AB301" s="833">
        <v>0</v>
      </c>
      <c r="AC301" s="833">
        <v>0</v>
      </c>
      <c r="AD301" s="833">
        <v>0</v>
      </c>
      <c r="AE301" s="833">
        <v>0</v>
      </c>
      <c r="AF301" s="833">
        <v>0</v>
      </c>
      <c r="AG301" s="833">
        <v>0</v>
      </c>
      <c r="AH301" s="833">
        <v>0</v>
      </c>
      <c r="AI301" s="833">
        <v>0</v>
      </c>
      <c r="AJ301" s="833">
        <v>0</v>
      </c>
      <c r="AK301" s="833">
        <v>0</v>
      </c>
      <c r="AL301" s="833">
        <v>0</v>
      </c>
      <c r="AM301" s="833">
        <v>0</v>
      </c>
      <c r="AN301" s="833">
        <v>0</v>
      </c>
      <c r="AO301" s="833">
        <v>0</v>
      </c>
      <c r="AP301" s="833">
        <v>0</v>
      </c>
      <c r="AQ301" s="833">
        <v>0</v>
      </c>
      <c r="AR301" s="833">
        <v>0</v>
      </c>
      <c r="AS301" s="833">
        <v>0</v>
      </c>
      <c r="AT301" s="833">
        <v>0</v>
      </c>
      <c r="AU301" s="833">
        <v>0</v>
      </c>
      <c r="AV301" s="660"/>
      <c r="AW301" s="660"/>
      <c r="AX301" s="660"/>
      <c r="AY301" s="660"/>
      <c r="AZ301" s="660"/>
      <c r="BA301" s="716"/>
      <c r="BB301" s="660"/>
      <c r="BC301" s="660"/>
      <c r="BD301" s="716"/>
      <c r="BE301" s="660"/>
      <c r="BF301" s="660"/>
      <c r="BG301" s="716"/>
      <c r="BH301" s="660"/>
      <c r="BI301" s="660"/>
      <c r="BJ301" s="716"/>
      <c r="BK301" s="660"/>
      <c r="BL301" s="660"/>
      <c r="BM301" s="716"/>
      <c r="BN301" s="660"/>
      <c r="BO301" s="660"/>
      <c r="BP301" s="716"/>
      <c r="BQ301" s="660"/>
      <c r="BR301" s="660"/>
      <c r="BS301" s="716"/>
      <c r="BT301" s="660"/>
      <c r="BU301" s="660"/>
      <c r="BV301" s="716"/>
      <c r="BW301" s="660"/>
      <c r="BX301" s="660"/>
      <c r="BY301" s="716"/>
      <c r="BZ301" s="660"/>
      <c r="CA301" s="660"/>
      <c r="CB301" s="716"/>
      <c r="CC301" s="660"/>
      <c r="CD301" s="660"/>
      <c r="CE301" s="716"/>
      <c r="CF301" s="660"/>
      <c r="CG301" s="660"/>
      <c r="CH301" s="716"/>
      <c r="CI301" s="660"/>
      <c r="CJ301" s="660"/>
      <c r="CK301" s="716"/>
      <c r="CL301" s="660"/>
      <c r="CM301" s="660"/>
      <c r="CN301" s="716"/>
      <c r="CO301" s="660"/>
      <c r="CP301" s="660"/>
      <c r="CQ301" s="716"/>
      <c r="CR301" s="660"/>
      <c r="CS301" s="660"/>
      <c r="CT301" s="716"/>
      <c r="CU301" s="660"/>
      <c r="CV301" s="660"/>
      <c r="CW301" s="716"/>
      <c r="CX301" s="660"/>
      <c r="CY301" s="660"/>
      <c r="CZ301" s="716"/>
      <c r="DA301" s="660"/>
      <c r="DB301" s="660"/>
      <c r="DC301" s="716"/>
      <c r="DD301" s="660"/>
      <c r="DE301" s="660"/>
      <c r="DF301" s="716"/>
      <c r="DG301" s="660"/>
      <c r="DH301" s="660"/>
      <c r="DI301" s="716"/>
      <c r="DJ301" s="660"/>
      <c r="DK301" s="660"/>
      <c r="DL301" s="716"/>
      <c r="DM301" s="660"/>
      <c r="DN301" s="660"/>
      <c r="DO301" s="716"/>
      <c r="DP301" s="660"/>
      <c r="DQ301" s="660"/>
      <c r="DR301" s="716"/>
      <c r="DS301" s="660"/>
      <c r="DT301" s="660"/>
      <c r="DU301" s="716"/>
      <c r="DV301" s="660"/>
      <c r="DW301" s="660"/>
      <c r="DX301" s="716"/>
      <c r="DY301" s="660"/>
      <c r="DZ301" s="660"/>
      <c r="EA301" s="716"/>
      <c r="EB301" s="660"/>
      <c r="EC301" s="660"/>
      <c r="ED301" s="716"/>
      <c r="EE301" s="660"/>
      <c r="EF301" s="660"/>
      <c r="EG301" s="716"/>
      <c r="EH301" s="660"/>
      <c r="EI301" s="660"/>
      <c r="EJ301" s="716"/>
      <c r="EK301" s="660"/>
      <c r="EL301" s="660"/>
      <c r="EM301" s="716"/>
      <c r="EN301" s="660"/>
      <c r="EO301" s="660"/>
      <c r="EP301" s="716"/>
      <c r="EQ301" s="660"/>
      <c r="ER301" s="660"/>
      <c r="ES301" s="716"/>
      <c r="ET301" s="660"/>
      <c r="EU301" s="660"/>
      <c r="EV301" s="716"/>
      <c r="EW301" s="660"/>
      <c r="EX301" s="660"/>
      <c r="EY301" s="716"/>
      <c r="EZ301" s="660"/>
      <c r="FA301" s="660"/>
      <c r="FB301" s="716"/>
      <c r="FC301" s="660"/>
      <c r="FD301" s="660"/>
      <c r="FE301" s="716"/>
      <c r="FF301" s="660"/>
      <c r="FG301" s="660"/>
      <c r="FH301" s="716"/>
      <c r="FI301" s="660"/>
      <c r="FJ301" s="660"/>
      <c r="FK301" s="716"/>
      <c r="FL301" s="660"/>
      <c r="FM301" s="660"/>
      <c r="FN301" s="716"/>
      <c r="FO301" s="660"/>
      <c r="FP301" s="660"/>
      <c r="FQ301" s="716"/>
      <c r="FR301" s="660"/>
      <c r="FS301" s="660"/>
      <c r="FT301" s="716"/>
      <c r="FU301" s="660"/>
      <c r="FV301" s="660"/>
      <c r="FW301" s="716"/>
      <c r="FX301" s="660"/>
      <c r="FY301" s="660"/>
      <c r="FZ301" s="716"/>
      <c r="GA301" s="660"/>
      <c r="GB301" s="660"/>
      <c r="GC301" s="716"/>
      <c r="GD301" s="660"/>
      <c r="GE301" s="660"/>
      <c r="GF301" s="716"/>
      <c r="GG301" s="660"/>
      <c r="GH301" s="660"/>
      <c r="GI301" s="716"/>
      <c r="GJ301" s="660"/>
      <c r="GK301" s="660"/>
      <c r="GL301" s="716"/>
      <c r="GM301" s="660"/>
      <c r="GN301" s="660"/>
      <c r="GO301" s="716"/>
      <c r="GP301" s="660"/>
      <c r="GQ301" s="660"/>
      <c r="GR301" s="716"/>
      <c r="GS301" s="655">
        <v>383</v>
      </c>
      <c r="GT301" s="655">
        <v>3</v>
      </c>
      <c r="GU301" s="602"/>
      <c r="GV301" s="655">
        <v>383</v>
      </c>
      <c r="GW301" s="655">
        <v>3</v>
      </c>
      <c r="GX301" s="602"/>
      <c r="GY301" s="517">
        <v>690.65573770491801</v>
      </c>
      <c r="GZ301" s="517">
        <v>5.4098360655737707</v>
      </c>
      <c r="HA301" s="714"/>
      <c r="HB301" s="587"/>
      <c r="HC301" s="587"/>
      <c r="HD301" s="587"/>
      <c r="HE301" s="587"/>
      <c r="HF301" s="587"/>
      <c r="HG301" s="587"/>
      <c r="HH301" s="587"/>
      <c r="HI301" s="587"/>
      <c r="HJ301" s="587"/>
      <c r="HK301" s="587"/>
      <c r="HL301" s="587"/>
      <c r="HM301" s="587"/>
      <c r="HN301" s="587"/>
      <c r="HO301" s="587"/>
      <c r="HP301" s="587"/>
      <c r="HQ301" s="587"/>
      <c r="HR301" s="587"/>
      <c r="HS301" s="587"/>
      <c r="HT301" s="587"/>
      <c r="HU301" s="587"/>
      <c r="HV301" s="587"/>
      <c r="HW301" s="587"/>
      <c r="HX301" s="576"/>
      <c r="HY301" s="576"/>
      <c r="HZ301" s="576"/>
      <c r="IA301" s="576"/>
      <c r="IB301" s="576"/>
      <c r="IC301" s="576"/>
      <c r="ID301" s="576"/>
      <c r="IE301" s="576"/>
      <c r="IF301" s="576"/>
      <c r="IG301" s="576"/>
      <c r="IH301" s="577"/>
      <c r="II301" s="578"/>
      <c r="IJ301" s="577"/>
      <c r="IK301" s="578"/>
      <c r="IL301" s="577"/>
      <c r="IM301" s="578"/>
      <c r="IN301" s="577"/>
      <c r="IO301" s="578"/>
      <c r="IP301" s="577"/>
      <c r="IQ301" s="578"/>
      <c r="IR301" s="717" t="s">
        <v>3494</v>
      </c>
      <c r="IS301" s="587" t="s">
        <v>77</v>
      </c>
      <c r="IT301" s="602">
        <v>44020</v>
      </c>
      <c r="IU301" s="518">
        <v>44075</v>
      </c>
      <c r="IV301" s="552"/>
      <c r="IW301" s="526">
        <f t="shared" si="33"/>
        <v>55</v>
      </c>
      <c r="IX301" s="621">
        <f t="shared" si="35"/>
        <v>22.64445041655469</v>
      </c>
      <c r="IY301" s="442">
        <v>690.65573770491801</v>
      </c>
    </row>
    <row r="302" spans="1:259" s="367" customFormat="1" ht="16.5" customHeight="1" x14ac:dyDescent="0.3">
      <c r="A302" s="526" t="s">
        <v>2785</v>
      </c>
      <c r="B302" s="594" t="s">
        <v>2748</v>
      </c>
      <c r="C302" s="595" t="s">
        <v>2064</v>
      </c>
      <c r="D302" s="596">
        <v>1149</v>
      </c>
      <c r="E302" s="597">
        <v>71</v>
      </c>
      <c r="F302" s="597">
        <v>80</v>
      </c>
      <c r="G302" s="597">
        <v>5</v>
      </c>
      <c r="H302" s="598">
        <v>0</v>
      </c>
      <c r="I302" s="659">
        <v>1299</v>
      </c>
      <c r="J302" s="655">
        <v>5</v>
      </c>
      <c r="K302" s="827"/>
      <c r="L302" s="655">
        <v>1299</v>
      </c>
      <c r="M302" s="655">
        <v>5</v>
      </c>
      <c r="N302" s="827"/>
      <c r="O302" s="655">
        <v>1299</v>
      </c>
      <c r="P302" s="655">
        <v>5</v>
      </c>
      <c r="Q302" s="827"/>
      <c r="R302" s="655">
        <v>1299</v>
      </c>
      <c r="S302" s="655">
        <v>5</v>
      </c>
      <c r="T302" s="827"/>
      <c r="U302" s="655">
        <v>1299</v>
      </c>
      <c r="V302" s="655">
        <v>5</v>
      </c>
      <c r="W302" s="827"/>
      <c r="X302" s="655">
        <v>1299</v>
      </c>
      <c r="Y302" s="655">
        <v>5</v>
      </c>
      <c r="Z302" s="827"/>
      <c r="AA302" s="655">
        <v>1299</v>
      </c>
      <c r="AB302" s="655">
        <v>5</v>
      </c>
      <c r="AC302" s="827"/>
      <c r="AD302" s="655">
        <v>1299</v>
      </c>
      <c r="AE302" s="655">
        <v>5</v>
      </c>
      <c r="AF302" s="827"/>
      <c r="AG302" s="655">
        <v>1299</v>
      </c>
      <c r="AH302" s="655">
        <v>5</v>
      </c>
      <c r="AI302" s="827"/>
      <c r="AJ302" s="655">
        <v>1299</v>
      </c>
      <c r="AK302" s="655">
        <v>5</v>
      </c>
      <c r="AL302" s="827"/>
      <c r="AM302" s="655">
        <v>1299</v>
      </c>
      <c r="AN302" s="655">
        <v>5</v>
      </c>
      <c r="AO302" s="827"/>
      <c r="AP302" s="655">
        <v>1299</v>
      </c>
      <c r="AQ302" s="655">
        <v>5</v>
      </c>
      <c r="AR302" s="827"/>
      <c r="AS302" s="655">
        <v>1299</v>
      </c>
      <c r="AT302" s="655">
        <v>5</v>
      </c>
      <c r="AU302" s="827"/>
      <c r="AV302" s="655">
        <v>1299</v>
      </c>
      <c r="AW302" s="655">
        <v>5</v>
      </c>
      <c r="AX302" s="827"/>
      <c r="AY302" s="655">
        <v>1299</v>
      </c>
      <c r="AZ302" s="655">
        <v>5</v>
      </c>
      <c r="BA302" s="405"/>
      <c r="BB302" s="655">
        <v>1299</v>
      </c>
      <c r="BC302" s="655">
        <v>5</v>
      </c>
      <c r="BD302" s="405"/>
      <c r="BE302" s="655">
        <v>1299</v>
      </c>
      <c r="BF302" s="655">
        <v>5</v>
      </c>
      <c r="BG302" s="405"/>
      <c r="BH302" s="655">
        <v>1299</v>
      </c>
      <c r="BI302" s="655">
        <v>5</v>
      </c>
      <c r="BJ302" s="602"/>
      <c r="BK302" s="655">
        <v>1299</v>
      </c>
      <c r="BL302" s="655">
        <v>5</v>
      </c>
      <c r="BM302" s="602"/>
      <c r="BN302" s="655">
        <v>1299</v>
      </c>
      <c r="BO302" s="655">
        <v>5</v>
      </c>
      <c r="BP302" s="602"/>
      <c r="BQ302" s="655">
        <v>1299</v>
      </c>
      <c r="BR302" s="655">
        <v>5</v>
      </c>
      <c r="BS302" s="602"/>
      <c r="BT302" s="655">
        <v>1299</v>
      </c>
      <c r="BU302" s="655">
        <v>5</v>
      </c>
      <c r="BV302" s="602"/>
      <c r="BW302" s="655">
        <v>1299</v>
      </c>
      <c r="BX302" s="655">
        <v>5</v>
      </c>
      <c r="BY302" s="602"/>
      <c r="BZ302" s="655">
        <v>1299</v>
      </c>
      <c r="CA302" s="655">
        <v>5</v>
      </c>
      <c r="CB302" s="602"/>
      <c r="CC302" s="655">
        <v>1299</v>
      </c>
      <c r="CD302" s="655">
        <v>5</v>
      </c>
      <c r="CE302" s="602"/>
      <c r="CF302" s="655">
        <v>1299</v>
      </c>
      <c r="CG302" s="655">
        <v>5</v>
      </c>
      <c r="CH302" s="602"/>
      <c r="CI302" s="655">
        <v>1299</v>
      </c>
      <c r="CJ302" s="655">
        <v>5</v>
      </c>
      <c r="CK302" s="602"/>
      <c r="CL302" s="655">
        <v>1299</v>
      </c>
      <c r="CM302" s="655">
        <v>5</v>
      </c>
      <c r="CN302" s="602"/>
      <c r="CO302" s="655">
        <v>1299</v>
      </c>
      <c r="CP302" s="655">
        <v>5</v>
      </c>
      <c r="CQ302" s="602"/>
      <c r="CR302" s="655">
        <v>1299</v>
      </c>
      <c r="CS302" s="655">
        <v>5</v>
      </c>
      <c r="CT302" s="602"/>
      <c r="CU302" s="655">
        <v>1299</v>
      </c>
      <c r="CV302" s="655">
        <v>5</v>
      </c>
      <c r="CW302" s="602"/>
      <c r="CX302" s="655">
        <v>1299</v>
      </c>
      <c r="CY302" s="655">
        <v>5</v>
      </c>
      <c r="CZ302" s="602"/>
      <c r="DA302" s="655">
        <v>1299</v>
      </c>
      <c r="DB302" s="655">
        <v>5</v>
      </c>
      <c r="DC302" s="602"/>
      <c r="DD302" s="655">
        <v>1299</v>
      </c>
      <c r="DE302" s="655">
        <v>5</v>
      </c>
      <c r="DF302" s="602"/>
      <c r="DG302" s="655">
        <v>1299</v>
      </c>
      <c r="DH302" s="655">
        <v>5</v>
      </c>
      <c r="DI302" s="602"/>
      <c r="DJ302" s="655">
        <v>1299</v>
      </c>
      <c r="DK302" s="655">
        <v>5</v>
      </c>
      <c r="DL302" s="602"/>
      <c r="DM302" s="655">
        <v>1299</v>
      </c>
      <c r="DN302" s="655">
        <v>5</v>
      </c>
      <c r="DO302" s="602"/>
      <c r="DP302" s="655">
        <v>1299</v>
      </c>
      <c r="DQ302" s="655">
        <v>5</v>
      </c>
      <c r="DR302" s="602"/>
      <c r="DS302" s="655">
        <v>1299</v>
      </c>
      <c r="DT302" s="655">
        <v>5</v>
      </c>
      <c r="DU302" s="602"/>
      <c r="DV302" s="655">
        <v>1299</v>
      </c>
      <c r="DW302" s="655">
        <v>5</v>
      </c>
      <c r="DX302" s="602"/>
      <c r="DY302" s="655">
        <v>1299</v>
      </c>
      <c r="DZ302" s="655">
        <v>5</v>
      </c>
      <c r="EA302" s="602"/>
      <c r="EB302" s="655">
        <v>1299</v>
      </c>
      <c r="EC302" s="655">
        <v>5</v>
      </c>
      <c r="ED302" s="602"/>
      <c r="EE302" s="655">
        <v>1299</v>
      </c>
      <c r="EF302" s="655">
        <v>5</v>
      </c>
      <c r="EG302" s="602"/>
      <c r="EH302" s="655">
        <v>1299</v>
      </c>
      <c r="EI302" s="655">
        <v>5</v>
      </c>
      <c r="EJ302" s="602"/>
      <c r="EK302" s="655">
        <v>1299</v>
      </c>
      <c r="EL302" s="655">
        <v>5</v>
      </c>
      <c r="EM302" s="602"/>
      <c r="EN302" s="655">
        <v>1299</v>
      </c>
      <c r="EO302" s="655">
        <v>5</v>
      </c>
      <c r="EP302" s="602"/>
      <c r="EQ302" s="655">
        <v>1299</v>
      </c>
      <c r="ER302" s="655">
        <v>5</v>
      </c>
      <c r="ES302" s="602"/>
      <c r="ET302" s="655">
        <v>1299</v>
      </c>
      <c r="EU302" s="655">
        <v>5</v>
      </c>
      <c r="EV302" s="602"/>
      <c r="EW302" s="655">
        <v>1299</v>
      </c>
      <c r="EX302" s="655">
        <v>5</v>
      </c>
      <c r="EY302" s="602"/>
      <c r="EZ302" s="655">
        <v>1299</v>
      </c>
      <c r="FA302" s="655">
        <v>5</v>
      </c>
      <c r="FB302" s="602"/>
      <c r="FC302" s="655">
        <v>1299</v>
      </c>
      <c r="FD302" s="655">
        <v>5</v>
      </c>
      <c r="FE302" s="602"/>
      <c r="FF302" s="655">
        <v>1299</v>
      </c>
      <c r="FG302" s="655">
        <v>5</v>
      </c>
      <c r="FH302" s="602"/>
      <c r="FI302" s="655">
        <v>1299</v>
      </c>
      <c r="FJ302" s="655">
        <v>5</v>
      </c>
      <c r="FK302" s="602"/>
      <c r="FL302" s="655">
        <v>1299</v>
      </c>
      <c r="FM302" s="655">
        <v>5</v>
      </c>
      <c r="FN302" s="602"/>
      <c r="FO302" s="655">
        <v>1299</v>
      </c>
      <c r="FP302" s="655">
        <v>5</v>
      </c>
      <c r="FQ302" s="602"/>
      <c r="FR302" s="655">
        <v>1299</v>
      </c>
      <c r="FS302" s="655">
        <v>5</v>
      </c>
      <c r="FT302" s="602"/>
      <c r="FU302" s="655">
        <v>1299</v>
      </c>
      <c r="FV302" s="655">
        <v>5</v>
      </c>
      <c r="FW302" s="602"/>
      <c r="FX302" s="655">
        <v>1299</v>
      </c>
      <c r="FY302" s="655">
        <v>5</v>
      </c>
      <c r="FZ302" s="602"/>
      <c r="GA302" s="655">
        <v>1299</v>
      </c>
      <c r="GB302" s="655">
        <v>5</v>
      </c>
      <c r="GC302" s="602"/>
      <c r="GD302" s="655">
        <v>1299</v>
      </c>
      <c r="GE302" s="655">
        <v>5</v>
      </c>
      <c r="GF302" s="602"/>
      <c r="GG302" s="655">
        <v>1299</v>
      </c>
      <c r="GH302" s="655">
        <v>5</v>
      </c>
      <c r="GI302" s="602"/>
      <c r="GJ302" s="655">
        <v>1299</v>
      </c>
      <c r="GK302" s="655">
        <v>5</v>
      </c>
      <c r="GL302" s="602"/>
      <c r="GM302" s="655">
        <v>1299</v>
      </c>
      <c r="GN302" s="655">
        <v>5</v>
      </c>
      <c r="GO302" s="602"/>
      <c r="GP302" s="655">
        <v>1299</v>
      </c>
      <c r="GQ302" s="655">
        <v>5</v>
      </c>
      <c r="GR302" s="602"/>
      <c r="GS302" s="655">
        <v>1299</v>
      </c>
      <c r="GT302" s="655">
        <v>5</v>
      </c>
      <c r="GU302" s="602"/>
      <c r="GV302" s="655">
        <v>1299</v>
      </c>
      <c r="GW302" s="655">
        <v>5</v>
      </c>
      <c r="GX302" s="602"/>
      <c r="GY302" s="517">
        <v>2299.8688524590166</v>
      </c>
      <c r="GZ302" s="517">
        <v>8.8524590163934427</v>
      </c>
      <c r="HA302" s="714"/>
      <c r="HB302" s="587"/>
      <c r="HC302" s="587"/>
      <c r="HD302" s="587"/>
      <c r="HE302" s="587"/>
      <c r="HF302" s="587"/>
      <c r="HG302" s="587"/>
      <c r="HH302" s="587"/>
      <c r="HI302" s="587"/>
      <c r="HJ302" s="587"/>
      <c r="HK302" s="587"/>
      <c r="HL302" s="587"/>
      <c r="HM302" s="587"/>
      <c r="HN302" s="587"/>
      <c r="HO302" s="587"/>
      <c r="HP302" s="587"/>
      <c r="HQ302" s="587"/>
      <c r="HR302" s="587"/>
      <c r="HS302" s="587"/>
      <c r="HT302" s="587"/>
      <c r="HU302" s="587"/>
      <c r="HV302" s="587"/>
      <c r="HW302" s="587"/>
      <c r="HX302" s="576"/>
      <c r="HY302" s="576"/>
      <c r="HZ302" s="576"/>
      <c r="IA302" s="576"/>
      <c r="IB302" s="576"/>
      <c r="IC302" s="576"/>
      <c r="ID302" s="576"/>
      <c r="IE302" s="576"/>
      <c r="IF302" s="576"/>
      <c r="IG302" s="576"/>
      <c r="IH302" s="577"/>
      <c r="II302" s="578"/>
      <c r="IJ302" s="577"/>
      <c r="IK302" s="578"/>
      <c r="IL302" s="577"/>
      <c r="IM302" s="578"/>
      <c r="IN302" s="577"/>
      <c r="IO302" s="578"/>
      <c r="IP302" s="577"/>
      <c r="IQ302" s="578"/>
      <c r="IR302" s="717" t="s">
        <v>3118</v>
      </c>
      <c r="IS302" s="587" t="s">
        <v>77</v>
      </c>
      <c r="IT302" s="602">
        <v>44021</v>
      </c>
      <c r="IU302" s="518">
        <v>44075</v>
      </c>
      <c r="IV302" s="552"/>
      <c r="IW302" s="526">
        <f t="shared" si="33"/>
        <v>54</v>
      </c>
      <c r="IX302" s="621">
        <f t="shared" si="35"/>
        <v>75.405536146197264</v>
      </c>
      <c r="IY302" s="442">
        <v>2299.8688524590166</v>
      </c>
    </row>
    <row r="303" spans="1:259" s="367" customFormat="1" ht="16.5" customHeight="1" x14ac:dyDescent="0.3">
      <c r="A303" s="526" t="s">
        <v>2758</v>
      </c>
      <c r="B303" s="470" t="s">
        <v>2791</v>
      </c>
      <c r="C303" s="604" t="s">
        <v>2220</v>
      </c>
      <c r="D303" s="605">
        <v>1454</v>
      </c>
      <c r="E303" s="606">
        <v>84</v>
      </c>
      <c r="F303" s="606">
        <v>0</v>
      </c>
      <c r="G303" s="606">
        <v>36</v>
      </c>
      <c r="H303" s="607">
        <v>0</v>
      </c>
      <c r="I303" s="664">
        <v>1538</v>
      </c>
      <c r="J303" s="516">
        <v>36</v>
      </c>
      <c r="K303" s="827"/>
      <c r="L303" s="516">
        <v>1538</v>
      </c>
      <c r="M303" s="516">
        <v>36</v>
      </c>
      <c r="N303" s="827"/>
      <c r="O303" s="516">
        <v>1538</v>
      </c>
      <c r="P303" s="516">
        <v>36</v>
      </c>
      <c r="Q303" s="827"/>
      <c r="R303" s="516">
        <v>1538</v>
      </c>
      <c r="S303" s="516">
        <v>36</v>
      </c>
      <c r="T303" s="827"/>
      <c r="U303" s="516">
        <v>1538</v>
      </c>
      <c r="V303" s="516">
        <v>36</v>
      </c>
      <c r="W303" s="827"/>
      <c r="X303" s="517">
        <f>((1538-1349)/30.5*19)+1538</f>
        <v>1655.7377049180327</v>
      </c>
      <c r="Y303" s="517">
        <f>((36-14)/30.5*19)+36</f>
        <v>49.704918032786885</v>
      </c>
      <c r="Z303" s="827"/>
      <c r="AA303" s="655">
        <v>1349</v>
      </c>
      <c r="AB303" s="655">
        <v>14</v>
      </c>
      <c r="AC303" s="827"/>
      <c r="AD303" s="655">
        <v>1349</v>
      </c>
      <c r="AE303" s="655">
        <v>14</v>
      </c>
      <c r="AF303" s="827"/>
      <c r="AG303" s="655">
        <v>1349</v>
      </c>
      <c r="AH303" s="655">
        <v>14</v>
      </c>
      <c r="AI303" s="827"/>
      <c r="AJ303" s="655">
        <v>1349</v>
      </c>
      <c r="AK303" s="655">
        <v>14</v>
      </c>
      <c r="AL303" s="827"/>
      <c r="AM303" s="655">
        <v>1349</v>
      </c>
      <c r="AN303" s="655">
        <v>14</v>
      </c>
      <c r="AO303" s="827"/>
      <c r="AP303" s="655">
        <v>1349</v>
      </c>
      <c r="AQ303" s="655">
        <v>14</v>
      </c>
      <c r="AR303" s="827"/>
      <c r="AS303" s="655">
        <v>1349</v>
      </c>
      <c r="AT303" s="655">
        <v>14</v>
      </c>
      <c r="AU303" s="827"/>
      <c r="AV303" s="655">
        <v>1349</v>
      </c>
      <c r="AW303" s="655">
        <v>14</v>
      </c>
      <c r="AX303" s="827"/>
      <c r="AY303" s="655">
        <v>1349</v>
      </c>
      <c r="AZ303" s="655">
        <v>14</v>
      </c>
      <c r="BA303" s="405"/>
      <c r="BB303" s="655">
        <v>1349</v>
      </c>
      <c r="BC303" s="655">
        <v>14</v>
      </c>
      <c r="BD303" s="405"/>
      <c r="BE303" s="655">
        <v>1349</v>
      </c>
      <c r="BF303" s="655">
        <v>14</v>
      </c>
      <c r="BG303" s="405"/>
      <c r="BH303" s="655">
        <v>1349</v>
      </c>
      <c r="BI303" s="655">
        <v>14</v>
      </c>
      <c r="BJ303" s="602"/>
      <c r="BK303" s="655">
        <v>1349</v>
      </c>
      <c r="BL303" s="655">
        <v>14</v>
      </c>
      <c r="BM303" s="602"/>
      <c r="BN303" s="655">
        <v>1349</v>
      </c>
      <c r="BO303" s="655">
        <v>14</v>
      </c>
      <c r="BP303" s="602"/>
      <c r="BQ303" s="655">
        <v>1349</v>
      </c>
      <c r="BR303" s="655">
        <v>14</v>
      </c>
      <c r="BS303" s="602"/>
      <c r="BT303" s="655">
        <v>1349</v>
      </c>
      <c r="BU303" s="655">
        <v>14</v>
      </c>
      <c r="BV303" s="602"/>
      <c r="BW303" s="655">
        <v>1349</v>
      </c>
      <c r="BX303" s="655">
        <v>14</v>
      </c>
      <c r="BY303" s="602"/>
      <c r="BZ303" s="655">
        <v>1349</v>
      </c>
      <c r="CA303" s="655">
        <v>14</v>
      </c>
      <c r="CB303" s="602"/>
      <c r="CC303" s="655">
        <v>1349</v>
      </c>
      <c r="CD303" s="655">
        <v>14</v>
      </c>
      <c r="CE303" s="602"/>
      <c r="CF303" s="655">
        <v>1349</v>
      </c>
      <c r="CG303" s="655">
        <v>14</v>
      </c>
      <c r="CH303" s="602"/>
      <c r="CI303" s="517">
        <f>((1349-1233)/30.5)*9+1349</f>
        <v>1383.2295081967213</v>
      </c>
      <c r="CJ303" s="517">
        <f>(14/30.5)*9+14</f>
        <v>18.131147540983605</v>
      </c>
      <c r="CK303" s="714"/>
      <c r="CL303" s="655">
        <v>1233</v>
      </c>
      <c r="CM303" s="690"/>
      <c r="CN303" s="602"/>
      <c r="CO303" s="655">
        <v>1233</v>
      </c>
      <c r="CP303" s="690"/>
      <c r="CQ303" s="602"/>
      <c r="CR303" s="655">
        <v>1233</v>
      </c>
      <c r="CS303" s="690"/>
      <c r="CT303" s="602"/>
      <c r="CU303" s="655">
        <v>1233</v>
      </c>
      <c r="CV303" s="690"/>
      <c r="CW303" s="602"/>
      <c r="CX303" s="655">
        <v>1233</v>
      </c>
      <c r="CY303" s="690"/>
      <c r="CZ303" s="602"/>
      <c r="DA303" s="655">
        <v>1233</v>
      </c>
      <c r="DB303" s="690"/>
      <c r="DC303" s="602"/>
      <c r="DD303" s="655">
        <v>1233</v>
      </c>
      <c r="DE303" s="690"/>
      <c r="DF303" s="602"/>
      <c r="DG303" s="655">
        <v>1233</v>
      </c>
      <c r="DH303" s="690"/>
      <c r="DI303" s="602"/>
      <c r="DJ303" s="655">
        <v>1233</v>
      </c>
      <c r="DK303" s="690"/>
      <c r="DL303" s="602"/>
      <c r="DM303" s="655">
        <v>1233</v>
      </c>
      <c r="DN303" s="690"/>
      <c r="DO303" s="602"/>
      <c r="DP303" s="655">
        <v>1233</v>
      </c>
      <c r="DQ303" s="690"/>
      <c r="DR303" s="602"/>
      <c r="DS303" s="655">
        <v>1233</v>
      </c>
      <c r="DT303" s="690"/>
      <c r="DU303" s="602"/>
      <c r="DV303" s="655">
        <v>1233</v>
      </c>
      <c r="DW303" s="690"/>
      <c r="DX303" s="602"/>
      <c r="DY303" s="655">
        <v>1233</v>
      </c>
      <c r="DZ303" s="690"/>
      <c r="EA303" s="602"/>
      <c r="EB303" s="655">
        <v>1233</v>
      </c>
      <c r="EC303" s="690"/>
      <c r="ED303" s="602"/>
      <c r="EE303" s="655">
        <v>1233</v>
      </c>
      <c r="EF303" s="690"/>
      <c r="EG303" s="602"/>
      <c r="EH303" s="655">
        <v>1233</v>
      </c>
      <c r="EI303" s="690"/>
      <c r="EJ303" s="602"/>
      <c r="EK303" s="655">
        <v>1233</v>
      </c>
      <c r="EL303" s="690"/>
      <c r="EM303" s="602"/>
      <c r="EN303" s="655">
        <v>1233</v>
      </c>
      <c r="EO303" s="690"/>
      <c r="EP303" s="602"/>
      <c r="EQ303" s="655">
        <v>1233</v>
      </c>
      <c r="ER303" s="690"/>
      <c r="ES303" s="602"/>
      <c r="ET303" s="655">
        <v>1233</v>
      </c>
      <c r="EU303" s="690"/>
      <c r="EV303" s="602"/>
      <c r="EW303" s="655">
        <v>1233</v>
      </c>
      <c r="EX303" s="690"/>
      <c r="EY303" s="602"/>
      <c r="EZ303" s="655">
        <v>1233</v>
      </c>
      <c r="FA303" s="690"/>
      <c r="FB303" s="602"/>
      <c r="FC303" s="655">
        <v>1233</v>
      </c>
      <c r="FD303" s="690"/>
      <c r="FE303" s="602"/>
      <c r="FF303" s="655">
        <v>1233</v>
      </c>
      <c r="FG303" s="690"/>
      <c r="FH303" s="602"/>
      <c r="FI303" s="655">
        <v>1233</v>
      </c>
      <c r="FJ303" s="690"/>
      <c r="FK303" s="602"/>
      <c r="FL303" s="655">
        <v>1233</v>
      </c>
      <c r="FM303" s="690"/>
      <c r="FN303" s="602"/>
      <c r="FO303" s="655">
        <v>1233</v>
      </c>
      <c r="FP303" s="690"/>
      <c r="FQ303" s="602"/>
      <c r="FR303" s="655">
        <v>1233</v>
      </c>
      <c r="FS303" s="690"/>
      <c r="FT303" s="602"/>
      <c r="FU303" s="655">
        <v>1233</v>
      </c>
      <c r="FV303" s="690"/>
      <c r="FW303" s="602"/>
      <c r="FX303" s="655">
        <v>1233</v>
      </c>
      <c r="FY303" s="690"/>
      <c r="FZ303" s="602"/>
      <c r="GA303" s="655">
        <v>1233</v>
      </c>
      <c r="GB303" s="690"/>
      <c r="GC303" s="602"/>
      <c r="GD303" s="655">
        <v>1233</v>
      </c>
      <c r="GE303" s="690"/>
      <c r="GF303" s="602"/>
      <c r="GG303" s="655">
        <v>1233</v>
      </c>
      <c r="GH303" s="690"/>
      <c r="GI303" s="602"/>
      <c r="GJ303" s="655">
        <v>1233</v>
      </c>
      <c r="GK303" s="690"/>
      <c r="GL303" s="602"/>
      <c r="GM303" s="655">
        <v>1233</v>
      </c>
      <c r="GN303" s="690"/>
      <c r="GO303" s="602"/>
      <c r="GP303" s="655">
        <v>1233</v>
      </c>
      <c r="GQ303" s="690"/>
      <c r="GR303" s="602"/>
      <c r="GS303" s="655">
        <v>1233</v>
      </c>
      <c r="GT303" s="690"/>
      <c r="GU303" s="602"/>
      <c r="GV303" s="655">
        <v>1233</v>
      </c>
      <c r="GW303" s="690"/>
      <c r="GX303" s="602"/>
      <c r="GY303" s="517">
        <v>2142.5901639344261</v>
      </c>
      <c r="GZ303" s="691"/>
      <c r="HA303" s="714"/>
      <c r="HB303" s="587"/>
      <c r="HC303" s="587"/>
      <c r="HD303" s="587"/>
      <c r="HE303" s="587"/>
      <c r="HF303" s="587"/>
      <c r="HG303" s="587"/>
      <c r="HH303" s="587"/>
      <c r="HI303" s="587"/>
      <c r="HJ303" s="587"/>
      <c r="HK303" s="587"/>
      <c r="HL303" s="587"/>
      <c r="HM303" s="587"/>
      <c r="HN303" s="587"/>
      <c r="HO303" s="587"/>
      <c r="HP303" s="587"/>
      <c r="HQ303" s="587"/>
      <c r="HR303" s="587"/>
      <c r="HS303" s="587"/>
      <c r="HT303" s="587"/>
      <c r="HU303" s="587"/>
      <c r="HV303" s="587"/>
      <c r="HW303" s="587"/>
      <c r="HX303" s="576"/>
      <c r="HY303" s="576"/>
      <c r="HZ303" s="576"/>
      <c r="IA303" s="576"/>
      <c r="IB303" s="576"/>
      <c r="IC303" s="576"/>
      <c r="ID303" s="576"/>
      <c r="IE303" s="576"/>
      <c r="IF303" s="576"/>
      <c r="IG303" s="576"/>
      <c r="IH303" s="577"/>
      <c r="II303" s="578"/>
      <c r="IJ303" s="577"/>
      <c r="IK303" s="578"/>
      <c r="IL303" s="577"/>
      <c r="IM303" s="578"/>
      <c r="IN303" s="577"/>
      <c r="IO303" s="578"/>
      <c r="IP303" s="577"/>
      <c r="IQ303" s="578"/>
      <c r="IR303" s="717" t="s">
        <v>2954</v>
      </c>
      <c r="IS303" s="587" t="s">
        <v>77</v>
      </c>
      <c r="IT303" s="602">
        <v>44022</v>
      </c>
      <c r="IU303" s="518">
        <v>44075</v>
      </c>
      <c r="IV303" s="552"/>
      <c r="IW303" s="526">
        <f t="shared" si="33"/>
        <v>53</v>
      </c>
      <c r="IX303" s="621">
        <f t="shared" si="35"/>
        <v>70.248857833915608</v>
      </c>
      <c r="IY303" s="442">
        <v>2142.5901639344261</v>
      </c>
    </row>
    <row r="304" spans="1:259" s="367" customFormat="1" ht="16.5" customHeight="1" x14ac:dyDescent="0.3">
      <c r="A304" s="526" t="s">
        <v>2758</v>
      </c>
      <c r="B304" s="594" t="s">
        <v>2867</v>
      </c>
      <c r="C304" s="604" t="s">
        <v>2663</v>
      </c>
      <c r="D304" s="605">
        <v>290</v>
      </c>
      <c r="E304" s="606">
        <v>12</v>
      </c>
      <c r="F304" s="606">
        <v>0</v>
      </c>
      <c r="G304" s="606">
        <v>0</v>
      </c>
      <c r="H304" s="607">
        <v>0</v>
      </c>
      <c r="I304" s="844">
        <v>302</v>
      </c>
      <c r="J304" s="827"/>
      <c r="K304" s="827"/>
      <c r="L304" s="606">
        <v>302</v>
      </c>
      <c r="M304" s="827"/>
      <c r="N304" s="827"/>
      <c r="O304" s="606">
        <v>302</v>
      </c>
      <c r="P304" s="827"/>
      <c r="Q304" s="827"/>
      <c r="R304" s="606">
        <v>302</v>
      </c>
      <c r="S304" s="827"/>
      <c r="T304" s="827"/>
      <c r="U304" s="606">
        <v>302</v>
      </c>
      <c r="V304" s="827"/>
      <c r="W304" s="827"/>
      <c r="X304" s="606">
        <v>302</v>
      </c>
      <c r="Y304" s="827"/>
      <c r="Z304" s="827"/>
      <c r="AA304" s="606">
        <v>302</v>
      </c>
      <c r="AB304" s="827"/>
      <c r="AC304" s="827"/>
      <c r="AD304" s="606">
        <v>302</v>
      </c>
      <c r="AE304" s="827"/>
      <c r="AF304" s="827"/>
      <c r="AG304" s="606">
        <v>302</v>
      </c>
      <c r="AH304" s="827"/>
      <c r="AI304" s="827"/>
      <c r="AJ304" s="606">
        <v>302</v>
      </c>
      <c r="AK304" s="827"/>
      <c r="AL304" s="827"/>
      <c r="AM304" s="606">
        <v>302</v>
      </c>
      <c r="AN304" s="827"/>
      <c r="AO304" s="827"/>
      <c r="AP304" s="606">
        <v>302</v>
      </c>
      <c r="AQ304" s="827"/>
      <c r="AR304" s="827"/>
      <c r="AS304" s="909">
        <f>((320-254)/30.5)*31+302</f>
        <v>369.08196721311475</v>
      </c>
      <c r="AT304" s="827"/>
      <c r="AU304" s="827"/>
      <c r="AV304" s="655">
        <v>254</v>
      </c>
      <c r="AW304" s="827"/>
      <c r="AX304" s="827"/>
      <c r="AY304" s="655">
        <v>254</v>
      </c>
      <c r="AZ304" s="827"/>
      <c r="BA304" s="405"/>
      <c r="BB304" s="655">
        <v>254</v>
      </c>
      <c r="BC304" s="405"/>
      <c r="BD304" s="405"/>
      <c r="BE304" s="655">
        <v>254</v>
      </c>
      <c r="BF304" s="405"/>
      <c r="BG304" s="405"/>
      <c r="BH304" s="655">
        <v>254</v>
      </c>
      <c r="BI304" s="690"/>
      <c r="BJ304" s="602"/>
      <c r="BK304" s="655">
        <v>254</v>
      </c>
      <c r="BL304" s="690"/>
      <c r="BM304" s="602"/>
      <c r="BN304" s="655">
        <v>254</v>
      </c>
      <c r="BO304" s="690"/>
      <c r="BP304" s="602"/>
      <c r="BQ304" s="655">
        <v>254</v>
      </c>
      <c r="BR304" s="690"/>
      <c r="BS304" s="602"/>
      <c r="BT304" s="655">
        <v>254</v>
      </c>
      <c r="BU304" s="690"/>
      <c r="BV304" s="602"/>
      <c r="BW304" s="655">
        <v>254</v>
      </c>
      <c r="BX304" s="690"/>
      <c r="BY304" s="602"/>
      <c r="BZ304" s="655">
        <v>254</v>
      </c>
      <c r="CA304" s="690"/>
      <c r="CB304" s="602"/>
      <c r="CC304" s="655">
        <v>254</v>
      </c>
      <c r="CD304" s="690"/>
      <c r="CE304" s="602"/>
      <c r="CF304" s="655">
        <v>254</v>
      </c>
      <c r="CG304" s="690"/>
      <c r="CH304" s="602"/>
      <c r="CI304" s="655">
        <v>254</v>
      </c>
      <c r="CJ304" s="690"/>
      <c r="CK304" s="602"/>
      <c r="CL304" s="655">
        <v>254</v>
      </c>
      <c r="CM304" s="690"/>
      <c r="CN304" s="602"/>
      <c r="CO304" s="655">
        <v>254</v>
      </c>
      <c r="CP304" s="690"/>
      <c r="CQ304" s="602"/>
      <c r="CR304" s="655">
        <v>254</v>
      </c>
      <c r="CS304" s="690"/>
      <c r="CT304" s="602"/>
      <c r="CU304" s="655">
        <v>254</v>
      </c>
      <c r="CV304" s="690"/>
      <c r="CW304" s="602"/>
      <c r="CX304" s="655">
        <v>254</v>
      </c>
      <c r="CY304" s="690"/>
      <c r="CZ304" s="602"/>
      <c r="DA304" s="655">
        <v>254</v>
      </c>
      <c r="DB304" s="690"/>
      <c r="DC304" s="602"/>
      <c r="DD304" s="655">
        <v>254</v>
      </c>
      <c r="DE304" s="690"/>
      <c r="DF304" s="602"/>
      <c r="DG304" s="655">
        <v>254</v>
      </c>
      <c r="DH304" s="690"/>
      <c r="DI304" s="602"/>
      <c r="DJ304" s="655">
        <v>254</v>
      </c>
      <c r="DK304" s="690"/>
      <c r="DL304" s="602"/>
      <c r="DM304" s="655">
        <v>254</v>
      </c>
      <c r="DN304" s="690"/>
      <c r="DO304" s="602"/>
      <c r="DP304" s="655">
        <v>254</v>
      </c>
      <c r="DQ304" s="690"/>
      <c r="DR304" s="602"/>
      <c r="DS304" s="655">
        <v>254</v>
      </c>
      <c r="DT304" s="690"/>
      <c r="DU304" s="602"/>
      <c r="DV304" s="655">
        <v>254</v>
      </c>
      <c r="DW304" s="690"/>
      <c r="DX304" s="602"/>
      <c r="DY304" s="655">
        <v>254</v>
      </c>
      <c r="DZ304" s="690"/>
      <c r="EA304" s="602"/>
      <c r="EB304" s="655">
        <v>254</v>
      </c>
      <c r="EC304" s="690"/>
      <c r="ED304" s="602"/>
      <c r="EE304" s="655">
        <v>254</v>
      </c>
      <c r="EF304" s="690"/>
      <c r="EG304" s="602"/>
      <c r="EH304" s="655">
        <v>254</v>
      </c>
      <c r="EI304" s="690"/>
      <c r="EJ304" s="602"/>
      <c r="EK304" s="655">
        <v>254</v>
      </c>
      <c r="EL304" s="690"/>
      <c r="EM304" s="602"/>
      <c r="EN304" s="655">
        <v>254</v>
      </c>
      <c r="EO304" s="690"/>
      <c r="EP304" s="602"/>
      <c r="EQ304" s="655">
        <v>254</v>
      </c>
      <c r="ER304" s="690"/>
      <c r="ES304" s="602"/>
      <c r="ET304" s="655">
        <v>254</v>
      </c>
      <c r="EU304" s="690"/>
      <c r="EV304" s="602"/>
      <c r="EW304" s="655">
        <v>254</v>
      </c>
      <c r="EX304" s="690"/>
      <c r="EY304" s="602"/>
      <c r="EZ304" s="655">
        <v>254</v>
      </c>
      <c r="FA304" s="690"/>
      <c r="FB304" s="602"/>
      <c r="FC304" s="655">
        <v>254</v>
      </c>
      <c r="FD304" s="690"/>
      <c r="FE304" s="602"/>
      <c r="FF304" s="655">
        <v>254</v>
      </c>
      <c r="FG304" s="690"/>
      <c r="FH304" s="602"/>
      <c r="FI304" s="655">
        <v>254</v>
      </c>
      <c r="FJ304" s="690"/>
      <c r="FK304" s="602"/>
      <c r="FL304" s="655">
        <v>254</v>
      </c>
      <c r="FM304" s="690"/>
      <c r="FN304" s="602"/>
      <c r="FO304" s="655">
        <v>254</v>
      </c>
      <c r="FP304" s="690"/>
      <c r="FQ304" s="602"/>
      <c r="FR304" s="655">
        <v>254</v>
      </c>
      <c r="FS304" s="690"/>
      <c r="FT304" s="602"/>
      <c r="FU304" s="655">
        <v>254</v>
      </c>
      <c r="FV304" s="690"/>
      <c r="FW304" s="602"/>
      <c r="FX304" s="655">
        <v>254</v>
      </c>
      <c r="FY304" s="690"/>
      <c r="FZ304" s="602"/>
      <c r="GA304" s="655">
        <v>254</v>
      </c>
      <c r="GB304" s="690"/>
      <c r="GC304" s="602"/>
      <c r="GD304" s="655">
        <v>254</v>
      </c>
      <c r="GE304" s="690"/>
      <c r="GF304" s="602"/>
      <c r="GG304" s="655">
        <v>254</v>
      </c>
      <c r="GH304" s="690"/>
      <c r="GI304" s="602"/>
      <c r="GJ304" s="655">
        <v>254</v>
      </c>
      <c r="GK304" s="690"/>
      <c r="GL304" s="602"/>
      <c r="GM304" s="655">
        <v>254</v>
      </c>
      <c r="GN304" s="690"/>
      <c r="GO304" s="602"/>
      <c r="GP304" s="655">
        <v>254</v>
      </c>
      <c r="GQ304" s="690"/>
      <c r="GR304" s="602"/>
      <c r="GS304" s="655">
        <v>254</v>
      </c>
      <c r="GT304" s="690"/>
      <c r="GU304" s="602"/>
      <c r="GV304" s="655">
        <v>254</v>
      </c>
      <c r="GW304" s="690"/>
      <c r="GX304" s="602"/>
      <c r="GY304" s="517">
        <v>324.7868852459016</v>
      </c>
      <c r="GZ304" s="691"/>
      <c r="HA304" s="714"/>
      <c r="HB304" s="587"/>
      <c r="HC304" s="587"/>
      <c r="HD304" s="587"/>
      <c r="HE304" s="587"/>
      <c r="HF304" s="587"/>
      <c r="HG304" s="587"/>
      <c r="HH304" s="587"/>
      <c r="HI304" s="587"/>
      <c r="HJ304" s="587"/>
      <c r="HK304" s="587"/>
      <c r="HL304" s="587"/>
      <c r="HM304" s="587"/>
      <c r="HN304" s="587"/>
      <c r="HO304" s="587"/>
      <c r="HP304" s="587"/>
      <c r="HQ304" s="587"/>
      <c r="HR304" s="587"/>
      <c r="HS304" s="587"/>
      <c r="HT304" s="587"/>
      <c r="HU304" s="587"/>
      <c r="HV304" s="587"/>
      <c r="HW304" s="587"/>
      <c r="HX304" s="576"/>
      <c r="HY304" s="576"/>
      <c r="HZ304" s="576"/>
      <c r="IA304" s="576"/>
      <c r="IB304" s="576"/>
      <c r="IC304" s="576"/>
      <c r="ID304" s="576"/>
      <c r="IE304" s="576"/>
      <c r="IF304" s="576"/>
      <c r="IG304" s="576"/>
      <c r="IH304" s="577"/>
      <c r="II304" s="578"/>
      <c r="IJ304" s="577"/>
      <c r="IK304" s="578"/>
      <c r="IL304" s="577"/>
      <c r="IM304" s="578"/>
      <c r="IN304" s="577"/>
      <c r="IO304" s="578"/>
      <c r="IP304" s="577"/>
      <c r="IQ304" s="578"/>
      <c r="IR304" s="717" t="s">
        <v>3091</v>
      </c>
      <c r="IS304" s="587" t="s">
        <v>77</v>
      </c>
      <c r="IT304" s="602">
        <v>44036</v>
      </c>
      <c r="IU304" s="518">
        <v>44075</v>
      </c>
      <c r="IV304" s="552"/>
      <c r="IW304" s="526">
        <f t="shared" si="33"/>
        <v>39</v>
      </c>
      <c r="IX304" s="621">
        <f t="shared" si="35"/>
        <v>10.648750335931201</v>
      </c>
      <c r="IY304" s="442">
        <v>324.7868852459016</v>
      </c>
    </row>
    <row r="305" spans="1:259" s="367" customFormat="1" ht="16.5" customHeight="1" x14ac:dyDescent="0.3">
      <c r="A305" s="526" t="s">
        <v>2735</v>
      </c>
      <c r="B305" s="594" t="s">
        <v>2784</v>
      </c>
      <c r="C305" s="595" t="s">
        <v>722</v>
      </c>
      <c r="D305" s="596">
        <v>1454</v>
      </c>
      <c r="E305" s="597">
        <v>95</v>
      </c>
      <c r="F305" s="597">
        <v>32</v>
      </c>
      <c r="G305" s="597">
        <v>36</v>
      </c>
      <c r="H305" s="598">
        <v>66</v>
      </c>
      <c r="I305" s="659">
        <v>1580</v>
      </c>
      <c r="J305" s="655">
        <v>36</v>
      </c>
      <c r="K305" s="655">
        <v>66</v>
      </c>
      <c r="L305" s="655">
        <v>1580</v>
      </c>
      <c r="M305" s="655">
        <v>36</v>
      </c>
      <c r="N305" s="655">
        <v>66</v>
      </c>
      <c r="O305" s="655">
        <v>1580</v>
      </c>
      <c r="P305" s="655">
        <v>36</v>
      </c>
      <c r="Q305" s="655">
        <v>66</v>
      </c>
      <c r="R305" s="655">
        <v>1580</v>
      </c>
      <c r="S305" s="655">
        <v>36</v>
      </c>
      <c r="T305" s="655">
        <v>66</v>
      </c>
      <c r="U305" s="655">
        <v>1580</v>
      </c>
      <c r="V305" s="655">
        <v>36</v>
      </c>
      <c r="W305" s="655">
        <v>66</v>
      </c>
      <c r="X305" s="655">
        <v>1580</v>
      </c>
      <c r="Y305" s="655">
        <v>36</v>
      </c>
      <c r="Z305" s="655">
        <v>66</v>
      </c>
      <c r="AA305" s="655">
        <v>1580</v>
      </c>
      <c r="AB305" s="655">
        <v>36</v>
      </c>
      <c r="AC305" s="655">
        <v>66</v>
      </c>
      <c r="AD305" s="655">
        <v>1580</v>
      </c>
      <c r="AE305" s="655">
        <v>36</v>
      </c>
      <c r="AF305" s="655">
        <v>66</v>
      </c>
      <c r="AG305" s="655">
        <v>1580</v>
      </c>
      <c r="AH305" s="655">
        <v>36</v>
      </c>
      <c r="AI305" s="655">
        <v>66</v>
      </c>
      <c r="AJ305" s="655">
        <v>1580</v>
      </c>
      <c r="AK305" s="655">
        <v>36</v>
      </c>
      <c r="AL305" s="655">
        <v>66</v>
      </c>
      <c r="AM305" s="655">
        <v>1580</v>
      </c>
      <c r="AN305" s="655">
        <v>36</v>
      </c>
      <c r="AO305" s="655">
        <v>66</v>
      </c>
      <c r="AP305" s="655">
        <v>1580</v>
      </c>
      <c r="AQ305" s="655">
        <v>36</v>
      </c>
      <c r="AR305" s="655">
        <v>66</v>
      </c>
      <c r="AS305" s="655">
        <v>1580</v>
      </c>
      <c r="AT305" s="655">
        <v>36</v>
      </c>
      <c r="AU305" s="655">
        <v>66</v>
      </c>
      <c r="AV305" s="655">
        <v>1580</v>
      </c>
      <c r="AW305" s="655">
        <v>36</v>
      </c>
      <c r="AX305" s="655">
        <v>66</v>
      </c>
      <c r="AY305" s="655">
        <v>1580</v>
      </c>
      <c r="AZ305" s="655">
        <v>36</v>
      </c>
      <c r="BA305" s="655">
        <v>66</v>
      </c>
      <c r="BB305" s="655">
        <v>1580</v>
      </c>
      <c r="BC305" s="655">
        <v>36</v>
      </c>
      <c r="BD305" s="655">
        <v>66</v>
      </c>
      <c r="BE305" s="655">
        <v>1580</v>
      </c>
      <c r="BF305" s="655">
        <v>36</v>
      </c>
      <c r="BG305" s="655">
        <v>66</v>
      </c>
      <c r="BH305" s="655">
        <v>1580</v>
      </c>
      <c r="BI305" s="655">
        <v>36</v>
      </c>
      <c r="BJ305" s="655">
        <v>66</v>
      </c>
      <c r="BK305" s="655">
        <v>1580</v>
      </c>
      <c r="BL305" s="655">
        <v>36</v>
      </c>
      <c r="BM305" s="655">
        <v>66</v>
      </c>
      <c r="BN305" s="655">
        <v>1580</v>
      </c>
      <c r="BO305" s="655">
        <v>36</v>
      </c>
      <c r="BP305" s="655">
        <v>66</v>
      </c>
      <c r="BQ305" s="655">
        <v>1580</v>
      </c>
      <c r="BR305" s="655">
        <v>36</v>
      </c>
      <c r="BS305" s="655">
        <v>66</v>
      </c>
      <c r="BT305" s="655">
        <v>1580</v>
      </c>
      <c r="BU305" s="655">
        <v>36</v>
      </c>
      <c r="BV305" s="655">
        <v>66</v>
      </c>
      <c r="BW305" s="655">
        <v>1580</v>
      </c>
      <c r="BX305" s="655">
        <v>36</v>
      </c>
      <c r="BY305" s="655">
        <v>66</v>
      </c>
      <c r="BZ305" s="655">
        <v>1580</v>
      </c>
      <c r="CA305" s="655">
        <v>36</v>
      </c>
      <c r="CB305" s="655">
        <v>66</v>
      </c>
      <c r="CC305" s="655">
        <v>1580</v>
      </c>
      <c r="CD305" s="655">
        <v>36</v>
      </c>
      <c r="CE305" s="655">
        <v>66</v>
      </c>
      <c r="CF305" s="655">
        <v>1580</v>
      </c>
      <c r="CG305" s="655">
        <v>36</v>
      </c>
      <c r="CH305" s="655">
        <v>66</v>
      </c>
      <c r="CI305" s="655">
        <v>1580</v>
      </c>
      <c r="CJ305" s="655">
        <v>36</v>
      </c>
      <c r="CK305" s="655">
        <v>66</v>
      </c>
      <c r="CL305" s="655">
        <v>1580</v>
      </c>
      <c r="CM305" s="655">
        <v>36</v>
      </c>
      <c r="CN305" s="655">
        <v>66</v>
      </c>
      <c r="CO305" s="655">
        <v>1580</v>
      </c>
      <c r="CP305" s="655">
        <v>36</v>
      </c>
      <c r="CQ305" s="655">
        <v>66</v>
      </c>
      <c r="CR305" s="655">
        <v>1580</v>
      </c>
      <c r="CS305" s="655">
        <v>36</v>
      </c>
      <c r="CT305" s="655">
        <v>66</v>
      </c>
      <c r="CU305" s="655">
        <v>1580</v>
      </c>
      <c r="CV305" s="655">
        <v>36</v>
      </c>
      <c r="CW305" s="655">
        <v>66</v>
      </c>
      <c r="CX305" s="655">
        <v>1580</v>
      </c>
      <c r="CY305" s="655">
        <v>36</v>
      </c>
      <c r="CZ305" s="655">
        <v>66</v>
      </c>
      <c r="DA305" s="655">
        <v>1580</v>
      </c>
      <c r="DB305" s="655">
        <v>36</v>
      </c>
      <c r="DC305" s="655">
        <v>66</v>
      </c>
      <c r="DD305" s="655">
        <v>1580</v>
      </c>
      <c r="DE305" s="655">
        <v>36</v>
      </c>
      <c r="DF305" s="655">
        <v>66</v>
      </c>
      <c r="DG305" s="517">
        <f>((1580-1335)/30.5)*19+1580</f>
        <v>1732.622950819672</v>
      </c>
      <c r="DH305" s="517">
        <f>((36-14)/30.5)*19+36</f>
        <v>49.704918032786885</v>
      </c>
      <c r="DI305" s="517">
        <v>66</v>
      </c>
      <c r="DJ305" s="655">
        <v>1335</v>
      </c>
      <c r="DK305" s="655">
        <v>14</v>
      </c>
      <c r="DL305" s="655">
        <v>66</v>
      </c>
      <c r="DM305" s="655">
        <v>1335</v>
      </c>
      <c r="DN305" s="655">
        <v>14</v>
      </c>
      <c r="DO305" s="655">
        <v>66</v>
      </c>
      <c r="DP305" s="655">
        <v>1335</v>
      </c>
      <c r="DQ305" s="655">
        <v>14</v>
      </c>
      <c r="DR305" s="655">
        <v>66</v>
      </c>
      <c r="DS305" s="655">
        <v>1335</v>
      </c>
      <c r="DT305" s="655">
        <v>14</v>
      </c>
      <c r="DU305" s="655">
        <v>66</v>
      </c>
      <c r="DV305" s="655">
        <v>1335</v>
      </c>
      <c r="DW305" s="655">
        <v>14</v>
      </c>
      <c r="DX305" s="655">
        <v>66</v>
      </c>
      <c r="DY305" s="655">
        <v>1335</v>
      </c>
      <c r="DZ305" s="655">
        <v>14</v>
      </c>
      <c r="EA305" s="655">
        <v>66</v>
      </c>
      <c r="EB305" s="655">
        <v>1335</v>
      </c>
      <c r="EC305" s="655">
        <v>14</v>
      </c>
      <c r="ED305" s="655">
        <v>66</v>
      </c>
      <c r="EE305" s="655">
        <v>1335</v>
      </c>
      <c r="EF305" s="655">
        <v>14</v>
      </c>
      <c r="EG305" s="655">
        <v>66</v>
      </c>
      <c r="EH305" s="655">
        <v>1335</v>
      </c>
      <c r="EI305" s="655">
        <v>14</v>
      </c>
      <c r="EJ305" s="655">
        <v>66</v>
      </c>
      <c r="EK305" s="655">
        <v>1335</v>
      </c>
      <c r="EL305" s="655">
        <v>14</v>
      </c>
      <c r="EM305" s="655">
        <v>66</v>
      </c>
      <c r="EN305" s="655">
        <v>1335</v>
      </c>
      <c r="EO305" s="655">
        <v>14</v>
      </c>
      <c r="EP305" s="655">
        <v>66</v>
      </c>
      <c r="EQ305" s="655">
        <v>1335</v>
      </c>
      <c r="ER305" s="655">
        <v>14</v>
      </c>
      <c r="ES305" s="655">
        <v>66</v>
      </c>
      <c r="ET305" s="655">
        <v>1335</v>
      </c>
      <c r="EU305" s="655">
        <v>14</v>
      </c>
      <c r="EV305" s="655">
        <v>66</v>
      </c>
      <c r="EW305" s="655">
        <v>1335</v>
      </c>
      <c r="EX305" s="655">
        <v>14</v>
      </c>
      <c r="EY305" s="655">
        <v>66</v>
      </c>
      <c r="EZ305" s="655">
        <v>1335</v>
      </c>
      <c r="FA305" s="655">
        <v>14</v>
      </c>
      <c r="FB305" s="655">
        <v>66</v>
      </c>
      <c r="FC305" s="655">
        <v>1335</v>
      </c>
      <c r="FD305" s="655">
        <v>14</v>
      </c>
      <c r="FE305" s="655">
        <v>66</v>
      </c>
      <c r="FF305" s="655">
        <v>1335</v>
      </c>
      <c r="FG305" s="655">
        <v>14</v>
      </c>
      <c r="FH305" s="655">
        <v>66</v>
      </c>
      <c r="FI305" s="655">
        <v>1335</v>
      </c>
      <c r="FJ305" s="655">
        <v>14</v>
      </c>
      <c r="FK305" s="655">
        <v>66</v>
      </c>
      <c r="FL305" s="655">
        <v>1335</v>
      </c>
      <c r="FM305" s="655">
        <v>14</v>
      </c>
      <c r="FN305" s="655">
        <v>66</v>
      </c>
      <c r="FO305" s="655">
        <v>1335</v>
      </c>
      <c r="FP305" s="655">
        <v>14</v>
      </c>
      <c r="FQ305" s="655">
        <v>66</v>
      </c>
      <c r="FR305" s="655">
        <v>1335</v>
      </c>
      <c r="FS305" s="655">
        <v>14</v>
      </c>
      <c r="FT305" s="655">
        <v>66</v>
      </c>
      <c r="FU305" s="655">
        <v>1335</v>
      </c>
      <c r="FV305" s="655">
        <v>14</v>
      </c>
      <c r="FW305" s="655">
        <v>66</v>
      </c>
      <c r="FX305" s="655">
        <v>1335</v>
      </c>
      <c r="FY305" s="655">
        <v>14</v>
      </c>
      <c r="FZ305" s="655">
        <v>66</v>
      </c>
      <c r="GA305" s="655">
        <v>1335</v>
      </c>
      <c r="GB305" s="655">
        <v>14</v>
      </c>
      <c r="GC305" s="655">
        <v>66</v>
      </c>
      <c r="GD305" s="655">
        <v>1335</v>
      </c>
      <c r="GE305" s="655">
        <v>14</v>
      </c>
      <c r="GF305" s="655">
        <v>66</v>
      </c>
      <c r="GG305" s="655">
        <v>1335</v>
      </c>
      <c r="GH305" s="655">
        <v>14</v>
      </c>
      <c r="GI305" s="655">
        <v>66</v>
      </c>
      <c r="GJ305" s="655">
        <v>1335</v>
      </c>
      <c r="GK305" s="655">
        <v>14</v>
      </c>
      <c r="GL305" s="655">
        <v>66</v>
      </c>
      <c r="GM305" s="655">
        <v>1335</v>
      </c>
      <c r="GN305" s="655">
        <v>14</v>
      </c>
      <c r="GO305" s="655">
        <v>66</v>
      </c>
      <c r="GP305" s="655">
        <v>1335</v>
      </c>
      <c r="GQ305" s="655">
        <v>14</v>
      </c>
      <c r="GR305" s="655">
        <v>66</v>
      </c>
      <c r="GS305" s="655">
        <v>1335</v>
      </c>
      <c r="GT305" s="655">
        <v>14</v>
      </c>
      <c r="GU305" s="655">
        <v>66</v>
      </c>
      <c r="GV305" s="655">
        <v>1335</v>
      </c>
      <c r="GW305" s="655">
        <v>14</v>
      </c>
      <c r="GX305" s="655">
        <v>66</v>
      </c>
      <c r="GY305" s="517">
        <v>1707.0491803278687</v>
      </c>
      <c r="GZ305" s="517">
        <v>17.901639344262296</v>
      </c>
      <c r="HA305" s="517">
        <v>83.901147540983587</v>
      </c>
      <c r="HB305" s="611"/>
      <c r="HC305" s="587"/>
      <c r="HD305" s="587"/>
      <c r="HE305" s="587"/>
      <c r="HF305" s="587"/>
      <c r="HG305" s="587"/>
      <c r="HH305" s="587"/>
      <c r="HI305" s="587"/>
      <c r="HJ305" s="587"/>
      <c r="HK305" s="587"/>
      <c r="HL305" s="587"/>
      <c r="HM305" s="587"/>
      <c r="HN305" s="587"/>
      <c r="HO305" s="587"/>
      <c r="HP305" s="587"/>
      <c r="HQ305" s="587"/>
      <c r="HR305" s="587"/>
      <c r="HS305" s="587"/>
      <c r="HT305" s="587"/>
      <c r="HU305" s="587"/>
      <c r="HV305" s="587"/>
      <c r="HW305" s="587"/>
      <c r="HX305" s="576"/>
      <c r="HY305" s="576"/>
      <c r="HZ305" s="576"/>
      <c r="IA305" s="576"/>
      <c r="IB305" s="576"/>
      <c r="IC305" s="576"/>
      <c r="ID305" s="576"/>
      <c r="IE305" s="576"/>
      <c r="IF305" s="576"/>
      <c r="IG305" s="576"/>
      <c r="IH305" s="577"/>
      <c r="II305" s="578"/>
      <c r="IJ305" s="577"/>
      <c r="IK305" s="578"/>
      <c r="IL305" s="577"/>
      <c r="IM305" s="578"/>
      <c r="IN305" s="577"/>
      <c r="IO305" s="578"/>
      <c r="IP305" s="577"/>
      <c r="IQ305" s="578"/>
      <c r="IR305" s="724" t="s">
        <v>3043</v>
      </c>
      <c r="IS305" s="587" t="s">
        <v>77</v>
      </c>
      <c r="IT305" s="602">
        <v>44036</v>
      </c>
      <c r="IU305" s="518">
        <v>44075</v>
      </c>
      <c r="IV305" s="552"/>
      <c r="IW305" s="526">
        <f t="shared" si="33"/>
        <v>39</v>
      </c>
      <c r="IX305" s="621">
        <f t="shared" si="35"/>
        <v>55.968825584520289</v>
      </c>
      <c r="IY305" s="442">
        <v>1707.0491803278687</v>
      </c>
    </row>
    <row r="306" spans="1:259" s="367" customFormat="1" ht="16.5" customHeight="1" x14ac:dyDescent="0.3">
      <c r="A306" s="401" t="s">
        <v>3315</v>
      </c>
      <c r="B306" s="402" t="s">
        <v>3315</v>
      </c>
      <c r="C306" s="699" t="s">
        <v>2741</v>
      </c>
      <c r="D306" s="925"/>
      <c r="E306" s="660"/>
      <c r="F306" s="660"/>
      <c r="G306" s="660"/>
      <c r="H306" s="926"/>
      <c r="I306" s="853">
        <v>0</v>
      </c>
      <c r="J306" s="833">
        <v>0</v>
      </c>
      <c r="K306" s="833">
        <v>0</v>
      </c>
      <c r="L306" s="833">
        <v>0</v>
      </c>
      <c r="M306" s="833">
        <v>0</v>
      </c>
      <c r="N306" s="833">
        <v>0</v>
      </c>
      <c r="O306" s="833">
        <v>0</v>
      </c>
      <c r="P306" s="833">
        <v>0</v>
      </c>
      <c r="Q306" s="833">
        <v>0</v>
      </c>
      <c r="R306" s="833">
        <v>0</v>
      </c>
      <c r="S306" s="833">
        <v>0</v>
      </c>
      <c r="T306" s="833">
        <v>0</v>
      </c>
      <c r="U306" s="833">
        <v>0</v>
      </c>
      <c r="V306" s="833">
        <v>0</v>
      </c>
      <c r="W306" s="833">
        <v>0</v>
      </c>
      <c r="X306" s="833">
        <v>0</v>
      </c>
      <c r="Y306" s="833">
        <v>0</v>
      </c>
      <c r="Z306" s="833">
        <v>0</v>
      </c>
      <c r="AA306" s="833">
        <v>0</v>
      </c>
      <c r="AB306" s="833">
        <v>0</v>
      </c>
      <c r="AC306" s="833">
        <v>0</v>
      </c>
      <c r="AD306" s="833">
        <v>0</v>
      </c>
      <c r="AE306" s="833">
        <v>0</v>
      </c>
      <c r="AF306" s="833">
        <v>0</v>
      </c>
      <c r="AG306" s="833">
        <v>0</v>
      </c>
      <c r="AH306" s="833">
        <v>0</v>
      </c>
      <c r="AI306" s="833">
        <v>0</v>
      </c>
      <c r="AJ306" s="833">
        <v>0</v>
      </c>
      <c r="AK306" s="833">
        <v>0</v>
      </c>
      <c r="AL306" s="833">
        <v>0</v>
      </c>
      <c r="AM306" s="833">
        <v>0</v>
      </c>
      <c r="AN306" s="833">
        <v>0</v>
      </c>
      <c r="AO306" s="833">
        <v>0</v>
      </c>
      <c r="AP306" s="833">
        <v>0</v>
      </c>
      <c r="AQ306" s="833">
        <v>0</v>
      </c>
      <c r="AR306" s="833">
        <v>0</v>
      </c>
      <c r="AS306" s="833">
        <v>0</v>
      </c>
      <c r="AT306" s="833">
        <v>0</v>
      </c>
      <c r="AU306" s="833">
        <v>0</v>
      </c>
      <c r="AV306" s="660">
        <v>0</v>
      </c>
      <c r="AW306" s="660">
        <v>0</v>
      </c>
      <c r="AX306" s="660">
        <v>0</v>
      </c>
      <c r="AY306" s="660">
        <v>0</v>
      </c>
      <c r="AZ306" s="660">
        <v>0</v>
      </c>
      <c r="BA306" s="660">
        <v>0</v>
      </c>
      <c r="BB306" s="660">
        <v>0</v>
      </c>
      <c r="BC306" s="660">
        <v>0</v>
      </c>
      <c r="BD306" s="660">
        <v>0</v>
      </c>
      <c r="BE306" s="660">
        <v>0</v>
      </c>
      <c r="BF306" s="660">
        <v>0</v>
      </c>
      <c r="BG306" s="660">
        <v>0</v>
      </c>
      <c r="BH306" s="660">
        <v>0</v>
      </c>
      <c r="BI306" s="660">
        <v>0</v>
      </c>
      <c r="BJ306" s="660">
        <v>0</v>
      </c>
      <c r="BK306" s="660">
        <v>0</v>
      </c>
      <c r="BL306" s="660">
        <v>0</v>
      </c>
      <c r="BM306" s="660">
        <v>0</v>
      </c>
      <c r="BN306" s="660">
        <v>0</v>
      </c>
      <c r="BO306" s="660">
        <v>0</v>
      </c>
      <c r="BP306" s="660">
        <v>0</v>
      </c>
      <c r="BQ306" s="660">
        <v>0</v>
      </c>
      <c r="BR306" s="660">
        <v>0</v>
      </c>
      <c r="BS306" s="660">
        <v>0</v>
      </c>
      <c r="BT306" s="660">
        <v>0</v>
      </c>
      <c r="BU306" s="660">
        <v>0</v>
      </c>
      <c r="BV306" s="660">
        <v>0</v>
      </c>
      <c r="BW306" s="660">
        <v>0</v>
      </c>
      <c r="BX306" s="660">
        <v>0</v>
      </c>
      <c r="BY306" s="660">
        <v>0</v>
      </c>
      <c r="BZ306" s="660">
        <v>0</v>
      </c>
      <c r="CA306" s="660">
        <v>0</v>
      </c>
      <c r="CB306" s="660">
        <v>0</v>
      </c>
      <c r="CC306" s="655">
        <v>2181</v>
      </c>
      <c r="CD306" s="655">
        <v>252</v>
      </c>
      <c r="CE306" s="655">
        <v>66</v>
      </c>
      <c r="CF306" s="655">
        <v>2181</v>
      </c>
      <c r="CG306" s="655">
        <v>252</v>
      </c>
      <c r="CH306" s="655">
        <v>66</v>
      </c>
      <c r="CI306" s="655">
        <v>2181</v>
      </c>
      <c r="CJ306" s="655">
        <v>252</v>
      </c>
      <c r="CK306" s="655">
        <v>66</v>
      </c>
      <c r="CL306" s="655">
        <v>2181</v>
      </c>
      <c r="CM306" s="655">
        <v>252</v>
      </c>
      <c r="CN306" s="655">
        <v>66</v>
      </c>
      <c r="CO306" s="655">
        <v>2181</v>
      </c>
      <c r="CP306" s="655">
        <v>252</v>
      </c>
      <c r="CQ306" s="655">
        <v>66</v>
      </c>
      <c r="CR306" s="655">
        <v>2181</v>
      </c>
      <c r="CS306" s="655">
        <v>252</v>
      </c>
      <c r="CT306" s="655">
        <v>66</v>
      </c>
      <c r="CU306" s="655">
        <v>2181</v>
      </c>
      <c r="CV306" s="655">
        <v>252</v>
      </c>
      <c r="CW306" s="655">
        <v>66</v>
      </c>
      <c r="CX306" s="655">
        <v>2181</v>
      </c>
      <c r="CY306" s="655">
        <v>252</v>
      </c>
      <c r="CZ306" s="655">
        <v>66</v>
      </c>
      <c r="DA306" s="655">
        <v>2181</v>
      </c>
      <c r="DB306" s="655">
        <v>252</v>
      </c>
      <c r="DC306" s="655">
        <v>66</v>
      </c>
      <c r="DD306" s="655">
        <v>2181</v>
      </c>
      <c r="DE306" s="655">
        <v>252</v>
      </c>
      <c r="DF306" s="655">
        <v>66</v>
      </c>
      <c r="DG306" s="655">
        <v>2181</v>
      </c>
      <c r="DH306" s="655">
        <v>252</v>
      </c>
      <c r="DI306" s="655">
        <v>66</v>
      </c>
      <c r="DJ306" s="655">
        <v>2181</v>
      </c>
      <c r="DK306" s="655">
        <v>252</v>
      </c>
      <c r="DL306" s="655">
        <v>66</v>
      </c>
      <c r="DM306" s="655">
        <v>2181</v>
      </c>
      <c r="DN306" s="655">
        <v>252</v>
      </c>
      <c r="DO306" s="655">
        <v>66</v>
      </c>
      <c r="DP306" s="655">
        <v>2181</v>
      </c>
      <c r="DQ306" s="655">
        <v>252</v>
      </c>
      <c r="DR306" s="655">
        <v>66</v>
      </c>
      <c r="DS306" s="655">
        <v>2181</v>
      </c>
      <c r="DT306" s="655">
        <v>252</v>
      </c>
      <c r="DU306" s="655">
        <v>66</v>
      </c>
      <c r="DV306" s="655">
        <v>2181</v>
      </c>
      <c r="DW306" s="655">
        <v>252</v>
      </c>
      <c r="DX306" s="655">
        <v>66</v>
      </c>
      <c r="DY306" s="655">
        <v>2181</v>
      </c>
      <c r="DZ306" s="655">
        <v>252</v>
      </c>
      <c r="EA306" s="655">
        <v>66</v>
      </c>
      <c r="EB306" s="655">
        <v>2181</v>
      </c>
      <c r="EC306" s="655">
        <v>252</v>
      </c>
      <c r="ED306" s="655">
        <v>66</v>
      </c>
      <c r="EE306" s="655">
        <v>2181</v>
      </c>
      <c r="EF306" s="655">
        <v>252</v>
      </c>
      <c r="EG306" s="655">
        <v>66</v>
      </c>
      <c r="EH306" s="655">
        <v>2181</v>
      </c>
      <c r="EI306" s="655">
        <v>252</v>
      </c>
      <c r="EJ306" s="655">
        <v>66</v>
      </c>
      <c r="EK306" s="655">
        <v>2181</v>
      </c>
      <c r="EL306" s="655">
        <v>252</v>
      </c>
      <c r="EM306" s="655">
        <v>66</v>
      </c>
      <c r="EN306" s="655">
        <v>2181</v>
      </c>
      <c r="EO306" s="655">
        <v>252</v>
      </c>
      <c r="EP306" s="655">
        <v>66</v>
      </c>
      <c r="EQ306" s="655">
        <v>2181</v>
      </c>
      <c r="ER306" s="655">
        <v>252</v>
      </c>
      <c r="ES306" s="655">
        <v>66</v>
      </c>
      <c r="ET306" s="655">
        <v>2181</v>
      </c>
      <c r="EU306" s="655">
        <v>252</v>
      </c>
      <c r="EV306" s="655">
        <v>66</v>
      </c>
      <c r="EW306" s="655">
        <v>2181</v>
      </c>
      <c r="EX306" s="655">
        <v>252</v>
      </c>
      <c r="EY306" s="655">
        <v>66</v>
      </c>
      <c r="EZ306" s="655">
        <v>2181</v>
      </c>
      <c r="FA306" s="655">
        <v>252</v>
      </c>
      <c r="FB306" s="655">
        <v>66</v>
      </c>
      <c r="FC306" s="655">
        <v>2181</v>
      </c>
      <c r="FD306" s="655">
        <v>252</v>
      </c>
      <c r="FE306" s="655">
        <v>66</v>
      </c>
      <c r="FF306" s="655">
        <v>2181</v>
      </c>
      <c r="FG306" s="655">
        <v>252</v>
      </c>
      <c r="FH306" s="655">
        <v>66</v>
      </c>
      <c r="FI306" s="655">
        <v>2181</v>
      </c>
      <c r="FJ306" s="655">
        <v>252</v>
      </c>
      <c r="FK306" s="655">
        <v>66</v>
      </c>
      <c r="FL306" s="655">
        <v>2181</v>
      </c>
      <c r="FM306" s="655">
        <v>252</v>
      </c>
      <c r="FN306" s="655">
        <v>66</v>
      </c>
      <c r="FO306" s="655">
        <v>2181</v>
      </c>
      <c r="FP306" s="655">
        <v>252</v>
      </c>
      <c r="FQ306" s="655">
        <v>66</v>
      </c>
      <c r="FR306" s="655">
        <v>2181</v>
      </c>
      <c r="FS306" s="655">
        <v>252</v>
      </c>
      <c r="FT306" s="655">
        <v>66</v>
      </c>
      <c r="FU306" s="655">
        <v>2181</v>
      </c>
      <c r="FV306" s="655">
        <v>252</v>
      </c>
      <c r="FW306" s="655">
        <v>66</v>
      </c>
      <c r="FX306" s="655">
        <v>2181</v>
      </c>
      <c r="FY306" s="655">
        <v>252</v>
      </c>
      <c r="FZ306" s="655">
        <v>66</v>
      </c>
      <c r="GA306" s="655">
        <v>2181</v>
      </c>
      <c r="GB306" s="655">
        <v>252</v>
      </c>
      <c r="GC306" s="655">
        <v>66</v>
      </c>
      <c r="GD306" s="655">
        <v>2181</v>
      </c>
      <c r="GE306" s="655">
        <v>252</v>
      </c>
      <c r="GF306" s="655">
        <v>66</v>
      </c>
      <c r="GG306" s="725">
        <v>2181</v>
      </c>
      <c r="GH306" s="655">
        <v>252</v>
      </c>
      <c r="GI306" s="655">
        <v>66</v>
      </c>
      <c r="GJ306" s="725">
        <v>2181</v>
      </c>
      <c r="GK306" s="655">
        <v>252</v>
      </c>
      <c r="GL306" s="655">
        <v>66</v>
      </c>
      <c r="GM306" s="725">
        <v>2181</v>
      </c>
      <c r="GN306" s="655">
        <v>252</v>
      </c>
      <c r="GO306" s="655">
        <v>66</v>
      </c>
      <c r="GP306" s="725">
        <v>2181</v>
      </c>
      <c r="GQ306" s="655">
        <v>252</v>
      </c>
      <c r="GR306" s="655">
        <v>66</v>
      </c>
      <c r="GS306" s="725">
        <v>2181</v>
      </c>
      <c r="GT306" s="655">
        <v>252</v>
      </c>
      <c r="GU306" s="655">
        <v>66</v>
      </c>
      <c r="GV306" s="725">
        <v>2181</v>
      </c>
      <c r="GW306" s="655">
        <v>252</v>
      </c>
      <c r="GX306" s="655">
        <v>66</v>
      </c>
      <c r="GY306" s="726">
        <v>2502.7868852459019</v>
      </c>
      <c r="GZ306" s="517">
        <v>289.18032786885249</v>
      </c>
      <c r="HA306" s="517">
        <v>75.295901639344251</v>
      </c>
      <c r="HB306" s="611"/>
      <c r="HC306" s="587"/>
      <c r="HD306" s="587"/>
      <c r="HE306" s="587"/>
      <c r="HF306" s="587"/>
      <c r="HG306" s="587"/>
      <c r="HH306" s="587"/>
      <c r="HI306" s="587"/>
      <c r="HJ306" s="587"/>
      <c r="HK306" s="587"/>
      <c r="HL306" s="587"/>
      <c r="HM306" s="587"/>
      <c r="HN306" s="587"/>
      <c r="HO306" s="587"/>
      <c r="HP306" s="587"/>
      <c r="HQ306" s="587"/>
      <c r="HR306" s="587"/>
      <c r="HS306" s="587"/>
      <c r="HT306" s="587"/>
      <c r="HU306" s="587"/>
      <c r="HV306" s="587"/>
      <c r="HW306" s="587"/>
      <c r="HX306" s="576"/>
      <c r="HY306" s="576"/>
      <c r="HZ306" s="576"/>
      <c r="IA306" s="576"/>
      <c r="IB306" s="576"/>
      <c r="IC306" s="576"/>
      <c r="ID306" s="576"/>
      <c r="IE306" s="576"/>
      <c r="IF306" s="576"/>
      <c r="IG306" s="576"/>
      <c r="IH306" s="577"/>
      <c r="II306" s="578"/>
      <c r="IJ306" s="577"/>
      <c r="IK306" s="578"/>
      <c r="IL306" s="577"/>
      <c r="IM306" s="578"/>
      <c r="IN306" s="577"/>
      <c r="IO306" s="578"/>
      <c r="IP306" s="577"/>
      <c r="IQ306" s="578"/>
      <c r="IR306" s="717" t="s">
        <v>2740</v>
      </c>
      <c r="IS306" s="587" t="s">
        <v>77</v>
      </c>
      <c r="IT306" s="602">
        <v>44040</v>
      </c>
      <c r="IU306" s="518">
        <v>44075</v>
      </c>
      <c r="IV306" s="552"/>
      <c r="IW306" s="526">
        <f t="shared" si="33"/>
        <v>35</v>
      </c>
      <c r="IX306" s="621">
        <f t="shared" si="35"/>
        <v>82.058586401504982</v>
      </c>
      <c r="IY306" s="442">
        <v>2502.7868852459019</v>
      </c>
    </row>
    <row r="307" spans="1:259" s="367" customFormat="1" ht="16.5" customHeight="1" x14ac:dyDescent="0.3">
      <c r="A307" s="401" t="s">
        <v>3315</v>
      </c>
      <c r="B307" s="402" t="s">
        <v>3315</v>
      </c>
      <c r="C307" s="608" t="s">
        <v>3495</v>
      </c>
      <c r="D307" s="634"/>
      <c r="E307" s="635"/>
      <c r="F307" s="635"/>
      <c r="G307" s="635"/>
      <c r="H307" s="636"/>
      <c r="I307" s="853">
        <v>0</v>
      </c>
      <c r="J307" s="833">
        <v>0</v>
      </c>
      <c r="K307" s="833">
        <v>0</v>
      </c>
      <c r="L307" s="833">
        <v>0</v>
      </c>
      <c r="M307" s="833">
        <v>0</v>
      </c>
      <c r="N307" s="833">
        <v>0</v>
      </c>
      <c r="O307" s="833">
        <v>0</v>
      </c>
      <c r="P307" s="833">
        <v>0</v>
      </c>
      <c r="Q307" s="833">
        <v>0</v>
      </c>
      <c r="R307" s="833">
        <v>0</v>
      </c>
      <c r="S307" s="833">
        <v>0</v>
      </c>
      <c r="T307" s="833">
        <v>0</v>
      </c>
      <c r="U307" s="833">
        <v>0</v>
      </c>
      <c r="V307" s="833">
        <v>0</v>
      </c>
      <c r="W307" s="833">
        <v>0</v>
      </c>
      <c r="X307" s="833">
        <v>0</v>
      </c>
      <c r="Y307" s="833">
        <v>0</v>
      </c>
      <c r="Z307" s="833">
        <v>0</v>
      </c>
      <c r="AA307" s="833">
        <v>0</v>
      </c>
      <c r="AB307" s="833">
        <v>0</v>
      </c>
      <c r="AC307" s="833">
        <v>0</v>
      </c>
      <c r="AD307" s="833">
        <v>0</v>
      </c>
      <c r="AE307" s="833">
        <v>0</v>
      </c>
      <c r="AF307" s="833">
        <v>0</v>
      </c>
      <c r="AG307" s="833">
        <v>0</v>
      </c>
      <c r="AH307" s="833">
        <v>0</v>
      </c>
      <c r="AI307" s="833">
        <v>0</v>
      </c>
      <c r="AJ307" s="833">
        <v>0</v>
      </c>
      <c r="AK307" s="833">
        <v>0</v>
      </c>
      <c r="AL307" s="833">
        <v>0</v>
      </c>
      <c r="AM307" s="833">
        <v>0</v>
      </c>
      <c r="AN307" s="833">
        <v>0</v>
      </c>
      <c r="AO307" s="833">
        <v>0</v>
      </c>
      <c r="AP307" s="833">
        <v>0</v>
      </c>
      <c r="AQ307" s="833">
        <v>0</v>
      </c>
      <c r="AR307" s="833">
        <v>0</v>
      </c>
      <c r="AS307" s="833">
        <v>0</v>
      </c>
      <c r="AT307" s="833">
        <v>0</v>
      </c>
      <c r="AU307" s="833">
        <v>0</v>
      </c>
      <c r="AV307" s="660">
        <v>0</v>
      </c>
      <c r="AW307" s="660"/>
      <c r="AX307" s="660"/>
      <c r="AY307" s="660">
        <v>0</v>
      </c>
      <c r="AZ307" s="660"/>
      <c r="BA307" s="652"/>
      <c r="BB307" s="660">
        <v>0</v>
      </c>
      <c r="BC307" s="652"/>
      <c r="BD307" s="652"/>
      <c r="BE307" s="660">
        <v>0</v>
      </c>
      <c r="BF307" s="652"/>
      <c r="BG307" s="652"/>
      <c r="BH307" s="660">
        <v>0</v>
      </c>
      <c r="BI307" s="652"/>
      <c r="BJ307" s="652"/>
      <c r="BK307" s="660">
        <v>0</v>
      </c>
      <c r="BL307" s="652"/>
      <c r="BM307" s="652"/>
      <c r="BN307" s="660">
        <v>0</v>
      </c>
      <c r="BO307" s="652"/>
      <c r="BP307" s="652"/>
      <c r="BQ307" s="660">
        <v>0</v>
      </c>
      <c r="BR307" s="652"/>
      <c r="BS307" s="652"/>
      <c r="BT307" s="660">
        <v>0</v>
      </c>
      <c r="BU307" s="652"/>
      <c r="BV307" s="652"/>
      <c r="BW307" s="660">
        <v>0</v>
      </c>
      <c r="BX307" s="652"/>
      <c r="BY307" s="652"/>
      <c r="BZ307" s="660">
        <v>0</v>
      </c>
      <c r="CA307" s="652"/>
      <c r="CB307" s="652"/>
      <c r="CC307" s="660">
        <v>0</v>
      </c>
      <c r="CD307" s="652"/>
      <c r="CE307" s="652"/>
      <c r="CF307" s="660">
        <v>0</v>
      </c>
      <c r="CG307" s="652"/>
      <c r="CH307" s="652"/>
      <c r="CI307" s="655">
        <v>254</v>
      </c>
      <c r="CJ307" s="690"/>
      <c r="CK307" s="690"/>
      <c r="CL307" s="655">
        <v>254</v>
      </c>
      <c r="CM307" s="690"/>
      <c r="CN307" s="690"/>
      <c r="CO307" s="655">
        <v>254</v>
      </c>
      <c r="CP307" s="690"/>
      <c r="CQ307" s="690"/>
      <c r="CR307" s="655">
        <v>254</v>
      </c>
      <c r="CS307" s="690"/>
      <c r="CT307" s="690"/>
      <c r="CU307" s="655">
        <v>254</v>
      </c>
      <c r="CV307" s="690"/>
      <c r="CW307" s="690"/>
      <c r="CX307" s="655">
        <v>254</v>
      </c>
      <c r="CY307" s="690"/>
      <c r="CZ307" s="690"/>
      <c r="DA307" s="655">
        <v>254</v>
      </c>
      <c r="DB307" s="690"/>
      <c r="DC307" s="690"/>
      <c r="DD307" s="655">
        <v>254</v>
      </c>
      <c r="DE307" s="690"/>
      <c r="DF307" s="690"/>
      <c r="DG307" s="655">
        <v>254</v>
      </c>
      <c r="DH307" s="690"/>
      <c r="DI307" s="690"/>
      <c r="DJ307" s="655">
        <v>254</v>
      </c>
      <c r="DK307" s="690"/>
      <c r="DL307" s="690"/>
      <c r="DM307" s="655">
        <v>254</v>
      </c>
      <c r="DN307" s="690"/>
      <c r="DO307" s="690"/>
      <c r="DP307" s="655">
        <v>254</v>
      </c>
      <c r="DQ307" s="690"/>
      <c r="DR307" s="690"/>
      <c r="DS307" s="655">
        <v>254</v>
      </c>
      <c r="DT307" s="690"/>
      <c r="DU307" s="690"/>
      <c r="DV307" s="655">
        <v>254</v>
      </c>
      <c r="DW307" s="690"/>
      <c r="DX307" s="690"/>
      <c r="DY307" s="655">
        <v>254</v>
      </c>
      <c r="DZ307" s="690"/>
      <c r="EA307" s="690"/>
      <c r="EB307" s="655">
        <v>254</v>
      </c>
      <c r="EC307" s="690"/>
      <c r="ED307" s="690"/>
      <c r="EE307" s="655">
        <v>254</v>
      </c>
      <c r="EF307" s="690"/>
      <c r="EG307" s="690"/>
      <c r="EH307" s="655">
        <v>254</v>
      </c>
      <c r="EI307" s="690"/>
      <c r="EJ307" s="690"/>
      <c r="EK307" s="655">
        <v>254</v>
      </c>
      <c r="EL307" s="690"/>
      <c r="EM307" s="690"/>
      <c r="EN307" s="655">
        <v>254</v>
      </c>
      <c r="EO307" s="690"/>
      <c r="EP307" s="690"/>
      <c r="EQ307" s="655">
        <v>254</v>
      </c>
      <c r="ER307" s="690"/>
      <c r="ES307" s="690"/>
      <c r="ET307" s="655">
        <v>254</v>
      </c>
      <c r="EU307" s="690"/>
      <c r="EV307" s="690"/>
      <c r="EW307" s="655">
        <v>254</v>
      </c>
      <c r="EX307" s="690"/>
      <c r="EY307" s="690"/>
      <c r="EZ307" s="655">
        <v>254</v>
      </c>
      <c r="FA307" s="690"/>
      <c r="FB307" s="690"/>
      <c r="FC307" s="655">
        <v>254</v>
      </c>
      <c r="FD307" s="690"/>
      <c r="FE307" s="690"/>
      <c r="FF307" s="655">
        <v>254</v>
      </c>
      <c r="FG307" s="690"/>
      <c r="FH307" s="690"/>
      <c r="FI307" s="655">
        <v>254</v>
      </c>
      <c r="FJ307" s="690"/>
      <c r="FK307" s="690"/>
      <c r="FL307" s="655">
        <v>254</v>
      </c>
      <c r="FM307" s="690"/>
      <c r="FN307" s="690"/>
      <c r="FO307" s="655">
        <v>254</v>
      </c>
      <c r="FP307" s="690"/>
      <c r="FQ307" s="690"/>
      <c r="FR307" s="655">
        <v>254</v>
      </c>
      <c r="FS307" s="690"/>
      <c r="FT307" s="690"/>
      <c r="FU307" s="655">
        <v>254</v>
      </c>
      <c r="FV307" s="690"/>
      <c r="FW307" s="690"/>
      <c r="FX307" s="655">
        <v>254</v>
      </c>
      <c r="FY307" s="690"/>
      <c r="FZ307" s="690"/>
      <c r="GA307" s="655">
        <v>254</v>
      </c>
      <c r="GB307" s="690"/>
      <c r="GC307" s="690"/>
      <c r="GD307" s="655">
        <v>254</v>
      </c>
      <c r="GE307" s="690"/>
      <c r="GF307" s="690"/>
      <c r="GG307" s="655">
        <v>254</v>
      </c>
      <c r="GH307" s="690"/>
      <c r="GI307" s="690"/>
      <c r="GJ307" s="655">
        <v>254</v>
      </c>
      <c r="GK307" s="690"/>
      <c r="GL307" s="690"/>
      <c r="GM307" s="655">
        <v>254</v>
      </c>
      <c r="GN307" s="690"/>
      <c r="GO307" s="690"/>
      <c r="GP307" s="655">
        <v>254</v>
      </c>
      <c r="GQ307" s="690"/>
      <c r="GR307" s="690"/>
      <c r="GS307" s="655">
        <v>254</v>
      </c>
      <c r="GT307" s="690"/>
      <c r="GU307" s="690"/>
      <c r="GV307" s="655">
        <v>254</v>
      </c>
      <c r="GW307" s="690"/>
      <c r="GX307" s="690"/>
      <c r="GY307" s="517">
        <v>416.39344262295077</v>
      </c>
      <c r="GZ307" s="691"/>
      <c r="HA307" s="691"/>
      <c r="HB307" s="587"/>
      <c r="HC307" s="587"/>
      <c r="HD307" s="587"/>
      <c r="HE307" s="587"/>
      <c r="HF307" s="587"/>
      <c r="HG307" s="587"/>
      <c r="HH307" s="587"/>
      <c r="HI307" s="587"/>
      <c r="HJ307" s="587"/>
      <c r="HK307" s="587"/>
      <c r="HL307" s="587"/>
      <c r="HM307" s="587"/>
      <c r="HN307" s="587"/>
      <c r="HO307" s="587"/>
      <c r="HP307" s="587"/>
      <c r="HQ307" s="587"/>
      <c r="HR307" s="587"/>
      <c r="HS307" s="587"/>
      <c r="HT307" s="587"/>
      <c r="HU307" s="587"/>
      <c r="HV307" s="587"/>
      <c r="HW307" s="587"/>
      <c r="HX307" s="576"/>
      <c r="HY307" s="576"/>
      <c r="HZ307" s="576"/>
      <c r="IA307" s="576"/>
      <c r="IB307" s="576"/>
      <c r="IC307" s="576"/>
      <c r="ID307" s="576"/>
      <c r="IE307" s="576"/>
      <c r="IF307" s="576"/>
      <c r="IG307" s="576"/>
      <c r="IH307" s="577"/>
      <c r="II307" s="578"/>
      <c r="IJ307" s="577"/>
      <c r="IK307" s="578"/>
      <c r="IL307" s="577"/>
      <c r="IM307" s="578"/>
      <c r="IN307" s="577"/>
      <c r="IO307" s="578"/>
      <c r="IP307" s="577"/>
      <c r="IQ307" s="578"/>
      <c r="IR307" s="717" t="s">
        <v>3496</v>
      </c>
      <c r="IS307" s="587" t="s">
        <v>77</v>
      </c>
      <c r="IT307" s="602">
        <v>44025</v>
      </c>
      <c r="IU307" s="518">
        <v>44075</v>
      </c>
      <c r="IV307" s="552"/>
      <c r="IW307" s="526">
        <f t="shared" si="33"/>
        <v>50</v>
      </c>
      <c r="IX307" s="621">
        <f t="shared" si="35"/>
        <v>13.652244020424616</v>
      </c>
      <c r="IY307" s="442">
        <v>416.39344262295077</v>
      </c>
    </row>
    <row r="308" spans="1:259" s="367" customFormat="1" ht="16.5" customHeight="1" x14ac:dyDescent="0.3">
      <c r="A308" s="526" t="s">
        <v>2739</v>
      </c>
      <c r="B308" s="682" t="s">
        <v>3068</v>
      </c>
      <c r="C308" s="661" t="s">
        <v>1552</v>
      </c>
      <c r="D308" s="662">
        <v>469</v>
      </c>
      <c r="E308" s="516">
        <v>22</v>
      </c>
      <c r="F308" s="516">
        <v>20</v>
      </c>
      <c r="G308" s="516">
        <v>36</v>
      </c>
      <c r="H308" s="663">
        <v>0</v>
      </c>
      <c r="I308" s="844">
        <v>511</v>
      </c>
      <c r="J308" s="516">
        <v>36</v>
      </c>
      <c r="K308" s="827"/>
      <c r="L308" s="606">
        <v>511</v>
      </c>
      <c r="M308" s="516">
        <v>36</v>
      </c>
      <c r="N308" s="827"/>
      <c r="O308" s="606">
        <v>511</v>
      </c>
      <c r="P308" s="516">
        <v>36</v>
      </c>
      <c r="Q308" s="827"/>
      <c r="R308" s="606">
        <v>511</v>
      </c>
      <c r="S308" s="516">
        <v>36</v>
      </c>
      <c r="T308" s="827"/>
      <c r="U308" s="606">
        <v>511</v>
      </c>
      <c r="V308" s="516">
        <v>36</v>
      </c>
      <c r="W308" s="827"/>
      <c r="X308" s="606">
        <v>511</v>
      </c>
      <c r="Y308" s="516">
        <v>36</v>
      </c>
      <c r="Z308" s="827"/>
      <c r="AA308" s="606">
        <v>511</v>
      </c>
      <c r="AB308" s="516">
        <v>36</v>
      </c>
      <c r="AC308" s="827"/>
      <c r="AD308" s="606">
        <v>511</v>
      </c>
      <c r="AE308" s="516">
        <v>36</v>
      </c>
      <c r="AF308" s="827"/>
      <c r="AG308" s="606">
        <v>511</v>
      </c>
      <c r="AH308" s="516">
        <v>36</v>
      </c>
      <c r="AI308" s="827"/>
      <c r="AJ308" s="606">
        <v>511</v>
      </c>
      <c r="AK308" s="516">
        <v>36</v>
      </c>
      <c r="AL308" s="827"/>
      <c r="AM308" s="606">
        <v>511</v>
      </c>
      <c r="AN308" s="516">
        <v>36</v>
      </c>
      <c r="AO308" s="827"/>
      <c r="AP308" s="606">
        <v>511</v>
      </c>
      <c r="AQ308" s="516">
        <v>36</v>
      </c>
      <c r="AR308" s="827"/>
      <c r="AS308" s="606">
        <v>511</v>
      </c>
      <c r="AT308" s="516">
        <v>36</v>
      </c>
      <c r="AU308" s="827"/>
      <c r="AV308" s="606">
        <v>511</v>
      </c>
      <c r="AW308" s="516">
        <v>36</v>
      </c>
      <c r="AX308" s="827"/>
      <c r="AY308" s="845">
        <f>((511-398)/30.5)*26+511</f>
        <v>607.32786885245901</v>
      </c>
      <c r="AZ308" s="517">
        <f>((36-27)/30.5)*26+36</f>
        <v>43.672131147540981</v>
      </c>
      <c r="BA308" s="405"/>
      <c r="BB308" s="727">
        <v>398</v>
      </c>
      <c r="BC308" s="516">
        <v>27</v>
      </c>
      <c r="BD308" s="405"/>
      <c r="BE308" s="727">
        <v>398</v>
      </c>
      <c r="BF308" s="516">
        <v>27</v>
      </c>
      <c r="BG308" s="405"/>
      <c r="BH308" s="728">
        <f>((398-611)/30.5)*15+398</f>
        <v>293.24590163934425</v>
      </c>
      <c r="BI308" s="517">
        <f>((27-5)/30.5)*15+27</f>
        <v>37.819672131147541</v>
      </c>
      <c r="BJ308" s="714"/>
      <c r="BK308" s="729">
        <v>611</v>
      </c>
      <c r="BL308" s="655">
        <v>5</v>
      </c>
      <c r="BM308" s="602"/>
      <c r="BN308" s="729">
        <v>611</v>
      </c>
      <c r="BO308" s="655">
        <v>5</v>
      </c>
      <c r="BP308" s="602"/>
      <c r="BQ308" s="729">
        <v>611</v>
      </c>
      <c r="BR308" s="655">
        <v>5</v>
      </c>
      <c r="BS308" s="602"/>
      <c r="BT308" s="729">
        <v>611</v>
      </c>
      <c r="BU308" s="655">
        <v>5</v>
      </c>
      <c r="BV308" s="602"/>
      <c r="BW308" s="729">
        <v>611</v>
      </c>
      <c r="BX308" s="655">
        <v>5</v>
      </c>
      <c r="BY308" s="602"/>
      <c r="BZ308" s="729">
        <v>611</v>
      </c>
      <c r="CA308" s="655">
        <v>5</v>
      </c>
      <c r="CB308" s="602"/>
      <c r="CC308" s="729">
        <v>611</v>
      </c>
      <c r="CD308" s="655">
        <v>5</v>
      </c>
      <c r="CE308" s="602"/>
      <c r="CF308" s="729">
        <v>611</v>
      </c>
      <c r="CG308" s="655">
        <v>5</v>
      </c>
      <c r="CH308" s="602"/>
      <c r="CI308" s="729">
        <v>611</v>
      </c>
      <c r="CJ308" s="655">
        <v>5</v>
      </c>
      <c r="CK308" s="602"/>
      <c r="CL308" s="729">
        <v>611</v>
      </c>
      <c r="CM308" s="655">
        <v>5</v>
      </c>
      <c r="CN308" s="602"/>
      <c r="CO308" s="729">
        <v>611</v>
      </c>
      <c r="CP308" s="655">
        <v>5</v>
      </c>
      <c r="CQ308" s="602"/>
      <c r="CR308" s="729">
        <v>611</v>
      </c>
      <c r="CS308" s="655">
        <v>5</v>
      </c>
      <c r="CT308" s="602"/>
      <c r="CU308" s="729">
        <v>611</v>
      </c>
      <c r="CV308" s="655">
        <v>5</v>
      </c>
      <c r="CW308" s="602"/>
      <c r="CX308" s="729">
        <v>611</v>
      </c>
      <c r="CY308" s="655">
        <v>5</v>
      </c>
      <c r="CZ308" s="602"/>
      <c r="DA308" s="729">
        <v>611</v>
      </c>
      <c r="DB308" s="655">
        <v>5</v>
      </c>
      <c r="DC308" s="602"/>
      <c r="DD308" s="729">
        <v>611</v>
      </c>
      <c r="DE308" s="655">
        <v>5</v>
      </c>
      <c r="DF308" s="602"/>
      <c r="DG308" s="729">
        <v>611</v>
      </c>
      <c r="DH308" s="655">
        <v>5</v>
      </c>
      <c r="DI308" s="602"/>
      <c r="DJ308" s="729">
        <v>611</v>
      </c>
      <c r="DK308" s="655">
        <v>5</v>
      </c>
      <c r="DL308" s="602"/>
      <c r="DM308" s="729">
        <v>611</v>
      </c>
      <c r="DN308" s="655">
        <v>5</v>
      </c>
      <c r="DO308" s="602"/>
      <c r="DP308" s="729">
        <v>611</v>
      </c>
      <c r="DQ308" s="655">
        <v>5</v>
      </c>
      <c r="DR308" s="602"/>
      <c r="DS308" s="729">
        <v>611</v>
      </c>
      <c r="DT308" s="655">
        <v>5</v>
      </c>
      <c r="DU308" s="602"/>
      <c r="DV308" s="729">
        <v>611</v>
      </c>
      <c r="DW308" s="655">
        <v>5</v>
      </c>
      <c r="DX308" s="602"/>
      <c r="DY308" s="729">
        <v>611</v>
      </c>
      <c r="DZ308" s="655">
        <v>5</v>
      </c>
      <c r="EA308" s="602"/>
      <c r="EB308" s="729">
        <v>611</v>
      </c>
      <c r="EC308" s="655">
        <v>5</v>
      </c>
      <c r="ED308" s="602"/>
      <c r="EE308" s="729">
        <v>611</v>
      </c>
      <c r="EF308" s="655">
        <v>5</v>
      </c>
      <c r="EG308" s="602"/>
      <c r="EH308" s="729">
        <v>611</v>
      </c>
      <c r="EI308" s="655">
        <v>5</v>
      </c>
      <c r="EJ308" s="602"/>
      <c r="EK308" s="729">
        <v>611</v>
      </c>
      <c r="EL308" s="655">
        <v>5</v>
      </c>
      <c r="EM308" s="602"/>
      <c r="EN308" s="729">
        <v>611</v>
      </c>
      <c r="EO308" s="655">
        <v>5</v>
      </c>
      <c r="EP308" s="602"/>
      <c r="EQ308" s="729">
        <v>611</v>
      </c>
      <c r="ER308" s="655">
        <v>5</v>
      </c>
      <c r="ES308" s="602"/>
      <c r="ET308" s="729">
        <v>611</v>
      </c>
      <c r="EU308" s="655">
        <v>5</v>
      </c>
      <c r="EV308" s="602"/>
      <c r="EW308" s="729">
        <v>611</v>
      </c>
      <c r="EX308" s="655">
        <v>5</v>
      </c>
      <c r="EY308" s="602"/>
      <c r="EZ308" s="729">
        <v>611</v>
      </c>
      <c r="FA308" s="655">
        <v>5</v>
      </c>
      <c r="FB308" s="602"/>
      <c r="FC308" s="729">
        <v>611</v>
      </c>
      <c r="FD308" s="655">
        <v>5</v>
      </c>
      <c r="FE308" s="602"/>
      <c r="FF308" s="729">
        <v>611</v>
      </c>
      <c r="FG308" s="655">
        <v>5</v>
      </c>
      <c r="FH308" s="602"/>
      <c r="FI308" s="729">
        <v>611</v>
      </c>
      <c r="FJ308" s="655">
        <v>5</v>
      </c>
      <c r="FK308" s="602"/>
      <c r="FL308" s="729">
        <v>611</v>
      </c>
      <c r="FM308" s="655">
        <v>5</v>
      </c>
      <c r="FN308" s="602"/>
      <c r="FO308" s="729">
        <v>611</v>
      </c>
      <c r="FP308" s="655">
        <v>5</v>
      </c>
      <c r="FQ308" s="602"/>
      <c r="FR308" s="729">
        <v>611</v>
      </c>
      <c r="FS308" s="655">
        <v>5</v>
      </c>
      <c r="FT308" s="602"/>
      <c r="FU308" s="729">
        <v>611</v>
      </c>
      <c r="FV308" s="655">
        <v>5</v>
      </c>
      <c r="FW308" s="602"/>
      <c r="FX308" s="729">
        <v>611</v>
      </c>
      <c r="FY308" s="655">
        <v>5</v>
      </c>
      <c r="FZ308" s="602"/>
      <c r="GA308" s="729">
        <v>611</v>
      </c>
      <c r="GB308" s="655">
        <v>5</v>
      </c>
      <c r="GC308" s="602"/>
      <c r="GD308" s="729">
        <v>611</v>
      </c>
      <c r="GE308" s="655">
        <v>5</v>
      </c>
      <c r="GF308" s="602"/>
      <c r="GG308" s="729">
        <v>611</v>
      </c>
      <c r="GH308" s="655">
        <v>5</v>
      </c>
      <c r="GI308" s="602"/>
      <c r="GJ308" s="729">
        <v>611</v>
      </c>
      <c r="GK308" s="655">
        <v>5</v>
      </c>
      <c r="GL308" s="602"/>
      <c r="GM308" s="729">
        <v>611</v>
      </c>
      <c r="GN308" s="655">
        <v>5</v>
      </c>
      <c r="GO308" s="602"/>
      <c r="GP308" s="729">
        <v>611</v>
      </c>
      <c r="GQ308" s="655">
        <v>5</v>
      </c>
      <c r="GR308" s="602"/>
      <c r="GS308" s="729">
        <v>611</v>
      </c>
      <c r="GT308" s="655">
        <v>5</v>
      </c>
      <c r="GU308" s="602"/>
      <c r="GV308" s="728">
        <v>611</v>
      </c>
      <c r="GW308" s="517">
        <v>5</v>
      </c>
      <c r="GX308" s="714"/>
      <c r="GY308" s="587"/>
      <c r="GZ308" s="587"/>
      <c r="HA308" s="587"/>
      <c r="HB308" s="587"/>
      <c r="HC308" s="587"/>
      <c r="HD308" s="587"/>
      <c r="HE308" s="587"/>
      <c r="HF308" s="587"/>
      <c r="HG308" s="587"/>
      <c r="HH308" s="587"/>
      <c r="HI308" s="587"/>
      <c r="HJ308" s="587"/>
      <c r="HK308" s="587"/>
      <c r="HL308" s="587"/>
      <c r="HM308" s="587"/>
      <c r="HN308" s="587"/>
      <c r="HO308" s="587"/>
      <c r="HP308" s="587"/>
      <c r="HQ308" s="587"/>
      <c r="HR308" s="587"/>
      <c r="HS308" s="587"/>
      <c r="HT308" s="587"/>
      <c r="HU308" s="587"/>
      <c r="HV308" s="587"/>
      <c r="HW308" s="587"/>
      <c r="HX308" s="576"/>
      <c r="HY308" s="576"/>
      <c r="HZ308" s="576"/>
      <c r="IA308" s="576"/>
      <c r="IB308" s="576"/>
      <c r="IC308" s="576"/>
      <c r="ID308" s="576"/>
      <c r="IE308" s="576"/>
      <c r="IF308" s="576"/>
      <c r="IG308" s="576"/>
      <c r="IH308" s="577"/>
      <c r="II308" s="578"/>
      <c r="IJ308" s="577"/>
      <c r="IK308" s="578"/>
      <c r="IL308" s="577"/>
      <c r="IM308" s="578"/>
      <c r="IN308" s="577"/>
      <c r="IO308" s="578"/>
      <c r="IP308" s="577"/>
      <c r="IQ308" s="578"/>
      <c r="IR308" s="717" t="s">
        <v>3194</v>
      </c>
      <c r="IS308" s="587" t="s">
        <v>77</v>
      </c>
      <c r="IT308" s="602">
        <v>44075</v>
      </c>
      <c r="IU308" s="518">
        <v>44105</v>
      </c>
      <c r="IV308" s="552"/>
      <c r="IW308" s="526">
        <f t="shared" si="33"/>
        <v>30</v>
      </c>
      <c r="IX308" s="621"/>
      <c r="IY308" s="730">
        <v>611</v>
      </c>
    </row>
    <row r="309" spans="1:259" s="367" customFormat="1" ht="16.5" customHeight="1" x14ac:dyDescent="0.3">
      <c r="A309" s="526" t="s">
        <v>2739</v>
      </c>
      <c r="B309" s="683" t="s">
        <v>2874</v>
      </c>
      <c r="C309" s="661" t="s">
        <v>1510</v>
      </c>
      <c r="D309" s="662">
        <v>285</v>
      </c>
      <c r="E309" s="516">
        <v>27</v>
      </c>
      <c r="F309" s="516">
        <v>0</v>
      </c>
      <c r="G309" s="516">
        <v>0</v>
      </c>
      <c r="H309" s="663">
        <v>0</v>
      </c>
      <c r="I309" s="844">
        <v>312</v>
      </c>
      <c r="J309" s="827"/>
      <c r="K309" s="827"/>
      <c r="L309" s="606">
        <v>312</v>
      </c>
      <c r="M309" s="827"/>
      <c r="N309" s="827"/>
      <c r="O309" s="606">
        <v>312</v>
      </c>
      <c r="P309" s="827"/>
      <c r="Q309" s="827"/>
      <c r="R309" s="606">
        <v>312</v>
      </c>
      <c r="S309" s="827"/>
      <c r="T309" s="827"/>
      <c r="U309" s="606">
        <v>312</v>
      </c>
      <c r="V309" s="827"/>
      <c r="W309" s="827"/>
      <c r="X309" s="606">
        <v>312</v>
      </c>
      <c r="Y309" s="827"/>
      <c r="Z309" s="827"/>
      <c r="AA309" s="606">
        <v>312</v>
      </c>
      <c r="AB309" s="827"/>
      <c r="AC309" s="827"/>
      <c r="AD309" s="606">
        <v>312</v>
      </c>
      <c r="AE309" s="827"/>
      <c r="AF309" s="827"/>
      <c r="AG309" s="606">
        <v>312</v>
      </c>
      <c r="AH309" s="827"/>
      <c r="AI309" s="827"/>
      <c r="AJ309" s="606">
        <v>312</v>
      </c>
      <c r="AK309" s="827"/>
      <c r="AL309" s="827"/>
      <c r="AM309" s="606">
        <v>312</v>
      </c>
      <c r="AN309" s="827"/>
      <c r="AO309" s="827"/>
      <c r="AP309" s="606">
        <v>312</v>
      </c>
      <c r="AQ309" s="827"/>
      <c r="AR309" s="827"/>
      <c r="AS309" s="909">
        <f>((312-269)/30.5)*31+312</f>
        <v>355.70491803278691</v>
      </c>
      <c r="AT309" s="827"/>
      <c r="AU309" s="827"/>
      <c r="AV309" s="673">
        <v>269</v>
      </c>
      <c r="AW309" s="827"/>
      <c r="AX309" s="827"/>
      <c r="AY309" s="673">
        <v>269</v>
      </c>
      <c r="AZ309" s="827"/>
      <c r="BA309" s="405"/>
      <c r="BB309" s="731">
        <v>269</v>
      </c>
      <c r="BC309" s="405"/>
      <c r="BD309" s="405"/>
      <c r="BE309" s="731">
        <v>269</v>
      </c>
      <c r="BF309" s="405"/>
      <c r="BG309" s="405"/>
      <c r="BH309" s="731">
        <v>269</v>
      </c>
      <c r="BI309" s="720"/>
      <c r="BJ309" s="732"/>
      <c r="BK309" s="731">
        <v>269</v>
      </c>
      <c r="BL309" s="720"/>
      <c r="BM309" s="732"/>
      <c r="BN309" s="731">
        <v>269</v>
      </c>
      <c r="BO309" s="720"/>
      <c r="BP309" s="732"/>
      <c r="BQ309" s="731">
        <v>269</v>
      </c>
      <c r="BR309" s="720"/>
      <c r="BS309" s="732"/>
      <c r="BT309" s="731">
        <v>269</v>
      </c>
      <c r="BU309" s="720"/>
      <c r="BV309" s="732"/>
      <c r="BW309" s="731">
        <v>269</v>
      </c>
      <c r="BX309" s="720"/>
      <c r="BY309" s="732"/>
      <c r="BZ309" s="731">
        <v>269</v>
      </c>
      <c r="CA309" s="720"/>
      <c r="CB309" s="732"/>
      <c r="CC309" s="731">
        <v>269</v>
      </c>
      <c r="CD309" s="720"/>
      <c r="CE309" s="732"/>
      <c r="CF309" s="731">
        <v>269</v>
      </c>
      <c r="CG309" s="720"/>
      <c r="CH309" s="732"/>
      <c r="CI309" s="731">
        <v>269</v>
      </c>
      <c r="CJ309" s="720"/>
      <c r="CK309" s="732"/>
      <c r="CL309" s="731">
        <v>269</v>
      </c>
      <c r="CM309" s="720"/>
      <c r="CN309" s="732"/>
      <c r="CO309" s="731">
        <v>269</v>
      </c>
      <c r="CP309" s="720"/>
      <c r="CQ309" s="732"/>
      <c r="CR309" s="731">
        <v>269</v>
      </c>
      <c r="CS309" s="720"/>
      <c r="CT309" s="732"/>
      <c r="CU309" s="731">
        <v>269</v>
      </c>
      <c r="CV309" s="720"/>
      <c r="CW309" s="732"/>
      <c r="CX309" s="731">
        <v>269</v>
      </c>
      <c r="CY309" s="720"/>
      <c r="CZ309" s="732"/>
      <c r="DA309" s="731">
        <v>269</v>
      </c>
      <c r="DB309" s="720"/>
      <c r="DC309" s="732"/>
      <c r="DD309" s="731">
        <v>269</v>
      </c>
      <c r="DE309" s="720"/>
      <c r="DF309" s="732"/>
      <c r="DG309" s="731">
        <v>269</v>
      </c>
      <c r="DH309" s="720"/>
      <c r="DI309" s="732"/>
      <c r="DJ309" s="731">
        <v>269</v>
      </c>
      <c r="DK309" s="720"/>
      <c r="DL309" s="732"/>
      <c r="DM309" s="731">
        <v>269</v>
      </c>
      <c r="DN309" s="720"/>
      <c r="DO309" s="732"/>
      <c r="DP309" s="731">
        <v>269</v>
      </c>
      <c r="DQ309" s="720"/>
      <c r="DR309" s="732"/>
      <c r="DS309" s="731">
        <v>269</v>
      </c>
      <c r="DT309" s="720"/>
      <c r="DU309" s="732"/>
      <c r="DV309" s="731">
        <v>269</v>
      </c>
      <c r="DW309" s="720"/>
      <c r="DX309" s="732"/>
      <c r="DY309" s="731">
        <v>269</v>
      </c>
      <c r="DZ309" s="720"/>
      <c r="EA309" s="732"/>
      <c r="EB309" s="731">
        <v>269</v>
      </c>
      <c r="EC309" s="720"/>
      <c r="ED309" s="732"/>
      <c r="EE309" s="731">
        <v>269</v>
      </c>
      <c r="EF309" s="720"/>
      <c r="EG309" s="732"/>
      <c r="EH309" s="731">
        <v>269</v>
      </c>
      <c r="EI309" s="720"/>
      <c r="EJ309" s="732"/>
      <c r="EK309" s="731">
        <v>269</v>
      </c>
      <c r="EL309" s="720"/>
      <c r="EM309" s="732"/>
      <c r="EN309" s="731">
        <v>269</v>
      </c>
      <c r="EO309" s="720"/>
      <c r="EP309" s="732"/>
      <c r="EQ309" s="731">
        <v>269</v>
      </c>
      <c r="ER309" s="720"/>
      <c r="ES309" s="732"/>
      <c r="ET309" s="731">
        <v>269</v>
      </c>
      <c r="EU309" s="720"/>
      <c r="EV309" s="732"/>
      <c r="EW309" s="731">
        <v>269</v>
      </c>
      <c r="EX309" s="720"/>
      <c r="EY309" s="732"/>
      <c r="EZ309" s="731">
        <v>269</v>
      </c>
      <c r="FA309" s="720"/>
      <c r="FB309" s="732"/>
      <c r="FC309" s="731">
        <v>269</v>
      </c>
      <c r="FD309" s="720"/>
      <c r="FE309" s="732"/>
      <c r="FF309" s="731">
        <v>269</v>
      </c>
      <c r="FG309" s="720"/>
      <c r="FH309" s="732"/>
      <c r="FI309" s="731">
        <v>269</v>
      </c>
      <c r="FJ309" s="720"/>
      <c r="FK309" s="732"/>
      <c r="FL309" s="731">
        <v>269</v>
      </c>
      <c r="FM309" s="720"/>
      <c r="FN309" s="732"/>
      <c r="FO309" s="731">
        <v>269</v>
      </c>
      <c r="FP309" s="720"/>
      <c r="FQ309" s="732"/>
      <c r="FR309" s="731">
        <v>269</v>
      </c>
      <c r="FS309" s="720"/>
      <c r="FT309" s="732"/>
      <c r="FU309" s="731">
        <v>269</v>
      </c>
      <c r="FV309" s="720"/>
      <c r="FW309" s="732"/>
      <c r="FX309" s="731">
        <v>269</v>
      </c>
      <c r="FY309" s="720"/>
      <c r="FZ309" s="732"/>
      <c r="GA309" s="731">
        <v>269</v>
      </c>
      <c r="GB309" s="720"/>
      <c r="GC309" s="732"/>
      <c r="GD309" s="731">
        <v>269</v>
      </c>
      <c r="GE309" s="720"/>
      <c r="GF309" s="732"/>
      <c r="GG309" s="731">
        <v>269</v>
      </c>
      <c r="GH309" s="720"/>
      <c r="GI309" s="732"/>
      <c r="GJ309" s="731">
        <v>269</v>
      </c>
      <c r="GK309" s="720"/>
      <c r="GL309" s="732"/>
      <c r="GM309" s="731">
        <v>269</v>
      </c>
      <c r="GN309" s="720"/>
      <c r="GO309" s="732"/>
      <c r="GP309" s="731">
        <v>269</v>
      </c>
      <c r="GQ309" s="720"/>
      <c r="GR309" s="732"/>
      <c r="GS309" s="731">
        <v>269</v>
      </c>
      <c r="GT309" s="720"/>
      <c r="GU309" s="732"/>
      <c r="GV309" s="733">
        <v>493.90163934426232</v>
      </c>
      <c r="GW309" s="722"/>
      <c r="GX309" s="734"/>
      <c r="GY309" s="617"/>
      <c r="GZ309" s="617"/>
      <c r="HA309" s="617"/>
      <c r="HB309" s="617"/>
      <c r="HC309" s="617"/>
      <c r="HD309" s="617"/>
      <c r="HE309" s="617"/>
      <c r="HF309" s="617"/>
      <c r="HG309" s="617"/>
      <c r="HH309" s="617"/>
      <c r="HI309" s="617"/>
      <c r="HJ309" s="617"/>
      <c r="HK309" s="617"/>
      <c r="HL309" s="617"/>
      <c r="HM309" s="617"/>
      <c r="HN309" s="617"/>
      <c r="HO309" s="617"/>
      <c r="HP309" s="617"/>
      <c r="HQ309" s="617"/>
      <c r="HR309" s="617"/>
      <c r="HS309" s="617"/>
      <c r="HT309" s="617"/>
      <c r="HU309" s="617"/>
      <c r="HV309" s="617"/>
      <c r="HW309" s="617"/>
      <c r="HX309" s="576"/>
      <c r="HY309" s="576"/>
      <c r="HZ309" s="576"/>
      <c r="IA309" s="576"/>
      <c r="IB309" s="576"/>
      <c r="IC309" s="576"/>
      <c r="ID309" s="576"/>
      <c r="IE309" s="576"/>
      <c r="IF309" s="576"/>
      <c r="IG309" s="576"/>
      <c r="IH309" s="577"/>
      <c r="II309" s="578"/>
      <c r="IJ309" s="577"/>
      <c r="IK309" s="578"/>
      <c r="IL309" s="577"/>
      <c r="IM309" s="578"/>
      <c r="IN309" s="577"/>
      <c r="IO309" s="578"/>
      <c r="IP309" s="577"/>
      <c r="IQ309" s="578"/>
      <c r="IR309" s="735" t="s">
        <v>3121</v>
      </c>
      <c r="IS309" s="617" t="s">
        <v>77</v>
      </c>
      <c r="IT309" s="732">
        <v>44049</v>
      </c>
      <c r="IU309" s="550">
        <v>44105</v>
      </c>
      <c r="IV309" s="616"/>
      <c r="IW309" s="736">
        <f t="shared" si="33"/>
        <v>56</v>
      </c>
      <c r="IX309" s="737">
        <f>GV309/30.5</f>
        <v>16.193496371943027</v>
      </c>
      <c r="IY309" s="708">
        <v>493.90163934426232</v>
      </c>
    </row>
    <row r="310" spans="1:259" s="367" customFormat="1" ht="16.5" customHeight="1" x14ac:dyDescent="0.3">
      <c r="A310" s="401" t="s">
        <v>3315</v>
      </c>
      <c r="B310" s="402" t="s">
        <v>3315</v>
      </c>
      <c r="C310" s="738" t="s">
        <v>3497</v>
      </c>
      <c r="D310" s="863"/>
      <c r="E310" s="864"/>
      <c r="F310" s="864"/>
      <c r="G310" s="864"/>
      <c r="H310" s="865"/>
      <c r="I310" s="853">
        <v>0</v>
      </c>
      <c r="J310" s="833">
        <v>0</v>
      </c>
      <c r="K310" s="833">
        <v>0</v>
      </c>
      <c r="L310" s="833">
        <v>0</v>
      </c>
      <c r="M310" s="833">
        <v>0</v>
      </c>
      <c r="N310" s="833">
        <v>0</v>
      </c>
      <c r="O310" s="833">
        <v>0</v>
      </c>
      <c r="P310" s="833">
        <v>0</v>
      </c>
      <c r="Q310" s="833">
        <v>0</v>
      </c>
      <c r="R310" s="833">
        <v>0</v>
      </c>
      <c r="S310" s="833">
        <v>0</v>
      </c>
      <c r="T310" s="833">
        <v>0</v>
      </c>
      <c r="U310" s="833">
        <v>0</v>
      </c>
      <c r="V310" s="833">
        <v>0</v>
      </c>
      <c r="W310" s="833">
        <v>0</v>
      </c>
      <c r="X310" s="833">
        <v>0</v>
      </c>
      <c r="Y310" s="833">
        <v>0</v>
      </c>
      <c r="Z310" s="833">
        <v>0</v>
      </c>
      <c r="AA310" s="833">
        <v>0</v>
      </c>
      <c r="AB310" s="833">
        <v>0</v>
      </c>
      <c r="AC310" s="833">
        <v>0</v>
      </c>
      <c r="AD310" s="833">
        <v>0</v>
      </c>
      <c r="AE310" s="833">
        <v>0</v>
      </c>
      <c r="AF310" s="833">
        <v>0</v>
      </c>
      <c r="AG310" s="833">
        <v>0</v>
      </c>
      <c r="AH310" s="833">
        <v>0</v>
      </c>
      <c r="AI310" s="833">
        <v>0</v>
      </c>
      <c r="AJ310" s="833">
        <v>0</v>
      </c>
      <c r="AK310" s="833">
        <v>0</v>
      </c>
      <c r="AL310" s="833">
        <v>0</v>
      </c>
      <c r="AM310" s="833">
        <v>0</v>
      </c>
      <c r="AN310" s="833">
        <v>0</v>
      </c>
      <c r="AO310" s="833">
        <v>0</v>
      </c>
      <c r="AP310" s="833">
        <v>0</v>
      </c>
      <c r="AQ310" s="833">
        <v>0</v>
      </c>
      <c r="AR310" s="833">
        <v>0</v>
      </c>
      <c r="AS310" s="833">
        <v>0</v>
      </c>
      <c r="AT310" s="833">
        <v>0</v>
      </c>
      <c r="AU310" s="833">
        <v>0</v>
      </c>
      <c r="AV310" s="635"/>
      <c r="AW310" s="751"/>
      <c r="AX310" s="751"/>
      <c r="AY310" s="635"/>
      <c r="AZ310" s="751"/>
      <c r="BA310" s="739"/>
      <c r="BB310" s="511"/>
      <c r="BC310" s="739"/>
      <c r="BD310" s="739"/>
      <c r="BE310" s="511"/>
      <c r="BF310" s="739"/>
      <c r="BG310" s="739"/>
      <c r="BH310" s="511"/>
      <c r="BI310" s="739"/>
      <c r="BJ310" s="739"/>
      <c r="BK310" s="511"/>
      <c r="BL310" s="739"/>
      <c r="BM310" s="739"/>
      <c r="BN310" s="511"/>
      <c r="BO310" s="739"/>
      <c r="BP310" s="739"/>
      <c r="BQ310" s="511"/>
      <c r="BR310" s="739"/>
      <c r="BS310" s="739"/>
      <c r="BT310" s="511"/>
      <c r="BU310" s="739"/>
      <c r="BV310" s="739"/>
      <c r="BW310" s="511"/>
      <c r="BX310" s="739"/>
      <c r="BY310" s="739"/>
      <c r="BZ310" s="511"/>
      <c r="CA310" s="739"/>
      <c r="CB310" s="739"/>
      <c r="CC310" s="511"/>
      <c r="CD310" s="739"/>
      <c r="CE310" s="739"/>
      <c r="CF310" s="511"/>
      <c r="CG310" s="739"/>
      <c r="CH310" s="739"/>
      <c r="CI310" s="511"/>
      <c r="CJ310" s="739"/>
      <c r="CK310" s="739"/>
      <c r="CL310" s="511"/>
      <c r="CM310" s="739"/>
      <c r="CN310" s="739"/>
      <c r="CO310" s="511"/>
      <c r="CP310" s="739"/>
      <c r="CQ310" s="739"/>
      <c r="CR310" s="511"/>
      <c r="CS310" s="739"/>
      <c r="CT310" s="739"/>
      <c r="CU310" s="511"/>
      <c r="CV310" s="739"/>
      <c r="CW310" s="739"/>
      <c r="CX310" s="511"/>
      <c r="CY310" s="739"/>
      <c r="CZ310" s="739"/>
      <c r="DA310" s="511"/>
      <c r="DB310" s="739"/>
      <c r="DC310" s="739"/>
      <c r="DD310" s="511"/>
      <c r="DE310" s="739"/>
      <c r="DF310" s="739"/>
      <c r="DG310" s="511"/>
      <c r="DH310" s="739"/>
      <c r="DI310" s="739"/>
      <c r="DJ310" s="511"/>
      <c r="DK310" s="739"/>
      <c r="DL310" s="739"/>
      <c r="DM310" s="511"/>
      <c r="DN310" s="739"/>
      <c r="DO310" s="739"/>
      <c r="DP310" s="511"/>
      <c r="DQ310" s="739"/>
      <c r="DR310" s="739"/>
      <c r="DS310" s="511"/>
      <c r="DT310" s="739"/>
      <c r="DU310" s="739"/>
      <c r="DV310" s="511"/>
      <c r="DW310" s="739"/>
      <c r="DX310" s="739"/>
      <c r="DY310" s="511"/>
      <c r="DZ310" s="739"/>
      <c r="EA310" s="739"/>
      <c r="EB310" s="511"/>
      <c r="EC310" s="739"/>
      <c r="ED310" s="739"/>
      <c r="EE310" s="511"/>
      <c r="EF310" s="739"/>
      <c r="EG310" s="739"/>
      <c r="EH310" s="511"/>
      <c r="EI310" s="739"/>
      <c r="EJ310" s="739"/>
      <c r="EK310" s="511"/>
      <c r="EL310" s="739"/>
      <c r="EM310" s="739"/>
      <c r="EN310" s="511"/>
      <c r="EO310" s="739"/>
      <c r="EP310" s="739"/>
      <c r="EQ310" s="511"/>
      <c r="ER310" s="739"/>
      <c r="ES310" s="739"/>
      <c r="ET310" s="511"/>
      <c r="EU310" s="739"/>
      <c r="EV310" s="739"/>
      <c r="EW310" s="511"/>
      <c r="EX310" s="739"/>
      <c r="EY310" s="739"/>
      <c r="EZ310" s="511"/>
      <c r="FA310" s="739"/>
      <c r="FB310" s="739"/>
      <c r="FC310" s="511"/>
      <c r="FD310" s="739"/>
      <c r="FE310" s="739"/>
      <c r="FF310" s="511"/>
      <c r="FG310" s="739"/>
      <c r="FH310" s="739"/>
      <c r="FI310" s="511"/>
      <c r="FJ310" s="739"/>
      <c r="FK310" s="739"/>
      <c r="FL310" s="511"/>
      <c r="FM310" s="739"/>
      <c r="FN310" s="739"/>
      <c r="FO310" s="511"/>
      <c r="FP310" s="739"/>
      <c r="FQ310" s="739"/>
      <c r="FR310" s="511"/>
      <c r="FS310" s="739"/>
      <c r="FT310" s="739"/>
      <c r="FU310" s="511"/>
      <c r="FV310" s="739"/>
      <c r="FW310" s="739"/>
      <c r="FX310" s="511"/>
      <c r="FY310" s="739"/>
      <c r="FZ310" s="739"/>
      <c r="GA310" s="511"/>
      <c r="GB310" s="739"/>
      <c r="GC310" s="739"/>
      <c r="GD310" s="511"/>
      <c r="GE310" s="739"/>
      <c r="GF310" s="739"/>
      <c r="GG310" s="421">
        <v>272</v>
      </c>
      <c r="GH310" s="740"/>
      <c r="GI310" s="740"/>
      <c r="GJ310" s="421">
        <v>272</v>
      </c>
      <c r="GK310" s="740"/>
      <c r="GL310" s="740"/>
      <c r="GM310" s="421">
        <v>272</v>
      </c>
      <c r="GN310" s="740"/>
      <c r="GO310" s="740"/>
      <c r="GP310" s="421">
        <v>272</v>
      </c>
      <c r="GQ310" s="740"/>
      <c r="GR310" s="740"/>
      <c r="GS310" s="422">
        <v>419.14754098360652</v>
      </c>
      <c r="GT310" s="741"/>
      <c r="GU310" s="741"/>
      <c r="GV310" s="587"/>
      <c r="GW310" s="587"/>
      <c r="GX310" s="587"/>
      <c r="GY310" s="587"/>
      <c r="GZ310" s="587"/>
      <c r="HA310" s="587"/>
      <c r="HB310" s="587"/>
      <c r="HC310" s="587"/>
      <c r="HD310" s="587"/>
      <c r="HE310" s="587"/>
      <c r="HF310" s="587"/>
      <c r="HG310" s="587"/>
      <c r="HH310" s="587"/>
      <c r="HI310" s="587"/>
      <c r="HJ310" s="587"/>
      <c r="HK310" s="587"/>
      <c r="HL310" s="587"/>
      <c r="HM310" s="587"/>
      <c r="HN310" s="587"/>
      <c r="HO310" s="587"/>
      <c r="HP310" s="587"/>
      <c r="HQ310" s="587"/>
      <c r="HR310" s="587"/>
      <c r="HS310" s="587"/>
      <c r="HT310" s="587"/>
      <c r="HU310" s="587"/>
      <c r="HV310" s="587"/>
      <c r="HW310" s="587"/>
      <c r="HX310" s="587"/>
      <c r="HY310" s="587"/>
      <c r="HZ310" s="587"/>
      <c r="IA310" s="587"/>
      <c r="IB310" s="587"/>
      <c r="IC310" s="587"/>
      <c r="ID310" s="587"/>
      <c r="IE310" s="587"/>
      <c r="IF310" s="587"/>
      <c r="IG310" s="587"/>
      <c r="IH310" s="588"/>
      <c r="II310" s="589"/>
      <c r="IJ310" s="588"/>
      <c r="IK310" s="589"/>
      <c r="IL310" s="588"/>
      <c r="IM310" s="589"/>
      <c r="IN310" s="588"/>
      <c r="IO310" s="589"/>
      <c r="IP310" s="588"/>
      <c r="IQ310" s="589"/>
      <c r="IR310" s="552" t="s">
        <v>3498</v>
      </c>
      <c r="IS310" s="587" t="s">
        <v>77</v>
      </c>
      <c r="IT310" s="611">
        <v>44089</v>
      </c>
      <c r="IU310" s="518">
        <v>44136</v>
      </c>
      <c r="IV310" s="552"/>
      <c r="IW310" s="526">
        <f t="shared" si="33"/>
        <v>47</v>
      </c>
      <c r="IX310" s="665">
        <v>8.9180327868852451</v>
      </c>
      <c r="IY310" s="665">
        <v>419.14754098360652</v>
      </c>
    </row>
    <row r="311" spans="1:259" s="367" customFormat="1" ht="16.5" customHeight="1" x14ac:dyDescent="0.3">
      <c r="A311" s="526" t="s">
        <v>2758</v>
      </c>
      <c r="B311" s="637" t="s">
        <v>2757</v>
      </c>
      <c r="C311" s="742" t="s">
        <v>2366</v>
      </c>
      <c r="D311" s="743">
        <v>356</v>
      </c>
      <c r="E311" s="744">
        <v>12</v>
      </c>
      <c r="F311" s="744">
        <v>0</v>
      </c>
      <c r="G311" s="744">
        <v>0</v>
      </c>
      <c r="H311" s="745">
        <v>0</v>
      </c>
      <c r="I311" s="855">
        <v>368</v>
      </c>
      <c r="J311" s="449"/>
      <c r="K311" s="827"/>
      <c r="L311" s="597">
        <v>368</v>
      </c>
      <c r="M311" s="449"/>
      <c r="N311" s="827"/>
      <c r="O311" s="597">
        <v>368</v>
      </c>
      <c r="P311" s="449"/>
      <c r="Q311" s="827"/>
      <c r="R311" s="597">
        <v>368</v>
      </c>
      <c r="S311" s="449"/>
      <c r="T311" s="827"/>
      <c r="U311" s="597">
        <v>368</v>
      </c>
      <c r="V311" s="449"/>
      <c r="W311" s="827"/>
      <c r="X311" s="597">
        <v>368</v>
      </c>
      <c r="Y311" s="449"/>
      <c r="Z311" s="827"/>
      <c r="AA311" s="597">
        <v>368</v>
      </c>
      <c r="AB311" s="449"/>
      <c r="AC311" s="827"/>
      <c r="AD311" s="597">
        <v>368</v>
      </c>
      <c r="AE311" s="449"/>
      <c r="AF311" s="827"/>
      <c r="AG311" s="597">
        <v>368</v>
      </c>
      <c r="AH311" s="449"/>
      <c r="AI311" s="827"/>
      <c r="AJ311" s="597">
        <v>368</v>
      </c>
      <c r="AK311" s="449"/>
      <c r="AL311" s="827"/>
      <c r="AM311" s="597">
        <v>368</v>
      </c>
      <c r="AN311" s="449"/>
      <c r="AO311" s="827"/>
      <c r="AP311" s="597">
        <v>368</v>
      </c>
      <c r="AQ311" s="449"/>
      <c r="AR311" s="827"/>
      <c r="AS311" s="597">
        <v>368</v>
      </c>
      <c r="AT311" s="449"/>
      <c r="AU311" s="827"/>
      <c r="AV311" s="597">
        <v>368</v>
      </c>
      <c r="AW311" s="449"/>
      <c r="AX311" s="827"/>
      <c r="AY311" s="597">
        <v>368</v>
      </c>
      <c r="AZ311" s="449"/>
      <c r="BA311" s="405"/>
      <c r="BB311" s="421">
        <v>368</v>
      </c>
      <c r="BC311" s="740"/>
      <c r="BD311" s="405"/>
      <c r="BE311" s="421">
        <v>368</v>
      </c>
      <c r="BF311" s="740"/>
      <c r="BG311" s="405"/>
      <c r="BH311" s="421">
        <v>368</v>
      </c>
      <c r="BI311" s="740"/>
      <c r="BJ311" s="740"/>
      <c r="BK311" s="421">
        <v>368</v>
      </c>
      <c r="BL311" s="740"/>
      <c r="BM311" s="740"/>
      <c r="BN311" s="421">
        <v>368</v>
      </c>
      <c r="BO311" s="740"/>
      <c r="BP311" s="740"/>
      <c r="BQ311" s="421">
        <v>368</v>
      </c>
      <c r="BR311" s="740"/>
      <c r="BS311" s="740"/>
      <c r="BT311" s="421">
        <v>368</v>
      </c>
      <c r="BU311" s="740"/>
      <c r="BV311" s="740"/>
      <c r="BW311" s="421">
        <v>368</v>
      </c>
      <c r="BX311" s="740"/>
      <c r="BY311" s="740"/>
      <c r="BZ311" s="421">
        <v>368</v>
      </c>
      <c r="CA311" s="740"/>
      <c r="CB311" s="740"/>
      <c r="CC311" s="421">
        <v>368</v>
      </c>
      <c r="CD311" s="740"/>
      <c r="CE311" s="740"/>
      <c r="CF311" s="421">
        <v>368</v>
      </c>
      <c r="CG311" s="740"/>
      <c r="CH311" s="740"/>
      <c r="CI311" s="421">
        <v>368</v>
      </c>
      <c r="CJ311" s="740"/>
      <c r="CK311" s="740"/>
      <c r="CL311" s="421">
        <v>368</v>
      </c>
      <c r="CM311" s="740"/>
      <c r="CN311" s="740"/>
      <c r="CO311" s="421">
        <v>368</v>
      </c>
      <c r="CP311" s="740"/>
      <c r="CQ311" s="740"/>
      <c r="CR311" s="421">
        <v>368</v>
      </c>
      <c r="CS311" s="740"/>
      <c r="CT311" s="740"/>
      <c r="CU311" s="421">
        <v>368</v>
      </c>
      <c r="CV311" s="740"/>
      <c r="CW311" s="740"/>
      <c r="CX311" s="421">
        <v>368</v>
      </c>
      <c r="CY311" s="740"/>
      <c r="CZ311" s="740"/>
      <c r="DA311" s="421">
        <v>368</v>
      </c>
      <c r="DB311" s="740"/>
      <c r="DC311" s="740"/>
      <c r="DD311" s="421">
        <v>368</v>
      </c>
      <c r="DE311" s="740"/>
      <c r="DF311" s="740"/>
      <c r="DG311" s="421">
        <v>368</v>
      </c>
      <c r="DH311" s="740"/>
      <c r="DI311" s="740"/>
      <c r="DJ311" s="421">
        <v>368</v>
      </c>
      <c r="DK311" s="740"/>
      <c r="DL311" s="740"/>
      <c r="DM311" s="421">
        <v>368</v>
      </c>
      <c r="DN311" s="740"/>
      <c r="DO311" s="740"/>
      <c r="DP311" s="421">
        <v>368</v>
      </c>
      <c r="DQ311" s="740"/>
      <c r="DR311" s="740"/>
      <c r="DS311" s="421">
        <v>368</v>
      </c>
      <c r="DT311" s="740"/>
      <c r="DU311" s="740"/>
      <c r="DV311" s="421">
        <v>368</v>
      </c>
      <c r="DW311" s="740"/>
      <c r="DX311" s="740"/>
      <c r="DY311" s="421">
        <v>368</v>
      </c>
      <c r="DZ311" s="740"/>
      <c r="EA311" s="740"/>
      <c r="EB311" s="421">
        <v>368</v>
      </c>
      <c r="EC311" s="740"/>
      <c r="ED311" s="740"/>
      <c r="EE311" s="421">
        <v>368</v>
      </c>
      <c r="EF311" s="740"/>
      <c r="EG311" s="740"/>
      <c r="EH311" s="421">
        <v>368</v>
      </c>
      <c r="EI311" s="740"/>
      <c r="EJ311" s="740"/>
      <c r="EK311" s="421">
        <v>368</v>
      </c>
      <c r="EL311" s="740"/>
      <c r="EM311" s="740"/>
      <c r="EN311" s="421">
        <v>368</v>
      </c>
      <c r="EO311" s="740"/>
      <c r="EP311" s="740"/>
      <c r="EQ311" s="421">
        <v>368</v>
      </c>
      <c r="ER311" s="740"/>
      <c r="ES311" s="740"/>
      <c r="ET311" s="421">
        <v>368</v>
      </c>
      <c r="EU311" s="740"/>
      <c r="EV311" s="740"/>
      <c r="EW311" s="421">
        <v>368</v>
      </c>
      <c r="EX311" s="740"/>
      <c r="EY311" s="740"/>
      <c r="EZ311" s="421">
        <v>368</v>
      </c>
      <c r="FA311" s="740"/>
      <c r="FB311" s="740"/>
      <c r="FC311" s="421">
        <v>368</v>
      </c>
      <c r="FD311" s="740"/>
      <c r="FE311" s="740"/>
      <c r="FF311" s="421">
        <v>368</v>
      </c>
      <c r="FG311" s="740"/>
      <c r="FH311" s="740"/>
      <c r="FI311" s="421">
        <v>368</v>
      </c>
      <c r="FJ311" s="740"/>
      <c r="FK311" s="740"/>
      <c r="FL311" s="421">
        <v>368</v>
      </c>
      <c r="FM311" s="740"/>
      <c r="FN311" s="740"/>
      <c r="FO311" s="421">
        <v>368</v>
      </c>
      <c r="FP311" s="740"/>
      <c r="FQ311" s="740"/>
      <c r="FR311" s="421">
        <v>368</v>
      </c>
      <c r="FS311" s="740"/>
      <c r="FT311" s="740"/>
      <c r="FU311" s="421">
        <v>368</v>
      </c>
      <c r="FV311" s="740"/>
      <c r="FW311" s="740"/>
      <c r="FX311" s="421">
        <v>368</v>
      </c>
      <c r="FY311" s="740"/>
      <c r="FZ311" s="740"/>
      <c r="GA311" s="421">
        <v>368</v>
      </c>
      <c r="GB311" s="740"/>
      <c r="GC311" s="740"/>
      <c r="GD311" s="421">
        <v>368</v>
      </c>
      <c r="GE311" s="740"/>
      <c r="GF311" s="740"/>
      <c r="GG311" s="421">
        <v>368</v>
      </c>
      <c r="GH311" s="740"/>
      <c r="GI311" s="740"/>
      <c r="GJ311" s="421">
        <v>368</v>
      </c>
      <c r="GK311" s="740"/>
      <c r="GL311" s="740"/>
      <c r="GM311" s="421">
        <v>368</v>
      </c>
      <c r="GN311" s="740"/>
      <c r="GO311" s="740"/>
      <c r="GP311" s="421">
        <v>368</v>
      </c>
      <c r="GQ311" s="740"/>
      <c r="GR311" s="740"/>
      <c r="GS311" s="422">
        <v>567.08196721311469</v>
      </c>
      <c r="GT311" s="741"/>
      <c r="GU311" s="741"/>
      <c r="GV311" s="587"/>
      <c r="GW311" s="587"/>
      <c r="GX311" s="587"/>
      <c r="GY311" s="587"/>
      <c r="GZ311" s="587"/>
      <c r="HA311" s="587"/>
      <c r="HB311" s="587"/>
      <c r="HC311" s="587"/>
      <c r="HD311" s="587"/>
      <c r="HE311" s="587"/>
      <c r="HF311" s="587"/>
      <c r="HG311" s="587"/>
      <c r="HH311" s="587"/>
      <c r="HI311" s="587"/>
      <c r="HJ311" s="587"/>
      <c r="HK311" s="587"/>
      <c r="HL311" s="587"/>
      <c r="HM311" s="587"/>
      <c r="HN311" s="587"/>
      <c r="HO311" s="587"/>
      <c r="HP311" s="587"/>
      <c r="HQ311" s="587"/>
      <c r="HR311" s="587"/>
      <c r="HS311" s="587"/>
      <c r="HT311" s="587"/>
      <c r="HU311" s="587"/>
      <c r="HV311" s="587"/>
      <c r="HW311" s="587"/>
      <c r="HX311" s="587"/>
      <c r="HY311" s="587"/>
      <c r="HZ311" s="587"/>
      <c r="IA311" s="587"/>
      <c r="IB311" s="587"/>
      <c r="IC311" s="587"/>
      <c r="ID311" s="587"/>
      <c r="IE311" s="587"/>
      <c r="IF311" s="587"/>
      <c r="IG311" s="587"/>
      <c r="IH311" s="588"/>
      <c r="II311" s="589"/>
      <c r="IJ311" s="588"/>
      <c r="IK311" s="589"/>
      <c r="IL311" s="588"/>
      <c r="IM311" s="589"/>
      <c r="IN311" s="588"/>
      <c r="IO311" s="589"/>
      <c r="IP311" s="588"/>
      <c r="IQ311" s="589"/>
      <c r="IR311" s="552" t="s">
        <v>2935</v>
      </c>
      <c r="IS311" s="587" t="s">
        <v>77</v>
      </c>
      <c r="IT311" s="611">
        <v>44089</v>
      </c>
      <c r="IU311" s="518">
        <v>44136</v>
      </c>
      <c r="IV311" s="552"/>
      <c r="IW311" s="526">
        <f t="shared" si="33"/>
        <v>47</v>
      </c>
      <c r="IX311" s="665">
        <v>12.065573770491802</v>
      </c>
      <c r="IY311" s="665">
        <v>567.08196721311469</v>
      </c>
    </row>
    <row r="312" spans="1:259" s="367" customFormat="1" ht="16.5" customHeight="1" x14ac:dyDescent="0.3">
      <c r="A312" s="526" t="s">
        <v>2743</v>
      </c>
      <c r="B312" s="355" t="s">
        <v>2771</v>
      </c>
      <c r="C312" s="443" t="s">
        <v>1098</v>
      </c>
      <c r="D312" s="444">
        <v>1995</v>
      </c>
      <c r="E312" s="445">
        <v>95</v>
      </c>
      <c r="F312" s="445">
        <v>72</v>
      </c>
      <c r="G312" s="445">
        <v>108</v>
      </c>
      <c r="H312" s="446">
        <v>0</v>
      </c>
      <c r="I312" s="844">
        <v>2162</v>
      </c>
      <c r="J312" s="606">
        <v>108</v>
      </c>
      <c r="K312" s="827"/>
      <c r="L312" s="606">
        <v>2162</v>
      </c>
      <c r="M312" s="606">
        <v>108</v>
      </c>
      <c r="N312" s="827"/>
      <c r="O312" s="606">
        <v>2162</v>
      </c>
      <c r="P312" s="606">
        <v>108</v>
      </c>
      <c r="Q312" s="827"/>
      <c r="R312" s="606">
        <v>2162</v>
      </c>
      <c r="S312" s="606">
        <v>108</v>
      </c>
      <c r="T312" s="827"/>
      <c r="U312" s="606">
        <v>2162</v>
      </c>
      <c r="V312" s="606">
        <v>108</v>
      </c>
      <c r="W312" s="827"/>
      <c r="X312" s="606">
        <v>2162</v>
      </c>
      <c r="Y312" s="606">
        <v>108</v>
      </c>
      <c r="Z312" s="827"/>
      <c r="AA312" s="606">
        <v>2162</v>
      </c>
      <c r="AB312" s="606">
        <v>108</v>
      </c>
      <c r="AC312" s="827"/>
      <c r="AD312" s="606">
        <v>2162</v>
      </c>
      <c r="AE312" s="606">
        <v>108</v>
      </c>
      <c r="AF312" s="827"/>
      <c r="AG312" s="606">
        <v>2162</v>
      </c>
      <c r="AH312" s="606">
        <v>108</v>
      </c>
      <c r="AI312" s="827"/>
      <c r="AJ312" s="606">
        <v>2162</v>
      </c>
      <c r="AK312" s="606">
        <v>108</v>
      </c>
      <c r="AL312" s="827"/>
      <c r="AM312" s="606">
        <v>2162</v>
      </c>
      <c r="AN312" s="606">
        <v>108</v>
      </c>
      <c r="AO312" s="827"/>
      <c r="AP312" s="606">
        <v>2162</v>
      </c>
      <c r="AQ312" s="606">
        <v>108</v>
      </c>
      <c r="AR312" s="827"/>
      <c r="AS312" s="606">
        <v>2162</v>
      </c>
      <c r="AT312" s="606">
        <v>108</v>
      </c>
      <c r="AU312" s="827"/>
      <c r="AV312" s="606">
        <v>2162</v>
      </c>
      <c r="AW312" s="606">
        <v>108</v>
      </c>
      <c r="AX312" s="827"/>
      <c r="AY312" s="845">
        <v>2162</v>
      </c>
      <c r="AZ312" s="845">
        <v>108</v>
      </c>
      <c r="BA312" s="405"/>
      <c r="BB312" s="421">
        <v>2162</v>
      </c>
      <c r="BC312" s="421">
        <v>108</v>
      </c>
      <c r="BD312" s="405"/>
      <c r="BE312" s="421">
        <v>2162</v>
      </c>
      <c r="BF312" s="421">
        <v>108</v>
      </c>
      <c r="BG312" s="405"/>
      <c r="BH312" s="421">
        <v>2162</v>
      </c>
      <c r="BI312" s="421">
        <v>108</v>
      </c>
      <c r="BJ312" s="740"/>
      <c r="BK312" s="421">
        <v>2162</v>
      </c>
      <c r="BL312" s="421">
        <v>108</v>
      </c>
      <c r="BM312" s="740"/>
      <c r="BN312" s="421">
        <v>2162</v>
      </c>
      <c r="BO312" s="421">
        <v>108</v>
      </c>
      <c r="BP312" s="740"/>
      <c r="BQ312" s="421">
        <v>2162</v>
      </c>
      <c r="BR312" s="421">
        <v>108</v>
      </c>
      <c r="BS312" s="740"/>
      <c r="BT312" s="421">
        <v>2162</v>
      </c>
      <c r="BU312" s="421">
        <v>108</v>
      </c>
      <c r="BV312" s="740"/>
      <c r="BW312" s="421">
        <v>2162</v>
      </c>
      <c r="BX312" s="421">
        <v>108</v>
      </c>
      <c r="BY312" s="740"/>
      <c r="BZ312" s="421">
        <v>2162</v>
      </c>
      <c r="CA312" s="421">
        <v>108</v>
      </c>
      <c r="CB312" s="740"/>
      <c r="CC312" s="421">
        <v>2162</v>
      </c>
      <c r="CD312" s="421">
        <v>108</v>
      </c>
      <c r="CE312" s="740"/>
      <c r="CF312" s="421">
        <v>2162</v>
      </c>
      <c r="CG312" s="421">
        <v>108</v>
      </c>
      <c r="CH312" s="740"/>
      <c r="CI312" s="421">
        <v>2162</v>
      </c>
      <c r="CJ312" s="421">
        <v>108</v>
      </c>
      <c r="CK312" s="740"/>
      <c r="CL312" s="421">
        <v>2162</v>
      </c>
      <c r="CM312" s="421">
        <v>108</v>
      </c>
      <c r="CN312" s="740"/>
      <c r="CO312" s="421">
        <v>2162</v>
      </c>
      <c r="CP312" s="421">
        <v>108</v>
      </c>
      <c r="CQ312" s="740"/>
      <c r="CR312" s="421">
        <v>2162</v>
      </c>
      <c r="CS312" s="421">
        <v>108</v>
      </c>
      <c r="CT312" s="740"/>
      <c r="CU312" s="421">
        <v>2162</v>
      </c>
      <c r="CV312" s="421">
        <v>108</v>
      </c>
      <c r="CW312" s="740"/>
      <c r="CX312" s="421">
        <v>2162</v>
      </c>
      <c r="CY312" s="421">
        <v>108</v>
      </c>
      <c r="CZ312" s="740"/>
      <c r="DA312" s="421">
        <v>2162</v>
      </c>
      <c r="DB312" s="421">
        <v>108</v>
      </c>
      <c r="DC312" s="740"/>
      <c r="DD312" s="421">
        <v>2162</v>
      </c>
      <c r="DE312" s="421">
        <v>108</v>
      </c>
      <c r="DF312" s="740"/>
      <c r="DG312" s="421">
        <v>2162</v>
      </c>
      <c r="DH312" s="421">
        <v>108</v>
      </c>
      <c r="DI312" s="740"/>
      <c r="DJ312" s="421">
        <v>2162</v>
      </c>
      <c r="DK312" s="421">
        <v>108</v>
      </c>
      <c r="DL312" s="740"/>
      <c r="DM312" s="421">
        <v>2162</v>
      </c>
      <c r="DN312" s="421">
        <v>108</v>
      </c>
      <c r="DO312" s="740"/>
      <c r="DP312" s="422">
        <f>((2162-1988)/30.5)*18+2162</f>
        <v>2264.688524590164</v>
      </c>
      <c r="DQ312" s="422">
        <f>((108-36)/30.5)*18+108</f>
        <v>150.49180327868851</v>
      </c>
      <c r="DR312" s="741"/>
      <c r="DS312" s="421">
        <v>1988</v>
      </c>
      <c r="DT312" s="449">
        <v>36</v>
      </c>
      <c r="DU312" s="740"/>
      <c r="DV312" s="421">
        <v>1988</v>
      </c>
      <c r="DW312" s="449">
        <v>36</v>
      </c>
      <c r="DX312" s="740"/>
      <c r="DY312" s="421">
        <v>1988</v>
      </c>
      <c r="DZ312" s="449">
        <v>36</v>
      </c>
      <c r="EA312" s="740"/>
      <c r="EB312" s="421">
        <v>1988</v>
      </c>
      <c r="EC312" s="449">
        <v>36</v>
      </c>
      <c r="ED312" s="740"/>
      <c r="EE312" s="421">
        <v>1988</v>
      </c>
      <c r="EF312" s="449">
        <v>36</v>
      </c>
      <c r="EG312" s="740"/>
      <c r="EH312" s="421">
        <v>1988</v>
      </c>
      <c r="EI312" s="449">
        <v>36</v>
      </c>
      <c r="EJ312" s="740"/>
      <c r="EK312" s="421">
        <v>1988</v>
      </c>
      <c r="EL312" s="449">
        <v>36</v>
      </c>
      <c r="EM312" s="740"/>
      <c r="EN312" s="421">
        <v>1988</v>
      </c>
      <c r="EO312" s="449">
        <v>36</v>
      </c>
      <c r="EP312" s="740"/>
      <c r="EQ312" s="421">
        <v>1988</v>
      </c>
      <c r="ER312" s="449">
        <v>36</v>
      </c>
      <c r="ES312" s="740"/>
      <c r="ET312" s="421">
        <v>1988</v>
      </c>
      <c r="EU312" s="449">
        <v>36</v>
      </c>
      <c r="EV312" s="740"/>
      <c r="EW312" s="421">
        <v>1988</v>
      </c>
      <c r="EX312" s="449">
        <v>36</v>
      </c>
      <c r="EY312" s="740"/>
      <c r="EZ312" s="421">
        <v>1988</v>
      </c>
      <c r="FA312" s="449">
        <v>36</v>
      </c>
      <c r="FB312" s="740"/>
      <c r="FC312" s="421">
        <v>1988</v>
      </c>
      <c r="FD312" s="449">
        <v>36</v>
      </c>
      <c r="FE312" s="740"/>
      <c r="FF312" s="421">
        <v>1988</v>
      </c>
      <c r="FG312" s="449">
        <v>36</v>
      </c>
      <c r="FH312" s="740"/>
      <c r="FI312" s="421">
        <v>1988</v>
      </c>
      <c r="FJ312" s="449">
        <v>36</v>
      </c>
      <c r="FK312" s="740"/>
      <c r="FL312" s="422">
        <f>(((1988-1948)/30.5)*5)+1988</f>
        <v>1994.5573770491803</v>
      </c>
      <c r="FM312" s="530">
        <v>36</v>
      </c>
      <c r="FN312" s="741"/>
      <c r="FO312" s="421">
        <v>1948</v>
      </c>
      <c r="FP312" s="449">
        <v>36</v>
      </c>
      <c r="FQ312" s="740"/>
      <c r="FR312" s="421">
        <v>1948</v>
      </c>
      <c r="FS312" s="449">
        <v>36</v>
      </c>
      <c r="FT312" s="740"/>
      <c r="FU312" s="421">
        <v>1948</v>
      </c>
      <c r="FV312" s="449">
        <v>36</v>
      </c>
      <c r="FW312" s="740"/>
      <c r="FX312" s="421">
        <v>1948</v>
      </c>
      <c r="FY312" s="449">
        <v>36</v>
      </c>
      <c r="FZ312" s="740"/>
      <c r="GA312" s="421">
        <v>1948</v>
      </c>
      <c r="GB312" s="449">
        <v>36</v>
      </c>
      <c r="GC312" s="740"/>
      <c r="GD312" s="421">
        <v>1948</v>
      </c>
      <c r="GE312" s="449">
        <v>36</v>
      </c>
      <c r="GF312" s="740"/>
      <c r="GG312" s="421">
        <v>1948</v>
      </c>
      <c r="GH312" s="449">
        <v>36</v>
      </c>
      <c r="GI312" s="740"/>
      <c r="GJ312" s="421">
        <v>1948</v>
      </c>
      <c r="GK312" s="449">
        <v>36</v>
      </c>
      <c r="GL312" s="740"/>
      <c r="GM312" s="421">
        <v>1948</v>
      </c>
      <c r="GN312" s="449">
        <v>36</v>
      </c>
      <c r="GO312" s="740"/>
      <c r="GP312" s="421">
        <v>1948</v>
      </c>
      <c r="GQ312" s="449">
        <v>36</v>
      </c>
      <c r="GR312" s="740"/>
      <c r="GS312" s="422">
        <v>2490.8852459016393</v>
      </c>
      <c r="GT312" s="530">
        <v>46.032786885245898</v>
      </c>
      <c r="GU312" s="741"/>
      <c r="GV312" s="587"/>
      <c r="GW312" s="587"/>
      <c r="GX312" s="587"/>
      <c r="GY312" s="587"/>
      <c r="GZ312" s="587"/>
      <c r="HA312" s="587"/>
      <c r="HB312" s="587"/>
      <c r="HC312" s="587"/>
      <c r="HD312" s="587"/>
      <c r="HE312" s="587"/>
      <c r="HF312" s="587"/>
      <c r="HG312" s="587"/>
      <c r="HH312" s="587"/>
      <c r="HI312" s="587"/>
      <c r="HJ312" s="587"/>
      <c r="HK312" s="587"/>
      <c r="HL312" s="587"/>
      <c r="HM312" s="587"/>
      <c r="HN312" s="587"/>
      <c r="HO312" s="587"/>
      <c r="HP312" s="587"/>
      <c r="HQ312" s="587"/>
      <c r="HR312" s="587"/>
      <c r="HS312" s="587"/>
      <c r="HT312" s="587"/>
      <c r="HU312" s="587"/>
      <c r="HV312" s="587"/>
      <c r="HW312" s="587"/>
      <c r="HX312" s="587"/>
      <c r="HY312" s="587"/>
      <c r="HZ312" s="587"/>
      <c r="IA312" s="587"/>
      <c r="IB312" s="587"/>
      <c r="IC312" s="587"/>
      <c r="ID312" s="587"/>
      <c r="IE312" s="587"/>
      <c r="IF312" s="587"/>
      <c r="IG312" s="587"/>
      <c r="IH312" s="588"/>
      <c r="II312" s="589"/>
      <c r="IJ312" s="588"/>
      <c r="IK312" s="589"/>
      <c r="IL312" s="588"/>
      <c r="IM312" s="589"/>
      <c r="IN312" s="588"/>
      <c r="IO312" s="589"/>
      <c r="IP312" s="588"/>
      <c r="IQ312" s="589"/>
      <c r="IR312" s="552" t="s">
        <v>3051</v>
      </c>
      <c r="IS312" s="587" t="s">
        <v>77</v>
      </c>
      <c r="IT312" s="611">
        <v>44097</v>
      </c>
      <c r="IU312" s="518">
        <v>44136</v>
      </c>
      <c r="IV312" s="518">
        <v>44435</v>
      </c>
      <c r="IW312" s="526">
        <f t="shared" si="33"/>
        <v>39</v>
      </c>
      <c r="IX312" s="665">
        <f>GS312/30.5</f>
        <v>81.668368718086541</v>
      </c>
      <c r="IY312" s="665">
        <v>2490.8852459016393</v>
      </c>
    </row>
    <row r="313" spans="1:259" s="367" customFormat="1" ht="16.5" customHeight="1" x14ac:dyDescent="0.3">
      <c r="A313" s="526" t="s">
        <v>2758</v>
      </c>
      <c r="B313" s="411" t="s">
        <v>3208</v>
      </c>
      <c r="C313" s="746" t="s">
        <v>2512</v>
      </c>
      <c r="D313" s="747">
        <f>((1716-1437)/30.5)*4+1716</f>
        <v>1752.5901639344263</v>
      </c>
      <c r="E313" s="748">
        <f>((42-22)/30.5)*4+42</f>
        <v>44.622950819672134</v>
      </c>
      <c r="F313" s="748">
        <v>0</v>
      </c>
      <c r="G313" s="748">
        <f>((36-14)/30.5)*4+36</f>
        <v>38.885245901639344</v>
      </c>
      <c r="H313" s="745">
        <v>36</v>
      </c>
      <c r="I313" s="855">
        <v>1467</v>
      </c>
      <c r="J313" s="597">
        <v>14</v>
      </c>
      <c r="K313" s="827">
        <v>36</v>
      </c>
      <c r="L313" s="597">
        <v>1467</v>
      </c>
      <c r="M313" s="597">
        <v>14</v>
      </c>
      <c r="N313" s="827">
        <v>36</v>
      </c>
      <c r="O313" s="597">
        <v>1467</v>
      </c>
      <c r="P313" s="597">
        <v>14</v>
      </c>
      <c r="Q313" s="827">
        <v>36</v>
      </c>
      <c r="R313" s="597">
        <v>1467</v>
      </c>
      <c r="S313" s="597">
        <v>14</v>
      </c>
      <c r="T313" s="827">
        <v>36</v>
      </c>
      <c r="U313" s="597">
        <v>1467</v>
      </c>
      <c r="V313" s="597">
        <v>14</v>
      </c>
      <c r="W313" s="827">
        <v>36</v>
      </c>
      <c r="X313" s="597">
        <v>1467</v>
      </c>
      <c r="Y313" s="597">
        <v>14</v>
      </c>
      <c r="Z313" s="827">
        <v>36</v>
      </c>
      <c r="AA313" s="597">
        <v>1467</v>
      </c>
      <c r="AB313" s="597">
        <v>14</v>
      </c>
      <c r="AC313" s="827">
        <v>36</v>
      </c>
      <c r="AD313" s="597">
        <v>1467</v>
      </c>
      <c r="AE313" s="597">
        <v>14</v>
      </c>
      <c r="AF313" s="827">
        <v>36</v>
      </c>
      <c r="AG313" s="597">
        <v>1467</v>
      </c>
      <c r="AH313" s="597">
        <v>14</v>
      </c>
      <c r="AI313" s="827">
        <v>36</v>
      </c>
      <c r="AJ313" s="597">
        <v>1467</v>
      </c>
      <c r="AK313" s="597">
        <v>14</v>
      </c>
      <c r="AL313" s="827">
        <v>36</v>
      </c>
      <c r="AM313" s="597">
        <v>1467</v>
      </c>
      <c r="AN313" s="597">
        <v>14</v>
      </c>
      <c r="AO313" s="827">
        <v>36</v>
      </c>
      <c r="AP313" s="597">
        <v>1467</v>
      </c>
      <c r="AQ313" s="597">
        <v>14</v>
      </c>
      <c r="AR313" s="827">
        <v>36</v>
      </c>
      <c r="AS313" s="597">
        <v>1467</v>
      </c>
      <c r="AT313" s="597">
        <v>14</v>
      </c>
      <c r="AU313" s="827">
        <v>36</v>
      </c>
      <c r="AV313" s="597">
        <v>1467</v>
      </c>
      <c r="AW313" s="597">
        <v>14</v>
      </c>
      <c r="AX313" s="827">
        <v>36</v>
      </c>
      <c r="AY313" s="597">
        <v>1467</v>
      </c>
      <c r="AZ313" s="597">
        <v>14</v>
      </c>
      <c r="BA313" s="405">
        <v>36</v>
      </c>
      <c r="BB313" s="421">
        <v>1467</v>
      </c>
      <c r="BC313" s="421">
        <v>14</v>
      </c>
      <c r="BD313" s="405">
        <v>36</v>
      </c>
      <c r="BE313" s="421">
        <v>1467</v>
      </c>
      <c r="BF313" s="421">
        <v>14</v>
      </c>
      <c r="BG313" s="405">
        <v>36</v>
      </c>
      <c r="BH313" s="421">
        <v>1467</v>
      </c>
      <c r="BI313" s="421">
        <v>14</v>
      </c>
      <c r="BJ313" s="449">
        <v>36</v>
      </c>
      <c r="BK313" s="421">
        <v>1467</v>
      </c>
      <c r="BL313" s="421">
        <v>14</v>
      </c>
      <c r="BM313" s="449">
        <v>36</v>
      </c>
      <c r="BN313" s="421">
        <v>1467</v>
      </c>
      <c r="BO313" s="421">
        <v>14</v>
      </c>
      <c r="BP313" s="449">
        <v>36</v>
      </c>
      <c r="BQ313" s="421">
        <v>1467</v>
      </c>
      <c r="BR313" s="421">
        <v>14</v>
      </c>
      <c r="BS313" s="449">
        <v>36</v>
      </c>
      <c r="BT313" s="421">
        <v>1467</v>
      </c>
      <c r="BU313" s="421">
        <v>14</v>
      </c>
      <c r="BV313" s="449">
        <v>36</v>
      </c>
      <c r="BW313" s="422">
        <f>((1467-600)/30.5)*12+1467</f>
        <v>1808.1147540983607</v>
      </c>
      <c r="BX313" s="422">
        <f>(14/30.5)*12+14</f>
        <v>19.508196721311474</v>
      </c>
      <c r="BY313" s="530">
        <v>36</v>
      </c>
      <c r="BZ313" s="421">
        <v>600</v>
      </c>
      <c r="CA313" s="449"/>
      <c r="CB313" s="449">
        <v>36</v>
      </c>
      <c r="CC313" s="421">
        <v>600</v>
      </c>
      <c r="CD313" s="449"/>
      <c r="CE313" s="449">
        <v>36</v>
      </c>
      <c r="CF313" s="421">
        <v>600</v>
      </c>
      <c r="CG313" s="449"/>
      <c r="CH313" s="449">
        <v>36</v>
      </c>
      <c r="CI313" s="421">
        <v>600</v>
      </c>
      <c r="CJ313" s="449"/>
      <c r="CK313" s="449">
        <v>36</v>
      </c>
      <c r="CL313" s="421">
        <v>600</v>
      </c>
      <c r="CM313" s="449"/>
      <c r="CN313" s="449">
        <v>36</v>
      </c>
      <c r="CO313" s="421">
        <v>600</v>
      </c>
      <c r="CP313" s="449"/>
      <c r="CQ313" s="449">
        <v>36</v>
      </c>
      <c r="CR313" s="421">
        <v>600</v>
      </c>
      <c r="CS313" s="449"/>
      <c r="CT313" s="449">
        <v>36</v>
      </c>
      <c r="CU313" s="421">
        <v>600</v>
      </c>
      <c r="CV313" s="449"/>
      <c r="CW313" s="449">
        <v>36</v>
      </c>
      <c r="CX313" s="421">
        <v>600</v>
      </c>
      <c r="CY313" s="449"/>
      <c r="CZ313" s="449">
        <v>36</v>
      </c>
      <c r="DA313" s="421">
        <v>600</v>
      </c>
      <c r="DB313" s="449"/>
      <c r="DC313" s="449">
        <v>36</v>
      </c>
      <c r="DD313" s="421">
        <v>600</v>
      </c>
      <c r="DE313" s="449"/>
      <c r="DF313" s="449">
        <v>36</v>
      </c>
      <c r="DG313" s="421">
        <v>600</v>
      </c>
      <c r="DH313" s="449"/>
      <c r="DI313" s="449">
        <v>36</v>
      </c>
      <c r="DJ313" s="421">
        <v>600</v>
      </c>
      <c r="DK313" s="449"/>
      <c r="DL313" s="449">
        <v>36</v>
      </c>
      <c r="DM313" s="421">
        <v>600</v>
      </c>
      <c r="DN313" s="449"/>
      <c r="DO313" s="449">
        <v>36</v>
      </c>
      <c r="DP313" s="421">
        <v>600</v>
      </c>
      <c r="DQ313" s="449"/>
      <c r="DR313" s="449">
        <v>36</v>
      </c>
      <c r="DS313" s="421">
        <v>600</v>
      </c>
      <c r="DT313" s="449"/>
      <c r="DU313" s="449">
        <v>36</v>
      </c>
      <c r="DV313" s="421">
        <v>600</v>
      </c>
      <c r="DW313" s="449"/>
      <c r="DX313" s="449">
        <v>36</v>
      </c>
      <c r="DY313" s="421">
        <v>600</v>
      </c>
      <c r="DZ313" s="449"/>
      <c r="EA313" s="449">
        <v>36</v>
      </c>
      <c r="EB313" s="421">
        <v>600</v>
      </c>
      <c r="EC313" s="449"/>
      <c r="ED313" s="449">
        <v>36</v>
      </c>
      <c r="EE313" s="421">
        <v>600</v>
      </c>
      <c r="EF313" s="449"/>
      <c r="EG313" s="449">
        <v>36</v>
      </c>
      <c r="EH313" s="421">
        <v>600</v>
      </c>
      <c r="EI313" s="449"/>
      <c r="EJ313" s="449">
        <v>36</v>
      </c>
      <c r="EK313" s="421">
        <v>600</v>
      </c>
      <c r="EL313" s="449"/>
      <c r="EM313" s="449">
        <v>36</v>
      </c>
      <c r="EN313" s="421">
        <v>600</v>
      </c>
      <c r="EO313" s="449"/>
      <c r="EP313" s="449">
        <v>36</v>
      </c>
      <c r="EQ313" s="421">
        <v>600</v>
      </c>
      <c r="ER313" s="449"/>
      <c r="ES313" s="449">
        <v>36</v>
      </c>
      <c r="ET313" s="421">
        <v>600</v>
      </c>
      <c r="EU313" s="449"/>
      <c r="EV313" s="449">
        <v>36</v>
      </c>
      <c r="EW313" s="421">
        <v>600</v>
      </c>
      <c r="EX313" s="449"/>
      <c r="EY313" s="449">
        <v>36</v>
      </c>
      <c r="EZ313" s="421">
        <v>600</v>
      </c>
      <c r="FA313" s="449"/>
      <c r="FB313" s="449">
        <v>36</v>
      </c>
      <c r="FC313" s="421">
        <v>600</v>
      </c>
      <c r="FD313" s="449"/>
      <c r="FE313" s="449">
        <v>36</v>
      </c>
      <c r="FF313" s="421">
        <v>600</v>
      </c>
      <c r="FG313" s="449"/>
      <c r="FH313" s="449">
        <v>36</v>
      </c>
      <c r="FI313" s="421">
        <v>600</v>
      </c>
      <c r="FJ313" s="449"/>
      <c r="FK313" s="449">
        <v>36</v>
      </c>
      <c r="FL313" s="421">
        <v>600</v>
      </c>
      <c r="FM313" s="449"/>
      <c r="FN313" s="449">
        <v>36</v>
      </c>
      <c r="FO313" s="421">
        <v>600</v>
      </c>
      <c r="FP313" s="449"/>
      <c r="FQ313" s="449">
        <v>36</v>
      </c>
      <c r="FR313" s="421">
        <v>600</v>
      </c>
      <c r="FS313" s="449"/>
      <c r="FT313" s="449">
        <v>36</v>
      </c>
      <c r="FU313" s="421">
        <v>600</v>
      </c>
      <c r="FV313" s="449"/>
      <c r="FW313" s="449">
        <v>36</v>
      </c>
      <c r="FX313" s="421">
        <v>600</v>
      </c>
      <c r="FY313" s="449"/>
      <c r="FZ313" s="449">
        <v>36</v>
      </c>
      <c r="GA313" s="421">
        <v>600</v>
      </c>
      <c r="GB313" s="449"/>
      <c r="GC313" s="449">
        <v>36</v>
      </c>
      <c r="GD313" s="421">
        <v>600</v>
      </c>
      <c r="GE313" s="449"/>
      <c r="GF313" s="449">
        <v>36</v>
      </c>
      <c r="GG313" s="421">
        <v>600</v>
      </c>
      <c r="GH313" s="449"/>
      <c r="GI313" s="449">
        <v>36</v>
      </c>
      <c r="GJ313" s="421">
        <v>600</v>
      </c>
      <c r="GK313" s="449"/>
      <c r="GL313" s="449">
        <v>36</v>
      </c>
      <c r="GM313" s="421">
        <v>600</v>
      </c>
      <c r="GN313" s="449"/>
      <c r="GO313" s="449">
        <v>36</v>
      </c>
      <c r="GP313" s="421">
        <v>600</v>
      </c>
      <c r="GQ313" s="449"/>
      <c r="GR313" s="449">
        <v>36</v>
      </c>
      <c r="GS313" s="422">
        <v>747.54098360655735</v>
      </c>
      <c r="GT313" s="530"/>
      <c r="GU313" s="530">
        <v>44.852459016393439</v>
      </c>
      <c r="GV313" s="587"/>
      <c r="GW313" s="587"/>
      <c r="GX313" s="587"/>
      <c r="GY313" s="587"/>
      <c r="GZ313" s="587"/>
      <c r="HA313" s="587"/>
      <c r="HB313" s="587"/>
      <c r="HC313" s="587"/>
      <c r="HD313" s="587"/>
      <c r="HE313" s="587"/>
      <c r="HF313" s="587"/>
      <c r="HG313" s="587"/>
      <c r="HH313" s="587"/>
      <c r="HI313" s="587"/>
      <c r="HJ313" s="587"/>
      <c r="HK313" s="587"/>
      <c r="HL313" s="587"/>
      <c r="HM313" s="587"/>
      <c r="HN313" s="587"/>
      <c r="HO313" s="587"/>
      <c r="HP313" s="587"/>
      <c r="HQ313" s="587"/>
      <c r="HR313" s="587"/>
      <c r="HS313" s="587"/>
      <c r="HT313" s="587"/>
      <c r="HU313" s="587"/>
      <c r="HV313" s="587"/>
      <c r="HW313" s="587"/>
      <c r="HX313" s="587"/>
      <c r="HY313" s="587"/>
      <c r="HZ313" s="587"/>
      <c r="IA313" s="587"/>
      <c r="IB313" s="587"/>
      <c r="IC313" s="587"/>
      <c r="ID313" s="587"/>
      <c r="IE313" s="587"/>
      <c r="IF313" s="587"/>
      <c r="IG313" s="587"/>
      <c r="IH313" s="588"/>
      <c r="II313" s="589"/>
      <c r="IJ313" s="588"/>
      <c r="IK313" s="589"/>
      <c r="IL313" s="588"/>
      <c r="IM313" s="589"/>
      <c r="IN313" s="588"/>
      <c r="IO313" s="589"/>
      <c r="IP313" s="588"/>
      <c r="IQ313" s="589"/>
      <c r="IR313" s="552" t="s">
        <v>3172</v>
      </c>
      <c r="IS313" s="587" t="s">
        <v>77</v>
      </c>
      <c r="IT313" s="611">
        <v>44098</v>
      </c>
      <c r="IU313" s="518">
        <v>44136</v>
      </c>
      <c r="IV313" s="552"/>
      <c r="IW313" s="526">
        <f t="shared" si="33"/>
        <v>38</v>
      </c>
      <c r="IX313" s="665">
        <f>GS313/30.5</f>
        <v>24.509540446116635</v>
      </c>
      <c r="IY313" s="665">
        <v>747.54098360655735</v>
      </c>
    </row>
    <row r="314" spans="1:259" s="367" customFormat="1" ht="16.5" customHeight="1" x14ac:dyDescent="0.3">
      <c r="A314" s="526" t="s">
        <v>2758</v>
      </c>
      <c r="B314" s="411" t="s">
        <v>3755</v>
      </c>
      <c r="C314" s="742" t="s">
        <v>2520</v>
      </c>
      <c r="D314" s="743">
        <v>1288</v>
      </c>
      <c r="E314" s="744">
        <v>22</v>
      </c>
      <c r="F314" s="744">
        <v>8</v>
      </c>
      <c r="G314" s="744">
        <v>5</v>
      </c>
      <c r="H314" s="745">
        <v>36</v>
      </c>
      <c r="I314" s="855">
        <v>1318</v>
      </c>
      <c r="J314" s="597">
        <v>5</v>
      </c>
      <c r="K314" s="827">
        <v>36</v>
      </c>
      <c r="L314" s="597">
        <v>1318</v>
      </c>
      <c r="M314" s="597">
        <v>5</v>
      </c>
      <c r="N314" s="827">
        <v>36</v>
      </c>
      <c r="O314" s="597">
        <v>1318</v>
      </c>
      <c r="P314" s="597">
        <v>5</v>
      </c>
      <c r="Q314" s="827">
        <v>36</v>
      </c>
      <c r="R314" s="597">
        <v>1318</v>
      </c>
      <c r="S314" s="597">
        <v>5</v>
      </c>
      <c r="T314" s="827">
        <v>36</v>
      </c>
      <c r="U314" s="597">
        <v>1318</v>
      </c>
      <c r="V314" s="597">
        <v>5</v>
      </c>
      <c r="W314" s="827">
        <v>36</v>
      </c>
      <c r="X314" s="597">
        <v>1318</v>
      </c>
      <c r="Y314" s="597">
        <v>5</v>
      </c>
      <c r="Z314" s="827">
        <v>36</v>
      </c>
      <c r="AA314" s="597">
        <v>1318</v>
      </c>
      <c r="AB314" s="597">
        <v>5</v>
      </c>
      <c r="AC314" s="827">
        <v>36</v>
      </c>
      <c r="AD314" s="597">
        <v>1318</v>
      </c>
      <c r="AE314" s="597">
        <v>5</v>
      </c>
      <c r="AF314" s="827">
        <v>36</v>
      </c>
      <c r="AG314" s="597">
        <v>1318</v>
      </c>
      <c r="AH314" s="597">
        <v>5</v>
      </c>
      <c r="AI314" s="827">
        <v>36</v>
      </c>
      <c r="AJ314" s="597">
        <v>1318</v>
      </c>
      <c r="AK314" s="597">
        <v>5</v>
      </c>
      <c r="AL314" s="827">
        <v>36</v>
      </c>
      <c r="AM314" s="597">
        <v>1318</v>
      </c>
      <c r="AN314" s="597">
        <v>5</v>
      </c>
      <c r="AO314" s="827">
        <v>36</v>
      </c>
      <c r="AP314" s="597">
        <v>1318</v>
      </c>
      <c r="AQ314" s="597">
        <v>5</v>
      </c>
      <c r="AR314" s="827">
        <v>36</v>
      </c>
      <c r="AS314" s="597">
        <v>1318</v>
      </c>
      <c r="AT314" s="597">
        <v>5</v>
      </c>
      <c r="AU314" s="827">
        <v>36</v>
      </c>
      <c r="AV314" s="597">
        <v>1318</v>
      </c>
      <c r="AW314" s="597">
        <v>5</v>
      </c>
      <c r="AX314" s="827">
        <v>36</v>
      </c>
      <c r="AY314" s="597">
        <v>1318</v>
      </c>
      <c r="AZ314" s="597">
        <v>5</v>
      </c>
      <c r="BA314" s="405">
        <v>36</v>
      </c>
      <c r="BB314" s="421">
        <v>1318</v>
      </c>
      <c r="BC314" s="421">
        <v>5</v>
      </c>
      <c r="BD314" s="405">
        <v>36</v>
      </c>
      <c r="BE314" s="421">
        <v>1318</v>
      </c>
      <c r="BF314" s="421">
        <v>5</v>
      </c>
      <c r="BG314" s="405">
        <v>36</v>
      </c>
      <c r="BH314" s="421">
        <v>1318</v>
      </c>
      <c r="BI314" s="421">
        <v>5</v>
      </c>
      <c r="BJ314" s="749">
        <v>36</v>
      </c>
      <c r="BK314" s="421">
        <v>1318</v>
      </c>
      <c r="BL314" s="421">
        <v>5</v>
      </c>
      <c r="BM314" s="749">
        <v>36</v>
      </c>
      <c r="BN314" s="421">
        <v>1318</v>
      </c>
      <c r="BO314" s="421">
        <v>5</v>
      </c>
      <c r="BP314" s="749">
        <v>36</v>
      </c>
      <c r="BQ314" s="421">
        <v>1318</v>
      </c>
      <c r="BR314" s="421">
        <v>5</v>
      </c>
      <c r="BS314" s="749">
        <v>36</v>
      </c>
      <c r="BT314" s="421">
        <v>1318</v>
      </c>
      <c r="BU314" s="421">
        <v>5</v>
      </c>
      <c r="BV314" s="749">
        <v>36</v>
      </c>
      <c r="BW314" s="422">
        <f>((1318-1102)/30.5)*12+1318</f>
        <v>1402.983606557377</v>
      </c>
      <c r="BX314" s="422">
        <f>(5/30.5)*12+5</f>
        <v>6.9672131147540988</v>
      </c>
      <c r="BY314" s="750">
        <v>36</v>
      </c>
      <c r="BZ314" s="421">
        <v>1102</v>
      </c>
      <c r="CA314" s="749"/>
      <c r="CB314" s="749">
        <v>36</v>
      </c>
      <c r="CC314" s="421">
        <v>1102</v>
      </c>
      <c r="CD314" s="749"/>
      <c r="CE314" s="749">
        <v>36</v>
      </c>
      <c r="CF314" s="421">
        <v>1102</v>
      </c>
      <c r="CG314" s="749"/>
      <c r="CH314" s="749">
        <v>36</v>
      </c>
      <c r="CI314" s="421">
        <v>1102</v>
      </c>
      <c r="CJ314" s="749"/>
      <c r="CK314" s="749">
        <v>36</v>
      </c>
      <c r="CL314" s="421">
        <v>1102</v>
      </c>
      <c r="CM314" s="749"/>
      <c r="CN314" s="749">
        <v>36</v>
      </c>
      <c r="CO314" s="421">
        <v>1102</v>
      </c>
      <c r="CP314" s="749"/>
      <c r="CQ314" s="749">
        <v>36</v>
      </c>
      <c r="CR314" s="421">
        <v>1102</v>
      </c>
      <c r="CS314" s="749"/>
      <c r="CT314" s="749">
        <v>36</v>
      </c>
      <c r="CU314" s="421">
        <v>1102</v>
      </c>
      <c r="CV314" s="749"/>
      <c r="CW314" s="749">
        <v>36</v>
      </c>
      <c r="CX314" s="421">
        <v>1102</v>
      </c>
      <c r="CY314" s="749"/>
      <c r="CZ314" s="749">
        <v>36</v>
      </c>
      <c r="DA314" s="421">
        <v>1102</v>
      </c>
      <c r="DB314" s="749"/>
      <c r="DC314" s="749">
        <v>36</v>
      </c>
      <c r="DD314" s="421">
        <v>1102</v>
      </c>
      <c r="DE314" s="749"/>
      <c r="DF314" s="749">
        <v>36</v>
      </c>
      <c r="DG314" s="421">
        <v>1102</v>
      </c>
      <c r="DH314" s="749"/>
      <c r="DI314" s="749">
        <v>36</v>
      </c>
      <c r="DJ314" s="421">
        <v>1102</v>
      </c>
      <c r="DK314" s="749"/>
      <c r="DL314" s="749">
        <v>36</v>
      </c>
      <c r="DM314" s="421">
        <v>1102</v>
      </c>
      <c r="DN314" s="749"/>
      <c r="DO314" s="749">
        <v>36</v>
      </c>
      <c r="DP314" s="421">
        <v>1102</v>
      </c>
      <c r="DQ314" s="749"/>
      <c r="DR314" s="749">
        <v>36</v>
      </c>
      <c r="DS314" s="421">
        <v>1102</v>
      </c>
      <c r="DT314" s="749"/>
      <c r="DU314" s="749">
        <v>36</v>
      </c>
      <c r="DV314" s="421">
        <v>1102</v>
      </c>
      <c r="DW314" s="749"/>
      <c r="DX314" s="749">
        <v>36</v>
      </c>
      <c r="DY314" s="421">
        <v>1102</v>
      </c>
      <c r="DZ314" s="749"/>
      <c r="EA314" s="749">
        <v>36</v>
      </c>
      <c r="EB314" s="421">
        <v>1102</v>
      </c>
      <c r="EC314" s="749"/>
      <c r="ED314" s="749">
        <v>36</v>
      </c>
      <c r="EE314" s="421">
        <v>1102</v>
      </c>
      <c r="EF314" s="749"/>
      <c r="EG314" s="749">
        <v>36</v>
      </c>
      <c r="EH314" s="421">
        <v>1102</v>
      </c>
      <c r="EI314" s="749"/>
      <c r="EJ314" s="749">
        <v>36</v>
      </c>
      <c r="EK314" s="421">
        <v>1102</v>
      </c>
      <c r="EL314" s="749"/>
      <c r="EM314" s="749">
        <v>36</v>
      </c>
      <c r="EN314" s="421">
        <v>1102</v>
      </c>
      <c r="EO314" s="749"/>
      <c r="EP314" s="749">
        <v>36</v>
      </c>
      <c r="EQ314" s="421">
        <v>1102</v>
      </c>
      <c r="ER314" s="749"/>
      <c r="ES314" s="749">
        <v>36</v>
      </c>
      <c r="ET314" s="421">
        <v>1102</v>
      </c>
      <c r="EU314" s="749"/>
      <c r="EV314" s="749">
        <v>36</v>
      </c>
      <c r="EW314" s="421">
        <v>1102</v>
      </c>
      <c r="EX314" s="749"/>
      <c r="EY314" s="749">
        <v>36</v>
      </c>
      <c r="EZ314" s="421">
        <v>1102</v>
      </c>
      <c r="FA314" s="749"/>
      <c r="FB314" s="749">
        <v>36</v>
      </c>
      <c r="FC314" s="421">
        <v>1102</v>
      </c>
      <c r="FD314" s="749"/>
      <c r="FE314" s="749">
        <v>36</v>
      </c>
      <c r="FF314" s="421">
        <v>1102</v>
      </c>
      <c r="FG314" s="749"/>
      <c r="FH314" s="749">
        <v>36</v>
      </c>
      <c r="FI314" s="421">
        <v>1102</v>
      </c>
      <c r="FJ314" s="749"/>
      <c r="FK314" s="749">
        <v>36</v>
      </c>
      <c r="FL314" s="421">
        <v>1102</v>
      </c>
      <c r="FM314" s="749"/>
      <c r="FN314" s="749">
        <v>36</v>
      </c>
      <c r="FO314" s="421">
        <v>1102</v>
      </c>
      <c r="FP314" s="749"/>
      <c r="FQ314" s="749">
        <v>36</v>
      </c>
      <c r="FR314" s="421">
        <v>1102</v>
      </c>
      <c r="FS314" s="749"/>
      <c r="FT314" s="749">
        <v>36</v>
      </c>
      <c r="FU314" s="421">
        <v>1102</v>
      </c>
      <c r="FV314" s="749"/>
      <c r="FW314" s="749">
        <v>36</v>
      </c>
      <c r="FX314" s="421">
        <v>1102</v>
      </c>
      <c r="FY314" s="749"/>
      <c r="FZ314" s="749">
        <v>36</v>
      </c>
      <c r="GA314" s="421">
        <v>1102</v>
      </c>
      <c r="GB314" s="749"/>
      <c r="GC314" s="749">
        <v>36</v>
      </c>
      <c r="GD314" s="422">
        <f>(((1102-926)/30.5)*12)+1102</f>
        <v>1171.2459016393443</v>
      </c>
      <c r="GE314" s="750"/>
      <c r="GF314" s="750">
        <f>((36/30.5)*12)+36</f>
        <v>50.16393442622951</v>
      </c>
      <c r="GG314" s="421">
        <v>926</v>
      </c>
      <c r="GH314" s="749"/>
      <c r="GI314" s="749"/>
      <c r="GJ314" s="421">
        <v>926</v>
      </c>
      <c r="GK314" s="749"/>
      <c r="GL314" s="749"/>
      <c r="GM314" s="421">
        <v>926</v>
      </c>
      <c r="GN314" s="749"/>
      <c r="GO314" s="749"/>
      <c r="GP314" s="421">
        <v>926</v>
      </c>
      <c r="GQ314" s="749"/>
      <c r="GR314" s="749"/>
      <c r="GS314" s="422">
        <v>1153.7049180327867</v>
      </c>
      <c r="GT314" s="750"/>
      <c r="GU314" s="750"/>
      <c r="GV314" s="587"/>
      <c r="GW314" s="587"/>
      <c r="GX314" s="587"/>
      <c r="GY314" s="587"/>
      <c r="GZ314" s="587"/>
      <c r="HA314" s="587"/>
      <c r="HB314" s="587"/>
      <c r="HC314" s="587"/>
      <c r="HD314" s="587"/>
      <c r="HE314" s="587"/>
      <c r="HF314" s="587"/>
      <c r="HG314" s="587"/>
      <c r="HH314" s="587"/>
      <c r="HI314" s="587"/>
      <c r="HJ314" s="587"/>
      <c r="HK314" s="587"/>
      <c r="HL314" s="587"/>
      <c r="HM314" s="587"/>
      <c r="HN314" s="587"/>
      <c r="HO314" s="587"/>
      <c r="HP314" s="587"/>
      <c r="HQ314" s="587"/>
      <c r="HR314" s="587"/>
      <c r="HS314" s="587"/>
      <c r="HT314" s="587"/>
      <c r="HU314" s="587"/>
      <c r="HV314" s="587"/>
      <c r="HW314" s="587"/>
      <c r="HX314" s="587"/>
      <c r="HY314" s="587"/>
      <c r="HZ314" s="587"/>
      <c r="IA314" s="587"/>
      <c r="IB314" s="587"/>
      <c r="IC314" s="587"/>
      <c r="ID314" s="587"/>
      <c r="IE314" s="587"/>
      <c r="IF314" s="587"/>
      <c r="IG314" s="587"/>
      <c r="IH314" s="588"/>
      <c r="II314" s="589"/>
      <c r="IJ314" s="588"/>
      <c r="IK314" s="589"/>
      <c r="IL314" s="588"/>
      <c r="IM314" s="589"/>
      <c r="IN314" s="588"/>
      <c r="IO314" s="589"/>
      <c r="IP314" s="588"/>
      <c r="IQ314" s="589"/>
      <c r="IR314" s="552" t="s">
        <v>3109</v>
      </c>
      <c r="IS314" s="587" t="s">
        <v>77</v>
      </c>
      <c r="IT314" s="611">
        <v>44098</v>
      </c>
      <c r="IU314" s="518">
        <v>44136</v>
      </c>
      <c r="IV314" s="518">
        <v>44244</v>
      </c>
      <c r="IW314" s="526">
        <f t="shared" si="33"/>
        <v>38</v>
      </c>
      <c r="IX314" s="665">
        <v>30.360655737704917</v>
      </c>
      <c r="IY314" s="665">
        <v>1153.7049180327867</v>
      </c>
    </row>
    <row r="315" spans="1:259" s="367" customFormat="1" ht="16.5" customHeight="1" x14ac:dyDescent="0.3">
      <c r="A315" s="526" t="s">
        <v>2758</v>
      </c>
      <c r="B315" s="411" t="s">
        <v>3838</v>
      </c>
      <c r="C315" s="742" t="s">
        <v>2555</v>
      </c>
      <c r="D315" s="743">
        <v>1437</v>
      </c>
      <c r="E315" s="744">
        <v>35</v>
      </c>
      <c r="F315" s="744">
        <v>0</v>
      </c>
      <c r="G315" s="744">
        <v>0</v>
      </c>
      <c r="H315" s="745">
        <v>36</v>
      </c>
      <c r="I315" s="855">
        <v>1472</v>
      </c>
      <c r="J315" s="449"/>
      <c r="K315" s="827">
        <v>36</v>
      </c>
      <c r="L315" s="597">
        <v>1472</v>
      </c>
      <c r="M315" s="449"/>
      <c r="N315" s="827">
        <v>36</v>
      </c>
      <c r="O315" s="597">
        <v>1472</v>
      </c>
      <c r="P315" s="449"/>
      <c r="Q315" s="827">
        <v>36</v>
      </c>
      <c r="R315" s="597">
        <v>1472</v>
      </c>
      <c r="S315" s="449"/>
      <c r="T315" s="827">
        <v>36</v>
      </c>
      <c r="U315" s="597">
        <v>1472</v>
      </c>
      <c r="V315" s="449"/>
      <c r="W315" s="827">
        <v>36</v>
      </c>
      <c r="X315" s="597">
        <v>1472</v>
      </c>
      <c r="Y315" s="449"/>
      <c r="Z315" s="827">
        <v>36</v>
      </c>
      <c r="AA315" s="597">
        <v>1472</v>
      </c>
      <c r="AB315" s="449"/>
      <c r="AC315" s="827">
        <v>36</v>
      </c>
      <c r="AD315" s="597">
        <v>1472</v>
      </c>
      <c r="AE315" s="449"/>
      <c r="AF315" s="827">
        <v>36</v>
      </c>
      <c r="AG315" s="597">
        <v>1472</v>
      </c>
      <c r="AH315" s="449"/>
      <c r="AI315" s="827">
        <v>36</v>
      </c>
      <c r="AJ315" s="597">
        <v>1472</v>
      </c>
      <c r="AK315" s="449"/>
      <c r="AL315" s="827">
        <v>36</v>
      </c>
      <c r="AM315" s="597">
        <v>1472</v>
      </c>
      <c r="AN315" s="449"/>
      <c r="AO315" s="827">
        <v>36</v>
      </c>
      <c r="AP315" s="597">
        <v>1472</v>
      </c>
      <c r="AQ315" s="449"/>
      <c r="AR315" s="827">
        <v>36</v>
      </c>
      <c r="AS315" s="597">
        <v>1472</v>
      </c>
      <c r="AT315" s="449"/>
      <c r="AU315" s="827">
        <v>36</v>
      </c>
      <c r="AV315" s="597">
        <v>1472</v>
      </c>
      <c r="AW315" s="449"/>
      <c r="AX315" s="827">
        <v>36</v>
      </c>
      <c r="AY315" s="597">
        <v>1472</v>
      </c>
      <c r="AZ315" s="449"/>
      <c r="BA315" s="405">
        <v>36</v>
      </c>
      <c r="BB315" s="421">
        <v>1472</v>
      </c>
      <c r="BC315" s="449"/>
      <c r="BD315" s="405">
        <v>36</v>
      </c>
      <c r="BE315" s="421">
        <v>1472</v>
      </c>
      <c r="BF315" s="449"/>
      <c r="BG315" s="405">
        <v>36</v>
      </c>
      <c r="BH315" s="421">
        <v>1472</v>
      </c>
      <c r="BI315" s="449"/>
      <c r="BJ315" s="449">
        <v>36</v>
      </c>
      <c r="BK315" s="421">
        <v>1472</v>
      </c>
      <c r="BL315" s="449"/>
      <c r="BM315" s="449">
        <v>36</v>
      </c>
      <c r="BN315" s="421">
        <v>1472</v>
      </c>
      <c r="BO315" s="449"/>
      <c r="BP315" s="449">
        <v>36</v>
      </c>
      <c r="BQ315" s="421">
        <v>1472</v>
      </c>
      <c r="BR315" s="449"/>
      <c r="BS315" s="449">
        <v>36</v>
      </c>
      <c r="BT315" s="421">
        <v>1472</v>
      </c>
      <c r="BU315" s="449"/>
      <c r="BV315" s="449">
        <v>36</v>
      </c>
      <c r="BW315" s="421">
        <v>1472</v>
      </c>
      <c r="BX315" s="449"/>
      <c r="BY315" s="449">
        <v>36</v>
      </c>
      <c r="BZ315" s="421">
        <v>1472</v>
      </c>
      <c r="CA315" s="449"/>
      <c r="CB315" s="449">
        <v>36</v>
      </c>
      <c r="CC315" s="421">
        <v>1472</v>
      </c>
      <c r="CD315" s="449"/>
      <c r="CE315" s="449">
        <v>36</v>
      </c>
      <c r="CF315" s="421">
        <v>1472</v>
      </c>
      <c r="CG315" s="449"/>
      <c r="CH315" s="449">
        <v>36</v>
      </c>
      <c r="CI315" s="421">
        <v>1472</v>
      </c>
      <c r="CJ315" s="449"/>
      <c r="CK315" s="449">
        <v>36</v>
      </c>
      <c r="CL315" s="421">
        <v>1472</v>
      </c>
      <c r="CM315" s="449"/>
      <c r="CN315" s="449">
        <v>36</v>
      </c>
      <c r="CO315" s="421">
        <v>1472</v>
      </c>
      <c r="CP315" s="449"/>
      <c r="CQ315" s="449">
        <v>36</v>
      </c>
      <c r="CR315" s="421">
        <v>1472</v>
      </c>
      <c r="CS315" s="449"/>
      <c r="CT315" s="449">
        <v>36</v>
      </c>
      <c r="CU315" s="421">
        <v>1472</v>
      </c>
      <c r="CV315" s="449"/>
      <c r="CW315" s="449">
        <v>36</v>
      </c>
      <c r="CX315" s="421">
        <v>1472</v>
      </c>
      <c r="CY315" s="449"/>
      <c r="CZ315" s="449">
        <v>36</v>
      </c>
      <c r="DA315" s="421">
        <v>1472</v>
      </c>
      <c r="DB315" s="449"/>
      <c r="DC315" s="449">
        <v>36</v>
      </c>
      <c r="DD315" s="421">
        <v>1472</v>
      </c>
      <c r="DE315" s="449"/>
      <c r="DF315" s="449">
        <v>36</v>
      </c>
      <c r="DG315" s="421">
        <v>1472</v>
      </c>
      <c r="DH315" s="449"/>
      <c r="DI315" s="449">
        <v>36</v>
      </c>
      <c r="DJ315" s="421">
        <v>1472</v>
      </c>
      <c r="DK315" s="449"/>
      <c r="DL315" s="449">
        <v>36</v>
      </c>
      <c r="DM315" s="421">
        <v>1472</v>
      </c>
      <c r="DN315" s="449"/>
      <c r="DO315" s="449">
        <v>36</v>
      </c>
      <c r="DP315" s="421">
        <v>1472</v>
      </c>
      <c r="DQ315" s="449"/>
      <c r="DR315" s="449">
        <v>36</v>
      </c>
      <c r="DS315" s="421">
        <v>1472</v>
      </c>
      <c r="DT315" s="449"/>
      <c r="DU315" s="449">
        <v>36</v>
      </c>
      <c r="DV315" s="421">
        <v>1472</v>
      </c>
      <c r="DW315" s="449"/>
      <c r="DX315" s="449">
        <v>36</v>
      </c>
      <c r="DY315" s="421">
        <v>1472</v>
      </c>
      <c r="DZ315" s="449"/>
      <c r="EA315" s="449">
        <v>36</v>
      </c>
      <c r="EB315" s="421">
        <v>1472</v>
      </c>
      <c r="EC315" s="449"/>
      <c r="ED315" s="449">
        <v>36</v>
      </c>
      <c r="EE315" s="421">
        <v>1472</v>
      </c>
      <c r="EF315" s="449"/>
      <c r="EG315" s="449">
        <v>36</v>
      </c>
      <c r="EH315" s="421">
        <v>1472</v>
      </c>
      <c r="EI315" s="449"/>
      <c r="EJ315" s="449">
        <v>36</v>
      </c>
      <c r="EK315" s="421">
        <v>1472</v>
      </c>
      <c r="EL315" s="449"/>
      <c r="EM315" s="449">
        <v>36</v>
      </c>
      <c r="EN315" s="421">
        <v>1472</v>
      </c>
      <c r="EO315" s="449"/>
      <c r="EP315" s="449">
        <v>36</v>
      </c>
      <c r="EQ315" s="421">
        <v>1472</v>
      </c>
      <c r="ER315" s="449"/>
      <c r="ES315" s="449">
        <v>36</v>
      </c>
      <c r="ET315" s="421">
        <v>1472</v>
      </c>
      <c r="EU315" s="449"/>
      <c r="EV315" s="449">
        <v>36</v>
      </c>
      <c r="EW315" s="421">
        <v>1472</v>
      </c>
      <c r="EX315" s="449"/>
      <c r="EY315" s="449">
        <v>36</v>
      </c>
      <c r="EZ315" s="421">
        <v>1472</v>
      </c>
      <c r="FA315" s="449"/>
      <c r="FB315" s="449">
        <v>36</v>
      </c>
      <c r="FC315" s="421">
        <v>1472</v>
      </c>
      <c r="FD315" s="449"/>
      <c r="FE315" s="449">
        <v>36</v>
      </c>
      <c r="FF315" s="421">
        <v>1472</v>
      </c>
      <c r="FG315" s="449"/>
      <c r="FH315" s="449">
        <v>36</v>
      </c>
      <c r="FI315" s="421">
        <v>1472</v>
      </c>
      <c r="FJ315" s="449"/>
      <c r="FK315" s="449">
        <v>36</v>
      </c>
      <c r="FL315" s="421">
        <v>1472</v>
      </c>
      <c r="FM315" s="449"/>
      <c r="FN315" s="449">
        <v>36</v>
      </c>
      <c r="FO315" s="421">
        <v>1472</v>
      </c>
      <c r="FP315" s="449"/>
      <c r="FQ315" s="449">
        <v>36</v>
      </c>
      <c r="FR315" s="421">
        <v>1472</v>
      </c>
      <c r="FS315" s="449"/>
      <c r="FT315" s="449">
        <v>36</v>
      </c>
      <c r="FU315" s="421">
        <v>1472</v>
      </c>
      <c r="FV315" s="449"/>
      <c r="FW315" s="449">
        <v>36</v>
      </c>
      <c r="FX315" s="421">
        <v>1472</v>
      </c>
      <c r="FY315" s="449"/>
      <c r="FZ315" s="449">
        <v>36</v>
      </c>
      <c r="GA315" s="421">
        <v>1472</v>
      </c>
      <c r="GB315" s="449"/>
      <c r="GC315" s="449">
        <v>36</v>
      </c>
      <c r="GD315" s="421">
        <v>1472</v>
      </c>
      <c r="GE315" s="449"/>
      <c r="GF315" s="449">
        <v>36</v>
      </c>
      <c r="GG315" s="421">
        <v>1472</v>
      </c>
      <c r="GH315" s="449"/>
      <c r="GI315" s="449">
        <v>36</v>
      </c>
      <c r="GJ315" s="421">
        <v>1472</v>
      </c>
      <c r="GK315" s="449"/>
      <c r="GL315" s="449">
        <v>36</v>
      </c>
      <c r="GM315" s="421">
        <v>1472</v>
      </c>
      <c r="GN315" s="449"/>
      <c r="GO315" s="449">
        <v>36</v>
      </c>
      <c r="GP315" s="421">
        <v>1472</v>
      </c>
      <c r="GQ315" s="449"/>
      <c r="GR315" s="449">
        <v>36</v>
      </c>
      <c r="GS315" s="422">
        <v>1833.967213114754</v>
      </c>
      <c r="GT315" s="530"/>
      <c r="GU315" s="530">
        <v>44.852459016393439</v>
      </c>
      <c r="GV315" s="587"/>
      <c r="GW315" s="587"/>
      <c r="GX315" s="587"/>
      <c r="GY315" s="587"/>
      <c r="GZ315" s="587"/>
      <c r="HA315" s="587"/>
      <c r="HB315" s="587"/>
      <c r="HC315" s="587"/>
      <c r="HD315" s="587"/>
      <c r="HE315" s="587"/>
      <c r="HF315" s="587"/>
      <c r="HG315" s="587"/>
      <c r="HH315" s="587"/>
      <c r="HI315" s="587"/>
      <c r="HJ315" s="587"/>
      <c r="HK315" s="587"/>
      <c r="HL315" s="587"/>
      <c r="HM315" s="587"/>
      <c r="HN315" s="587"/>
      <c r="HO315" s="587"/>
      <c r="HP315" s="587"/>
      <c r="HQ315" s="587"/>
      <c r="HR315" s="587"/>
      <c r="HS315" s="587"/>
      <c r="HT315" s="587"/>
      <c r="HU315" s="587"/>
      <c r="HV315" s="587"/>
      <c r="HW315" s="587"/>
      <c r="HX315" s="587"/>
      <c r="HY315" s="587"/>
      <c r="HZ315" s="587"/>
      <c r="IA315" s="587"/>
      <c r="IB315" s="587"/>
      <c r="IC315" s="587"/>
      <c r="ID315" s="587"/>
      <c r="IE315" s="587"/>
      <c r="IF315" s="587"/>
      <c r="IG315" s="587"/>
      <c r="IH315" s="588"/>
      <c r="II315" s="589"/>
      <c r="IJ315" s="588"/>
      <c r="IK315" s="589"/>
      <c r="IL315" s="588"/>
      <c r="IM315" s="589"/>
      <c r="IN315" s="588"/>
      <c r="IO315" s="589"/>
      <c r="IP315" s="588"/>
      <c r="IQ315" s="589"/>
      <c r="IR315" s="552" t="s">
        <v>2968</v>
      </c>
      <c r="IS315" s="587" t="s">
        <v>77</v>
      </c>
      <c r="IT315" s="611">
        <v>44098</v>
      </c>
      <c r="IU315" s="518">
        <v>44136</v>
      </c>
      <c r="IV315" s="552"/>
      <c r="IW315" s="526">
        <f t="shared" si="33"/>
        <v>38</v>
      </c>
      <c r="IX315" s="665">
        <f t="shared" ref="IX315:IX320" si="36">GS315/30.5</f>
        <v>60.130072561139478</v>
      </c>
      <c r="IY315" s="665">
        <v>1833.967213114754</v>
      </c>
    </row>
    <row r="316" spans="1:259" s="367" customFormat="1" ht="16.5" customHeight="1" x14ac:dyDescent="0.3">
      <c r="A316" s="526" t="s">
        <v>2758</v>
      </c>
      <c r="B316" s="411" t="s">
        <v>3208</v>
      </c>
      <c r="C316" s="356" t="s">
        <v>2211</v>
      </c>
      <c r="D316" s="430">
        <v>861</v>
      </c>
      <c r="E316" s="431">
        <v>35</v>
      </c>
      <c r="F316" s="431">
        <v>3</v>
      </c>
      <c r="G316" s="431">
        <v>36</v>
      </c>
      <c r="H316" s="432">
        <v>36</v>
      </c>
      <c r="I316" s="855">
        <v>899</v>
      </c>
      <c r="J316" s="449">
        <v>36</v>
      </c>
      <c r="K316" s="835">
        <v>36</v>
      </c>
      <c r="L316" s="597">
        <v>899</v>
      </c>
      <c r="M316" s="449">
        <v>36</v>
      </c>
      <c r="N316" s="835">
        <v>36</v>
      </c>
      <c r="O316" s="597">
        <v>899</v>
      </c>
      <c r="P316" s="449">
        <v>36</v>
      </c>
      <c r="Q316" s="835">
        <v>36</v>
      </c>
      <c r="R316" s="597">
        <v>899</v>
      </c>
      <c r="S316" s="449">
        <v>36</v>
      </c>
      <c r="T316" s="835">
        <v>36</v>
      </c>
      <c r="U316" s="597">
        <v>899</v>
      </c>
      <c r="V316" s="449">
        <v>36</v>
      </c>
      <c r="W316" s="835">
        <v>36</v>
      </c>
      <c r="X316" s="597">
        <v>899</v>
      </c>
      <c r="Y316" s="449">
        <v>36</v>
      </c>
      <c r="Z316" s="835">
        <v>36</v>
      </c>
      <c r="AA316" s="597">
        <v>899</v>
      </c>
      <c r="AB316" s="449">
        <v>36</v>
      </c>
      <c r="AC316" s="835">
        <v>36</v>
      </c>
      <c r="AD316" s="845">
        <f>((899-773)/30.5)*13+899</f>
        <v>952.70491803278685</v>
      </c>
      <c r="AE316" s="530">
        <f>((36/30.5)*13+36)</f>
        <v>51.344262295081968</v>
      </c>
      <c r="AF316" s="835">
        <v>36</v>
      </c>
      <c r="AG316" s="597">
        <v>773</v>
      </c>
      <c r="AH316" s="449"/>
      <c r="AI316" s="827">
        <v>36</v>
      </c>
      <c r="AJ316" s="597">
        <v>773</v>
      </c>
      <c r="AK316" s="449"/>
      <c r="AL316" s="827">
        <v>36</v>
      </c>
      <c r="AM316" s="597">
        <v>773</v>
      </c>
      <c r="AN316" s="449"/>
      <c r="AO316" s="827">
        <v>36</v>
      </c>
      <c r="AP316" s="597">
        <v>773</v>
      </c>
      <c r="AQ316" s="449"/>
      <c r="AR316" s="827">
        <v>36</v>
      </c>
      <c r="AS316" s="597">
        <v>773</v>
      </c>
      <c r="AT316" s="449"/>
      <c r="AU316" s="827">
        <v>36</v>
      </c>
      <c r="AV316" s="597">
        <v>773</v>
      </c>
      <c r="AW316" s="449"/>
      <c r="AX316" s="827">
        <v>36</v>
      </c>
      <c r="AY316" s="597">
        <v>773</v>
      </c>
      <c r="AZ316" s="449"/>
      <c r="BA316" s="405">
        <v>36</v>
      </c>
      <c r="BB316" s="421">
        <v>773</v>
      </c>
      <c r="BC316" s="449"/>
      <c r="BD316" s="405">
        <v>36</v>
      </c>
      <c r="BE316" s="421">
        <v>773</v>
      </c>
      <c r="BF316" s="449"/>
      <c r="BG316" s="405">
        <v>36</v>
      </c>
      <c r="BH316" s="421">
        <v>773</v>
      </c>
      <c r="BI316" s="449"/>
      <c r="BJ316" s="449">
        <v>36</v>
      </c>
      <c r="BK316" s="421">
        <v>773</v>
      </c>
      <c r="BL316" s="449"/>
      <c r="BM316" s="449">
        <v>36</v>
      </c>
      <c r="BN316" s="421">
        <v>773</v>
      </c>
      <c r="BO316" s="449"/>
      <c r="BP316" s="449">
        <v>36</v>
      </c>
      <c r="BQ316" s="421">
        <v>773</v>
      </c>
      <c r="BR316" s="449"/>
      <c r="BS316" s="449">
        <v>36</v>
      </c>
      <c r="BT316" s="421">
        <v>773</v>
      </c>
      <c r="BU316" s="449"/>
      <c r="BV316" s="449">
        <v>36</v>
      </c>
      <c r="BW316" s="421">
        <v>773</v>
      </c>
      <c r="BX316" s="449"/>
      <c r="BY316" s="449">
        <v>36</v>
      </c>
      <c r="BZ316" s="421">
        <v>773</v>
      </c>
      <c r="CA316" s="449"/>
      <c r="CB316" s="449">
        <v>36</v>
      </c>
      <c r="CC316" s="421">
        <v>773</v>
      </c>
      <c r="CD316" s="449"/>
      <c r="CE316" s="449">
        <v>36</v>
      </c>
      <c r="CF316" s="421">
        <v>773</v>
      </c>
      <c r="CG316" s="449"/>
      <c r="CH316" s="449">
        <v>36</v>
      </c>
      <c r="CI316" s="421">
        <v>773</v>
      </c>
      <c r="CJ316" s="449"/>
      <c r="CK316" s="449">
        <v>36</v>
      </c>
      <c r="CL316" s="421">
        <v>773</v>
      </c>
      <c r="CM316" s="449"/>
      <c r="CN316" s="449">
        <v>36</v>
      </c>
      <c r="CO316" s="421">
        <v>773</v>
      </c>
      <c r="CP316" s="449"/>
      <c r="CQ316" s="449">
        <v>36</v>
      </c>
      <c r="CR316" s="421">
        <v>773</v>
      </c>
      <c r="CS316" s="449"/>
      <c r="CT316" s="449">
        <v>36</v>
      </c>
      <c r="CU316" s="421">
        <v>773</v>
      </c>
      <c r="CV316" s="449"/>
      <c r="CW316" s="449">
        <v>36</v>
      </c>
      <c r="CX316" s="421">
        <v>773</v>
      </c>
      <c r="CY316" s="449"/>
      <c r="CZ316" s="449">
        <v>36</v>
      </c>
      <c r="DA316" s="421">
        <v>773</v>
      </c>
      <c r="DB316" s="449"/>
      <c r="DC316" s="449">
        <v>36</v>
      </c>
      <c r="DD316" s="421">
        <v>773</v>
      </c>
      <c r="DE316" s="449"/>
      <c r="DF316" s="449">
        <v>36</v>
      </c>
      <c r="DG316" s="421">
        <v>773</v>
      </c>
      <c r="DH316" s="449"/>
      <c r="DI316" s="449">
        <v>36</v>
      </c>
      <c r="DJ316" s="421">
        <v>773</v>
      </c>
      <c r="DK316" s="449"/>
      <c r="DL316" s="449">
        <v>36</v>
      </c>
      <c r="DM316" s="421">
        <v>773</v>
      </c>
      <c r="DN316" s="449"/>
      <c r="DO316" s="449">
        <v>36</v>
      </c>
      <c r="DP316" s="421">
        <v>773</v>
      </c>
      <c r="DQ316" s="449"/>
      <c r="DR316" s="449">
        <v>36</v>
      </c>
      <c r="DS316" s="421">
        <v>773</v>
      </c>
      <c r="DT316" s="449"/>
      <c r="DU316" s="449">
        <v>36</v>
      </c>
      <c r="DV316" s="421">
        <v>773</v>
      </c>
      <c r="DW316" s="449"/>
      <c r="DX316" s="449">
        <v>36</v>
      </c>
      <c r="DY316" s="421">
        <v>773</v>
      </c>
      <c r="DZ316" s="449"/>
      <c r="EA316" s="449">
        <v>36</v>
      </c>
      <c r="EB316" s="421">
        <v>773</v>
      </c>
      <c r="EC316" s="449"/>
      <c r="ED316" s="449">
        <v>36</v>
      </c>
      <c r="EE316" s="421">
        <v>773</v>
      </c>
      <c r="EF316" s="449"/>
      <c r="EG316" s="449">
        <v>36</v>
      </c>
      <c r="EH316" s="421">
        <v>773</v>
      </c>
      <c r="EI316" s="449"/>
      <c r="EJ316" s="449">
        <v>36</v>
      </c>
      <c r="EK316" s="421">
        <v>773</v>
      </c>
      <c r="EL316" s="449"/>
      <c r="EM316" s="449">
        <v>36</v>
      </c>
      <c r="EN316" s="421">
        <v>773</v>
      </c>
      <c r="EO316" s="449"/>
      <c r="EP316" s="449">
        <v>36</v>
      </c>
      <c r="EQ316" s="421">
        <v>773</v>
      </c>
      <c r="ER316" s="449"/>
      <c r="ES316" s="449">
        <v>36</v>
      </c>
      <c r="ET316" s="421">
        <v>773</v>
      </c>
      <c r="EU316" s="449"/>
      <c r="EV316" s="449">
        <v>36</v>
      </c>
      <c r="EW316" s="421">
        <v>773</v>
      </c>
      <c r="EX316" s="449"/>
      <c r="EY316" s="449">
        <v>36</v>
      </c>
      <c r="EZ316" s="421">
        <v>773</v>
      </c>
      <c r="FA316" s="449"/>
      <c r="FB316" s="449">
        <v>36</v>
      </c>
      <c r="FC316" s="421">
        <v>773</v>
      </c>
      <c r="FD316" s="449"/>
      <c r="FE316" s="449">
        <v>36</v>
      </c>
      <c r="FF316" s="421">
        <v>773</v>
      </c>
      <c r="FG316" s="449"/>
      <c r="FH316" s="449">
        <v>36</v>
      </c>
      <c r="FI316" s="421">
        <v>773</v>
      </c>
      <c r="FJ316" s="449"/>
      <c r="FK316" s="449">
        <v>36</v>
      </c>
      <c r="FL316" s="421">
        <v>773</v>
      </c>
      <c r="FM316" s="449"/>
      <c r="FN316" s="449">
        <v>36</v>
      </c>
      <c r="FO316" s="421">
        <v>773</v>
      </c>
      <c r="FP316" s="449"/>
      <c r="FQ316" s="449">
        <v>36</v>
      </c>
      <c r="FR316" s="421">
        <v>773</v>
      </c>
      <c r="FS316" s="449"/>
      <c r="FT316" s="449">
        <v>36</v>
      </c>
      <c r="FU316" s="421">
        <v>773</v>
      </c>
      <c r="FV316" s="449"/>
      <c r="FW316" s="449">
        <v>36</v>
      </c>
      <c r="FX316" s="421">
        <v>773</v>
      </c>
      <c r="FY316" s="449"/>
      <c r="FZ316" s="449">
        <v>36</v>
      </c>
      <c r="GA316" s="421">
        <v>773</v>
      </c>
      <c r="GB316" s="449"/>
      <c r="GC316" s="449">
        <v>36</v>
      </c>
      <c r="GD316" s="421">
        <v>773</v>
      </c>
      <c r="GE316" s="449"/>
      <c r="GF316" s="449">
        <v>36</v>
      </c>
      <c r="GG316" s="421">
        <v>773</v>
      </c>
      <c r="GH316" s="449"/>
      <c r="GI316" s="449">
        <v>36</v>
      </c>
      <c r="GJ316" s="421">
        <v>773</v>
      </c>
      <c r="GK316" s="449"/>
      <c r="GL316" s="449">
        <v>36</v>
      </c>
      <c r="GM316" s="421">
        <v>773</v>
      </c>
      <c r="GN316" s="449"/>
      <c r="GO316" s="449">
        <v>36</v>
      </c>
      <c r="GP316" s="421">
        <v>773</v>
      </c>
      <c r="GQ316" s="449"/>
      <c r="GR316" s="449">
        <v>36</v>
      </c>
      <c r="GS316" s="422">
        <v>963.08196721311481</v>
      </c>
      <c r="GT316" s="530"/>
      <c r="GU316" s="530">
        <v>44.852459016393439</v>
      </c>
      <c r="GV316" s="587"/>
      <c r="GW316" s="587"/>
      <c r="GX316" s="587"/>
      <c r="GY316" s="587"/>
      <c r="GZ316" s="587"/>
      <c r="HA316" s="587"/>
      <c r="HB316" s="587"/>
      <c r="HC316" s="587"/>
      <c r="HD316" s="587"/>
      <c r="HE316" s="587"/>
      <c r="HF316" s="587"/>
      <c r="HG316" s="587"/>
      <c r="HH316" s="587"/>
      <c r="HI316" s="587"/>
      <c r="HJ316" s="587"/>
      <c r="HK316" s="587"/>
      <c r="HL316" s="587"/>
      <c r="HM316" s="587"/>
      <c r="HN316" s="587"/>
      <c r="HO316" s="587"/>
      <c r="HP316" s="587"/>
      <c r="HQ316" s="587"/>
      <c r="HR316" s="587"/>
      <c r="HS316" s="587"/>
      <c r="HT316" s="587"/>
      <c r="HU316" s="587"/>
      <c r="HV316" s="587"/>
      <c r="HW316" s="587"/>
      <c r="HX316" s="587"/>
      <c r="HY316" s="587"/>
      <c r="HZ316" s="587"/>
      <c r="IA316" s="587"/>
      <c r="IB316" s="587"/>
      <c r="IC316" s="587"/>
      <c r="ID316" s="587"/>
      <c r="IE316" s="587"/>
      <c r="IF316" s="587"/>
      <c r="IG316" s="587"/>
      <c r="IH316" s="588"/>
      <c r="II316" s="589"/>
      <c r="IJ316" s="588"/>
      <c r="IK316" s="589"/>
      <c r="IL316" s="588"/>
      <c r="IM316" s="589"/>
      <c r="IN316" s="588"/>
      <c r="IO316" s="589"/>
      <c r="IP316" s="588"/>
      <c r="IQ316" s="589"/>
      <c r="IR316" s="552" t="s">
        <v>2963</v>
      </c>
      <c r="IS316" s="587" t="s">
        <v>77</v>
      </c>
      <c r="IT316" s="611">
        <v>44098</v>
      </c>
      <c r="IU316" s="518">
        <v>44136</v>
      </c>
      <c r="IV316" s="552"/>
      <c r="IW316" s="526">
        <f t="shared" si="33"/>
        <v>38</v>
      </c>
      <c r="IX316" s="665">
        <f t="shared" si="36"/>
        <v>31.576457941413601</v>
      </c>
      <c r="IY316" s="665">
        <v>963.08196721311481</v>
      </c>
    </row>
    <row r="317" spans="1:259" s="367" customFormat="1" ht="16.5" customHeight="1" x14ac:dyDescent="0.3">
      <c r="A317" s="526" t="s">
        <v>2758</v>
      </c>
      <c r="B317" s="411" t="s">
        <v>3839</v>
      </c>
      <c r="C317" s="443" t="s">
        <v>2564</v>
      </c>
      <c r="D317" s="444">
        <v>356</v>
      </c>
      <c r="E317" s="445">
        <v>12</v>
      </c>
      <c r="F317" s="445">
        <v>0</v>
      </c>
      <c r="G317" s="445">
        <v>0</v>
      </c>
      <c r="H317" s="446">
        <v>36</v>
      </c>
      <c r="I317" s="844">
        <v>368</v>
      </c>
      <c r="J317" s="449"/>
      <c r="K317" s="827">
        <v>36</v>
      </c>
      <c r="L317" s="606">
        <v>368</v>
      </c>
      <c r="M317" s="449"/>
      <c r="N317" s="827">
        <v>36</v>
      </c>
      <c r="O317" s="606">
        <v>368</v>
      </c>
      <c r="P317" s="449"/>
      <c r="Q317" s="827">
        <v>36</v>
      </c>
      <c r="R317" s="606">
        <v>368</v>
      </c>
      <c r="S317" s="449"/>
      <c r="T317" s="827">
        <v>36</v>
      </c>
      <c r="U317" s="606">
        <v>368</v>
      </c>
      <c r="V317" s="449"/>
      <c r="W317" s="827">
        <v>36</v>
      </c>
      <c r="X317" s="606">
        <v>368</v>
      </c>
      <c r="Y317" s="449"/>
      <c r="Z317" s="827">
        <v>36</v>
      </c>
      <c r="AA317" s="606">
        <v>368</v>
      </c>
      <c r="AB317" s="449"/>
      <c r="AC317" s="827">
        <v>36</v>
      </c>
      <c r="AD317" s="606">
        <v>368</v>
      </c>
      <c r="AE317" s="449"/>
      <c r="AF317" s="827">
        <v>36</v>
      </c>
      <c r="AG317" s="606">
        <v>368</v>
      </c>
      <c r="AH317" s="449"/>
      <c r="AI317" s="827">
        <v>36</v>
      </c>
      <c r="AJ317" s="606">
        <v>368</v>
      </c>
      <c r="AK317" s="449"/>
      <c r="AL317" s="827">
        <v>36</v>
      </c>
      <c r="AM317" s="606">
        <v>368</v>
      </c>
      <c r="AN317" s="449"/>
      <c r="AO317" s="827">
        <v>36</v>
      </c>
      <c r="AP317" s="606">
        <v>368</v>
      </c>
      <c r="AQ317" s="449"/>
      <c r="AR317" s="827">
        <v>36</v>
      </c>
      <c r="AS317" s="909">
        <v>368</v>
      </c>
      <c r="AT317" s="449"/>
      <c r="AU317" s="827">
        <v>36</v>
      </c>
      <c r="AV317" s="597">
        <v>368</v>
      </c>
      <c r="AW317" s="449"/>
      <c r="AX317" s="827">
        <v>36</v>
      </c>
      <c r="AY317" s="597">
        <v>368</v>
      </c>
      <c r="AZ317" s="449"/>
      <c r="BA317" s="405">
        <v>36</v>
      </c>
      <c r="BB317" s="421">
        <v>368</v>
      </c>
      <c r="BC317" s="449"/>
      <c r="BD317" s="405">
        <v>36</v>
      </c>
      <c r="BE317" s="421">
        <v>368</v>
      </c>
      <c r="BF317" s="449"/>
      <c r="BG317" s="405">
        <v>36</v>
      </c>
      <c r="BH317" s="421">
        <v>368</v>
      </c>
      <c r="BI317" s="449"/>
      <c r="BJ317" s="449">
        <v>36</v>
      </c>
      <c r="BK317" s="421">
        <v>368</v>
      </c>
      <c r="BL317" s="449"/>
      <c r="BM317" s="449">
        <v>36</v>
      </c>
      <c r="BN317" s="421">
        <v>368</v>
      </c>
      <c r="BO317" s="449"/>
      <c r="BP317" s="449">
        <v>36</v>
      </c>
      <c r="BQ317" s="421">
        <v>368</v>
      </c>
      <c r="BR317" s="449"/>
      <c r="BS317" s="449">
        <v>36</v>
      </c>
      <c r="BT317" s="421">
        <v>368</v>
      </c>
      <c r="BU317" s="449"/>
      <c r="BV317" s="449">
        <v>36</v>
      </c>
      <c r="BW317" s="421">
        <v>368</v>
      </c>
      <c r="BX317" s="449"/>
      <c r="BY317" s="449">
        <v>36</v>
      </c>
      <c r="BZ317" s="421">
        <v>368</v>
      </c>
      <c r="CA317" s="449"/>
      <c r="CB317" s="449">
        <v>36</v>
      </c>
      <c r="CC317" s="421">
        <v>368</v>
      </c>
      <c r="CD317" s="449"/>
      <c r="CE317" s="449">
        <v>36</v>
      </c>
      <c r="CF317" s="421">
        <v>368</v>
      </c>
      <c r="CG317" s="449"/>
      <c r="CH317" s="449">
        <v>36</v>
      </c>
      <c r="CI317" s="421">
        <v>368</v>
      </c>
      <c r="CJ317" s="449"/>
      <c r="CK317" s="449">
        <v>36</v>
      </c>
      <c r="CL317" s="421">
        <v>368</v>
      </c>
      <c r="CM317" s="449"/>
      <c r="CN317" s="449">
        <v>36</v>
      </c>
      <c r="CO317" s="421">
        <v>368</v>
      </c>
      <c r="CP317" s="449"/>
      <c r="CQ317" s="449">
        <v>36</v>
      </c>
      <c r="CR317" s="421">
        <v>368</v>
      </c>
      <c r="CS317" s="449"/>
      <c r="CT317" s="449">
        <v>36</v>
      </c>
      <c r="CU317" s="421">
        <v>368</v>
      </c>
      <c r="CV317" s="449"/>
      <c r="CW317" s="449">
        <v>36</v>
      </c>
      <c r="CX317" s="421">
        <v>368</v>
      </c>
      <c r="CY317" s="449"/>
      <c r="CZ317" s="449">
        <v>36</v>
      </c>
      <c r="DA317" s="421">
        <v>368</v>
      </c>
      <c r="DB317" s="449"/>
      <c r="DC317" s="449">
        <v>36</v>
      </c>
      <c r="DD317" s="421">
        <v>368</v>
      </c>
      <c r="DE317" s="449"/>
      <c r="DF317" s="449">
        <v>36</v>
      </c>
      <c r="DG317" s="421">
        <v>368</v>
      </c>
      <c r="DH317" s="449"/>
      <c r="DI317" s="449">
        <v>36</v>
      </c>
      <c r="DJ317" s="421">
        <v>368</v>
      </c>
      <c r="DK317" s="449"/>
      <c r="DL317" s="449">
        <v>36</v>
      </c>
      <c r="DM317" s="421">
        <v>368</v>
      </c>
      <c r="DN317" s="449"/>
      <c r="DO317" s="449">
        <v>36</v>
      </c>
      <c r="DP317" s="421">
        <v>368</v>
      </c>
      <c r="DQ317" s="449"/>
      <c r="DR317" s="449">
        <v>36</v>
      </c>
      <c r="DS317" s="421">
        <v>368</v>
      </c>
      <c r="DT317" s="449"/>
      <c r="DU317" s="449">
        <v>36</v>
      </c>
      <c r="DV317" s="421">
        <v>368</v>
      </c>
      <c r="DW317" s="449"/>
      <c r="DX317" s="449">
        <v>36</v>
      </c>
      <c r="DY317" s="421">
        <v>368</v>
      </c>
      <c r="DZ317" s="449"/>
      <c r="EA317" s="449">
        <v>36</v>
      </c>
      <c r="EB317" s="421">
        <v>368</v>
      </c>
      <c r="EC317" s="449"/>
      <c r="ED317" s="449">
        <v>36</v>
      </c>
      <c r="EE317" s="421">
        <v>368</v>
      </c>
      <c r="EF317" s="449"/>
      <c r="EG317" s="449">
        <v>36</v>
      </c>
      <c r="EH317" s="421">
        <v>368</v>
      </c>
      <c r="EI317" s="449"/>
      <c r="EJ317" s="449">
        <v>36</v>
      </c>
      <c r="EK317" s="421">
        <v>368</v>
      </c>
      <c r="EL317" s="449"/>
      <c r="EM317" s="449">
        <v>36</v>
      </c>
      <c r="EN317" s="421">
        <v>368</v>
      </c>
      <c r="EO317" s="449"/>
      <c r="EP317" s="449">
        <v>36</v>
      </c>
      <c r="EQ317" s="421">
        <v>368</v>
      </c>
      <c r="ER317" s="449"/>
      <c r="ES317" s="449">
        <v>36</v>
      </c>
      <c r="ET317" s="421">
        <v>368</v>
      </c>
      <c r="EU317" s="449"/>
      <c r="EV317" s="449">
        <v>36</v>
      </c>
      <c r="EW317" s="421">
        <v>368</v>
      </c>
      <c r="EX317" s="449"/>
      <c r="EY317" s="449">
        <v>36</v>
      </c>
      <c r="EZ317" s="421">
        <v>368</v>
      </c>
      <c r="FA317" s="449"/>
      <c r="FB317" s="449">
        <v>36</v>
      </c>
      <c r="FC317" s="421">
        <v>368</v>
      </c>
      <c r="FD317" s="449"/>
      <c r="FE317" s="449">
        <v>36</v>
      </c>
      <c r="FF317" s="421">
        <v>368</v>
      </c>
      <c r="FG317" s="449"/>
      <c r="FH317" s="449">
        <v>36</v>
      </c>
      <c r="FI317" s="421">
        <v>368</v>
      </c>
      <c r="FJ317" s="449"/>
      <c r="FK317" s="449">
        <v>36</v>
      </c>
      <c r="FL317" s="421">
        <v>368</v>
      </c>
      <c r="FM317" s="449"/>
      <c r="FN317" s="449">
        <v>36</v>
      </c>
      <c r="FO317" s="421">
        <v>368</v>
      </c>
      <c r="FP317" s="449"/>
      <c r="FQ317" s="449">
        <v>36</v>
      </c>
      <c r="FR317" s="421">
        <v>368</v>
      </c>
      <c r="FS317" s="449"/>
      <c r="FT317" s="449">
        <v>36</v>
      </c>
      <c r="FU317" s="421">
        <v>368</v>
      </c>
      <c r="FV317" s="449"/>
      <c r="FW317" s="449">
        <v>36</v>
      </c>
      <c r="FX317" s="421">
        <v>368</v>
      </c>
      <c r="FY317" s="449"/>
      <c r="FZ317" s="449">
        <v>36</v>
      </c>
      <c r="GA317" s="421">
        <v>368</v>
      </c>
      <c r="GB317" s="449"/>
      <c r="GC317" s="449">
        <v>36</v>
      </c>
      <c r="GD317" s="421">
        <v>368</v>
      </c>
      <c r="GE317" s="449"/>
      <c r="GF317" s="449">
        <v>36</v>
      </c>
      <c r="GG317" s="421">
        <v>368</v>
      </c>
      <c r="GH317" s="449"/>
      <c r="GI317" s="449">
        <v>36</v>
      </c>
      <c r="GJ317" s="421">
        <v>368</v>
      </c>
      <c r="GK317" s="449"/>
      <c r="GL317" s="449">
        <v>36</v>
      </c>
      <c r="GM317" s="421">
        <v>368</v>
      </c>
      <c r="GN317" s="449"/>
      <c r="GO317" s="449">
        <v>36</v>
      </c>
      <c r="GP317" s="421">
        <v>368</v>
      </c>
      <c r="GQ317" s="449"/>
      <c r="GR317" s="449">
        <v>36</v>
      </c>
      <c r="GS317" s="422">
        <v>470.55737704918027</v>
      </c>
      <c r="GT317" s="530"/>
      <c r="GU317" s="530">
        <v>46.032786885245898</v>
      </c>
      <c r="GV317" s="587"/>
      <c r="GW317" s="587"/>
      <c r="GX317" s="587"/>
      <c r="GY317" s="587"/>
      <c r="GZ317" s="587"/>
      <c r="HA317" s="587"/>
      <c r="HB317" s="587"/>
      <c r="HC317" s="587"/>
      <c r="HD317" s="587"/>
      <c r="HE317" s="587"/>
      <c r="HF317" s="587"/>
      <c r="HG317" s="587"/>
      <c r="HH317" s="587"/>
      <c r="HI317" s="587"/>
      <c r="HJ317" s="587"/>
      <c r="HK317" s="587"/>
      <c r="HL317" s="587"/>
      <c r="HM317" s="587"/>
      <c r="HN317" s="587"/>
      <c r="HO317" s="587"/>
      <c r="HP317" s="587"/>
      <c r="HQ317" s="587"/>
      <c r="HR317" s="587"/>
      <c r="HS317" s="587"/>
      <c r="HT317" s="587"/>
      <c r="HU317" s="587"/>
      <c r="HV317" s="587"/>
      <c r="HW317" s="587"/>
      <c r="HX317" s="587"/>
      <c r="HY317" s="587"/>
      <c r="HZ317" s="587"/>
      <c r="IA317" s="587"/>
      <c r="IB317" s="587"/>
      <c r="IC317" s="587"/>
      <c r="ID317" s="587"/>
      <c r="IE317" s="587"/>
      <c r="IF317" s="587"/>
      <c r="IG317" s="587"/>
      <c r="IH317" s="588"/>
      <c r="II317" s="589"/>
      <c r="IJ317" s="588"/>
      <c r="IK317" s="589"/>
      <c r="IL317" s="588"/>
      <c r="IM317" s="589"/>
      <c r="IN317" s="588"/>
      <c r="IO317" s="589"/>
      <c r="IP317" s="588"/>
      <c r="IQ317" s="589"/>
      <c r="IR317" s="552" t="s">
        <v>2959</v>
      </c>
      <c r="IS317" s="587" t="s">
        <v>77</v>
      </c>
      <c r="IT317" s="611">
        <v>44097</v>
      </c>
      <c r="IU317" s="518">
        <v>44136</v>
      </c>
      <c r="IV317" s="552"/>
      <c r="IW317" s="526">
        <f t="shared" si="33"/>
        <v>39</v>
      </c>
      <c r="IX317" s="665">
        <f t="shared" si="36"/>
        <v>15.428110722923943</v>
      </c>
      <c r="IY317" s="665">
        <v>470.55737704918027</v>
      </c>
    </row>
    <row r="318" spans="1:259" s="367" customFormat="1" ht="16.5" customHeight="1" x14ac:dyDescent="0.3">
      <c r="A318" s="401" t="s">
        <v>3315</v>
      </c>
      <c r="B318" s="402" t="s">
        <v>3315</v>
      </c>
      <c r="C318" s="441" t="s">
        <v>2790</v>
      </c>
      <c r="D318" s="860"/>
      <c r="E318" s="861"/>
      <c r="F318" s="861"/>
      <c r="G318" s="861"/>
      <c r="H318" s="862"/>
      <c r="I318" s="853">
        <v>0</v>
      </c>
      <c r="J318" s="833">
        <v>0</v>
      </c>
      <c r="K318" s="833">
        <v>0</v>
      </c>
      <c r="L318" s="833">
        <v>0</v>
      </c>
      <c r="M318" s="833">
        <v>0</v>
      </c>
      <c r="N318" s="833">
        <v>0</v>
      </c>
      <c r="O318" s="833">
        <v>0</v>
      </c>
      <c r="P318" s="833">
        <v>0</v>
      </c>
      <c r="Q318" s="833">
        <v>0</v>
      </c>
      <c r="R318" s="833">
        <v>0</v>
      </c>
      <c r="S318" s="833">
        <v>0</v>
      </c>
      <c r="T318" s="833">
        <v>0</v>
      </c>
      <c r="U318" s="833">
        <v>0</v>
      </c>
      <c r="V318" s="833">
        <v>0</v>
      </c>
      <c r="W318" s="833">
        <v>0</v>
      </c>
      <c r="X318" s="833">
        <v>0</v>
      </c>
      <c r="Y318" s="833">
        <v>0</v>
      </c>
      <c r="Z318" s="833">
        <v>0</v>
      </c>
      <c r="AA318" s="833">
        <v>0</v>
      </c>
      <c r="AB318" s="833">
        <v>0</v>
      </c>
      <c r="AC318" s="833">
        <v>0</v>
      </c>
      <c r="AD318" s="635">
        <v>3287</v>
      </c>
      <c r="AE318" s="751">
        <v>36</v>
      </c>
      <c r="AF318" s="833">
        <v>66</v>
      </c>
      <c r="AG318" s="597">
        <v>3287</v>
      </c>
      <c r="AH318" s="449">
        <v>36</v>
      </c>
      <c r="AI318" s="827">
        <v>66</v>
      </c>
      <c r="AJ318" s="597">
        <v>3287</v>
      </c>
      <c r="AK318" s="449">
        <v>36</v>
      </c>
      <c r="AL318" s="827">
        <v>66</v>
      </c>
      <c r="AM318" s="597">
        <v>3287</v>
      </c>
      <c r="AN318" s="449">
        <v>36</v>
      </c>
      <c r="AO318" s="827">
        <v>66</v>
      </c>
      <c r="AP318" s="597">
        <v>3287</v>
      </c>
      <c r="AQ318" s="449">
        <v>36</v>
      </c>
      <c r="AR318" s="827">
        <v>66</v>
      </c>
      <c r="AS318" s="597">
        <v>3287</v>
      </c>
      <c r="AT318" s="449">
        <v>36</v>
      </c>
      <c r="AU318" s="827">
        <v>66</v>
      </c>
      <c r="AV318" s="597">
        <v>3287</v>
      </c>
      <c r="AW318" s="449">
        <v>36</v>
      </c>
      <c r="AX318" s="827">
        <v>66</v>
      </c>
      <c r="AY318" s="597">
        <v>3287</v>
      </c>
      <c r="AZ318" s="449">
        <v>36</v>
      </c>
      <c r="BA318" s="405">
        <v>66</v>
      </c>
      <c r="BB318" s="421">
        <v>3287</v>
      </c>
      <c r="BC318" s="449">
        <v>36</v>
      </c>
      <c r="BD318" s="405">
        <v>66</v>
      </c>
      <c r="BE318" s="421">
        <v>3287</v>
      </c>
      <c r="BF318" s="449">
        <v>36</v>
      </c>
      <c r="BG318" s="405">
        <v>66</v>
      </c>
      <c r="BH318" s="421">
        <v>3287</v>
      </c>
      <c r="BI318" s="449">
        <v>36</v>
      </c>
      <c r="BJ318" s="449">
        <v>66</v>
      </c>
      <c r="BK318" s="421">
        <v>3287</v>
      </c>
      <c r="BL318" s="449">
        <v>36</v>
      </c>
      <c r="BM318" s="449">
        <v>66</v>
      </c>
      <c r="BN318" s="421">
        <v>3287</v>
      </c>
      <c r="BO318" s="449">
        <v>36</v>
      </c>
      <c r="BP318" s="449">
        <v>66</v>
      </c>
      <c r="BQ318" s="421">
        <v>3287</v>
      </c>
      <c r="BR318" s="449">
        <v>36</v>
      </c>
      <c r="BS318" s="449">
        <v>66</v>
      </c>
      <c r="BT318" s="421">
        <v>3287</v>
      </c>
      <c r="BU318" s="449">
        <v>36</v>
      </c>
      <c r="BV318" s="449">
        <v>66</v>
      </c>
      <c r="BW318" s="421">
        <v>3287</v>
      </c>
      <c r="BX318" s="449">
        <v>36</v>
      </c>
      <c r="BY318" s="449">
        <v>66</v>
      </c>
      <c r="BZ318" s="421">
        <v>3287</v>
      </c>
      <c r="CA318" s="449">
        <v>36</v>
      </c>
      <c r="CB318" s="449">
        <v>66</v>
      </c>
      <c r="CC318" s="421">
        <v>3287</v>
      </c>
      <c r="CD318" s="449">
        <v>36</v>
      </c>
      <c r="CE318" s="449">
        <v>66</v>
      </c>
      <c r="CF318" s="421">
        <v>3287</v>
      </c>
      <c r="CG318" s="449">
        <v>36</v>
      </c>
      <c r="CH318" s="449">
        <v>66</v>
      </c>
      <c r="CI318" s="421">
        <v>3287</v>
      </c>
      <c r="CJ318" s="449">
        <v>36</v>
      </c>
      <c r="CK318" s="449">
        <v>66</v>
      </c>
      <c r="CL318" s="421">
        <v>3287</v>
      </c>
      <c r="CM318" s="449">
        <v>36</v>
      </c>
      <c r="CN318" s="449">
        <v>66</v>
      </c>
      <c r="CO318" s="421">
        <v>3287</v>
      </c>
      <c r="CP318" s="449">
        <v>36</v>
      </c>
      <c r="CQ318" s="449">
        <v>66</v>
      </c>
      <c r="CR318" s="421">
        <v>3287</v>
      </c>
      <c r="CS318" s="449">
        <v>36</v>
      </c>
      <c r="CT318" s="449">
        <v>66</v>
      </c>
      <c r="CU318" s="421">
        <v>3287</v>
      </c>
      <c r="CV318" s="449">
        <v>36</v>
      </c>
      <c r="CW318" s="449">
        <v>66</v>
      </c>
      <c r="CX318" s="421">
        <v>3287</v>
      </c>
      <c r="CY318" s="449">
        <v>36</v>
      </c>
      <c r="CZ318" s="449">
        <v>66</v>
      </c>
      <c r="DA318" s="421">
        <v>3287</v>
      </c>
      <c r="DB318" s="449">
        <v>36</v>
      </c>
      <c r="DC318" s="449">
        <v>66</v>
      </c>
      <c r="DD318" s="421">
        <v>3287</v>
      </c>
      <c r="DE318" s="449">
        <v>36</v>
      </c>
      <c r="DF318" s="449">
        <v>66</v>
      </c>
      <c r="DG318" s="421">
        <v>3287</v>
      </c>
      <c r="DH318" s="449">
        <v>36</v>
      </c>
      <c r="DI318" s="449">
        <v>66</v>
      </c>
      <c r="DJ318" s="421">
        <v>3287</v>
      </c>
      <c r="DK318" s="449">
        <v>36</v>
      </c>
      <c r="DL318" s="449">
        <v>66</v>
      </c>
      <c r="DM318" s="421">
        <v>3287</v>
      </c>
      <c r="DN318" s="449">
        <v>36</v>
      </c>
      <c r="DO318" s="449">
        <v>66</v>
      </c>
      <c r="DP318" s="421">
        <v>3287</v>
      </c>
      <c r="DQ318" s="449">
        <v>36</v>
      </c>
      <c r="DR318" s="449">
        <v>66</v>
      </c>
      <c r="DS318" s="421">
        <v>3287</v>
      </c>
      <c r="DT318" s="449">
        <v>36</v>
      </c>
      <c r="DU318" s="449">
        <v>66</v>
      </c>
      <c r="DV318" s="421">
        <v>3287</v>
      </c>
      <c r="DW318" s="449">
        <v>36</v>
      </c>
      <c r="DX318" s="449">
        <v>66</v>
      </c>
      <c r="DY318" s="421">
        <v>3287</v>
      </c>
      <c r="DZ318" s="449">
        <v>36</v>
      </c>
      <c r="EA318" s="449">
        <v>66</v>
      </c>
      <c r="EB318" s="421">
        <v>3287</v>
      </c>
      <c r="EC318" s="449">
        <v>36</v>
      </c>
      <c r="ED318" s="449">
        <v>66</v>
      </c>
      <c r="EE318" s="421">
        <v>3287</v>
      </c>
      <c r="EF318" s="449">
        <v>36</v>
      </c>
      <c r="EG318" s="449">
        <v>66</v>
      </c>
      <c r="EH318" s="421">
        <v>3287</v>
      </c>
      <c r="EI318" s="449">
        <v>36</v>
      </c>
      <c r="EJ318" s="449">
        <v>66</v>
      </c>
      <c r="EK318" s="421">
        <v>3287</v>
      </c>
      <c r="EL318" s="449">
        <v>36</v>
      </c>
      <c r="EM318" s="449">
        <v>66</v>
      </c>
      <c r="EN318" s="421">
        <v>3287</v>
      </c>
      <c r="EO318" s="449">
        <v>36</v>
      </c>
      <c r="EP318" s="449">
        <v>66</v>
      </c>
      <c r="EQ318" s="421">
        <v>3287</v>
      </c>
      <c r="ER318" s="449">
        <v>36</v>
      </c>
      <c r="ES318" s="449">
        <v>66</v>
      </c>
      <c r="ET318" s="421">
        <v>3287</v>
      </c>
      <c r="EU318" s="449">
        <v>36</v>
      </c>
      <c r="EV318" s="449">
        <v>66</v>
      </c>
      <c r="EW318" s="421">
        <v>3287</v>
      </c>
      <c r="EX318" s="449">
        <v>36</v>
      </c>
      <c r="EY318" s="449">
        <v>66</v>
      </c>
      <c r="EZ318" s="421">
        <v>3287</v>
      </c>
      <c r="FA318" s="449">
        <v>36</v>
      </c>
      <c r="FB318" s="449">
        <v>66</v>
      </c>
      <c r="FC318" s="421">
        <v>3287</v>
      </c>
      <c r="FD318" s="449">
        <v>36</v>
      </c>
      <c r="FE318" s="449">
        <v>66</v>
      </c>
      <c r="FF318" s="421">
        <v>3287</v>
      </c>
      <c r="FG318" s="449">
        <v>36</v>
      </c>
      <c r="FH318" s="449">
        <v>66</v>
      </c>
      <c r="FI318" s="421">
        <v>3287</v>
      </c>
      <c r="FJ318" s="449">
        <v>36</v>
      </c>
      <c r="FK318" s="449">
        <v>66</v>
      </c>
      <c r="FL318" s="421">
        <v>3287</v>
      </c>
      <c r="FM318" s="449">
        <v>36</v>
      </c>
      <c r="FN318" s="449">
        <v>66</v>
      </c>
      <c r="FO318" s="421">
        <v>3287</v>
      </c>
      <c r="FP318" s="449">
        <v>36</v>
      </c>
      <c r="FQ318" s="449">
        <v>66</v>
      </c>
      <c r="FR318" s="421">
        <v>3287</v>
      </c>
      <c r="FS318" s="449">
        <v>36</v>
      </c>
      <c r="FT318" s="449">
        <v>66</v>
      </c>
      <c r="FU318" s="421">
        <v>3287</v>
      </c>
      <c r="FV318" s="449">
        <v>36</v>
      </c>
      <c r="FW318" s="449">
        <v>66</v>
      </c>
      <c r="FX318" s="421">
        <v>3287</v>
      </c>
      <c r="FY318" s="449">
        <v>36</v>
      </c>
      <c r="FZ318" s="449">
        <v>66</v>
      </c>
      <c r="GA318" s="421">
        <v>3287</v>
      </c>
      <c r="GB318" s="449">
        <v>36</v>
      </c>
      <c r="GC318" s="449">
        <v>66</v>
      </c>
      <c r="GD318" s="421">
        <v>3287</v>
      </c>
      <c r="GE318" s="449">
        <v>36</v>
      </c>
      <c r="GF318" s="449">
        <v>66</v>
      </c>
      <c r="GG318" s="421">
        <v>3287</v>
      </c>
      <c r="GH318" s="449">
        <v>36</v>
      </c>
      <c r="GI318" s="449">
        <v>66</v>
      </c>
      <c r="GJ318" s="421">
        <v>3287</v>
      </c>
      <c r="GK318" s="449">
        <v>36</v>
      </c>
      <c r="GL318" s="449">
        <v>66</v>
      </c>
      <c r="GM318" s="421">
        <v>3287</v>
      </c>
      <c r="GN318" s="449">
        <v>36</v>
      </c>
      <c r="GO318" s="449">
        <v>66</v>
      </c>
      <c r="GP318" s="421">
        <v>3287</v>
      </c>
      <c r="GQ318" s="449">
        <v>36</v>
      </c>
      <c r="GR318" s="449">
        <v>66</v>
      </c>
      <c r="GS318" s="422">
        <v>3987.5081967213114</v>
      </c>
      <c r="GT318" s="530">
        <v>43.672131147540981</v>
      </c>
      <c r="GU318" s="530">
        <v>79.598524590163919</v>
      </c>
      <c r="GV318" s="587"/>
      <c r="GW318" s="587"/>
      <c r="GX318" s="587"/>
      <c r="GY318" s="587"/>
      <c r="GZ318" s="587"/>
      <c r="HA318" s="587"/>
      <c r="HB318" s="587"/>
      <c r="HC318" s="587"/>
      <c r="HD318" s="587"/>
      <c r="HE318" s="587"/>
      <c r="HF318" s="587"/>
      <c r="HG318" s="587"/>
      <c r="HH318" s="587"/>
      <c r="HI318" s="587"/>
      <c r="HJ318" s="587"/>
      <c r="HK318" s="587"/>
      <c r="HL318" s="587"/>
      <c r="HM318" s="587"/>
      <c r="HN318" s="587"/>
      <c r="HO318" s="587"/>
      <c r="HP318" s="587"/>
      <c r="HQ318" s="587"/>
      <c r="HR318" s="587"/>
      <c r="HS318" s="587"/>
      <c r="HT318" s="587"/>
      <c r="HU318" s="587"/>
      <c r="HV318" s="587"/>
      <c r="HW318" s="587"/>
      <c r="HX318" s="587"/>
      <c r="HY318" s="587"/>
      <c r="HZ318" s="587"/>
      <c r="IA318" s="587"/>
      <c r="IB318" s="587"/>
      <c r="IC318" s="587"/>
      <c r="ID318" s="587"/>
      <c r="IE318" s="587"/>
      <c r="IF318" s="587"/>
      <c r="IG318" s="587"/>
      <c r="IH318" s="588"/>
      <c r="II318" s="589"/>
      <c r="IJ318" s="588"/>
      <c r="IK318" s="589"/>
      <c r="IL318" s="588"/>
      <c r="IM318" s="589"/>
      <c r="IN318" s="588"/>
      <c r="IO318" s="589"/>
      <c r="IP318" s="588"/>
      <c r="IQ318" s="589"/>
      <c r="IR318" s="552" t="s">
        <v>3499</v>
      </c>
      <c r="IS318" s="587" t="s">
        <v>77</v>
      </c>
      <c r="IT318" s="611">
        <v>44099</v>
      </c>
      <c r="IU318" s="518">
        <v>44136</v>
      </c>
      <c r="IV318" s="552"/>
      <c r="IW318" s="526">
        <f t="shared" si="33"/>
        <v>37</v>
      </c>
      <c r="IX318" s="665">
        <f t="shared" si="36"/>
        <v>130.73797366299382</v>
      </c>
      <c r="IY318" s="665">
        <v>3987.5081967213114</v>
      </c>
    </row>
    <row r="319" spans="1:259" s="367" customFormat="1" ht="16.5" customHeight="1" x14ac:dyDescent="0.3">
      <c r="A319" s="526" t="s">
        <v>2743</v>
      </c>
      <c r="B319" s="637" t="s">
        <v>2909</v>
      </c>
      <c r="C319" s="742" t="s">
        <v>2598</v>
      </c>
      <c r="D319" s="743">
        <v>1988</v>
      </c>
      <c r="E319" s="744">
        <v>44</v>
      </c>
      <c r="F319" s="744">
        <v>0</v>
      </c>
      <c r="G319" s="744">
        <v>0</v>
      </c>
      <c r="H319" s="745">
        <v>0</v>
      </c>
      <c r="I319" s="855">
        <v>2032</v>
      </c>
      <c r="J319" s="827"/>
      <c r="K319" s="827"/>
      <c r="L319" s="597">
        <v>2032</v>
      </c>
      <c r="M319" s="827"/>
      <c r="N319" s="827"/>
      <c r="O319" s="597">
        <v>2032</v>
      </c>
      <c r="P319" s="827"/>
      <c r="Q319" s="827"/>
      <c r="R319" s="597">
        <v>2032</v>
      </c>
      <c r="S319" s="827"/>
      <c r="T319" s="827"/>
      <c r="U319" s="597">
        <v>2032</v>
      </c>
      <c r="V319" s="827"/>
      <c r="W319" s="827"/>
      <c r="X319" s="597">
        <v>2032</v>
      </c>
      <c r="Y319" s="827"/>
      <c r="Z319" s="827"/>
      <c r="AA319" s="597">
        <v>2032</v>
      </c>
      <c r="AB319" s="827"/>
      <c r="AC319" s="827"/>
      <c r="AD319" s="597">
        <v>2032</v>
      </c>
      <c r="AE319" s="827"/>
      <c r="AF319" s="827"/>
      <c r="AG319" s="597">
        <v>2032</v>
      </c>
      <c r="AH319" s="827"/>
      <c r="AI319" s="827"/>
      <c r="AJ319" s="597">
        <v>2032</v>
      </c>
      <c r="AK319" s="827"/>
      <c r="AL319" s="827"/>
      <c r="AM319" s="597">
        <v>2032</v>
      </c>
      <c r="AN319" s="827"/>
      <c r="AO319" s="827"/>
      <c r="AP319" s="597">
        <v>2032</v>
      </c>
      <c r="AQ319" s="827"/>
      <c r="AR319" s="827"/>
      <c r="AS319" s="597">
        <v>2032</v>
      </c>
      <c r="AT319" s="827"/>
      <c r="AU319" s="827"/>
      <c r="AV319" s="597">
        <v>2032</v>
      </c>
      <c r="AW319" s="827"/>
      <c r="AX319" s="827"/>
      <c r="AY319" s="597">
        <v>2032</v>
      </c>
      <c r="AZ319" s="827"/>
      <c r="BA319" s="405"/>
      <c r="BB319" s="421">
        <v>2032</v>
      </c>
      <c r="BC319" s="405"/>
      <c r="BD319" s="405"/>
      <c r="BE319" s="421">
        <v>2032</v>
      </c>
      <c r="BF319" s="405"/>
      <c r="BG319" s="405"/>
      <c r="BH319" s="421">
        <v>2032</v>
      </c>
      <c r="BI319" s="449"/>
      <c r="BJ319" s="449"/>
      <c r="BK319" s="421">
        <v>2032</v>
      </c>
      <c r="BL319" s="449"/>
      <c r="BM319" s="449"/>
      <c r="BN319" s="421">
        <v>2032</v>
      </c>
      <c r="BO319" s="449"/>
      <c r="BP319" s="449"/>
      <c r="BQ319" s="421">
        <v>2032</v>
      </c>
      <c r="BR319" s="449"/>
      <c r="BS319" s="449"/>
      <c r="BT319" s="421">
        <v>2032</v>
      </c>
      <c r="BU319" s="449"/>
      <c r="BV319" s="449"/>
      <c r="BW319" s="421">
        <v>2032</v>
      </c>
      <c r="BX319" s="449"/>
      <c r="BY319" s="449"/>
      <c r="BZ319" s="421">
        <v>2032</v>
      </c>
      <c r="CA319" s="449"/>
      <c r="CB319" s="449"/>
      <c r="CC319" s="421">
        <v>2032</v>
      </c>
      <c r="CD319" s="449"/>
      <c r="CE319" s="449"/>
      <c r="CF319" s="421">
        <v>2032</v>
      </c>
      <c r="CG319" s="449"/>
      <c r="CH319" s="449"/>
      <c r="CI319" s="421">
        <v>2032</v>
      </c>
      <c r="CJ319" s="449"/>
      <c r="CK319" s="449"/>
      <c r="CL319" s="421">
        <v>2032</v>
      </c>
      <c r="CM319" s="449"/>
      <c r="CN319" s="449"/>
      <c r="CO319" s="421">
        <v>2032</v>
      </c>
      <c r="CP319" s="449"/>
      <c r="CQ319" s="449"/>
      <c r="CR319" s="421">
        <v>2032</v>
      </c>
      <c r="CS319" s="449"/>
      <c r="CT319" s="449"/>
      <c r="CU319" s="421">
        <v>2032</v>
      </c>
      <c r="CV319" s="449"/>
      <c r="CW319" s="449"/>
      <c r="CX319" s="421">
        <v>2032</v>
      </c>
      <c r="CY319" s="449"/>
      <c r="CZ319" s="449"/>
      <c r="DA319" s="421">
        <v>2032</v>
      </c>
      <c r="DB319" s="449"/>
      <c r="DC319" s="449"/>
      <c r="DD319" s="421">
        <v>2032</v>
      </c>
      <c r="DE319" s="449"/>
      <c r="DF319" s="449"/>
      <c r="DG319" s="421">
        <v>2032</v>
      </c>
      <c r="DH319" s="449"/>
      <c r="DI319" s="449"/>
      <c r="DJ319" s="421">
        <v>2032</v>
      </c>
      <c r="DK319" s="449"/>
      <c r="DL319" s="449"/>
      <c r="DM319" s="421">
        <v>2032</v>
      </c>
      <c r="DN319" s="449"/>
      <c r="DO319" s="449"/>
      <c r="DP319" s="421">
        <v>2032</v>
      </c>
      <c r="DQ319" s="449"/>
      <c r="DR319" s="449"/>
      <c r="DS319" s="421">
        <v>2032</v>
      </c>
      <c r="DT319" s="449"/>
      <c r="DU319" s="449"/>
      <c r="DV319" s="421">
        <v>2032</v>
      </c>
      <c r="DW319" s="449"/>
      <c r="DX319" s="449"/>
      <c r="DY319" s="421">
        <v>2032</v>
      </c>
      <c r="DZ319" s="449"/>
      <c r="EA319" s="449"/>
      <c r="EB319" s="421">
        <v>2032</v>
      </c>
      <c r="EC319" s="449"/>
      <c r="ED319" s="449"/>
      <c r="EE319" s="421">
        <v>2032</v>
      </c>
      <c r="EF319" s="449"/>
      <c r="EG319" s="449"/>
      <c r="EH319" s="421">
        <v>2032</v>
      </c>
      <c r="EI319" s="449"/>
      <c r="EJ319" s="449"/>
      <c r="EK319" s="421">
        <v>2032</v>
      </c>
      <c r="EL319" s="449"/>
      <c r="EM319" s="449"/>
      <c r="EN319" s="421">
        <v>2032</v>
      </c>
      <c r="EO319" s="449"/>
      <c r="EP319" s="449"/>
      <c r="EQ319" s="421">
        <v>2032</v>
      </c>
      <c r="ER319" s="449"/>
      <c r="ES319" s="449"/>
      <c r="ET319" s="421">
        <v>2032</v>
      </c>
      <c r="EU319" s="449"/>
      <c r="EV319" s="449"/>
      <c r="EW319" s="421">
        <v>2032</v>
      </c>
      <c r="EX319" s="449"/>
      <c r="EY319" s="449"/>
      <c r="EZ319" s="421">
        <v>2032</v>
      </c>
      <c r="FA319" s="449"/>
      <c r="FB319" s="449"/>
      <c r="FC319" s="421">
        <v>2032</v>
      </c>
      <c r="FD319" s="449"/>
      <c r="FE319" s="449"/>
      <c r="FF319" s="421">
        <v>2032</v>
      </c>
      <c r="FG319" s="449"/>
      <c r="FH319" s="449"/>
      <c r="FI319" s="421">
        <v>2032</v>
      </c>
      <c r="FJ319" s="449"/>
      <c r="FK319" s="449"/>
      <c r="FL319" s="421">
        <v>2032</v>
      </c>
      <c r="FM319" s="449"/>
      <c r="FN319" s="449"/>
      <c r="FO319" s="421">
        <v>2032</v>
      </c>
      <c r="FP319" s="449"/>
      <c r="FQ319" s="449"/>
      <c r="FR319" s="421">
        <v>2032</v>
      </c>
      <c r="FS319" s="449"/>
      <c r="FT319" s="449"/>
      <c r="FU319" s="421">
        <v>2032</v>
      </c>
      <c r="FV319" s="449"/>
      <c r="FW319" s="449"/>
      <c r="FX319" s="421">
        <v>2032</v>
      </c>
      <c r="FY319" s="449"/>
      <c r="FZ319" s="449"/>
      <c r="GA319" s="421">
        <v>2032</v>
      </c>
      <c r="GB319" s="449"/>
      <c r="GC319" s="449"/>
      <c r="GD319" s="421">
        <v>2032</v>
      </c>
      <c r="GE319" s="449"/>
      <c r="GF319" s="449"/>
      <c r="GG319" s="421">
        <v>2032</v>
      </c>
      <c r="GH319" s="449"/>
      <c r="GI319" s="449"/>
      <c r="GJ319" s="421">
        <v>2032</v>
      </c>
      <c r="GK319" s="449"/>
      <c r="GL319" s="449"/>
      <c r="GM319" s="421">
        <v>2032</v>
      </c>
      <c r="GN319" s="449"/>
      <c r="GO319" s="449"/>
      <c r="GP319" s="421">
        <v>2032</v>
      </c>
      <c r="GQ319" s="449"/>
      <c r="GR319" s="449"/>
      <c r="GS319" s="422">
        <v>2131.9344262295081</v>
      </c>
      <c r="GT319" s="530"/>
      <c r="GU319" s="530"/>
      <c r="GV319" s="587"/>
      <c r="GW319" s="587"/>
      <c r="GX319" s="587"/>
      <c r="GY319" s="587"/>
      <c r="GZ319" s="587"/>
      <c r="HA319" s="587"/>
      <c r="HB319" s="587"/>
      <c r="HC319" s="587"/>
      <c r="HD319" s="587"/>
      <c r="HE319" s="587"/>
      <c r="HF319" s="587"/>
      <c r="HG319" s="587"/>
      <c r="HH319" s="587"/>
      <c r="HI319" s="587"/>
      <c r="HJ319" s="587"/>
      <c r="HK319" s="587"/>
      <c r="HL319" s="587"/>
      <c r="HM319" s="587"/>
      <c r="HN319" s="587"/>
      <c r="HO319" s="587"/>
      <c r="HP319" s="587"/>
      <c r="HQ319" s="587"/>
      <c r="HR319" s="587"/>
      <c r="HS319" s="587"/>
      <c r="HT319" s="587"/>
      <c r="HU319" s="587"/>
      <c r="HV319" s="587"/>
      <c r="HW319" s="587"/>
      <c r="HX319" s="587"/>
      <c r="HY319" s="587"/>
      <c r="HZ319" s="587"/>
      <c r="IA319" s="587"/>
      <c r="IB319" s="587"/>
      <c r="IC319" s="587"/>
      <c r="ID319" s="587"/>
      <c r="IE319" s="587"/>
      <c r="IF319" s="587"/>
      <c r="IG319" s="587"/>
      <c r="IH319" s="588"/>
      <c r="II319" s="589"/>
      <c r="IJ319" s="588"/>
      <c r="IK319" s="589"/>
      <c r="IL319" s="588"/>
      <c r="IM319" s="589"/>
      <c r="IN319" s="588"/>
      <c r="IO319" s="589"/>
      <c r="IP319" s="588"/>
      <c r="IQ319" s="589"/>
      <c r="IR319" s="552" t="s">
        <v>2941</v>
      </c>
      <c r="IS319" s="587" t="s">
        <v>77</v>
      </c>
      <c r="IT319" s="611">
        <v>44104</v>
      </c>
      <c r="IU319" s="518">
        <v>44136</v>
      </c>
      <c r="IV319" s="552"/>
      <c r="IW319" s="526">
        <f t="shared" si="33"/>
        <v>32</v>
      </c>
      <c r="IX319" s="665">
        <f t="shared" si="36"/>
        <v>69.899489384574039</v>
      </c>
      <c r="IY319" s="665">
        <v>2131.9344262295081</v>
      </c>
    </row>
    <row r="320" spans="1:259" s="367" customFormat="1" ht="16.5" customHeight="1" x14ac:dyDescent="0.3">
      <c r="A320" s="526" t="s">
        <v>2758</v>
      </c>
      <c r="B320" s="355" t="s">
        <v>2784</v>
      </c>
      <c r="C320" s="443" t="s">
        <v>1448</v>
      </c>
      <c r="D320" s="444">
        <v>1454</v>
      </c>
      <c r="E320" s="445">
        <v>95</v>
      </c>
      <c r="F320" s="445">
        <v>56</v>
      </c>
      <c r="G320" s="445">
        <v>36</v>
      </c>
      <c r="H320" s="446">
        <v>0</v>
      </c>
      <c r="I320" s="910">
        <v>1604</v>
      </c>
      <c r="J320" s="503">
        <v>36</v>
      </c>
      <c r="K320" s="836"/>
      <c r="L320" s="640">
        <v>1604</v>
      </c>
      <c r="M320" s="503">
        <v>36</v>
      </c>
      <c r="N320" s="836"/>
      <c r="O320" s="640">
        <v>1604</v>
      </c>
      <c r="P320" s="503">
        <v>36</v>
      </c>
      <c r="Q320" s="836"/>
      <c r="R320" s="640">
        <v>1604</v>
      </c>
      <c r="S320" s="503">
        <v>36</v>
      </c>
      <c r="T320" s="836"/>
      <c r="U320" s="640">
        <v>1604</v>
      </c>
      <c r="V320" s="503">
        <v>36</v>
      </c>
      <c r="W320" s="836"/>
      <c r="X320" s="640">
        <v>1604</v>
      </c>
      <c r="Y320" s="503">
        <v>36</v>
      </c>
      <c r="Z320" s="836"/>
      <c r="AA320" s="640">
        <v>1604</v>
      </c>
      <c r="AB320" s="503">
        <v>36</v>
      </c>
      <c r="AC320" s="836"/>
      <c r="AD320" s="640">
        <v>1604</v>
      </c>
      <c r="AE320" s="503">
        <v>36</v>
      </c>
      <c r="AF320" s="836"/>
      <c r="AG320" s="640">
        <v>1604</v>
      </c>
      <c r="AH320" s="503">
        <v>36</v>
      </c>
      <c r="AI320" s="836"/>
      <c r="AJ320" s="640">
        <v>1604</v>
      </c>
      <c r="AK320" s="503">
        <v>36</v>
      </c>
      <c r="AL320" s="836"/>
      <c r="AM320" s="606">
        <v>1604</v>
      </c>
      <c r="AN320" s="468">
        <v>36</v>
      </c>
      <c r="AO320" s="827"/>
      <c r="AP320" s="606">
        <v>1604</v>
      </c>
      <c r="AQ320" s="468">
        <v>36</v>
      </c>
      <c r="AR320" s="827"/>
      <c r="AS320" s="606">
        <v>1604</v>
      </c>
      <c r="AT320" s="468">
        <v>36</v>
      </c>
      <c r="AU320" s="827"/>
      <c r="AV320" s="606">
        <v>1604</v>
      </c>
      <c r="AW320" s="468">
        <v>36</v>
      </c>
      <c r="AX320" s="827"/>
      <c r="AY320" s="597">
        <v>1604</v>
      </c>
      <c r="AZ320" s="449">
        <v>36</v>
      </c>
      <c r="BA320" s="405"/>
      <c r="BB320" s="421">
        <v>1604</v>
      </c>
      <c r="BC320" s="449">
        <v>36</v>
      </c>
      <c r="BD320" s="405"/>
      <c r="BE320" s="421">
        <v>1604</v>
      </c>
      <c r="BF320" s="449">
        <v>36</v>
      </c>
      <c r="BG320" s="405"/>
      <c r="BH320" s="421">
        <v>1604</v>
      </c>
      <c r="BI320" s="449">
        <v>36</v>
      </c>
      <c r="BJ320" s="740"/>
      <c r="BK320" s="421">
        <v>1604</v>
      </c>
      <c r="BL320" s="449">
        <v>36</v>
      </c>
      <c r="BM320" s="740"/>
      <c r="BN320" s="421">
        <v>1604</v>
      </c>
      <c r="BO320" s="449">
        <v>36</v>
      </c>
      <c r="BP320" s="740"/>
      <c r="BQ320" s="421">
        <v>1604</v>
      </c>
      <c r="BR320" s="449">
        <v>36</v>
      </c>
      <c r="BS320" s="740"/>
      <c r="BT320" s="421">
        <v>1604</v>
      </c>
      <c r="BU320" s="449">
        <v>36</v>
      </c>
      <c r="BV320" s="740"/>
      <c r="BW320" s="421">
        <v>1604</v>
      </c>
      <c r="BX320" s="449">
        <v>36</v>
      </c>
      <c r="BY320" s="740"/>
      <c r="BZ320" s="421">
        <v>1604</v>
      </c>
      <c r="CA320" s="449">
        <v>36</v>
      </c>
      <c r="CB320" s="740"/>
      <c r="CC320" s="421">
        <v>1604</v>
      </c>
      <c r="CD320" s="449">
        <v>36</v>
      </c>
      <c r="CE320" s="740"/>
      <c r="CF320" s="421">
        <v>1604</v>
      </c>
      <c r="CG320" s="449">
        <v>36</v>
      </c>
      <c r="CH320" s="740"/>
      <c r="CI320" s="421">
        <v>1604</v>
      </c>
      <c r="CJ320" s="449">
        <v>36</v>
      </c>
      <c r="CK320" s="740"/>
      <c r="CL320" s="421">
        <v>1604</v>
      </c>
      <c r="CM320" s="449">
        <v>36</v>
      </c>
      <c r="CN320" s="740"/>
      <c r="CO320" s="421">
        <v>1604</v>
      </c>
      <c r="CP320" s="449">
        <v>36</v>
      </c>
      <c r="CQ320" s="740"/>
      <c r="CR320" s="421">
        <v>1604</v>
      </c>
      <c r="CS320" s="449">
        <v>36</v>
      </c>
      <c r="CT320" s="740"/>
      <c r="CU320" s="421">
        <v>1604</v>
      </c>
      <c r="CV320" s="449">
        <v>36</v>
      </c>
      <c r="CW320" s="740"/>
      <c r="CX320" s="421">
        <v>1604</v>
      </c>
      <c r="CY320" s="449">
        <v>36</v>
      </c>
      <c r="CZ320" s="740"/>
      <c r="DA320" s="421">
        <v>1604</v>
      </c>
      <c r="DB320" s="449">
        <v>36</v>
      </c>
      <c r="DC320" s="740"/>
      <c r="DD320" s="421">
        <v>1604</v>
      </c>
      <c r="DE320" s="449">
        <v>36</v>
      </c>
      <c r="DF320" s="740"/>
      <c r="DG320" s="421">
        <v>1604</v>
      </c>
      <c r="DH320" s="449">
        <v>36</v>
      </c>
      <c r="DI320" s="740"/>
      <c r="DJ320" s="421">
        <v>1604</v>
      </c>
      <c r="DK320" s="449">
        <v>36</v>
      </c>
      <c r="DL320" s="740"/>
      <c r="DM320" s="421">
        <v>1604</v>
      </c>
      <c r="DN320" s="449">
        <v>36</v>
      </c>
      <c r="DO320" s="740"/>
      <c r="DP320" s="421">
        <v>1604</v>
      </c>
      <c r="DQ320" s="449">
        <v>36</v>
      </c>
      <c r="DR320" s="740"/>
      <c r="DS320" s="421">
        <v>1604</v>
      </c>
      <c r="DT320" s="449">
        <v>36</v>
      </c>
      <c r="DU320" s="740"/>
      <c r="DV320" s="421">
        <v>1604</v>
      </c>
      <c r="DW320" s="449">
        <v>36</v>
      </c>
      <c r="DX320" s="740"/>
      <c r="DY320" s="421">
        <v>1604</v>
      </c>
      <c r="DZ320" s="449">
        <v>36</v>
      </c>
      <c r="EA320" s="740"/>
      <c r="EB320" s="421">
        <v>1604</v>
      </c>
      <c r="EC320" s="449">
        <v>36</v>
      </c>
      <c r="ED320" s="740"/>
      <c r="EE320" s="421">
        <v>1604</v>
      </c>
      <c r="EF320" s="449">
        <v>36</v>
      </c>
      <c r="EG320" s="740"/>
      <c r="EH320" s="421">
        <v>1604</v>
      </c>
      <c r="EI320" s="449">
        <v>36</v>
      </c>
      <c r="EJ320" s="740"/>
      <c r="EK320" s="421">
        <v>1604</v>
      </c>
      <c r="EL320" s="449">
        <v>36</v>
      </c>
      <c r="EM320" s="740"/>
      <c r="EN320" s="421">
        <v>1604</v>
      </c>
      <c r="EO320" s="449">
        <v>36</v>
      </c>
      <c r="EP320" s="740"/>
      <c r="EQ320" s="421">
        <v>1604</v>
      </c>
      <c r="ER320" s="449">
        <v>36</v>
      </c>
      <c r="ES320" s="740"/>
      <c r="ET320" s="421">
        <v>1604</v>
      </c>
      <c r="EU320" s="449">
        <v>36</v>
      </c>
      <c r="EV320" s="740"/>
      <c r="EW320" s="421">
        <v>1604</v>
      </c>
      <c r="EX320" s="449">
        <v>36</v>
      </c>
      <c r="EY320" s="740"/>
      <c r="EZ320" s="421">
        <v>1604</v>
      </c>
      <c r="FA320" s="449">
        <v>36</v>
      </c>
      <c r="FB320" s="740"/>
      <c r="FC320" s="421">
        <v>1604</v>
      </c>
      <c r="FD320" s="449">
        <v>36</v>
      </c>
      <c r="FE320" s="740"/>
      <c r="FF320" s="421">
        <v>1604</v>
      </c>
      <c r="FG320" s="449">
        <v>36</v>
      </c>
      <c r="FH320" s="740"/>
      <c r="FI320" s="421">
        <v>1604</v>
      </c>
      <c r="FJ320" s="449">
        <v>36</v>
      </c>
      <c r="FK320" s="740"/>
      <c r="FL320" s="421">
        <v>1604</v>
      </c>
      <c r="FM320" s="449">
        <v>36</v>
      </c>
      <c r="FN320" s="740"/>
      <c r="FO320" s="421">
        <v>1604</v>
      </c>
      <c r="FP320" s="449">
        <v>36</v>
      </c>
      <c r="FQ320" s="740"/>
      <c r="FR320" s="421">
        <v>1604</v>
      </c>
      <c r="FS320" s="449">
        <v>36</v>
      </c>
      <c r="FT320" s="740"/>
      <c r="FU320" s="421">
        <v>1604</v>
      </c>
      <c r="FV320" s="449">
        <v>36</v>
      </c>
      <c r="FW320" s="740"/>
      <c r="FX320" s="421">
        <v>1604</v>
      </c>
      <c r="FY320" s="449">
        <v>36</v>
      </c>
      <c r="FZ320" s="740"/>
      <c r="GA320" s="421">
        <v>1604</v>
      </c>
      <c r="GB320" s="449">
        <v>36</v>
      </c>
      <c r="GC320" s="740"/>
      <c r="GD320" s="421">
        <v>1604</v>
      </c>
      <c r="GE320" s="449">
        <v>36</v>
      </c>
      <c r="GF320" s="740"/>
      <c r="GG320" s="421">
        <v>1604</v>
      </c>
      <c r="GH320" s="449">
        <v>36</v>
      </c>
      <c r="GI320" s="740"/>
      <c r="GJ320" s="421">
        <v>1604</v>
      </c>
      <c r="GK320" s="449">
        <v>36</v>
      </c>
      <c r="GL320" s="740"/>
      <c r="GM320" s="421">
        <v>1604</v>
      </c>
      <c r="GN320" s="449">
        <v>36</v>
      </c>
      <c r="GO320" s="740"/>
      <c r="GP320" s="421">
        <v>1604</v>
      </c>
      <c r="GQ320" s="449">
        <v>36</v>
      </c>
      <c r="GR320" s="740"/>
      <c r="GS320" s="422">
        <v>2366.5573770491801</v>
      </c>
      <c r="GT320" s="530">
        <v>53.114754098360656</v>
      </c>
      <c r="GU320" s="741"/>
      <c r="GV320" s="587"/>
      <c r="GW320" s="587"/>
      <c r="GX320" s="587"/>
      <c r="GY320" s="587"/>
      <c r="GZ320" s="587"/>
      <c r="HA320" s="587"/>
      <c r="HB320" s="587"/>
      <c r="HC320" s="587"/>
      <c r="HD320" s="587"/>
      <c r="HE320" s="587"/>
      <c r="HF320" s="587"/>
      <c r="HG320" s="587"/>
      <c r="HH320" s="587"/>
      <c r="HI320" s="587"/>
      <c r="HJ320" s="587"/>
      <c r="HK320" s="587"/>
      <c r="HL320" s="587"/>
      <c r="HM320" s="587"/>
      <c r="HN320" s="587"/>
      <c r="HO320" s="587"/>
      <c r="HP320" s="587"/>
      <c r="HQ320" s="587"/>
      <c r="HR320" s="587"/>
      <c r="HS320" s="587"/>
      <c r="HT320" s="587"/>
      <c r="HU320" s="587"/>
      <c r="HV320" s="587"/>
      <c r="HW320" s="587"/>
      <c r="HX320" s="587"/>
      <c r="HY320" s="587"/>
      <c r="HZ320" s="587"/>
      <c r="IA320" s="587"/>
      <c r="IB320" s="587"/>
      <c r="IC320" s="587"/>
      <c r="ID320" s="587"/>
      <c r="IE320" s="587"/>
      <c r="IF320" s="587"/>
      <c r="IG320" s="587"/>
      <c r="IH320" s="588"/>
      <c r="II320" s="589"/>
      <c r="IJ320" s="588"/>
      <c r="IK320" s="589"/>
      <c r="IL320" s="588"/>
      <c r="IM320" s="589"/>
      <c r="IN320" s="588"/>
      <c r="IO320" s="589"/>
      <c r="IP320" s="588"/>
      <c r="IQ320" s="589"/>
      <c r="IR320" s="552" t="s">
        <v>3500</v>
      </c>
      <c r="IS320" s="587" t="s">
        <v>77</v>
      </c>
      <c r="IT320" s="611">
        <v>44091</v>
      </c>
      <c r="IU320" s="518">
        <v>44136</v>
      </c>
      <c r="IV320" s="552"/>
      <c r="IW320" s="526">
        <f t="shared" si="33"/>
        <v>45</v>
      </c>
      <c r="IX320" s="665">
        <f t="shared" si="36"/>
        <v>77.592045149153449</v>
      </c>
      <c r="IY320" s="665">
        <v>2366.5573770491801</v>
      </c>
    </row>
    <row r="321" spans="1:262" s="367" customFormat="1" ht="16.5" customHeight="1" x14ac:dyDescent="0.3">
      <c r="A321" s="526" t="s">
        <v>2758</v>
      </c>
      <c r="B321" s="682" t="s">
        <v>3840</v>
      </c>
      <c r="C321" s="661" t="s">
        <v>2203</v>
      </c>
      <c r="D321" s="662">
        <v>568</v>
      </c>
      <c r="E321" s="516">
        <v>42</v>
      </c>
      <c r="F321" s="516">
        <v>0</v>
      </c>
      <c r="G321" s="516">
        <v>5</v>
      </c>
      <c r="H321" s="663">
        <v>0</v>
      </c>
      <c r="I321" s="844">
        <v>610</v>
      </c>
      <c r="J321" s="845">
        <v>5</v>
      </c>
      <c r="K321" s="837"/>
      <c r="L321" s="606">
        <v>610</v>
      </c>
      <c r="M321" s="845">
        <v>5</v>
      </c>
      <c r="N321" s="837"/>
      <c r="O321" s="606">
        <v>610</v>
      </c>
      <c r="P321" s="606">
        <v>0</v>
      </c>
      <c r="Q321" s="837"/>
      <c r="R321" s="606">
        <v>610</v>
      </c>
      <c r="S321" s="606">
        <v>0</v>
      </c>
      <c r="T321" s="837"/>
      <c r="U321" s="606">
        <v>610</v>
      </c>
      <c r="V321" s="606">
        <v>0</v>
      </c>
      <c r="W321" s="837"/>
      <c r="X321" s="606">
        <v>610</v>
      </c>
      <c r="Y321" s="606">
        <v>0</v>
      </c>
      <c r="Z321" s="837"/>
      <c r="AA321" s="606">
        <v>610</v>
      </c>
      <c r="AB321" s="606">
        <v>0</v>
      </c>
      <c r="AC321" s="837"/>
      <c r="AD321" s="606">
        <v>610</v>
      </c>
      <c r="AE321" s="606">
        <v>0</v>
      </c>
      <c r="AF321" s="837"/>
      <c r="AG321" s="845">
        <f>((610-398)/30.5)*10+610</f>
        <v>679.50819672131149</v>
      </c>
      <c r="AH321" s="845">
        <f>((108-27)/30.5)*10+108</f>
        <v>134.55737704918033</v>
      </c>
      <c r="AI321" s="838"/>
      <c r="AJ321" s="845">
        <f>((398-302)/30.5)*12+398</f>
        <v>435.77049180327867</v>
      </c>
      <c r="AK321" s="845">
        <f>(27/30.5)*12+27</f>
        <v>37.622950819672127</v>
      </c>
      <c r="AL321" s="838">
        <v>36</v>
      </c>
      <c r="AM321" s="844">
        <v>302</v>
      </c>
      <c r="AN321" s="449"/>
      <c r="AO321" s="827">
        <v>36</v>
      </c>
      <c r="AP321" s="606">
        <v>302</v>
      </c>
      <c r="AQ321" s="449"/>
      <c r="AR321" s="827">
        <v>36</v>
      </c>
      <c r="AS321" s="909">
        <f>((320-254)/30.5)*31+302</f>
        <v>369.08196721311475</v>
      </c>
      <c r="AT321" s="449"/>
      <c r="AU321" s="827">
        <v>36</v>
      </c>
      <c r="AV321" s="597">
        <v>254</v>
      </c>
      <c r="AW321" s="449"/>
      <c r="AX321" s="827">
        <v>36</v>
      </c>
      <c r="AY321" s="597">
        <v>254</v>
      </c>
      <c r="AZ321" s="449"/>
      <c r="BA321" s="405">
        <v>36</v>
      </c>
      <c r="BB321" s="421">
        <v>254</v>
      </c>
      <c r="BC321" s="449"/>
      <c r="BD321" s="405">
        <v>36</v>
      </c>
      <c r="BE321" s="421">
        <v>254</v>
      </c>
      <c r="BF321" s="449"/>
      <c r="BG321" s="405">
        <v>36</v>
      </c>
      <c r="BH321" s="421">
        <v>254</v>
      </c>
      <c r="BI321" s="449"/>
      <c r="BJ321" s="449">
        <v>36</v>
      </c>
      <c r="BK321" s="421">
        <v>254</v>
      </c>
      <c r="BL321" s="449"/>
      <c r="BM321" s="449">
        <v>36</v>
      </c>
      <c r="BN321" s="421">
        <v>254</v>
      </c>
      <c r="BO321" s="449"/>
      <c r="BP321" s="449">
        <v>36</v>
      </c>
      <c r="BQ321" s="421">
        <v>254</v>
      </c>
      <c r="BR321" s="449"/>
      <c r="BS321" s="449">
        <v>36</v>
      </c>
      <c r="BT321" s="421">
        <v>254</v>
      </c>
      <c r="BU321" s="449"/>
      <c r="BV321" s="449">
        <v>36</v>
      </c>
      <c r="BW321" s="421">
        <v>254</v>
      </c>
      <c r="BX321" s="449"/>
      <c r="BY321" s="449">
        <v>36</v>
      </c>
      <c r="BZ321" s="421">
        <v>254</v>
      </c>
      <c r="CA321" s="449"/>
      <c r="CB321" s="449">
        <v>36</v>
      </c>
      <c r="CC321" s="421">
        <v>254</v>
      </c>
      <c r="CD321" s="449"/>
      <c r="CE321" s="449">
        <v>36</v>
      </c>
      <c r="CF321" s="421">
        <v>254</v>
      </c>
      <c r="CG321" s="449"/>
      <c r="CH321" s="449">
        <v>36</v>
      </c>
      <c r="CI321" s="421">
        <v>254</v>
      </c>
      <c r="CJ321" s="449"/>
      <c r="CK321" s="449">
        <v>36</v>
      </c>
      <c r="CL321" s="421">
        <v>254</v>
      </c>
      <c r="CM321" s="449"/>
      <c r="CN321" s="449">
        <v>36</v>
      </c>
      <c r="CO321" s="421">
        <v>254</v>
      </c>
      <c r="CP321" s="449"/>
      <c r="CQ321" s="449">
        <v>36</v>
      </c>
      <c r="CR321" s="421">
        <v>254</v>
      </c>
      <c r="CS321" s="449"/>
      <c r="CT321" s="449">
        <v>36</v>
      </c>
      <c r="CU321" s="421">
        <v>254</v>
      </c>
      <c r="CV321" s="449"/>
      <c r="CW321" s="449">
        <v>36</v>
      </c>
      <c r="CX321" s="421">
        <v>254</v>
      </c>
      <c r="CY321" s="449"/>
      <c r="CZ321" s="449">
        <v>36</v>
      </c>
      <c r="DA321" s="421">
        <v>254</v>
      </c>
      <c r="DB321" s="449"/>
      <c r="DC321" s="449">
        <v>36</v>
      </c>
      <c r="DD321" s="421">
        <v>254</v>
      </c>
      <c r="DE321" s="449"/>
      <c r="DF321" s="449">
        <v>36</v>
      </c>
      <c r="DG321" s="421">
        <v>254</v>
      </c>
      <c r="DH321" s="449"/>
      <c r="DI321" s="449">
        <v>36</v>
      </c>
      <c r="DJ321" s="421">
        <v>254</v>
      </c>
      <c r="DK321" s="449"/>
      <c r="DL321" s="449">
        <v>36</v>
      </c>
      <c r="DM321" s="421">
        <v>254</v>
      </c>
      <c r="DN321" s="449"/>
      <c r="DO321" s="449">
        <v>36</v>
      </c>
      <c r="DP321" s="421">
        <v>254</v>
      </c>
      <c r="DQ321" s="449"/>
      <c r="DR321" s="449">
        <v>36</v>
      </c>
      <c r="DS321" s="421">
        <v>254</v>
      </c>
      <c r="DT321" s="449"/>
      <c r="DU321" s="449">
        <v>36</v>
      </c>
      <c r="DV321" s="421">
        <v>254</v>
      </c>
      <c r="DW321" s="449"/>
      <c r="DX321" s="449">
        <v>36</v>
      </c>
      <c r="DY321" s="421">
        <v>254</v>
      </c>
      <c r="DZ321" s="449"/>
      <c r="EA321" s="449">
        <v>36</v>
      </c>
      <c r="EB321" s="421">
        <v>254</v>
      </c>
      <c r="EC321" s="449"/>
      <c r="ED321" s="449">
        <v>36</v>
      </c>
      <c r="EE321" s="421">
        <v>254</v>
      </c>
      <c r="EF321" s="449"/>
      <c r="EG321" s="449">
        <v>36</v>
      </c>
      <c r="EH321" s="421">
        <v>254</v>
      </c>
      <c r="EI321" s="449"/>
      <c r="EJ321" s="449">
        <v>36</v>
      </c>
      <c r="EK321" s="421">
        <v>254</v>
      </c>
      <c r="EL321" s="449"/>
      <c r="EM321" s="449">
        <v>36</v>
      </c>
      <c r="EN321" s="421">
        <v>254</v>
      </c>
      <c r="EO321" s="449"/>
      <c r="EP321" s="449">
        <v>36</v>
      </c>
      <c r="EQ321" s="421">
        <v>254</v>
      </c>
      <c r="ER321" s="449"/>
      <c r="ES321" s="449">
        <v>36</v>
      </c>
      <c r="ET321" s="421">
        <v>254</v>
      </c>
      <c r="EU321" s="449"/>
      <c r="EV321" s="449">
        <v>36</v>
      </c>
      <c r="EW321" s="421">
        <v>254</v>
      </c>
      <c r="EX321" s="449"/>
      <c r="EY321" s="449">
        <v>36</v>
      </c>
      <c r="EZ321" s="421">
        <v>254</v>
      </c>
      <c r="FA321" s="449"/>
      <c r="FB321" s="449">
        <v>36</v>
      </c>
      <c r="FC321" s="421">
        <v>254</v>
      </c>
      <c r="FD321" s="449"/>
      <c r="FE321" s="449">
        <v>36</v>
      </c>
      <c r="FF321" s="421">
        <v>254</v>
      </c>
      <c r="FG321" s="449"/>
      <c r="FH321" s="449">
        <v>36</v>
      </c>
      <c r="FI321" s="421">
        <v>254</v>
      </c>
      <c r="FJ321" s="449"/>
      <c r="FK321" s="449">
        <v>36</v>
      </c>
      <c r="FL321" s="421">
        <v>254</v>
      </c>
      <c r="FM321" s="449"/>
      <c r="FN321" s="449">
        <v>36</v>
      </c>
      <c r="FO321" s="421">
        <v>254</v>
      </c>
      <c r="FP321" s="449"/>
      <c r="FQ321" s="449">
        <v>36</v>
      </c>
      <c r="FR321" s="421">
        <v>254</v>
      </c>
      <c r="FS321" s="449"/>
      <c r="FT321" s="449">
        <v>36</v>
      </c>
      <c r="FU321" s="421">
        <v>254</v>
      </c>
      <c r="FV321" s="449"/>
      <c r="FW321" s="449">
        <v>36</v>
      </c>
      <c r="FX321" s="421">
        <v>254</v>
      </c>
      <c r="FY321" s="449"/>
      <c r="FZ321" s="449">
        <v>36</v>
      </c>
      <c r="GA321" s="421">
        <v>254</v>
      </c>
      <c r="GB321" s="449"/>
      <c r="GC321" s="449">
        <v>36</v>
      </c>
      <c r="GD321" s="421">
        <v>254</v>
      </c>
      <c r="GE321" s="449"/>
      <c r="GF321" s="449">
        <v>36</v>
      </c>
      <c r="GG321" s="421">
        <v>254</v>
      </c>
      <c r="GH321" s="449"/>
      <c r="GI321" s="449">
        <v>36</v>
      </c>
      <c r="GJ321" s="421">
        <v>254</v>
      </c>
      <c r="GK321" s="449"/>
      <c r="GL321" s="449">
        <v>36</v>
      </c>
      <c r="GM321" s="421">
        <v>254</v>
      </c>
      <c r="GN321" s="449"/>
      <c r="GO321" s="449">
        <v>36</v>
      </c>
      <c r="GP321" s="421">
        <v>254</v>
      </c>
      <c r="GQ321" s="449"/>
      <c r="GR321" s="449">
        <v>36</v>
      </c>
      <c r="GS321" s="422">
        <v>325</v>
      </c>
      <c r="GT321" s="530"/>
      <c r="GU321" s="530">
        <v>46</v>
      </c>
      <c r="GV321" s="587"/>
      <c r="GW321" s="587"/>
      <c r="GX321" s="587"/>
      <c r="GY321" s="587"/>
      <c r="GZ321" s="587"/>
      <c r="HA321" s="587"/>
      <c r="HB321" s="587"/>
      <c r="HC321" s="587"/>
      <c r="HD321" s="587"/>
      <c r="HE321" s="587"/>
      <c r="HF321" s="587"/>
      <c r="HG321" s="587"/>
      <c r="HH321" s="587"/>
      <c r="HI321" s="587"/>
      <c r="HJ321" s="587"/>
      <c r="HK321" s="587"/>
      <c r="HL321" s="587"/>
      <c r="HM321" s="587"/>
      <c r="HN321" s="587"/>
      <c r="HO321" s="587"/>
      <c r="HP321" s="587"/>
      <c r="HQ321" s="587"/>
      <c r="HR321" s="587"/>
      <c r="HS321" s="587"/>
      <c r="HT321" s="587"/>
      <c r="HU321" s="587"/>
      <c r="HV321" s="587"/>
      <c r="HW321" s="587"/>
      <c r="HX321" s="587"/>
      <c r="HY321" s="587"/>
      <c r="HZ321" s="587"/>
      <c r="IA321" s="587"/>
      <c r="IB321" s="587"/>
      <c r="IC321" s="587"/>
      <c r="ID321" s="587"/>
      <c r="IE321" s="587"/>
      <c r="IF321" s="587"/>
      <c r="IG321" s="587"/>
      <c r="IH321" s="588"/>
      <c r="II321" s="589"/>
      <c r="IJ321" s="588"/>
      <c r="IK321" s="589"/>
      <c r="IL321" s="588"/>
      <c r="IM321" s="589"/>
      <c r="IN321" s="588"/>
      <c r="IO321" s="589"/>
      <c r="IP321" s="588"/>
      <c r="IQ321" s="589"/>
      <c r="IR321" s="601" t="s">
        <v>3501</v>
      </c>
      <c r="IS321" s="587" t="s">
        <v>77</v>
      </c>
      <c r="IT321" s="611">
        <v>44097</v>
      </c>
      <c r="IU321" s="518">
        <v>44136</v>
      </c>
      <c r="IV321" s="552"/>
      <c r="IW321" s="526">
        <f t="shared" si="33"/>
        <v>39</v>
      </c>
      <c r="IX321" s="665">
        <f>254/30.5</f>
        <v>8.3278688524590159</v>
      </c>
      <c r="IY321" s="665">
        <f>IX321*IW321</f>
        <v>324.7868852459016</v>
      </c>
      <c r="JA321" s="367">
        <f>290/30.5</f>
        <v>9.5081967213114762</v>
      </c>
      <c r="JB321" s="367">
        <f>IW321*JA321</f>
        <v>370.81967213114757</v>
      </c>
    </row>
    <row r="322" spans="1:262" s="367" customFormat="1" ht="16.5" customHeight="1" x14ac:dyDescent="0.3">
      <c r="A322" s="526" t="s">
        <v>2735</v>
      </c>
      <c r="B322" s="682" t="s">
        <v>2940</v>
      </c>
      <c r="C322" s="661" t="s">
        <v>512</v>
      </c>
      <c r="D322" s="662">
        <v>2623</v>
      </c>
      <c r="E322" s="516">
        <v>60</v>
      </c>
      <c r="F322" s="516">
        <v>48</v>
      </c>
      <c r="G322" s="516">
        <v>14</v>
      </c>
      <c r="H322" s="663">
        <v>0</v>
      </c>
      <c r="I322" s="918">
        <v>2731</v>
      </c>
      <c r="J322" s="681">
        <v>14</v>
      </c>
      <c r="K322" s="827"/>
      <c r="L322" s="711">
        <v>2731</v>
      </c>
      <c r="M322" s="681">
        <v>14</v>
      </c>
      <c r="N322" s="827"/>
      <c r="O322" s="711">
        <v>2731</v>
      </c>
      <c r="P322" s="681">
        <v>14</v>
      </c>
      <c r="Q322" s="827"/>
      <c r="R322" s="711">
        <v>2731</v>
      </c>
      <c r="S322" s="681">
        <v>14</v>
      </c>
      <c r="T322" s="827"/>
      <c r="U322" s="711">
        <v>2731</v>
      </c>
      <c r="V322" s="681">
        <v>14</v>
      </c>
      <c r="W322" s="827"/>
      <c r="X322" s="711">
        <v>2731</v>
      </c>
      <c r="Y322" s="681">
        <v>14</v>
      </c>
      <c r="Z322" s="827"/>
      <c r="AA322" s="711">
        <v>2731</v>
      </c>
      <c r="AB322" s="681">
        <v>14</v>
      </c>
      <c r="AC322" s="827"/>
      <c r="AD322" s="711">
        <v>2731</v>
      </c>
      <c r="AE322" s="681">
        <v>14</v>
      </c>
      <c r="AF322" s="827"/>
      <c r="AG322" s="711">
        <v>2731</v>
      </c>
      <c r="AH322" s="681">
        <v>14</v>
      </c>
      <c r="AI322" s="827"/>
      <c r="AJ322" s="711">
        <v>2731</v>
      </c>
      <c r="AK322" s="681">
        <v>14</v>
      </c>
      <c r="AL322" s="827"/>
      <c r="AM322" s="606">
        <v>2731</v>
      </c>
      <c r="AN322" s="516">
        <v>14</v>
      </c>
      <c r="AO322" s="827"/>
      <c r="AP322" s="845">
        <f>((2731-2064)/30.5)*8+2731</f>
        <v>2905.9508196721313</v>
      </c>
      <c r="AQ322" s="753">
        <f>((14-5)/30.5)*8+14</f>
        <v>16.360655737704917</v>
      </c>
      <c r="AR322" s="827"/>
      <c r="AS322" s="597">
        <v>2064</v>
      </c>
      <c r="AT322" s="694">
        <v>5</v>
      </c>
      <c r="AU322" s="827"/>
      <c r="AV322" s="597">
        <v>2064</v>
      </c>
      <c r="AW322" s="694">
        <v>5</v>
      </c>
      <c r="AX322" s="827"/>
      <c r="AY322" s="597">
        <v>2064</v>
      </c>
      <c r="AZ322" s="694">
        <v>5</v>
      </c>
      <c r="BA322" s="405"/>
      <c r="BB322" s="647">
        <v>2064</v>
      </c>
      <c r="BC322" s="694">
        <v>5</v>
      </c>
      <c r="BD322" s="405"/>
      <c r="BE322" s="647">
        <v>2064</v>
      </c>
      <c r="BF322" s="694">
        <v>5</v>
      </c>
      <c r="BG322" s="405"/>
      <c r="BH322" s="647">
        <v>2064</v>
      </c>
      <c r="BI322" s="694">
        <v>5</v>
      </c>
      <c r="BJ322" s="720"/>
      <c r="BK322" s="647">
        <v>2064</v>
      </c>
      <c r="BL322" s="694">
        <v>5</v>
      </c>
      <c r="BM322" s="720"/>
      <c r="BN322" s="647">
        <v>2064</v>
      </c>
      <c r="BO322" s="694">
        <v>5</v>
      </c>
      <c r="BP322" s="720"/>
      <c r="BQ322" s="647">
        <v>2064</v>
      </c>
      <c r="BR322" s="694">
        <v>5</v>
      </c>
      <c r="BS322" s="720"/>
      <c r="BT322" s="647">
        <v>2064</v>
      </c>
      <c r="BU322" s="694">
        <v>5</v>
      </c>
      <c r="BV322" s="720"/>
      <c r="BW322" s="647">
        <v>2064</v>
      </c>
      <c r="BX322" s="694">
        <v>5</v>
      </c>
      <c r="BY322" s="720"/>
      <c r="BZ322" s="647">
        <v>2064</v>
      </c>
      <c r="CA322" s="694">
        <v>5</v>
      </c>
      <c r="CB322" s="720"/>
      <c r="CC322" s="647">
        <v>2064</v>
      </c>
      <c r="CD322" s="694">
        <v>5</v>
      </c>
      <c r="CE322" s="720"/>
      <c r="CF322" s="647">
        <v>2064</v>
      </c>
      <c r="CG322" s="694">
        <v>5</v>
      </c>
      <c r="CH322" s="720"/>
      <c r="CI322" s="647">
        <v>2064</v>
      </c>
      <c r="CJ322" s="694">
        <v>5</v>
      </c>
      <c r="CK322" s="720"/>
      <c r="CL322" s="647">
        <v>2064</v>
      </c>
      <c r="CM322" s="694">
        <v>5</v>
      </c>
      <c r="CN322" s="720"/>
      <c r="CO322" s="647">
        <v>2064</v>
      </c>
      <c r="CP322" s="694">
        <v>5</v>
      </c>
      <c r="CQ322" s="720"/>
      <c r="CR322" s="647">
        <v>2064</v>
      </c>
      <c r="CS322" s="694">
        <v>5</v>
      </c>
      <c r="CT322" s="720"/>
      <c r="CU322" s="647">
        <v>2064</v>
      </c>
      <c r="CV322" s="694">
        <v>5</v>
      </c>
      <c r="CW322" s="720"/>
      <c r="CX322" s="647">
        <v>2064</v>
      </c>
      <c r="CY322" s="694">
        <v>5</v>
      </c>
      <c r="CZ322" s="720"/>
      <c r="DA322" s="647">
        <v>2064</v>
      </c>
      <c r="DB322" s="694">
        <v>5</v>
      </c>
      <c r="DC322" s="720"/>
      <c r="DD322" s="647">
        <v>2064</v>
      </c>
      <c r="DE322" s="694">
        <v>5</v>
      </c>
      <c r="DF322" s="720"/>
      <c r="DG322" s="647">
        <v>2064</v>
      </c>
      <c r="DH322" s="694">
        <v>5</v>
      </c>
      <c r="DI322" s="720"/>
      <c r="DJ322" s="647">
        <v>2064</v>
      </c>
      <c r="DK322" s="694">
        <v>5</v>
      </c>
      <c r="DL322" s="720"/>
      <c r="DM322" s="647">
        <v>2064</v>
      </c>
      <c r="DN322" s="694">
        <v>5</v>
      </c>
      <c r="DO322" s="720"/>
      <c r="DP322" s="647">
        <v>2064</v>
      </c>
      <c r="DQ322" s="694">
        <v>5</v>
      </c>
      <c r="DR322" s="720"/>
      <c r="DS322" s="647">
        <v>2064</v>
      </c>
      <c r="DT322" s="694">
        <v>5</v>
      </c>
      <c r="DU322" s="720"/>
      <c r="DV322" s="647">
        <v>2064</v>
      </c>
      <c r="DW322" s="694">
        <v>5</v>
      </c>
      <c r="DX322" s="720"/>
      <c r="DY322" s="647">
        <v>2064</v>
      </c>
      <c r="DZ322" s="694">
        <v>5</v>
      </c>
      <c r="EA322" s="720"/>
      <c r="EB322" s="647">
        <v>2064</v>
      </c>
      <c r="EC322" s="694">
        <v>5</v>
      </c>
      <c r="ED322" s="720"/>
      <c r="EE322" s="647">
        <v>2064</v>
      </c>
      <c r="EF322" s="694">
        <v>5</v>
      </c>
      <c r="EG322" s="720"/>
      <c r="EH322" s="647">
        <v>2064</v>
      </c>
      <c r="EI322" s="694">
        <v>5</v>
      </c>
      <c r="EJ322" s="720"/>
      <c r="EK322" s="647">
        <v>2064</v>
      </c>
      <c r="EL322" s="694">
        <v>5</v>
      </c>
      <c r="EM322" s="720"/>
      <c r="EN322" s="647">
        <v>2064</v>
      </c>
      <c r="EO322" s="694">
        <v>5</v>
      </c>
      <c r="EP322" s="720"/>
      <c r="EQ322" s="647">
        <v>2064</v>
      </c>
      <c r="ER322" s="694">
        <v>5</v>
      </c>
      <c r="ES322" s="720"/>
      <c r="ET322" s="647">
        <v>2064</v>
      </c>
      <c r="EU322" s="694">
        <v>5</v>
      </c>
      <c r="EV322" s="720"/>
      <c r="EW322" s="647">
        <v>2064</v>
      </c>
      <c r="EX322" s="694">
        <v>5</v>
      </c>
      <c r="EY322" s="720"/>
      <c r="EZ322" s="647">
        <v>2064</v>
      </c>
      <c r="FA322" s="694">
        <v>5</v>
      </c>
      <c r="FB322" s="720"/>
      <c r="FC322" s="647">
        <v>2064</v>
      </c>
      <c r="FD322" s="694">
        <v>5</v>
      </c>
      <c r="FE322" s="720"/>
      <c r="FF322" s="647">
        <v>2064</v>
      </c>
      <c r="FG322" s="694">
        <v>5</v>
      </c>
      <c r="FH322" s="720"/>
      <c r="FI322" s="647">
        <v>2064</v>
      </c>
      <c r="FJ322" s="694">
        <v>5</v>
      </c>
      <c r="FK322" s="720"/>
      <c r="FL322" s="647">
        <v>2064</v>
      </c>
      <c r="FM322" s="694">
        <v>5</v>
      </c>
      <c r="FN322" s="720"/>
      <c r="FO322" s="647">
        <v>2064</v>
      </c>
      <c r="FP322" s="694">
        <v>5</v>
      </c>
      <c r="FQ322" s="720"/>
      <c r="FR322" s="647">
        <v>2064</v>
      </c>
      <c r="FS322" s="694">
        <v>5</v>
      </c>
      <c r="FT322" s="720"/>
      <c r="FU322" s="647">
        <v>2064</v>
      </c>
      <c r="FV322" s="694">
        <v>5</v>
      </c>
      <c r="FW322" s="720"/>
      <c r="FX322" s="647">
        <v>2064</v>
      </c>
      <c r="FY322" s="694">
        <v>5</v>
      </c>
      <c r="FZ322" s="720"/>
      <c r="GA322" s="647">
        <v>2064</v>
      </c>
      <c r="GB322" s="694">
        <v>5</v>
      </c>
      <c r="GC322" s="720"/>
      <c r="GD322" s="647">
        <v>2064</v>
      </c>
      <c r="GE322" s="694">
        <v>5</v>
      </c>
      <c r="GF322" s="720"/>
      <c r="GG322" s="647">
        <v>2064</v>
      </c>
      <c r="GH322" s="694">
        <v>5</v>
      </c>
      <c r="GI322" s="720"/>
      <c r="GJ322" s="647">
        <v>2064</v>
      </c>
      <c r="GK322" s="694">
        <v>5</v>
      </c>
      <c r="GL322" s="720"/>
      <c r="GM322" s="647">
        <v>2064</v>
      </c>
      <c r="GN322" s="694">
        <v>5</v>
      </c>
      <c r="GO322" s="720"/>
      <c r="GP322" s="648">
        <v>2368.5245901639341</v>
      </c>
      <c r="GQ322" s="753">
        <v>5.7377049180327866</v>
      </c>
      <c r="GR322" s="722"/>
      <c r="GS322" s="732"/>
      <c r="GT322" s="617"/>
      <c r="GU322" s="587"/>
      <c r="GV322" s="587"/>
      <c r="GW322" s="587"/>
      <c r="GX322" s="587"/>
      <c r="GY322" s="587"/>
      <c r="GZ322" s="587"/>
      <c r="HA322" s="587"/>
      <c r="HB322" s="587"/>
      <c r="HC322" s="587"/>
      <c r="HD322" s="587"/>
      <c r="HE322" s="587"/>
      <c r="HF322" s="587"/>
      <c r="HG322" s="587"/>
      <c r="HH322" s="587"/>
      <c r="HI322" s="587"/>
      <c r="HJ322" s="587"/>
      <c r="HK322" s="587"/>
      <c r="HL322" s="587"/>
      <c r="HM322" s="587"/>
      <c r="HN322" s="587"/>
      <c r="HO322" s="587"/>
      <c r="HP322" s="587"/>
      <c r="HQ322" s="587"/>
      <c r="HR322" s="587"/>
      <c r="HS322" s="587"/>
      <c r="HT322" s="587"/>
      <c r="HU322" s="587"/>
      <c r="HV322" s="587"/>
      <c r="HW322" s="587"/>
      <c r="HX322" s="587"/>
      <c r="HY322" s="587"/>
      <c r="HZ322" s="587"/>
      <c r="IA322" s="587"/>
      <c r="IB322" s="587"/>
      <c r="IC322" s="587"/>
      <c r="ID322" s="587"/>
      <c r="IE322" s="587"/>
      <c r="IF322" s="587"/>
      <c r="IG322" s="587"/>
      <c r="IH322" s="588"/>
      <c r="II322" s="589"/>
      <c r="IJ322" s="588"/>
      <c r="IK322" s="589"/>
      <c r="IL322" s="588"/>
      <c r="IM322" s="589"/>
      <c r="IN322" s="588"/>
      <c r="IO322" s="589"/>
      <c r="IP322" s="588"/>
      <c r="IQ322" s="589"/>
      <c r="IR322" s="400" t="s">
        <v>2939</v>
      </c>
      <c r="IS322" s="587" t="s">
        <v>77</v>
      </c>
      <c r="IT322" s="611">
        <v>44131</v>
      </c>
      <c r="IU322" s="518">
        <v>44166</v>
      </c>
      <c r="IV322" s="552"/>
      <c r="IW322" s="526">
        <f t="shared" si="33"/>
        <v>35</v>
      </c>
      <c r="IX322" s="621">
        <f t="shared" ref="IX322:IX327" si="37">GP322/30.5</f>
        <v>77.656543939801125</v>
      </c>
      <c r="IY322" s="621">
        <v>2368.5245901639341</v>
      </c>
    </row>
    <row r="323" spans="1:262" s="367" customFormat="1" ht="16.5" customHeight="1" x14ac:dyDescent="0.3">
      <c r="A323" s="526" t="s">
        <v>2758</v>
      </c>
      <c r="B323" s="470" t="s">
        <v>2791</v>
      </c>
      <c r="C323" s="661" t="s">
        <v>2528</v>
      </c>
      <c r="D323" s="662">
        <v>3152</v>
      </c>
      <c r="E323" s="516">
        <v>84</v>
      </c>
      <c r="F323" s="516">
        <v>0</v>
      </c>
      <c r="G323" s="516">
        <v>36</v>
      </c>
      <c r="H323" s="663">
        <v>0</v>
      </c>
      <c r="I323" s="844">
        <v>3236</v>
      </c>
      <c r="J323" s="606">
        <v>36</v>
      </c>
      <c r="K323" s="827"/>
      <c r="L323" s="606">
        <v>3236</v>
      </c>
      <c r="M323" s="606">
        <v>36</v>
      </c>
      <c r="N323" s="827"/>
      <c r="O323" s="606">
        <v>3236</v>
      </c>
      <c r="P323" s="606">
        <v>36</v>
      </c>
      <c r="Q323" s="827"/>
      <c r="R323" s="606">
        <v>3236</v>
      </c>
      <c r="S323" s="606">
        <v>36</v>
      </c>
      <c r="T323" s="827"/>
      <c r="U323" s="606">
        <v>3236</v>
      </c>
      <c r="V323" s="606">
        <v>36</v>
      </c>
      <c r="W323" s="827"/>
      <c r="X323" s="845">
        <f>((3236-2468)/30.5*9)+3236</f>
        <v>3462.622950819672</v>
      </c>
      <c r="Y323" s="845">
        <f>((36-5)/30.5*9)+36</f>
        <v>45.147540983606561</v>
      </c>
      <c r="Z323" s="827"/>
      <c r="AA323" s="597">
        <v>2468</v>
      </c>
      <c r="AB323" s="597">
        <v>5</v>
      </c>
      <c r="AC323" s="827"/>
      <c r="AD323" s="597">
        <v>2468</v>
      </c>
      <c r="AE323" s="597">
        <v>5</v>
      </c>
      <c r="AF323" s="827"/>
      <c r="AG323" s="597">
        <v>2468</v>
      </c>
      <c r="AH323" s="597">
        <v>5</v>
      </c>
      <c r="AI323" s="827"/>
      <c r="AJ323" s="597">
        <v>2468</v>
      </c>
      <c r="AK323" s="597">
        <v>5</v>
      </c>
      <c r="AL323" s="827"/>
      <c r="AM323" s="597">
        <v>2468</v>
      </c>
      <c r="AN323" s="597">
        <v>5</v>
      </c>
      <c r="AO323" s="827"/>
      <c r="AP323" s="597">
        <v>2468</v>
      </c>
      <c r="AQ323" s="597">
        <v>5</v>
      </c>
      <c r="AR323" s="827"/>
      <c r="AS323" s="597">
        <v>2468</v>
      </c>
      <c r="AT323" s="597">
        <v>5</v>
      </c>
      <c r="AU323" s="827"/>
      <c r="AV323" s="597">
        <v>2468</v>
      </c>
      <c r="AW323" s="597">
        <v>5</v>
      </c>
      <c r="AX323" s="827"/>
      <c r="AY323" s="597">
        <v>2468</v>
      </c>
      <c r="AZ323" s="597">
        <v>5</v>
      </c>
      <c r="BA323" s="405"/>
      <c r="BB323" s="647">
        <v>2468</v>
      </c>
      <c r="BC323" s="647">
        <v>5</v>
      </c>
      <c r="BD323" s="405"/>
      <c r="BE323" s="647">
        <v>2468</v>
      </c>
      <c r="BF323" s="647">
        <v>5</v>
      </c>
      <c r="BG323" s="405"/>
      <c r="BH323" s="647">
        <v>2468</v>
      </c>
      <c r="BI323" s="647">
        <v>5</v>
      </c>
      <c r="BJ323" s="690"/>
      <c r="BK323" s="647">
        <v>2468</v>
      </c>
      <c r="BL323" s="647">
        <v>5</v>
      </c>
      <c r="BM323" s="690"/>
      <c r="BN323" s="647">
        <v>2468</v>
      </c>
      <c r="BO323" s="647">
        <v>5</v>
      </c>
      <c r="BP323" s="690"/>
      <c r="BQ323" s="647">
        <v>2468</v>
      </c>
      <c r="BR323" s="647">
        <v>5</v>
      </c>
      <c r="BS323" s="690"/>
      <c r="BT323" s="647">
        <v>2468</v>
      </c>
      <c r="BU323" s="647">
        <v>5</v>
      </c>
      <c r="BV323" s="690"/>
      <c r="BW323" s="647">
        <v>2468</v>
      </c>
      <c r="BX323" s="647">
        <v>5</v>
      </c>
      <c r="BY323" s="690"/>
      <c r="BZ323" s="647">
        <v>2468</v>
      </c>
      <c r="CA323" s="647">
        <v>5</v>
      </c>
      <c r="CB323" s="690"/>
      <c r="CC323" s="647">
        <v>2468</v>
      </c>
      <c r="CD323" s="647">
        <v>5</v>
      </c>
      <c r="CE323" s="690"/>
      <c r="CF323" s="647">
        <v>2468</v>
      </c>
      <c r="CG323" s="647">
        <v>5</v>
      </c>
      <c r="CH323" s="690"/>
      <c r="CI323" s="647">
        <v>2468</v>
      </c>
      <c r="CJ323" s="647">
        <v>5</v>
      </c>
      <c r="CK323" s="690"/>
      <c r="CL323" s="647">
        <v>2468</v>
      </c>
      <c r="CM323" s="647">
        <v>5</v>
      </c>
      <c r="CN323" s="690"/>
      <c r="CO323" s="647">
        <v>2468</v>
      </c>
      <c r="CP323" s="647">
        <v>5</v>
      </c>
      <c r="CQ323" s="690"/>
      <c r="CR323" s="647">
        <v>2468</v>
      </c>
      <c r="CS323" s="647">
        <v>5</v>
      </c>
      <c r="CT323" s="690"/>
      <c r="CU323" s="647">
        <v>2468</v>
      </c>
      <c r="CV323" s="647">
        <v>5</v>
      </c>
      <c r="CW323" s="690"/>
      <c r="CX323" s="647">
        <v>2468</v>
      </c>
      <c r="CY323" s="647">
        <v>5</v>
      </c>
      <c r="CZ323" s="690"/>
      <c r="DA323" s="647">
        <v>2468</v>
      </c>
      <c r="DB323" s="647">
        <v>5</v>
      </c>
      <c r="DC323" s="690"/>
      <c r="DD323" s="647">
        <v>2468</v>
      </c>
      <c r="DE323" s="647">
        <v>5</v>
      </c>
      <c r="DF323" s="690"/>
      <c r="DG323" s="647">
        <v>2468</v>
      </c>
      <c r="DH323" s="647">
        <v>5</v>
      </c>
      <c r="DI323" s="690"/>
      <c r="DJ323" s="647">
        <v>2468</v>
      </c>
      <c r="DK323" s="647">
        <v>5</v>
      </c>
      <c r="DL323" s="690"/>
      <c r="DM323" s="647">
        <v>2468</v>
      </c>
      <c r="DN323" s="647">
        <v>5</v>
      </c>
      <c r="DO323" s="690"/>
      <c r="DP323" s="647">
        <v>2468</v>
      </c>
      <c r="DQ323" s="647">
        <v>5</v>
      </c>
      <c r="DR323" s="690"/>
      <c r="DS323" s="647">
        <v>2468</v>
      </c>
      <c r="DT323" s="647">
        <v>5</v>
      </c>
      <c r="DU323" s="690"/>
      <c r="DV323" s="648">
        <f>((2468-2072)/30.5)*21+(2468-2072)*7+2468</f>
        <v>5512.6557377049176</v>
      </c>
      <c r="DW323" s="648">
        <f>(5/30.5)*21+(5*7)+5</f>
        <v>43.442622950819668</v>
      </c>
      <c r="DX323" s="691"/>
      <c r="DY323" s="647">
        <v>2072</v>
      </c>
      <c r="DZ323" s="655"/>
      <c r="EA323" s="690"/>
      <c r="EB323" s="647">
        <v>2072</v>
      </c>
      <c r="EC323" s="655"/>
      <c r="ED323" s="690"/>
      <c r="EE323" s="647">
        <v>2072</v>
      </c>
      <c r="EF323" s="655"/>
      <c r="EG323" s="690"/>
      <c r="EH323" s="647">
        <v>2072</v>
      </c>
      <c r="EI323" s="655"/>
      <c r="EJ323" s="690"/>
      <c r="EK323" s="647">
        <v>2072</v>
      </c>
      <c r="EL323" s="655"/>
      <c r="EM323" s="690"/>
      <c r="EN323" s="647">
        <v>2072</v>
      </c>
      <c r="EO323" s="655"/>
      <c r="EP323" s="690"/>
      <c r="EQ323" s="647">
        <v>2072</v>
      </c>
      <c r="ER323" s="655"/>
      <c r="ES323" s="690"/>
      <c r="ET323" s="647">
        <v>2072</v>
      </c>
      <c r="EU323" s="655"/>
      <c r="EV323" s="690"/>
      <c r="EW323" s="647">
        <v>2072</v>
      </c>
      <c r="EX323" s="655"/>
      <c r="EY323" s="690"/>
      <c r="EZ323" s="647">
        <v>2072</v>
      </c>
      <c r="FA323" s="655"/>
      <c r="FB323" s="690"/>
      <c r="FC323" s="647">
        <v>2072</v>
      </c>
      <c r="FD323" s="655"/>
      <c r="FE323" s="690"/>
      <c r="FF323" s="647">
        <v>2072</v>
      </c>
      <c r="FG323" s="655"/>
      <c r="FH323" s="690"/>
      <c r="FI323" s="647">
        <v>2072</v>
      </c>
      <c r="FJ323" s="655"/>
      <c r="FK323" s="690"/>
      <c r="FL323" s="647">
        <v>2072</v>
      </c>
      <c r="FM323" s="655"/>
      <c r="FN323" s="690"/>
      <c r="FO323" s="647">
        <v>2072</v>
      </c>
      <c r="FP323" s="655"/>
      <c r="FQ323" s="690"/>
      <c r="FR323" s="647">
        <v>2072</v>
      </c>
      <c r="FS323" s="655"/>
      <c r="FT323" s="690"/>
      <c r="FU323" s="647">
        <v>2072</v>
      </c>
      <c r="FV323" s="655"/>
      <c r="FW323" s="690"/>
      <c r="FX323" s="647">
        <v>2072</v>
      </c>
      <c r="FY323" s="655"/>
      <c r="FZ323" s="690"/>
      <c r="GA323" s="647">
        <v>2072</v>
      </c>
      <c r="GB323" s="655"/>
      <c r="GC323" s="690"/>
      <c r="GD323" s="647">
        <v>2072</v>
      </c>
      <c r="GE323" s="655"/>
      <c r="GF323" s="690"/>
      <c r="GG323" s="647">
        <v>2072</v>
      </c>
      <c r="GH323" s="655"/>
      <c r="GI323" s="690"/>
      <c r="GJ323" s="647">
        <v>2072</v>
      </c>
      <c r="GK323" s="655"/>
      <c r="GL323" s="690"/>
      <c r="GM323" s="647">
        <v>2072</v>
      </c>
      <c r="GN323" s="655"/>
      <c r="GO323" s="690"/>
      <c r="GP323" s="648">
        <v>2649.4426229508194</v>
      </c>
      <c r="GQ323" s="517"/>
      <c r="GR323" s="691"/>
      <c r="GS323" s="602"/>
      <c r="GT323" s="587"/>
      <c r="GU323" s="587"/>
      <c r="GV323" s="587"/>
      <c r="GW323" s="587"/>
      <c r="GX323" s="587"/>
      <c r="GY323" s="587"/>
      <c r="GZ323" s="587"/>
      <c r="HA323" s="587"/>
      <c r="HB323" s="587"/>
      <c r="HC323" s="587"/>
      <c r="HD323" s="587"/>
      <c r="HE323" s="587"/>
      <c r="HF323" s="587"/>
      <c r="HG323" s="587"/>
      <c r="HH323" s="587"/>
      <c r="HI323" s="587"/>
      <c r="HJ323" s="587"/>
      <c r="HK323" s="587"/>
      <c r="HL323" s="587"/>
      <c r="HM323" s="587"/>
      <c r="HN323" s="587"/>
      <c r="HO323" s="587"/>
      <c r="HP323" s="587"/>
      <c r="HQ323" s="587"/>
      <c r="HR323" s="587"/>
      <c r="HS323" s="587"/>
      <c r="HT323" s="587"/>
      <c r="HU323" s="587"/>
      <c r="HV323" s="587"/>
      <c r="HW323" s="587"/>
      <c r="HX323" s="587"/>
      <c r="HY323" s="587"/>
      <c r="HZ323" s="587"/>
      <c r="IA323" s="587"/>
      <c r="IB323" s="587"/>
      <c r="IC323" s="587"/>
      <c r="ID323" s="587"/>
      <c r="IE323" s="587"/>
      <c r="IF323" s="587"/>
      <c r="IG323" s="587"/>
      <c r="IH323" s="588"/>
      <c r="II323" s="589"/>
      <c r="IJ323" s="588"/>
      <c r="IK323" s="589"/>
      <c r="IL323" s="588"/>
      <c r="IM323" s="589"/>
      <c r="IN323" s="588"/>
      <c r="IO323" s="589"/>
      <c r="IP323" s="588"/>
      <c r="IQ323" s="589"/>
      <c r="IR323" s="400" t="s">
        <v>3092</v>
      </c>
      <c r="IS323" s="587" t="s">
        <v>77</v>
      </c>
      <c r="IT323" s="611">
        <v>44127</v>
      </c>
      <c r="IU323" s="518">
        <v>44166</v>
      </c>
      <c r="IV323" s="518">
        <v>44631</v>
      </c>
      <c r="IW323" s="526">
        <f t="shared" si="33"/>
        <v>39</v>
      </c>
      <c r="IX323" s="621">
        <f t="shared" si="37"/>
        <v>86.866971244289161</v>
      </c>
      <c r="IY323" s="621">
        <v>2649.4426229508194</v>
      </c>
    </row>
    <row r="324" spans="1:262" s="367" customFormat="1" ht="16.5" customHeight="1" x14ac:dyDescent="0.3">
      <c r="A324" s="401" t="s">
        <v>3315</v>
      </c>
      <c r="B324" s="402" t="s">
        <v>3315</v>
      </c>
      <c r="C324" s="471" t="s">
        <v>3502</v>
      </c>
      <c r="D324" s="863"/>
      <c r="E324" s="864"/>
      <c r="F324" s="864"/>
      <c r="G324" s="864"/>
      <c r="H324" s="865"/>
      <c r="I324" s="853">
        <v>0</v>
      </c>
      <c r="J324" s="833">
        <v>0</v>
      </c>
      <c r="K324" s="833">
        <v>0</v>
      </c>
      <c r="L324" s="833">
        <v>0</v>
      </c>
      <c r="M324" s="833">
        <v>0</v>
      </c>
      <c r="N324" s="833">
        <v>0</v>
      </c>
      <c r="O324" s="833">
        <v>0</v>
      </c>
      <c r="P324" s="833">
        <v>0</v>
      </c>
      <c r="Q324" s="833">
        <v>0</v>
      </c>
      <c r="R324" s="833">
        <v>0</v>
      </c>
      <c r="S324" s="833">
        <v>0</v>
      </c>
      <c r="T324" s="833">
        <v>0</v>
      </c>
      <c r="U324" s="833">
        <v>0</v>
      </c>
      <c r="V324" s="833">
        <v>0</v>
      </c>
      <c r="W324" s="833">
        <v>0</v>
      </c>
      <c r="X324" s="833">
        <v>0</v>
      </c>
      <c r="Y324" s="833">
        <v>0</v>
      </c>
      <c r="Z324" s="833">
        <v>0</v>
      </c>
      <c r="AA324" s="833">
        <v>0</v>
      </c>
      <c r="AB324" s="833">
        <v>0</v>
      </c>
      <c r="AC324" s="833">
        <v>0</v>
      </c>
      <c r="AD324" s="833">
        <v>0</v>
      </c>
      <c r="AE324" s="833">
        <v>0</v>
      </c>
      <c r="AF324" s="833">
        <v>0</v>
      </c>
      <c r="AG324" s="833">
        <v>0</v>
      </c>
      <c r="AH324" s="833">
        <v>0</v>
      </c>
      <c r="AI324" s="833">
        <v>0</v>
      </c>
      <c r="AJ324" s="833">
        <v>0</v>
      </c>
      <c r="AK324" s="833">
        <v>0</v>
      </c>
      <c r="AL324" s="833">
        <v>0</v>
      </c>
      <c r="AM324" s="833">
        <v>0</v>
      </c>
      <c r="AN324" s="833">
        <v>0</v>
      </c>
      <c r="AO324" s="833">
        <v>0</v>
      </c>
      <c r="AP324" s="833">
        <v>0</v>
      </c>
      <c r="AQ324" s="833">
        <v>0</v>
      </c>
      <c r="AR324" s="833">
        <v>0</v>
      </c>
      <c r="AS324" s="833">
        <v>0</v>
      </c>
      <c r="AT324" s="833">
        <v>0</v>
      </c>
      <c r="AU324" s="833">
        <v>0</v>
      </c>
      <c r="AV324" s="635">
        <v>0</v>
      </c>
      <c r="AW324" s="920"/>
      <c r="AX324" s="920"/>
      <c r="AY324" s="635">
        <v>0</v>
      </c>
      <c r="AZ324" s="920"/>
      <c r="BA324" s="754"/>
      <c r="BB324" s="651">
        <v>0</v>
      </c>
      <c r="BC324" s="754"/>
      <c r="BD324" s="754"/>
      <c r="BE324" s="651">
        <v>0</v>
      </c>
      <c r="BF324" s="754"/>
      <c r="BG324" s="754"/>
      <c r="BH324" s="651">
        <v>0</v>
      </c>
      <c r="BI324" s="754"/>
      <c r="BJ324" s="754"/>
      <c r="BK324" s="651">
        <v>0</v>
      </c>
      <c r="BL324" s="754"/>
      <c r="BM324" s="754"/>
      <c r="BN324" s="651">
        <v>0</v>
      </c>
      <c r="BO324" s="754"/>
      <c r="BP324" s="754"/>
      <c r="BQ324" s="651">
        <v>0</v>
      </c>
      <c r="BR324" s="754"/>
      <c r="BS324" s="754"/>
      <c r="BT324" s="651">
        <v>0</v>
      </c>
      <c r="BU324" s="754"/>
      <c r="BV324" s="754"/>
      <c r="BW324" s="651">
        <v>0</v>
      </c>
      <c r="BX324" s="754"/>
      <c r="BY324" s="754"/>
      <c r="BZ324" s="651">
        <v>0</v>
      </c>
      <c r="CA324" s="754"/>
      <c r="CB324" s="754"/>
      <c r="CC324" s="651">
        <v>0</v>
      </c>
      <c r="CD324" s="754"/>
      <c r="CE324" s="754"/>
      <c r="CF324" s="651">
        <v>0</v>
      </c>
      <c r="CG324" s="754"/>
      <c r="CH324" s="754"/>
      <c r="CI324" s="647">
        <v>254</v>
      </c>
      <c r="CJ324" s="755"/>
      <c r="CK324" s="755"/>
      <c r="CL324" s="647">
        <v>254</v>
      </c>
      <c r="CM324" s="755"/>
      <c r="CN324" s="755"/>
      <c r="CO324" s="647">
        <v>254</v>
      </c>
      <c r="CP324" s="755"/>
      <c r="CQ324" s="755"/>
      <c r="CR324" s="647">
        <v>254</v>
      </c>
      <c r="CS324" s="755"/>
      <c r="CT324" s="755"/>
      <c r="CU324" s="647">
        <v>254</v>
      </c>
      <c r="CV324" s="755"/>
      <c r="CW324" s="755"/>
      <c r="CX324" s="647">
        <v>254</v>
      </c>
      <c r="CY324" s="755"/>
      <c r="CZ324" s="755"/>
      <c r="DA324" s="647">
        <v>254</v>
      </c>
      <c r="DB324" s="755"/>
      <c r="DC324" s="755"/>
      <c r="DD324" s="647">
        <v>254</v>
      </c>
      <c r="DE324" s="755"/>
      <c r="DF324" s="755"/>
      <c r="DG324" s="647">
        <v>254</v>
      </c>
      <c r="DH324" s="755"/>
      <c r="DI324" s="755"/>
      <c r="DJ324" s="647">
        <v>254</v>
      </c>
      <c r="DK324" s="755"/>
      <c r="DL324" s="755"/>
      <c r="DM324" s="647">
        <v>254</v>
      </c>
      <c r="DN324" s="755"/>
      <c r="DO324" s="755"/>
      <c r="DP324" s="647">
        <v>254</v>
      </c>
      <c r="DQ324" s="755"/>
      <c r="DR324" s="755"/>
      <c r="DS324" s="647">
        <v>254</v>
      </c>
      <c r="DT324" s="755"/>
      <c r="DU324" s="755"/>
      <c r="DV324" s="647">
        <v>254</v>
      </c>
      <c r="DW324" s="755"/>
      <c r="DX324" s="755"/>
      <c r="DY324" s="647">
        <v>254</v>
      </c>
      <c r="DZ324" s="755"/>
      <c r="EA324" s="755"/>
      <c r="EB324" s="647">
        <v>254</v>
      </c>
      <c r="EC324" s="755"/>
      <c r="ED324" s="755"/>
      <c r="EE324" s="647">
        <v>254</v>
      </c>
      <c r="EF324" s="755"/>
      <c r="EG324" s="755"/>
      <c r="EH324" s="647">
        <v>254</v>
      </c>
      <c r="EI324" s="755"/>
      <c r="EJ324" s="755"/>
      <c r="EK324" s="647">
        <v>254</v>
      </c>
      <c r="EL324" s="755"/>
      <c r="EM324" s="755"/>
      <c r="EN324" s="647">
        <v>254</v>
      </c>
      <c r="EO324" s="755"/>
      <c r="EP324" s="755"/>
      <c r="EQ324" s="647">
        <v>254</v>
      </c>
      <c r="ER324" s="755"/>
      <c r="ES324" s="755"/>
      <c r="ET324" s="647">
        <v>254</v>
      </c>
      <c r="EU324" s="755"/>
      <c r="EV324" s="755"/>
      <c r="EW324" s="647">
        <v>254</v>
      </c>
      <c r="EX324" s="755"/>
      <c r="EY324" s="755"/>
      <c r="EZ324" s="647">
        <v>254</v>
      </c>
      <c r="FA324" s="755"/>
      <c r="FB324" s="755"/>
      <c r="FC324" s="647">
        <v>254</v>
      </c>
      <c r="FD324" s="755"/>
      <c r="FE324" s="755"/>
      <c r="FF324" s="647">
        <v>254</v>
      </c>
      <c r="FG324" s="755"/>
      <c r="FH324" s="755"/>
      <c r="FI324" s="647">
        <v>254</v>
      </c>
      <c r="FJ324" s="755"/>
      <c r="FK324" s="755"/>
      <c r="FL324" s="647">
        <v>254</v>
      </c>
      <c r="FM324" s="755"/>
      <c r="FN324" s="755"/>
      <c r="FO324" s="647">
        <v>254</v>
      </c>
      <c r="FP324" s="755"/>
      <c r="FQ324" s="755"/>
      <c r="FR324" s="647">
        <v>254</v>
      </c>
      <c r="FS324" s="755"/>
      <c r="FT324" s="755"/>
      <c r="FU324" s="647">
        <v>254</v>
      </c>
      <c r="FV324" s="755"/>
      <c r="FW324" s="755"/>
      <c r="FX324" s="647">
        <v>254</v>
      </c>
      <c r="FY324" s="755"/>
      <c r="FZ324" s="755"/>
      <c r="GA324" s="647">
        <v>254</v>
      </c>
      <c r="GB324" s="755"/>
      <c r="GC324" s="755"/>
      <c r="GD324" s="647">
        <v>254</v>
      </c>
      <c r="GE324" s="755"/>
      <c r="GF324" s="755"/>
      <c r="GG324" s="647">
        <v>254</v>
      </c>
      <c r="GH324" s="755"/>
      <c r="GI324" s="755"/>
      <c r="GJ324" s="647">
        <v>254</v>
      </c>
      <c r="GK324" s="755"/>
      <c r="GL324" s="755"/>
      <c r="GM324" s="647">
        <v>254</v>
      </c>
      <c r="GN324" s="755"/>
      <c r="GO324" s="755"/>
      <c r="GP324" s="648">
        <v>349.77049180327867</v>
      </c>
      <c r="GQ324" s="756"/>
      <c r="GR324" s="756"/>
      <c r="GS324" s="757"/>
      <c r="GT324" s="757"/>
      <c r="GU324" s="690"/>
      <c r="GV324" s="587"/>
      <c r="GW324" s="587"/>
      <c r="GX324" s="587"/>
      <c r="GY324" s="587"/>
      <c r="GZ324" s="587"/>
      <c r="HA324" s="587"/>
      <c r="HB324" s="587"/>
      <c r="HC324" s="587"/>
      <c r="HD324" s="587"/>
      <c r="HE324" s="587"/>
      <c r="HF324" s="587"/>
      <c r="HG324" s="587"/>
      <c r="HH324" s="587"/>
      <c r="HI324" s="587"/>
      <c r="HJ324" s="587"/>
      <c r="HK324" s="587"/>
      <c r="HL324" s="587"/>
      <c r="HM324" s="587"/>
      <c r="HN324" s="587"/>
      <c r="HO324" s="587"/>
      <c r="HP324" s="587"/>
      <c r="HQ324" s="587"/>
      <c r="HR324" s="587"/>
      <c r="HS324" s="587"/>
      <c r="HT324" s="587"/>
      <c r="HU324" s="587"/>
      <c r="HV324" s="587"/>
      <c r="HW324" s="587"/>
      <c r="HX324" s="587"/>
      <c r="HY324" s="587"/>
      <c r="HZ324" s="587"/>
      <c r="IA324" s="587"/>
      <c r="IB324" s="587"/>
      <c r="IC324" s="587"/>
      <c r="ID324" s="587"/>
      <c r="IE324" s="587"/>
      <c r="IF324" s="587"/>
      <c r="IG324" s="587"/>
      <c r="IH324" s="588"/>
      <c r="II324" s="589"/>
      <c r="IJ324" s="588"/>
      <c r="IK324" s="589"/>
      <c r="IL324" s="588"/>
      <c r="IM324" s="589"/>
      <c r="IN324" s="588"/>
      <c r="IO324" s="589"/>
      <c r="IP324" s="588"/>
      <c r="IQ324" s="589"/>
      <c r="IR324" s="717" t="s">
        <v>3503</v>
      </c>
      <c r="IS324" s="587" t="s">
        <v>77</v>
      </c>
      <c r="IT324" s="611">
        <v>44124</v>
      </c>
      <c r="IU324" s="518">
        <v>44166</v>
      </c>
      <c r="IV324" s="552"/>
      <c r="IW324" s="526">
        <f t="shared" si="33"/>
        <v>42</v>
      </c>
      <c r="IX324" s="621">
        <f t="shared" si="37"/>
        <v>11.467884977156677</v>
      </c>
      <c r="IY324" s="621">
        <v>349.77049180327867</v>
      </c>
    </row>
    <row r="325" spans="1:262" s="367" customFormat="1" ht="16.5" customHeight="1" x14ac:dyDescent="0.3">
      <c r="A325" s="526" t="s">
        <v>2739</v>
      </c>
      <c r="B325" s="355" t="s">
        <v>2813</v>
      </c>
      <c r="C325" s="443" t="s">
        <v>2581</v>
      </c>
      <c r="D325" s="444">
        <v>2384</v>
      </c>
      <c r="E325" s="445">
        <v>44</v>
      </c>
      <c r="F325" s="445">
        <v>32</v>
      </c>
      <c r="G325" s="445">
        <v>5</v>
      </c>
      <c r="H325" s="446">
        <v>0</v>
      </c>
      <c r="I325" s="855">
        <v>2460</v>
      </c>
      <c r="J325" s="597">
        <v>5</v>
      </c>
      <c r="K325" s="827"/>
      <c r="L325" s="597">
        <v>2460</v>
      </c>
      <c r="M325" s="597">
        <v>5</v>
      </c>
      <c r="N325" s="827"/>
      <c r="O325" s="597">
        <v>2460</v>
      </c>
      <c r="P325" s="597">
        <v>5</v>
      </c>
      <c r="Q325" s="827"/>
      <c r="R325" s="597">
        <v>2460</v>
      </c>
      <c r="S325" s="597">
        <v>5</v>
      </c>
      <c r="T325" s="827"/>
      <c r="U325" s="597">
        <v>2460</v>
      </c>
      <c r="V325" s="597">
        <v>5</v>
      </c>
      <c r="W325" s="827"/>
      <c r="X325" s="597">
        <v>2460</v>
      </c>
      <c r="Y325" s="597">
        <v>5</v>
      </c>
      <c r="Z325" s="827"/>
      <c r="AA325" s="597">
        <v>2460</v>
      </c>
      <c r="AB325" s="597">
        <v>5</v>
      </c>
      <c r="AC325" s="827"/>
      <c r="AD325" s="597">
        <v>2460</v>
      </c>
      <c r="AE325" s="597">
        <v>5</v>
      </c>
      <c r="AF325" s="827"/>
      <c r="AG325" s="597">
        <v>2460</v>
      </c>
      <c r="AH325" s="597">
        <v>5</v>
      </c>
      <c r="AI325" s="827"/>
      <c r="AJ325" s="597">
        <v>2460</v>
      </c>
      <c r="AK325" s="597">
        <v>5</v>
      </c>
      <c r="AL325" s="827"/>
      <c r="AM325" s="597">
        <v>2460</v>
      </c>
      <c r="AN325" s="597">
        <v>5</v>
      </c>
      <c r="AO325" s="827"/>
      <c r="AP325" s="597">
        <v>2460</v>
      </c>
      <c r="AQ325" s="597">
        <v>5</v>
      </c>
      <c r="AR325" s="827"/>
      <c r="AS325" s="597">
        <v>2460</v>
      </c>
      <c r="AT325" s="597">
        <v>5</v>
      </c>
      <c r="AU325" s="827"/>
      <c r="AV325" s="597">
        <v>2460</v>
      </c>
      <c r="AW325" s="597">
        <v>5</v>
      </c>
      <c r="AX325" s="827"/>
      <c r="AY325" s="597">
        <v>2460</v>
      </c>
      <c r="AZ325" s="597">
        <v>5</v>
      </c>
      <c r="BA325" s="405"/>
      <c r="BB325" s="421">
        <v>2460</v>
      </c>
      <c r="BC325" s="421">
        <v>5</v>
      </c>
      <c r="BD325" s="405"/>
      <c r="BE325" s="421">
        <v>2460</v>
      </c>
      <c r="BF325" s="421">
        <v>5</v>
      </c>
      <c r="BG325" s="405"/>
      <c r="BH325" s="421">
        <v>2460</v>
      </c>
      <c r="BI325" s="421">
        <v>5</v>
      </c>
      <c r="BJ325" s="690"/>
      <c r="BK325" s="421">
        <v>2460</v>
      </c>
      <c r="BL325" s="421">
        <v>5</v>
      </c>
      <c r="BM325" s="690"/>
      <c r="BN325" s="421">
        <v>2460</v>
      </c>
      <c r="BO325" s="421">
        <v>5</v>
      </c>
      <c r="BP325" s="690"/>
      <c r="BQ325" s="421">
        <v>2460</v>
      </c>
      <c r="BR325" s="421">
        <v>5</v>
      </c>
      <c r="BS325" s="690"/>
      <c r="BT325" s="421">
        <v>2460</v>
      </c>
      <c r="BU325" s="421">
        <v>5</v>
      </c>
      <c r="BV325" s="690"/>
      <c r="BW325" s="422">
        <f>((2460-2048)/30.5)*12+2460</f>
        <v>2622.0983606557379</v>
      </c>
      <c r="BX325" s="422">
        <f>(5/30.5)*12+5</f>
        <v>6.9672131147540988</v>
      </c>
      <c r="BY325" s="691"/>
      <c r="BZ325" s="647">
        <v>2048</v>
      </c>
      <c r="CA325" s="690"/>
      <c r="CB325" s="690"/>
      <c r="CC325" s="647">
        <v>2048</v>
      </c>
      <c r="CD325" s="690"/>
      <c r="CE325" s="690"/>
      <c r="CF325" s="647">
        <v>2048</v>
      </c>
      <c r="CG325" s="690"/>
      <c r="CH325" s="690"/>
      <c r="CI325" s="647">
        <v>2048</v>
      </c>
      <c r="CJ325" s="690"/>
      <c r="CK325" s="690"/>
      <c r="CL325" s="647">
        <v>2048</v>
      </c>
      <c r="CM325" s="690"/>
      <c r="CN325" s="690"/>
      <c r="CO325" s="647">
        <v>2048</v>
      </c>
      <c r="CP325" s="690"/>
      <c r="CQ325" s="690"/>
      <c r="CR325" s="647">
        <v>2048</v>
      </c>
      <c r="CS325" s="690"/>
      <c r="CT325" s="690"/>
      <c r="CU325" s="647">
        <v>2048</v>
      </c>
      <c r="CV325" s="690"/>
      <c r="CW325" s="690"/>
      <c r="CX325" s="647">
        <v>2048</v>
      </c>
      <c r="CY325" s="690"/>
      <c r="CZ325" s="690"/>
      <c r="DA325" s="647">
        <v>2048</v>
      </c>
      <c r="DB325" s="690"/>
      <c r="DC325" s="690"/>
      <c r="DD325" s="647">
        <v>2048</v>
      </c>
      <c r="DE325" s="690"/>
      <c r="DF325" s="690"/>
      <c r="DG325" s="647">
        <v>2048</v>
      </c>
      <c r="DH325" s="690"/>
      <c r="DI325" s="690"/>
      <c r="DJ325" s="647">
        <v>2048</v>
      </c>
      <c r="DK325" s="690"/>
      <c r="DL325" s="690"/>
      <c r="DM325" s="647">
        <v>2048</v>
      </c>
      <c r="DN325" s="690"/>
      <c r="DO325" s="690"/>
      <c r="DP325" s="647">
        <v>2048</v>
      </c>
      <c r="DQ325" s="690"/>
      <c r="DR325" s="690"/>
      <c r="DS325" s="647">
        <v>2048</v>
      </c>
      <c r="DT325" s="690"/>
      <c r="DU325" s="690"/>
      <c r="DV325" s="647">
        <v>2048</v>
      </c>
      <c r="DW325" s="690"/>
      <c r="DX325" s="690"/>
      <c r="DY325" s="647">
        <v>2048</v>
      </c>
      <c r="DZ325" s="690"/>
      <c r="EA325" s="690"/>
      <c r="EB325" s="647">
        <v>2048</v>
      </c>
      <c r="EC325" s="690"/>
      <c r="ED325" s="690"/>
      <c r="EE325" s="647">
        <v>2048</v>
      </c>
      <c r="EF325" s="690"/>
      <c r="EG325" s="690"/>
      <c r="EH325" s="647">
        <v>2048</v>
      </c>
      <c r="EI325" s="690"/>
      <c r="EJ325" s="690"/>
      <c r="EK325" s="647">
        <v>2048</v>
      </c>
      <c r="EL325" s="690"/>
      <c r="EM325" s="690"/>
      <c r="EN325" s="647">
        <v>2048</v>
      </c>
      <c r="EO325" s="690"/>
      <c r="EP325" s="690"/>
      <c r="EQ325" s="647">
        <v>2048</v>
      </c>
      <c r="ER325" s="690"/>
      <c r="ES325" s="690"/>
      <c r="ET325" s="647">
        <v>2048</v>
      </c>
      <c r="EU325" s="690"/>
      <c r="EV325" s="690"/>
      <c r="EW325" s="647">
        <v>2048</v>
      </c>
      <c r="EX325" s="690"/>
      <c r="EY325" s="690"/>
      <c r="EZ325" s="647">
        <v>2048</v>
      </c>
      <c r="FA325" s="690"/>
      <c r="FB325" s="690"/>
      <c r="FC325" s="647">
        <v>2048</v>
      </c>
      <c r="FD325" s="690"/>
      <c r="FE325" s="690"/>
      <c r="FF325" s="647">
        <v>2048</v>
      </c>
      <c r="FG325" s="690"/>
      <c r="FH325" s="690"/>
      <c r="FI325" s="647">
        <v>2048</v>
      </c>
      <c r="FJ325" s="690"/>
      <c r="FK325" s="690"/>
      <c r="FL325" s="647">
        <v>2048</v>
      </c>
      <c r="FM325" s="690"/>
      <c r="FN325" s="690"/>
      <c r="FO325" s="647">
        <v>2048</v>
      </c>
      <c r="FP325" s="690"/>
      <c r="FQ325" s="690"/>
      <c r="FR325" s="647">
        <v>2048</v>
      </c>
      <c r="FS325" s="690"/>
      <c r="FT325" s="690"/>
      <c r="FU325" s="647">
        <v>2048</v>
      </c>
      <c r="FV325" s="690"/>
      <c r="FW325" s="690"/>
      <c r="FX325" s="647">
        <v>2048</v>
      </c>
      <c r="FY325" s="690"/>
      <c r="FZ325" s="690"/>
      <c r="GA325" s="647">
        <v>2048</v>
      </c>
      <c r="GB325" s="690"/>
      <c r="GC325" s="690"/>
      <c r="GD325" s="647">
        <v>2048</v>
      </c>
      <c r="GE325" s="690"/>
      <c r="GF325" s="690"/>
      <c r="GG325" s="647">
        <v>2048</v>
      </c>
      <c r="GH325" s="690"/>
      <c r="GI325" s="690"/>
      <c r="GJ325" s="647">
        <v>2048</v>
      </c>
      <c r="GK325" s="690"/>
      <c r="GL325" s="690"/>
      <c r="GM325" s="647">
        <v>2048</v>
      </c>
      <c r="GN325" s="690"/>
      <c r="GO325" s="690"/>
      <c r="GP325" s="648">
        <v>3693.1147540983607</v>
      </c>
      <c r="GQ325" s="691"/>
      <c r="GR325" s="691"/>
      <c r="GS325" s="602"/>
      <c r="GT325" s="602"/>
      <c r="GU325" s="587"/>
      <c r="GV325" s="587"/>
      <c r="GW325" s="587"/>
      <c r="GX325" s="587"/>
      <c r="GY325" s="587"/>
      <c r="GZ325" s="587"/>
      <c r="HA325" s="587"/>
      <c r="HB325" s="587"/>
      <c r="HC325" s="587"/>
      <c r="HD325" s="587"/>
      <c r="HE325" s="587"/>
      <c r="HF325" s="587"/>
      <c r="HG325" s="587"/>
      <c r="HH325" s="587"/>
      <c r="HI325" s="587"/>
      <c r="HJ325" s="587"/>
      <c r="HK325" s="587"/>
      <c r="HL325" s="587"/>
      <c r="HM325" s="587"/>
      <c r="HN325" s="587"/>
      <c r="HO325" s="587"/>
      <c r="HP325" s="587"/>
      <c r="HQ325" s="587"/>
      <c r="HR325" s="587"/>
      <c r="HS325" s="587"/>
      <c r="HT325" s="587"/>
      <c r="HU325" s="587"/>
      <c r="HV325" s="587"/>
      <c r="HW325" s="587"/>
      <c r="HX325" s="587"/>
      <c r="HY325" s="587"/>
      <c r="HZ325" s="587"/>
      <c r="IA325" s="587"/>
      <c r="IB325" s="587"/>
      <c r="IC325" s="587"/>
      <c r="ID325" s="587"/>
      <c r="IE325" s="587"/>
      <c r="IF325" s="587"/>
      <c r="IG325" s="587"/>
      <c r="IH325" s="588"/>
      <c r="II325" s="589"/>
      <c r="IJ325" s="588"/>
      <c r="IK325" s="589"/>
      <c r="IL325" s="588"/>
      <c r="IM325" s="589"/>
      <c r="IN325" s="588"/>
      <c r="IO325" s="589"/>
      <c r="IP325" s="588"/>
      <c r="IQ325" s="589"/>
      <c r="IR325" s="717" t="s">
        <v>2942</v>
      </c>
      <c r="IS325" s="587" t="s">
        <v>77</v>
      </c>
      <c r="IT325" s="611">
        <v>44111</v>
      </c>
      <c r="IU325" s="518">
        <v>44166</v>
      </c>
      <c r="IV325" s="552"/>
      <c r="IW325" s="526">
        <f t="shared" si="33"/>
        <v>55</v>
      </c>
      <c r="IX325" s="621">
        <f t="shared" si="37"/>
        <v>121.08572964256921</v>
      </c>
      <c r="IY325" s="621">
        <v>3693.1147540983607</v>
      </c>
    </row>
    <row r="326" spans="1:262" s="367" customFormat="1" ht="16.5" customHeight="1" x14ac:dyDescent="0.3">
      <c r="A326" s="526" t="s">
        <v>2739</v>
      </c>
      <c r="B326" s="355" t="s">
        <v>2748</v>
      </c>
      <c r="C326" s="443" t="s">
        <v>1561</v>
      </c>
      <c r="D326" s="444">
        <v>1149</v>
      </c>
      <c r="E326" s="445">
        <v>44</v>
      </c>
      <c r="F326" s="445">
        <v>80</v>
      </c>
      <c r="G326" s="445">
        <v>5</v>
      </c>
      <c r="H326" s="446">
        <v>0</v>
      </c>
      <c r="I326" s="855">
        <v>1273</v>
      </c>
      <c r="J326" s="655">
        <v>5</v>
      </c>
      <c r="K326" s="827"/>
      <c r="L326" s="597">
        <v>1273</v>
      </c>
      <c r="M326" s="655">
        <v>5</v>
      </c>
      <c r="N326" s="827"/>
      <c r="O326" s="597">
        <v>1273</v>
      </c>
      <c r="P326" s="655">
        <v>5</v>
      </c>
      <c r="Q326" s="827"/>
      <c r="R326" s="597">
        <v>1273</v>
      </c>
      <c r="S326" s="655">
        <v>5</v>
      </c>
      <c r="T326" s="827"/>
      <c r="U326" s="597">
        <v>1273</v>
      </c>
      <c r="V326" s="655">
        <v>5</v>
      </c>
      <c r="W326" s="827"/>
      <c r="X326" s="597">
        <v>1273</v>
      </c>
      <c r="Y326" s="655">
        <v>5</v>
      </c>
      <c r="Z326" s="827"/>
      <c r="AA326" s="597">
        <v>1273</v>
      </c>
      <c r="AB326" s="655">
        <v>5</v>
      </c>
      <c r="AC326" s="827"/>
      <c r="AD326" s="597">
        <v>1273</v>
      </c>
      <c r="AE326" s="655">
        <v>5</v>
      </c>
      <c r="AF326" s="827"/>
      <c r="AG326" s="597">
        <v>1273</v>
      </c>
      <c r="AH326" s="655">
        <v>5</v>
      </c>
      <c r="AI326" s="827"/>
      <c r="AJ326" s="597">
        <v>1273</v>
      </c>
      <c r="AK326" s="655">
        <v>5</v>
      </c>
      <c r="AL326" s="827"/>
      <c r="AM326" s="597">
        <v>1273</v>
      </c>
      <c r="AN326" s="655">
        <v>5</v>
      </c>
      <c r="AO326" s="827"/>
      <c r="AP326" s="597">
        <v>1273</v>
      </c>
      <c r="AQ326" s="655">
        <v>5</v>
      </c>
      <c r="AR326" s="827"/>
      <c r="AS326" s="597">
        <v>1273</v>
      </c>
      <c r="AT326" s="655">
        <v>5</v>
      </c>
      <c r="AU326" s="827"/>
      <c r="AV326" s="597">
        <v>1273</v>
      </c>
      <c r="AW326" s="655">
        <v>5</v>
      </c>
      <c r="AX326" s="827"/>
      <c r="AY326" s="597">
        <v>1273</v>
      </c>
      <c r="AZ326" s="655">
        <v>5</v>
      </c>
      <c r="BA326" s="405"/>
      <c r="BB326" s="647">
        <v>1273</v>
      </c>
      <c r="BC326" s="655">
        <v>5</v>
      </c>
      <c r="BD326" s="405"/>
      <c r="BE326" s="647">
        <v>1273</v>
      </c>
      <c r="BF326" s="655">
        <v>5</v>
      </c>
      <c r="BG326" s="405"/>
      <c r="BH326" s="647">
        <v>1273</v>
      </c>
      <c r="BI326" s="655">
        <v>5</v>
      </c>
      <c r="BJ326" s="690"/>
      <c r="BK326" s="647">
        <v>1273</v>
      </c>
      <c r="BL326" s="655">
        <v>5</v>
      </c>
      <c r="BM326" s="690"/>
      <c r="BN326" s="647">
        <v>1273</v>
      </c>
      <c r="BO326" s="655">
        <v>5</v>
      </c>
      <c r="BP326" s="690"/>
      <c r="BQ326" s="647">
        <v>1273</v>
      </c>
      <c r="BR326" s="655">
        <v>5</v>
      </c>
      <c r="BS326" s="690"/>
      <c r="BT326" s="647">
        <v>1273</v>
      </c>
      <c r="BU326" s="655">
        <v>5</v>
      </c>
      <c r="BV326" s="690"/>
      <c r="BW326" s="647">
        <v>1273</v>
      </c>
      <c r="BX326" s="655">
        <v>5</v>
      </c>
      <c r="BY326" s="690"/>
      <c r="BZ326" s="647">
        <v>1273</v>
      </c>
      <c r="CA326" s="655">
        <v>5</v>
      </c>
      <c r="CB326" s="690"/>
      <c r="CC326" s="647">
        <v>1273</v>
      </c>
      <c r="CD326" s="655">
        <v>5</v>
      </c>
      <c r="CE326" s="690"/>
      <c r="CF326" s="647">
        <v>1273</v>
      </c>
      <c r="CG326" s="655">
        <v>5</v>
      </c>
      <c r="CH326" s="690"/>
      <c r="CI326" s="647">
        <v>1273</v>
      </c>
      <c r="CJ326" s="655">
        <v>5</v>
      </c>
      <c r="CK326" s="690"/>
      <c r="CL326" s="647">
        <v>1273</v>
      </c>
      <c r="CM326" s="655">
        <v>5</v>
      </c>
      <c r="CN326" s="690"/>
      <c r="CO326" s="647">
        <v>1273</v>
      </c>
      <c r="CP326" s="655">
        <v>5</v>
      </c>
      <c r="CQ326" s="690"/>
      <c r="CR326" s="647">
        <v>1273</v>
      </c>
      <c r="CS326" s="655">
        <v>5</v>
      </c>
      <c r="CT326" s="690"/>
      <c r="CU326" s="647">
        <v>1273</v>
      </c>
      <c r="CV326" s="655">
        <v>5</v>
      </c>
      <c r="CW326" s="690"/>
      <c r="CX326" s="647">
        <v>1273</v>
      </c>
      <c r="CY326" s="655">
        <v>5</v>
      </c>
      <c r="CZ326" s="690"/>
      <c r="DA326" s="647">
        <v>1273</v>
      </c>
      <c r="DB326" s="655">
        <v>5</v>
      </c>
      <c r="DC326" s="690"/>
      <c r="DD326" s="647">
        <v>1273</v>
      </c>
      <c r="DE326" s="655">
        <v>5</v>
      </c>
      <c r="DF326" s="690"/>
      <c r="DG326" s="647">
        <v>1273</v>
      </c>
      <c r="DH326" s="655">
        <v>5</v>
      </c>
      <c r="DI326" s="690"/>
      <c r="DJ326" s="647">
        <v>1273</v>
      </c>
      <c r="DK326" s="655">
        <v>5</v>
      </c>
      <c r="DL326" s="690"/>
      <c r="DM326" s="647">
        <v>1273</v>
      </c>
      <c r="DN326" s="655">
        <v>5</v>
      </c>
      <c r="DO326" s="690"/>
      <c r="DP326" s="647">
        <v>1273</v>
      </c>
      <c r="DQ326" s="655">
        <v>5</v>
      </c>
      <c r="DR326" s="690"/>
      <c r="DS326" s="647">
        <v>1273</v>
      </c>
      <c r="DT326" s="655">
        <v>5</v>
      </c>
      <c r="DU326" s="690"/>
      <c r="DV326" s="647">
        <v>1273</v>
      </c>
      <c r="DW326" s="655">
        <v>5</v>
      </c>
      <c r="DX326" s="690"/>
      <c r="DY326" s="647">
        <v>1273</v>
      </c>
      <c r="DZ326" s="655">
        <v>5</v>
      </c>
      <c r="EA326" s="690"/>
      <c r="EB326" s="647">
        <v>1273</v>
      </c>
      <c r="EC326" s="655">
        <v>5</v>
      </c>
      <c r="ED326" s="690"/>
      <c r="EE326" s="647">
        <v>1273</v>
      </c>
      <c r="EF326" s="655">
        <v>5</v>
      </c>
      <c r="EG326" s="690"/>
      <c r="EH326" s="647">
        <v>1273</v>
      </c>
      <c r="EI326" s="655">
        <v>5</v>
      </c>
      <c r="EJ326" s="690"/>
      <c r="EK326" s="647">
        <v>1273</v>
      </c>
      <c r="EL326" s="655">
        <v>5</v>
      </c>
      <c r="EM326" s="690"/>
      <c r="EN326" s="647">
        <v>1273</v>
      </c>
      <c r="EO326" s="655">
        <v>5</v>
      </c>
      <c r="EP326" s="690"/>
      <c r="EQ326" s="647">
        <v>1273</v>
      </c>
      <c r="ER326" s="655">
        <v>5</v>
      </c>
      <c r="ES326" s="690"/>
      <c r="ET326" s="647">
        <v>1273</v>
      </c>
      <c r="EU326" s="655">
        <v>5</v>
      </c>
      <c r="EV326" s="690"/>
      <c r="EW326" s="647">
        <v>1273</v>
      </c>
      <c r="EX326" s="655">
        <v>5</v>
      </c>
      <c r="EY326" s="690"/>
      <c r="EZ326" s="647">
        <v>1273</v>
      </c>
      <c r="FA326" s="655">
        <v>5</v>
      </c>
      <c r="FB326" s="690"/>
      <c r="FC326" s="647">
        <v>1273</v>
      </c>
      <c r="FD326" s="655">
        <v>5</v>
      </c>
      <c r="FE326" s="690"/>
      <c r="FF326" s="647">
        <v>1273</v>
      </c>
      <c r="FG326" s="655">
        <v>5</v>
      </c>
      <c r="FH326" s="690"/>
      <c r="FI326" s="647">
        <v>1273</v>
      </c>
      <c r="FJ326" s="655">
        <v>5</v>
      </c>
      <c r="FK326" s="690"/>
      <c r="FL326" s="647">
        <v>1273</v>
      </c>
      <c r="FM326" s="655">
        <v>5</v>
      </c>
      <c r="FN326" s="690"/>
      <c r="FO326" s="647">
        <v>1273</v>
      </c>
      <c r="FP326" s="655">
        <v>5</v>
      </c>
      <c r="FQ326" s="690"/>
      <c r="FR326" s="647">
        <v>1273</v>
      </c>
      <c r="FS326" s="655">
        <v>5</v>
      </c>
      <c r="FT326" s="690"/>
      <c r="FU326" s="647">
        <v>1273</v>
      </c>
      <c r="FV326" s="655">
        <v>5</v>
      </c>
      <c r="FW326" s="690"/>
      <c r="FX326" s="647">
        <v>1273</v>
      </c>
      <c r="FY326" s="655">
        <v>5</v>
      </c>
      <c r="FZ326" s="690"/>
      <c r="GA326" s="647">
        <v>1273</v>
      </c>
      <c r="GB326" s="655">
        <v>5</v>
      </c>
      <c r="GC326" s="690"/>
      <c r="GD326" s="647">
        <v>1273</v>
      </c>
      <c r="GE326" s="655">
        <v>5</v>
      </c>
      <c r="GF326" s="690"/>
      <c r="GG326" s="647">
        <v>1273</v>
      </c>
      <c r="GH326" s="655">
        <v>5</v>
      </c>
      <c r="GI326" s="690"/>
      <c r="GJ326" s="647">
        <v>1273</v>
      </c>
      <c r="GK326" s="655">
        <v>5</v>
      </c>
      <c r="GL326" s="690"/>
      <c r="GM326" s="647">
        <v>1273</v>
      </c>
      <c r="GN326" s="655">
        <v>5</v>
      </c>
      <c r="GO326" s="690"/>
      <c r="GP326" s="648">
        <v>2170.3606557377052</v>
      </c>
      <c r="GQ326" s="517">
        <v>8.524590163934425</v>
      </c>
      <c r="GR326" s="691"/>
      <c r="GS326" s="602"/>
      <c r="GT326" s="602"/>
      <c r="GU326" s="587"/>
      <c r="GV326" s="587"/>
      <c r="GW326" s="587"/>
      <c r="GX326" s="587"/>
      <c r="GY326" s="587"/>
      <c r="GZ326" s="587"/>
      <c r="HA326" s="587"/>
      <c r="HB326" s="587"/>
      <c r="HC326" s="587"/>
      <c r="HD326" s="587"/>
      <c r="HE326" s="587"/>
      <c r="HF326" s="587"/>
      <c r="HG326" s="587"/>
      <c r="HH326" s="587"/>
      <c r="HI326" s="587"/>
      <c r="HJ326" s="587"/>
      <c r="HK326" s="587"/>
      <c r="HL326" s="587"/>
      <c r="HM326" s="587"/>
      <c r="HN326" s="587"/>
      <c r="HO326" s="587"/>
      <c r="HP326" s="587"/>
      <c r="HQ326" s="587"/>
      <c r="HR326" s="587"/>
      <c r="HS326" s="587"/>
      <c r="HT326" s="587"/>
      <c r="HU326" s="587"/>
      <c r="HV326" s="587"/>
      <c r="HW326" s="587"/>
      <c r="HX326" s="587"/>
      <c r="HY326" s="587"/>
      <c r="HZ326" s="587"/>
      <c r="IA326" s="587"/>
      <c r="IB326" s="587"/>
      <c r="IC326" s="587"/>
      <c r="ID326" s="587"/>
      <c r="IE326" s="587"/>
      <c r="IF326" s="587"/>
      <c r="IG326" s="587"/>
      <c r="IH326" s="588"/>
      <c r="II326" s="589"/>
      <c r="IJ326" s="588"/>
      <c r="IK326" s="589"/>
      <c r="IL326" s="588"/>
      <c r="IM326" s="589"/>
      <c r="IN326" s="588"/>
      <c r="IO326" s="589"/>
      <c r="IP326" s="588"/>
      <c r="IQ326" s="589"/>
      <c r="IR326" s="717" t="s">
        <v>3063</v>
      </c>
      <c r="IS326" s="587" t="s">
        <v>77</v>
      </c>
      <c r="IT326" s="611">
        <v>44114</v>
      </c>
      <c r="IU326" s="518">
        <v>44166</v>
      </c>
      <c r="IV326" s="552"/>
      <c r="IW326" s="526">
        <f t="shared" si="33"/>
        <v>52</v>
      </c>
      <c r="IX326" s="621">
        <f t="shared" si="37"/>
        <v>71.159365761891976</v>
      </c>
      <c r="IY326" s="621">
        <v>2170.3606557377052</v>
      </c>
    </row>
    <row r="327" spans="1:262" s="367" customFormat="1" ht="16.5" customHeight="1" x14ac:dyDescent="0.3">
      <c r="A327" s="526" t="s">
        <v>2739</v>
      </c>
      <c r="B327" s="355" t="s">
        <v>2765</v>
      </c>
      <c r="C327" s="992" t="s">
        <v>1519</v>
      </c>
      <c r="D327" s="930">
        <v>1249</v>
      </c>
      <c r="E327" s="930">
        <v>71</v>
      </c>
      <c r="F327" s="930">
        <v>56</v>
      </c>
      <c r="G327" s="930">
        <v>14</v>
      </c>
      <c r="H327" s="446">
        <v>0</v>
      </c>
      <c r="I327" s="907">
        <f>(1375+288)</f>
        <v>1663</v>
      </c>
      <c r="J327" s="859">
        <v>168</v>
      </c>
      <c r="K327" s="827"/>
      <c r="L327" s="655">
        <v>1351</v>
      </c>
      <c r="M327" s="655"/>
      <c r="N327" s="827"/>
      <c r="O327" s="655">
        <v>1351</v>
      </c>
      <c r="P327" s="655"/>
      <c r="Q327" s="827"/>
      <c r="R327" s="655">
        <v>1351</v>
      </c>
      <c r="S327" s="655"/>
      <c r="T327" s="827"/>
      <c r="U327" s="655">
        <v>1351</v>
      </c>
      <c r="V327" s="655"/>
      <c r="W327" s="827"/>
      <c r="X327" s="655">
        <v>1351</v>
      </c>
      <c r="Y327" s="655"/>
      <c r="Z327" s="827"/>
      <c r="AA327" s="655">
        <v>1351</v>
      </c>
      <c r="AB327" s="655"/>
      <c r="AC327" s="827"/>
      <c r="AD327" s="655">
        <v>1351</v>
      </c>
      <c r="AE327" s="655"/>
      <c r="AF327" s="827"/>
      <c r="AG327" s="655">
        <v>1351</v>
      </c>
      <c r="AH327" s="655"/>
      <c r="AI327" s="827"/>
      <c r="AJ327" s="655">
        <v>1351</v>
      </c>
      <c r="AK327" s="655"/>
      <c r="AL327" s="827"/>
      <c r="AM327" s="655">
        <v>1351</v>
      </c>
      <c r="AN327" s="655"/>
      <c r="AO327" s="827"/>
      <c r="AP327" s="655">
        <v>1351</v>
      </c>
      <c r="AQ327" s="655"/>
      <c r="AR327" s="827"/>
      <c r="AS327" s="655">
        <v>1351</v>
      </c>
      <c r="AT327" s="655"/>
      <c r="AU327" s="827"/>
      <c r="AV327" s="655">
        <v>1351</v>
      </c>
      <c r="AW327" s="655"/>
      <c r="AX327" s="827"/>
      <c r="AY327" s="655">
        <v>1351</v>
      </c>
      <c r="AZ327" s="655"/>
      <c r="BA327" s="405"/>
      <c r="BB327" s="655">
        <v>1351</v>
      </c>
      <c r="BC327" s="690"/>
      <c r="BD327" s="405"/>
      <c r="BE327" s="655">
        <v>1351</v>
      </c>
      <c r="BF327" s="690"/>
      <c r="BG327" s="405"/>
      <c r="BH327" s="655">
        <v>1351</v>
      </c>
      <c r="BI327" s="690"/>
      <c r="BJ327" s="690"/>
      <c r="BK327" s="655">
        <v>1351</v>
      </c>
      <c r="BL327" s="690"/>
      <c r="BM327" s="690"/>
      <c r="BN327" s="655">
        <v>1351</v>
      </c>
      <c r="BO327" s="690"/>
      <c r="BP327" s="690"/>
      <c r="BQ327" s="655">
        <v>1351</v>
      </c>
      <c r="BR327" s="690"/>
      <c r="BS327" s="690"/>
      <c r="BT327" s="655">
        <v>1351</v>
      </c>
      <c r="BU327" s="690"/>
      <c r="BV327" s="690"/>
      <c r="BW327" s="655">
        <v>1351</v>
      </c>
      <c r="BX327" s="690"/>
      <c r="BY327" s="690"/>
      <c r="BZ327" s="655">
        <v>1351</v>
      </c>
      <c r="CA327" s="690"/>
      <c r="CB327" s="690"/>
      <c r="CC327" s="655">
        <v>1351</v>
      </c>
      <c r="CD327" s="690"/>
      <c r="CE327" s="690"/>
      <c r="CF327" s="655">
        <v>1351</v>
      </c>
      <c r="CG327" s="690"/>
      <c r="CH327" s="690"/>
      <c r="CI327" s="655">
        <v>1351</v>
      </c>
      <c r="CJ327" s="690"/>
      <c r="CK327" s="690"/>
      <c r="CL327" s="655">
        <v>1351</v>
      </c>
      <c r="CM327" s="690"/>
      <c r="CN327" s="690"/>
      <c r="CO327" s="655">
        <v>1351</v>
      </c>
      <c r="CP327" s="690"/>
      <c r="CQ327" s="690"/>
      <c r="CR327" s="655">
        <v>1351</v>
      </c>
      <c r="CS327" s="690"/>
      <c r="CT327" s="690"/>
      <c r="CU327" s="655">
        <v>1351</v>
      </c>
      <c r="CV327" s="690"/>
      <c r="CW327" s="690"/>
      <c r="CX327" s="655">
        <v>1351</v>
      </c>
      <c r="CY327" s="690"/>
      <c r="CZ327" s="690"/>
      <c r="DA327" s="655">
        <v>1351</v>
      </c>
      <c r="DB327" s="690"/>
      <c r="DC327" s="690"/>
      <c r="DD327" s="655">
        <v>1351</v>
      </c>
      <c r="DE327" s="690"/>
      <c r="DF327" s="690"/>
      <c r="DG327" s="655">
        <v>1351</v>
      </c>
      <c r="DH327" s="690"/>
      <c r="DI327" s="690"/>
      <c r="DJ327" s="655">
        <v>1351</v>
      </c>
      <c r="DK327" s="690"/>
      <c r="DL327" s="690"/>
      <c r="DM327" s="655">
        <v>1351</v>
      </c>
      <c r="DN327" s="690"/>
      <c r="DO327" s="690"/>
      <c r="DP327" s="655">
        <v>1351</v>
      </c>
      <c r="DQ327" s="690"/>
      <c r="DR327" s="690"/>
      <c r="DS327" s="655">
        <v>1351</v>
      </c>
      <c r="DT327" s="690"/>
      <c r="DU327" s="690"/>
      <c r="DV327" s="655">
        <v>1351</v>
      </c>
      <c r="DW327" s="690"/>
      <c r="DX327" s="690"/>
      <c r="DY327" s="655">
        <v>1351</v>
      </c>
      <c r="DZ327" s="690"/>
      <c r="EA327" s="690"/>
      <c r="EB327" s="655">
        <v>1351</v>
      </c>
      <c r="EC327" s="690"/>
      <c r="ED327" s="690"/>
      <c r="EE327" s="655">
        <v>1351</v>
      </c>
      <c r="EF327" s="690"/>
      <c r="EG327" s="690"/>
      <c r="EH327" s="655">
        <v>1351</v>
      </c>
      <c r="EI327" s="690"/>
      <c r="EJ327" s="690"/>
      <c r="EK327" s="655">
        <v>1351</v>
      </c>
      <c r="EL327" s="690"/>
      <c r="EM327" s="690"/>
      <c r="EN327" s="655">
        <v>1351</v>
      </c>
      <c r="EO327" s="690"/>
      <c r="EP327" s="690"/>
      <c r="EQ327" s="655">
        <v>1351</v>
      </c>
      <c r="ER327" s="690"/>
      <c r="ES327" s="690"/>
      <c r="ET327" s="655">
        <v>1351</v>
      </c>
      <c r="EU327" s="690"/>
      <c r="EV327" s="690"/>
      <c r="EW327" s="655">
        <v>1351</v>
      </c>
      <c r="EX327" s="690"/>
      <c r="EY327" s="690"/>
      <c r="EZ327" s="655">
        <v>1351</v>
      </c>
      <c r="FA327" s="690"/>
      <c r="FB327" s="690"/>
      <c r="FC327" s="655">
        <v>1351</v>
      </c>
      <c r="FD327" s="690"/>
      <c r="FE327" s="690"/>
      <c r="FF327" s="655">
        <v>1351</v>
      </c>
      <c r="FG327" s="690"/>
      <c r="FH327" s="690"/>
      <c r="FI327" s="655">
        <v>1351</v>
      </c>
      <c r="FJ327" s="690"/>
      <c r="FK327" s="690"/>
      <c r="FL327" s="655">
        <v>1351</v>
      </c>
      <c r="FM327" s="690"/>
      <c r="FN327" s="690"/>
      <c r="FO327" s="655">
        <v>1351</v>
      </c>
      <c r="FP327" s="690"/>
      <c r="FQ327" s="690"/>
      <c r="FR327" s="655">
        <v>1351</v>
      </c>
      <c r="FS327" s="690"/>
      <c r="FT327" s="690"/>
      <c r="FU327" s="655">
        <v>1351</v>
      </c>
      <c r="FV327" s="690"/>
      <c r="FW327" s="690"/>
      <c r="FX327" s="655">
        <v>1351</v>
      </c>
      <c r="FY327" s="690"/>
      <c r="FZ327" s="690"/>
      <c r="GA327" s="655">
        <v>1351</v>
      </c>
      <c r="GB327" s="690"/>
      <c r="GC327" s="690"/>
      <c r="GD327" s="655">
        <v>1351</v>
      </c>
      <c r="GE327" s="690"/>
      <c r="GF327" s="690"/>
      <c r="GG327" s="655">
        <v>1351</v>
      </c>
      <c r="GH327" s="690"/>
      <c r="GI327" s="690"/>
      <c r="GJ327" s="655">
        <v>1351</v>
      </c>
      <c r="GK327" s="690"/>
      <c r="GL327" s="690"/>
      <c r="GM327" s="655">
        <v>1351</v>
      </c>
      <c r="GN327" s="690"/>
      <c r="GO327" s="690"/>
      <c r="GP327" s="517">
        <v>1506.032786885246</v>
      </c>
      <c r="GQ327" s="691"/>
      <c r="GR327" s="691"/>
      <c r="GS327" s="587"/>
      <c r="GT327" s="587"/>
      <c r="GU327" s="587"/>
      <c r="GV327" s="587"/>
      <c r="GW327" s="587"/>
      <c r="GX327" s="587"/>
      <c r="GY327" s="587"/>
      <c r="GZ327" s="587"/>
      <c r="HA327" s="587"/>
      <c r="HB327" s="587"/>
      <c r="HC327" s="587"/>
      <c r="HD327" s="587"/>
      <c r="HE327" s="587"/>
      <c r="HF327" s="587"/>
      <c r="HG327" s="587"/>
      <c r="HH327" s="587"/>
      <c r="HI327" s="587"/>
      <c r="HJ327" s="587"/>
      <c r="HK327" s="587"/>
      <c r="HL327" s="587"/>
      <c r="HM327" s="587"/>
      <c r="HN327" s="587"/>
      <c r="HO327" s="587"/>
      <c r="HP327" s="587"/>
      <c r="HQ327" s="587"/>
      <c r="HR327" s="587"/>
      <c r="HS327" s="587"/>
      <c r="HT327" s="587"/>
      <c r="HU327" s="587"/>
      <c r="HV327" s="587"/>
      <c r="HW327" s="587"/>
      <c r="HX327" s="587"/>
      <c r="HY327" s="587"/>
      <c r="HZ327" s="587"/>
      <c r="IA327" s="587"/>
      <c r="IB327" s="587"/>
      <c r="IC327" s="587"/>
      <c r="ID327" s="587"/>
      <c r="IE327" s="587"/>
      <c r="IF327" s="587"/>
      <c r="IG327" s="587"/>
      <c r="IH327" s="588"/>
      <c r="II327" s="589"/>
      <c r="IJ327" s="588"/>
      <c r="IK327" s="589"/>
      <c r="IL327" s="588"/>
      <c r="IM327" s="589"/>
      <c r="IN327" s="588"/>
      <c r="IO327" s="589"/>
      <c r="IP327" s="588"/>
      <c r="IQ327" s="589"/>
      <c r="IR327" s="717" t="s">
        <v>3504</v>
      </c>
      <c r="IS327" s="587" t="s">
        <v>77</v>
      </c>
      <c r="IT327" s="611">
        <v>44132</v>
      </c>
      <c r="IU327" s="518">
        <v>44166</v>
      </c>
      <c r="IV327" s="552"/>
      <c r="IW327" s="526">
        <f t="shared" si="33"/>
        <v>34</v>
      </c>
      <c r="IX327" s="665">
        <f t="shared" si="37"/>
        <v>49.378124160172</v>
      </c>
      <c r="IY327" s="621">
        <v>1506.032786885246</v>
      </c>
    </row>
    <row r="328" spans="1:262" s="367" customFormat="1" ht="16.5" customHeight="1" x14ac:dyDescent="0.3">
      <c r="A328" s="526" t="s">
        <v>2735</v>
      </c>
      <c r="B328" s="355" t="s">
        <v>2765</v>
      </c>
      <c r="C328" s="443" t="s">
        <v>864</v>
      </c>
      <c r="D328" s="444">
        <v>1249</v>
      </c>
      <c r="E328" s="445">
        <v>71</v>
      </c>
      <c r="F328" s="445">
        <v>16</v>
      </c>
      <c r="G328" s="445">
        <v>14</v>
      </c>
      <c r="H328" s="446">
        <v>0</v>
      </c>
      <c r="I328" s="855">
        <v>1335</v>
      </c>
      <c r="J328" s="449">
        <v>14</v>
      </c>
      <c r="K328" s="827"/>
      <c r="L328" s="597">
        <v>1335</v>
      </c>
      <c r="M328" s="449">
        <v>14</v>
      </c>
      <c r="N328" s="827"/>
      <c r="O328" s="597">
        <v>1335</v>
      </c>
      <c r="P328" s="449">
        <v>14</v>
      </c>
      <c r="Q328" s="827"/>
      <c r="R328" s="597">
        <v>1335</v>
      </c>
      <c r="S328" s="449">
        <v>14</v>
      </c>
      <c r="T328" s="827"/>
      <c r="U328" s="597">
        <v>1335</v>
      </c>
      <c r="V328" s="449">
        <v>14</v>
      </c>
      <c r="W328" s="827"/>
      <c r="X328" s="597">
        <v>1335</v>
      </c>
      <c r="Y328" s="449">
        <v>14</v>
      </c>
      <c r="Z328" s="827"/>
      <c r="AA328" s="597">
        <v>1335</v>
      </c>
      <c r="AB328" s="449">
        <v>14</v>
      </c>
      <c r="AC328" s="827"/>
      <c r="AD328" s="597">
        <v>1335</v>
      </c>
      <c r="AE328" s="449">
        <v>14</v>
      </c>
      <c r="AF328" s="827"/>
      <c r="AG328" s="597">
        <v>1335</v>
      </c>
      <c r="AH328" s="449">
        <v>14</v>
      </c>
      <c r="AI328" s="827"/>
      <c r="AJ328" s="597">
        <v>1335</v>
      </c>
      <c r="AK328" s="449">
        <v>14</v>
      </c>
      <c r="AL328" s="827"/>
      <c r="AM328" s="597">
        <v>1335</v>
      </c>
      <c r="AN328" s="449">
        <v>14</v>
      </c>
      <c r="AO328" s="827"/>
      <c r="AP328" s="597">
        <v>1335</v>
      </c>
      <c r="AQ328" s="449">
        <v>14</v>
      </c>
      <c r="AR328" s="827"/>
      <c r="AS328" s="597">
        <v>1335</v>
      </c>
      <c r="AT328" s="449">
        <v>14</v>
      </c>
      <c r="AU328" s="827"/>
      <c r="AV328" s="597">
        <v>1335</v>
      </c>
      <c r="AW328" s="449">
        <v>14</v>
      </c>
      <c r="AX328" s="827"/>
      <c r="AY328" s="597">
        <v>1335</v>
      </c>
      <c r="AZ328" s="449">
        <v>14</v>
      </c>
      <c r="BA328" s="405"/>
      <c r="BB328" s="421">
        <v>1335</v>
      </c>
      <c r="BC328" s="449">
        <v>14</v>
      </c>
      <c r="BD328" s="405"/>
      <c r="BE328" s="421">
        <v>1335</v>
      </c>
      <c r="BF328" s="449">
        <v>14</v>
      </c>
      <c r="BG328" s="405"/>
      <c r="BH328" s="421">
        <v>1335</v>
      </c>
      <c r="BI328" s="449">
        <v>14</v>
      </c>
      <c r="BJ328" s="758"/>
      <c r="BK328" s="421">
        <v>1335</v>
      </c>
      <c r="BL328" s="449">
        <v>14</v>
      </c>
      <c r="BM328" s="758"/>
      <c r="BN328" s="421">
        <v>1335</v>
      </c>
      <c r="BO328" s="449">
        <v>14</v>
      </c>
      <c r="BP328" s="758"/>
      <c r="BQ328" s="421">
        <v>1335</v>
      </c>
      <c r="BR328" s="449">
        <v>14</v>
      </c>
      <c r="BS328" s="758"/>
      <c r="BT328" s="421">
        <v>1335</v>
      </c>
      <c r="BU328" s="449">
        <v>14</v>
      </c>
      <c r="BV328" s="758"/>
      <c r="BW328" s="421">
        <v>1335</v>
      </c>
      <c r="BX328" s="449">
        <v>14</v>
      </c>
      <c r="BY328" s="758"/>
      <c r="BZ328" s="421">
        <v>1335</v>
      </c>
      <c r="CA328" s="449">
        <v>14</v>
      </c>
      <c r="CB328" s="758"/>
      <c r="CC328" s="421">
        <v>1335</v>
      </c>
      <c r="CD328" s="449">
        <v>14</v>
      </c>
      <c r="CE328" s="758"/>
      <c r="CF328" s="421">
        <v>1335</v>
      </c>
      <c r="CG328" s="449">
        <v>14</v>
      </c>
      <c r="CH328" s="758"/>
      <c r="CI328" s="421">
        <v>1335</v>
      </c>
      <c r="CJ328" s="449">
        <v>14</v>
      </c>
      <c r="CK328" s="758"/>
      <c r="CL328" s="421">
        <v>1335</v>
      </c>
      <c r="CM328" s="449">
        <v>14</v>
      </c>
      <c r="CN328" s="758"/>
      <c r="CO328" s="421">
        <v>1335</v>
      </c>
      <c r="CP328" s="449">
        <v>14</v>
      </c>
      <c r="CQ328" s="758"/>
      <c r="CR328" s="421">
        <v>1335</v>
      </c>
      <c r="CS328" s="449">
        <v>14</v>
      </c>
      <c r="CT328" s="758"/>
      <c r="CU328" s="421">
        <v>1335</v>
      </c>
      <c r="CV328" s="449">
        <v>14</v>
      </c>
      <c r="CW328" s="758"/>
      <c r="CX328" s="421">
        <v>1335</v>
      </c>
      <c r="CY328" s="449">
        <v>14</v>
      </c>
      <c r="CZ328" s="758"/>
      <c r="DA328" s="421">
        <v>1335</v>
      </c>
      <c r="DB328" s="449">
        <v>14</v>
      </c>
      <c r="DC328" s="758"/>
      <c r="DD328" s="421">
        <v>1335</v>
      </c>
      <c r="DE328" s="449">
        <v>14</v>
      </c>
      <c r="DF328" s="758"/>
      <c r="DG328" s="421">
        <v>1335</v>
      </c>
      <c r="DH328" s="449">
        <v>14</v>
      </c>
      <c r="DI328" s="758"/>
      <c r="DJ328" s="421">
        <v>1335</v>
      </c>
      <c r="DK328" s="449">
        <v>14</v>
      </c>
      <c r="DL328" s="758"/>
      <c r="DM328" s="421">
        <v>1335</v>
      </c>
      <c r="DN328" s="449">
        <v>14</v>
      </c>
      <c r="DO328" s="758"/>
      <c r="DP328" s="421">
        <v>1335</v>
      </c>
      <c r="DQ328" s="449">
        <v>14</v>
      </c>
      <c r="DR328" s="758"/>
      <c r="DS328" s="421">
        <v>1335</v>
      </c>
      <c r="DT328" s="449">
        <v>14</v>
      </c>
      <c r="DU328" s="758"/>
      <c r="DV328" s="421">
        <v>1335</v>
      </c>
      <c r="DW328" s="449">
        <v>14</v>
      </c>
      <c r="DX328" s="758"/>
      <c r="DY328" s="421">
        <v>1335</v>
      </c>
      <c r="DZ328" s="449">
        <v>14</v>
      </c>
      <c r="EA328" s="758"/>
      <c r="EB328" s="421">
        <v>1335</v>
      </c>
      <c r="EC328" s="449">
        <v>14</v>
      </c>
      <c r="ED328" s="758"/>
      <c r="EE328" s="421">
        <v>1335</v>
      </c>
      <c r="EF328" s="449">
        <v>14</v>
      </c>
      <c r="EG328" s="758"/>
      <c r="EH328" s="421">
        <v>1335</v>
      </c>
      <c r="EI328" s="449">
        <v>14</v>
      </c>
      <c r="EJ328" s="758"/>
      <c r="EK328" s="421">
        <v>1335</v>
      </c>
      <c r="EL328" s="449">
        <v>14</v>
      </c>
      <c r="EM328" s="758"/>
      <c r="EN328" s="421">
        <v>1335</v>
      </c>
      <c r="EO328" s="449">
        <v>14</v>
      </c>
      <c r="EP328" s="758"/>
      <c r="EQ328" s="421">
        <v>1335</v>
      </c>
      <c r="ER328" s="449">
        <v>14</v>
      </c>
      <c r="ES328" s="758"/>
      <c r="ET328" s="421">
        <v>1335</v>
      </c>
      <c r="EU328" s="449">
        <v>14</v>
      </c>
      <c r="EV328" s="758"/>
      <c r="EW328" s="421">
        <v>1335</v>
      </c>
      <c r="EX328" s="449">
        <v>14</v>
      </c>
      <c r="EY328" s="758"/>
      <c r="EZ328" s="421">
        <v>1335</v>
      </c>
      <c r="FA328" s="449">
        <v>14</v>
      </c>
      <c r="FB328" s="758"/>
      <c r="FC328" s="421">
        <v>1335</v>
      </c>
      <c r="FD328" s="449">
        <v>14</v>
      </c>
      <c r="FE328" s="758"/>
      <c r="FF328" s="421">
        <v>1335</v>
      </c>
      <c r="FG328" s="449">
        <v>14</v>
      </c>
      <c r="FH328" s="758"/>
      <c r="FI328" s="421">
        <v>1335</v>
      </c>
      <c r="FJ328" s="449">
        <v>14</v>
      </c>
      <c r="FK328" s="758"/>
      <c r="FL328" s="421">
        <v>1335</v>
      </c>
      <c r="FM328" s="449">
        <v>14</v>
      </c>
      <c r="FN328" s="758"/>
      <c r="FO328" s="421">
        <v>1335</v>
      </c>
      <c r="FP328" s="449">
        <v>14</v>
      </c>
      <c r="FQ328" s="758"/>
      <c r="FR328" s="421">
        <v>1335</v>
      </c>
      <c r="FS328" s="449">
        <v>14</v>
      </c>
      <c r="FT328" s="758"/>
      <c r="FU328" s="421">
        <v>1335</v>
      </c>
      <c r="FV328" s="449">
        <v>14</v>
      </c>
      <c r="FW328" s="758"/>
      <c r="FX328" s="421">
        <v>1335</v>
      </c>
      <c r="FY328" s="449">
        <v>14</v>
      </c>
      <c r="FZ328" s="758"/>
      <c r="GA328" s="421">
        <v>1335</v>
      </c>
      <c r="GB328" s="449">
        <v>14</v>
      </c>
      <c r="GC328" s="758"/>
      <c r="GD328" s="421">
        <v>1335</v>
      </c>
      <c r="GE328" s="449">
        <v>14</v>
      </c>
      <c r="GF328" s="758"/>
      <c r="GG328" s="421">
        <v>1335</v>
      </c>
      <c r="GH328" s="449">
        <v>14</v>
      </c>
      <c r="GI328" s="758"/>
      <c r="GJ328" s="421">
        <v>1335</v>
      </c>
      <c r="GK328" s="449">
        <v>14</v>
      </c>
      <c r="GL328" s="758"/>
      <c r="GM328" s="422">
        <v>1663.2786885245901</v>
      </c>
      <c r="GN328" s="530">
        <v>17.442622950819672</v>
      </c>
      <c r="GO328" s="759"/>
      <c r="GP328" s="611"/>
      <c r="GQ328" s="611"/>
      <c r="GR328" s="587"/>
      <c r="GS328" s="587"/>
      <c r="GT328" s="587"/>
      <c r="GU328" s="587"/>
      <c r="GV328" s="587"/>
      <c r="GW328" s="587"/>
      <c r="GX328" s="587"/>
      <c r="GY328" s="587"/>
      <c r="GZ328" s="587"/>
      <c r="HA328" s="587"/>
      <c r="HB328" s="587"/>
      <c r="HC328" s="587"/>
      <c r="HD328" s="587"/>
      <c r="HE328" s="587"/>
      <c r="HF328" s="587"/>
      <c r="HG328" s="587"/>
      <c r="HH328" s="587"/>
      <c r="HI328" s="587"/>
      <c r="HJ328" s="587"/>
      <c r="HK328" s="587"/>
      <c r="HL328" s="587"/>
      <c r="HM328" s="587"/>
      <c r="HN328" s="587"/>
      <c r="HO328" s="587"/>
      <c r="HP328" s="587"/>
      <c r="HQ328" s="587"/>
      <c r="HR328" s="587"/>
      <c r="HS328" s="587"/>
      <c r="HT328" s="587"/>
      <c r="HU328" s="587"/>
      <c r="HV328" s="587"/>
      <c r="HW328" s="587"/>
      <c r="HX328" s="587"/>
      <c r="HY328" s="587"/>
      <c r="HZ328" s="587"/>
      <c r="IA328" s="587"/>
      <c r="IB328" s="587"/>
      <c r="IC328" s="587"/>
      <c r="ID328" s="587"/>
      <c r="IE328" s="587"/>
      <c r="IF328" s="587"/>
      <c r="IG328" s="587"/>
      <c r="IH328" s="588"/>
      <c r="II328" s="589"/>
      <c r="IJ328" s="588"/>
      <c r="IK328" s="589"/>
      <c r="IL328" s="588"/>
      <c r="IM328" s="589"/>
      <c r="IN328" s="588"/>
      <c r="IO328" s="589"/>
      <c r="IP328" s="588"/>
      <c r="IQ328" s="589"/>
      <c r="IR328" s="760" t="s">
        <v>3038</v>
      </c>
      <c r="IS328" s="587" t="s">
        <v>77</v>
      </c>
      <c r="IT328" s="611">
        <v>44159</v>
      </c>
      <c r="IU328" s="518">
        <v>44197</v>
      </c>
      <c r="IV328" s="552"/>
      <c r="IW328" s="526">
        <f t="shared" si="33"/>
        <v>38</v>
      </c>
      <c r="IX328" s="665">
        <f>GM328/30.5</f>
        <v>54.533727492609508</v>
      </c>
      <c r="IY328" s="665">
        <v>1663.2786885245901</v>
      </c>
    </row>
    <row r="329" spans="1:262" s="367" customFormat="1" ht="16.5" customHeight="1" x14ac:dyDescent="0.3">
      <c r="A329" s="526" t="s">
        <v>2735</v>
      </c>
      <c r="B329" s="355" t="s">
        <v>2784</v>
      </c>
      <c r="C329" s="443" t="s">
        <v>797</v>
      </c>
      <c r="D329" s="444">
        <v>1454</v>
      </c>
      <c r="E329" s="445">
        <v>84</v>
      </c>
      <c r="F329" s="445">
        <v>0</v>
      </c>
      <c r="G329" s="445">
        <v>36</v>
      </c>
      <c r="H329" s="446">
        <v>0</v>
      </c>
      <c r="I329" s="855">
        <v>1538</v>
      </c>
      <c r="J329" s="449">
        <v>36</v>
      </c>
      <c r="K329" s="827"/>
      <c r="L329" s="597">
        <v>1538</v>
      </c>
      <c r="M329" s="449">
        <v>36</v>
      </c>
      <c r="N329" s="827"/>
      <c r="O329" s="597">
        <v>1538</v>
      </c>
      <c r="P329" s="449">
        <v>36</v>
      </c>
      <c r="Q329" s="827"/>
      <c r="R329" s="597">
        <v>1538</v>
      </c>
      <c r="S329" s="449">
        <v>36</v>
      </c>
      <c r="T329" s="827"/>
      <c r="U329" s="597">
        <v>1538</v>
      </c>
      <c r="V329" s="449">
        <v>36</v>
      </c>
      <c r="W329" s="827"/>
      <c r="X329" s="597">
        <v>1538</v>
      </c>
      <c r="Y329" s="449">
        <v>36</v>
      </c>
      <c r="Z329" s="827"/>
      <c r="AA329" s="597">
        <v>1538</v>
      </c>
      <c r="AB329" s="449">
        <v>36</v>
      </c>
      <c r="AC329" s="827"/>
      <c r="AD329" s="845">
        <f>((1538-1055)/30.5)*5+1538</f>
        <v>1617.1803278688524</v>
      </c>
      <c r="AE329" s="530">
        <f>((36-5)/30.5)*5+36</f>
        <v>41.081967213114751</v>
      </c>
      <c r="AF329" s="827"/>
      <c r="AG329" s="597">
        <v>1055</v>
      </c>
      <c r="AH329" s="449">
        <v>5</v>
      </c>
      <c r="AI329" s="827"/>
      <c r="AJ329" s="597">
        <v>1055</v>
      </c>
      <c r="AK329" s="449">
        <v>5</v>
      </c>
      <c r="AL329" s="827"/>
      <c r="AM329" s="597">
        <v>1055</v>
      </c>
      <c r="AN329" s="449">
        <v>5</v>
      </c>
      <c r="AO329" s="827"/>
      <c r="AP329" s="597">
        <v>1055</v>
      </c>
      <c r="AQ329" s="449">
        <v>5</v>
      </c>
      <c r="AR329" s="827"/>
      <c r="AS329" s="597">
        <v>1055</v>
      </c>
      <c r="AT329" s="449">
        <v>5</v>
      </c>
      <c r="AU329" s="827"/>
      <c r="AV329" s="597">
        <v>1055</v>
      </c>
      <c r="AW329" s="449">
        <v>5</v>
      </c>
      <c r="AX329" s="827"/>
      <c r="AY329" s="597">
        <v>1055</v>
      </c>
      <c r="AZ329" s="449">
        <v>5</v>
      </c>
      <c r="BA329" s="405"/>
      <c r="BB329" s="421">
        <v>1055</v>
      </c>
      <c r="BC329" s="449">
        <v>5</v>
      </c>
      <c r="BD329" s="405"/>
      <c r="BE329" s="421">
        <v>1055</v>
      </c>
      <c r="BF329" s="449">
        <v>5</v>
      </c>
      <c r="BG329" s="405"/>
      <c r="BH329" s="421">
        <v>1055</v>
      </c>
      <c r="BI329" s="449">
        <v>5</v>
      </c>
      <c r="BJ329" s="758"/>
      <c r="BK329" s="421">
        <v>1055</v>
      </c>
      <c r="BL329" s="449">
        <v>5</v>
      </c>
      <c r="BM329" s="758"/>
      <c r="BN329" s="421">
        <v>1055</v>
      </c>
      <c r="BO329" s="449">
        <v>5</v>
      </c>
      <c r="BP329" s="758"/>
      <c r="BQ329" s="421">
        <v>1055</v>
      </c>
      <c r="BR329" s="449">
        <v>5</v>
      </c>
      <c r="BS329" s="758"/>
      <c r="BT329" s="421">
        <v>1055</v>
      </c>
      <c r="BU329" s="449">
        <v>5</v>
      </c>
      <c r="BV329" s="758"/>
      <c r="BW329" s="421">
        <v>1055</v>
      </c>
      <c r="BX329" s="449">
        <v>5</v>
      </c>
      <c r="BY329" s="758"/>
      <c r="BZ329" s="421">
        <v>1055</v>
      </c>
      <c r="CA329" s="449">
        <v>5</v>
      </c>
      <c r="CB329" s="758"/>
      <c r="CC329" s="421">
        <v>1055</v>
      </c>
      <c r="CD329" s="449">
        <v>5</v>
      </c>
      <c r="CE329" s="758"/>
      <c r="CF329" s="421">
        <v>1055</v>
      </c>
      <c r="CG329" s="449">
        <v>5</v>
      </c>
      <c r="CH329" s="758"/>
      <c r="CI329" s="421">
        <v>1055</v>
      </c>
      <c r="CJ329" s="449">
        <v>5</v>
      </c>
      <c r="CK329" s="758"/>
      <c r="CL329" s="421">
        <v>1055</v>
      </c>
      <c r="CM329" s="449">
        <v>5</v>
      </c>
      <c r="CN329" s="758"/>
      <c r="CO329" s="421">
        <v>1055</v>
      </c>
      <c r="CP329" s="449">
        <v>5</v>
      </c>
      <c r="CQ329" s="758"/>
      <c r="CR329" s="421">
        <v>1055</v>
      </c>
      <c r="CS329" s="449">
        <v>5</v>
      </c>
      <c r="CT329" s="758"/>
      <c r="CU329" s="421">
        <v>1055</v>
      </c>
      <c r="CV329" s="449">
        <v>5</v>
      </c>
      <c r="CW329" s="758"/>
      <c r="CX329" s="421">
        <v>1055</v>
      </c>
      <c r="CY329" s="449">
        <v>5</v>
      </c>
      <c r="CZ329" s="758"/>
      <c r="DA329" s="421">
        <v>1055</v>
      </c>
      <c r="DB329" s="449">
        <v>5</v>
      </c>
      <c r="DC329" s="758"/>
      <c r="DD329" s="421">
        <v>1055</v>
      </c>
      <c r="DE329" s="449">
        <v>5</v>
      </c>
      <c r="DF329" s="758"/>
      <c r="DG329" s="421">
        <v>1055</v>
      </c>
      <c r="DH329" s="449">
        <v>5</v>
      </c>
      <c r="DI329" s="758"/>
      <c r="DJ329" s="421">
        <v>1055</v>
      </c>
      <c r="DK329" s="449">
        <v>5</v>
      </c>
      <c r="DL329" s="758"/>
      <c r="DM329" s="421">
        <v>1055</v>
      </c>
      <c r="DN329" s="449">
        <v>5</v>
      </c>
      <c r="DO329" s="758"/>
      <c r="DP329" s="421">
        <v>1055</v>
      </c>
      <c r="DQ329" s="449">
        <v>5</v>
      </c>
      <c r="DR329" s="758"/>
      <c r="DS329" s="421">
        <v>1055</v>
      </c>
      <c r="DT329" s="449">
        <v>5</v>
      </c>
      <c r="DU329" s="758"/>
      <c r="DV329" s="421">
        <v>1055</v>
      </c>
      <c r="DW329" s="449">
        <v>5</v>
      </c>
      <c r="DX329" s="758"/>
      <c r="DY329" s="421">
        <v>1055</v>
      </c>
      <c r="DZ329" s="449">
        <v>5</v>
      </c>
      <c r="EA329" s="758"/>
      <c r="EB329" s="421">
        <v>1055</v>
      </c>
      <c r="EC329" s="449">
        <v>5</v>
      </c>
      <c r="ED329" s="758"/>
      <c r="EE329" s="421">
        <v>1055</v>
      </c>
      <c r="EF329" s="449">
        <v>5</v>
      </c>
      <c r="EG329" s="758"/>
      <c r="EH329" s="421">
        <v>1055</v>
      </c>
      <c r="EI329" s="449">
        <v>5</v>
      </c>
      <c r="EJ329" s="758"/>
      <c r="EK329" s="421">
        <v>1055</v>
      </c>
      <c r="EL329" s="449">
        <v>5</v>
      </c>
      <c r="EM329" s="758"/>
      <c r="EN329" s="421">
        <v>1055</v>
      </c>
      <c r="EO329" s="449">
        <v>5</v>
      </c>
      <c r="EP329" s="758"/>
      <c r="EQ329" s="421">
        <v>1055</v>
      </c>
      <c r="ER329" s="449">
        <v>5</v>
      </c>
      <c r="ES329" s="758"/>
      <c r="ET329" s="421">
        <v>1055</v>
      </c>
      <c r="EU329" s="449">
        <v>5</v>
      </c>
      <c r="EV329" s="758"/>
      <c r="EW329" s="421">
        <v>1055</v>
      </c>
      <c r="EX329" s="449">
        <v>5</v>
      </c>
      <c r="EY329" s="758"/>
      <c r="EZ329" s="421">
        <v>1055</v>
      </c>
      <c r="FA329" s="449">
        <v>5</v>
      </c>
      <c r="FB329" s="758"/>
      <c r="FC329" s="421">
        <v>1055</v>
      </c>
      <c r="FD329" s="449">
        <v>5</v>
      </c>
      <c r="FE329" s="758"/>
      <c r="FF329" s="421">
        <v>1055</v>
      </c>
      <c r="FG329" s="449">
        <v>5</v>
      </c>
      <c r="FH329" s="758"/>
      <c r="FI329" s="421">
        <v>1055</v>
      </c>
      <c r="FJ329" s="449">
        <v>5</v>
      </c>
      <c r="FK329" s="758"/>
      <c r="FL329" s="421">
        <v>1055</v>
      </c>
      <c r="FM329" s="449">
        <v>5</v>
      </c>
      <c r="FN329" s="758"/>
      <c r="FO329" s="421">
        <v>1055</v>
      </c>
      <c r="FP329" s="449">
        <v>5</v>
      </c>
      <c r="FQ329" s="758"/>
      <c r="FR329" s="421">
        <v>1055</v>
      </c>
      <c r="FS329" s="449">
        <v>5</v>
      </c>
      <c r="FT329" s="758"/>
      <c r="FU329" s="421">
        <v>1055</v>
      </c>
      <c r="FV329" s="449">
        <v>5</v>
      </c>
      <c r="FW329" s="758"/>
      <c r="FX329" s="421">
        <v>1055</v>
      </c>
      <c r="FY329" s="449">
        <v>5</v>
      </c>
      <c r="FZ329" s="758"/>
      <c r="GA329" s="421">
        <v>1055</v>
      </c>
      <c r="GB329" s="449">
        <v>5</v>
      </c>
      <c r="GC329" s="758"/>
      <c r="GD329" s="421">
        <v>1055</v>
      </c>
      <c r="GE329" s="449">
        <v>5</v>
      </c>
      <c r="GF329" s="758"/>
      <c r="GG329" s="421">
        <v>1055</v>
      </c>
      <c r="GH329" s="449">
        <v>5</v>
      </c>
      <c r="GI329" s="758"/>
      <c r="GJ329" s="421">
        <v>1055</v>
      </c>
      <c r="GK329" s="449">
        <v>5</v>
      </c>
      <c r="GL329" s="758"/>
      <c r="GM329" s="422">
        <v>1003.1147540983607</v>
      </c>
      <c r="GN329" s="530">
        <v>4.7540983606557372</v>
      </c>
      <c r="GO329" s="759"/>
      <c r="GP329" s="611"/>
      <c r="GQ329" s="611"/>
      <c r="GR329" s="587"/>
      <c r="GS329" s="587"/>
      <c r="GT329" s="587"/>
      <c r="GU329" s="587"/>
      <c r="GV329" s="587"/>
      <c r="GW329" s="587"/>
      <c r="GX329" s="587"/>
      <c r="GY329" s="587"/>
      <c r="GZ329" s="587"/>
      <c r="HA329" s="587"/>
      <c r="HB329" s="587"/>
      <c r="HC329" s="587"/>
      <c r="HD329" s="587"/>
      <c r="HE329" s="587"/>
      <c r="HF329" s="587"/>
      <c r="HG329" s="587"/>
      <c r="HH329" s="587"/>
      <c r="HI329" s="587"/>
      <c r="HJ329" s="587"/>
      <c r="HK329" s="587"/>
      <c r="HL329" s="587"/>
      <c r="HM329" s="587"/>
      <c r="HN329" s="587"/>
      <c r="HO329" s="587"/>
      <c r="HP329" s="587"/>
      <c r="HQ329" s="587"/>
      <c r="HR329" s="587"/>
      <c r="HS329" s="587"/>
      <c r="HT329" s="587"/>
      <c r="HU329" s="587"/>
      <c r="HV329" s="587"/>
      <c r="HW329" s="587"/>
      <c r="HX329" s="587"/>
      <c r="HY329" s="587"/>
      <c r="HZ329" s="587"/>
      <c r="IA329" s="587"/>
      <c r="IB329" s="587"/>
      <c r="IC329" s="587"/>
      <c r="ID329" s="587"/>
      <c r="IE329" s="587"/>
      <c r="IF329" s="587"/>
      <c r="IG329" s="587"/>
      <c r="IH329" s="588"/>
      <c r="II329" s="589"/>
      <c r="IJ329" s="588"/>
      <c r="IK329" s="589"/>
      <c r="IL329" s="588"/>
      <c r="IM329" s="589"/>
      <c r="IN329" s="588"/>
      <c r="IO329" s="589"/>
      <c r="IP329" s="588"/>
      <c r="IQ329" s="589"/>
      <c r="IR329" s="760" t="s">
        <v>3191</v>
      </c>
      <c r="IS329" s="587" t="s">
        <v>77</v>
      </c>
      <c r="IT329" s="611">
        <v>44168</v>
      </c>
      <c r="IU329" s="518">
        <v>44197</v>
      </c>
      <c r="IV329" s="552"/>
      <c r="IW329" s="526">
        <f t="shared" si="33"/>
        <v>29</v>
      </c>
      <c r="IX329" s="665">
        <f>GM329/30.5</f>
        <v>32.889008331093791</v>
      </c>
      <c r="IY329" s="665">
        <v>1003.1147540983607</v>
      </c>
    </row>
    <row r="330" spans="1:262" s="367" customFormat="1" ht="16.5" customHeight="1" x14ac:dyDescent="0.3">
      <c r="A330" s="526" t="s">
        <v>2739</v>
      </c>
      <c r="B330" s="355" t="s">
        <v>2765</v>
      </c>
      <c r="C330" s="524" t="s">
        <v>1525</v>
      </c>
      <c r="D330" s="931">
        <v>1249</v>
      </c>
      <c r="E330" s="931">
        <v>71</v>
      </c>
      <c r="F330" s="931">
        <v>56</v>
      </c>
      <c r="G330" s="931">
        <v>14</v>
      </c>
      <c r="H330" s="932">
        <v>0</v>
      </c>
      <c r="I330" s="907">
        <f>(1375+288)</f>
        <v>1663</v>
      </c>
      <c r="J330" s="859">
        <v>168</v>
      </c>
      <c r="K330" s="827"/>
      <c r="L330" s="597">
        <v>1351</v>
      </c>
      <c r="M330" s="827"/>
      <c r="N330" s="827"/>
      <c r="O330" s="597">
        <v>1351</v>
      </c>
      <c r="P330" s="827"/>
      <c r="Q330" s="827"/>
      <c r="R330" s="597">
        <v>1351</v>
      </c>
      <c r="S330" s="827"/>
      <c r="T330" s="827"/>
      <c r="U330" s="597">
        <v>1351</v>
      </c>
      <c r="V330" s="827"/>
      <c r="W330" s="827"/>
      <c r="X330" s="597">
        <v>1351</v>
      </c>
      <c r="Y330" s="827"/>
      <c r="Z330" s="827"/>
      <c r="AA330" s="597">
        <v>1351</v>
      </c>
      <c r="AB330" s="827"/>
      <c r="AC330" s="827"/>
      <c r="AD330" s="597">
        <v>1351</v>
      </c>
      <c r="AE330" s="827"/>
      <c r="AF330" s="827"/>
      <c r="AG330" s="597">
        <v>1351</v>
      </c>
      <c r="AH330" s="827"/>
      <c r="AI330" s="827"/>
      <c r="AJ330" s="597">
        <v>1351</v>
      </c>
      <c r="AK330" s="827"/>
      <c r="AL330" s="827"/>
      <c r="AM330" s="597">
        <v>1351</v>
      </c>
      <c r="AN330" s="827"/>
      <c r="AO330" s="827"/>
      <c r="AP330" s="597">
        <v>1351</v>
      </c>
      <c r="AQ330" s="827"/>
      <c r="AR330" s="827"/>
      <c r="AS330" s="597">
        <v>1351</v>
      </c>
      <c r="AT330" s="827"/>
      <c r="AU330" s="827"/>
      <c r="AV330" s="597">
        <v>1351</v>
      </c>
      <c r="AW330" s="827"/>
      <c r="AX330" s="827"/>
      <c r="AY330" s="597">
        <v>1351</v>
      </c>
      <c r="AZ330" s="827"/>
      <c r="BA330" s="405"/>
      <c r="BB330" s="421">
        <v>1351</v>
      </c>
      <c r="BC330" s="405"/>
      <c r="BD330" s="405"/>
      <c r="BE330" s="421">
        <v>1351</v>
      </c>
      <c r="BF330" s="405"/>
      <c r="BG330" s="405"/>
      <c r="BH330" s="421">
        <v>1351</v>
      </c>
      <c r="BI330" s="758"/>
      <c r="BJ330" s="758"/>
      <c r="BK330" s="421">
        <v>1351</v>
      </c>
      <c r="BL330" s="758"/>
      <c r="BM330" s="758"/>
      <c r="BN330" s="421">
        <v>1351</v>
      </c>
      <c r="BO330" s="758"/>
      <c r="BP330" s="758"/>
      <c r="BQ330" s="421">
        <v>1351</v>
      </c>
      <c r="BR330" s="758"/>
      <c r="BS330" s="758"/>
      <c r="BT330" s="421">
        <v>1351</v>
      </c>
      <c r="BU330" s="758"/>
      <c r="BV330" s="758"/>
      <c r="BW330" s="421">
        <v>1351</v>
      </c>
      <c r="BX330" s="758"/>
      <c r="BY330" s="758"/>
      <c r="BZ330" s="421">
        <v>1351</v>
      </c>
      <c r="CA330" s="758"/>
      <c r="CB330" s="758"/>
      <c r="CC330" s="421">
        <v>1351</v>
      </c>
      <c r="CD330" s="758"/>
      <c r="CE330" s="758"/>
      <c r="CF330" s="421">
        <v>1351</v>
      </c>
      <c r="CG330" s="758"/>
      <c r="CH330" s="758"/>
      <c r="CI330" s="421">
        <v>1351</v>
      </c>
      <c r="CJ330" s="758"/>
      <c r="CK330" s="758"/>
      <c r="CL330" s="421">
        <v>1351</v>
      </c>
      <c r="CM330" s="758"/>
      <c r="CN330" s="758"/>
      <c r="CO330" s="421">
        <v>1351</v>
      </c>
      <c r="CP330" s="758"/>
      <c r="CQ330" s="758"/>
      <c r="CR330" s="421">
        <v>1351</v>
      </c>
      <c r="CS330" s="758"/>
      <c r="CT330" s="758"/>
      <c r="CU330" s="421">
        <v>1351</v>
      </c>
      <c r="CV330" s="758"/>
      <c r="CW330" s="758"/>
      <c r="CX330" s="421">
        <v>1351</v>
      </c>
      <c r="CY330" s="758"/>
      <c r="CZ330" s="758"/>
      <c r="DA330" s="421">
        <v>1351</v>
      </c>
      <c r="DB330" s="758"/>
      <c r="DC330" s="758"/>
      <c r="DD330" s="421">
        <v>1351</v>
      </c>
      <c r="DE330" s="758"/>
      <c r="DF330" s="758"/>
      <c r="DG330" s="421">
        <v>1351</v>
      </c>
      <c r="DH330" s="758"/>
      <c r="DI330" s="758"/>
      <c r="DJ330" s="421">
        <v>1351</v>
      </c>
      <c r="DK330" s="758"/>
      <c r="DL330" s="758"/>
      <c r="DM330" s="421">
        <v>1351</v>
      </c>
      <c r="DN330" s="758"/>
      <c r="DO330" s="758"/>
      <c r="DP330" s="421">
        <v>1351</v>
      </c>
      <c r="DQ330" s="758"/>
      <c r="DR330" s="758"/>
      <c r="DS330" s="421">
        <v>1351</v>
      </c>
      <c r="DT330" s="758"/>
      <c r="DU330" s="758"/>
      <c r="DV330" s="421">
        <v>1351</v>
      </c>
      <c r="DW330" s="758"/>
      <c r="DX330" s="758"/>
      <c r="DY330" s="421">
        <v>1351</v>
      </c>
      <c r="DZ330" s="758"/>
      <c r="EA330" s="758"/>
      <c r="EB330" s="421">
        <v>1351</v>
      </c>
      <c r="EC330" s="758"/>
      <c r="ED330" s="758"/>
      <c r="EE330" s="421">
        <v>1351</v>
      </c>
      <c r="EF330" s="758"/>
      <c r="EG330" s="758"/>
      <c r="EH330" s="421">
        <v>1351</v>
      </c>
      <c r="EI330" s="758"/>
      <c r="EJ330" s="758"/>
      <c r="EK330" s="421">
        <v>1351</v>
      </c>
      <c r="EL330" s="758"/>
      <c r="EM330" s="758"/>
      <c r="EN330" s="421">
        <v>1351</v>
      </c>
      <c r="EO330" s="758"/>
      <c r="EP330" s="758"/>
      <c r="EQ330" s="421">
        <v>1351</v>
      </c>
      <c r="ER330" s="758"/>
      <c r="ES330" s="758"/>
      <c r="ET330" s="421">
        <v>1351</v>
      </c>
      <c r="EU330" s="758"/>
      <c r="EV330" s="758"/>
      <c r="EW330" s="421">
        <v>1351</v>
      </c>
      <c r="EX330" s="758"/>
      <c r="EY330" s="758"/>
      <c r="EZ330" s="421">
        <v>1351</v>
      </c>
      <c r="FA330" s="758"/>
      <c r="FB330" s="758"/>
      <c r="FC330" s="421">
        <v>1351</v>
      </c>
      <c r="FD330" s="758"/>
      <c r="FE330" s="758"/>
      <c r="FF330" s="421">
        <v>1351</v>
      </c>
      <c r="FG330" s="758"/>
      <c r="FH330" s="758"/>
      <c r="FI330" s="421">
        <v>1351</v>
      </c>
      <c r="FJ330" s="758"/>
      <c r="FK330" s="758"/>
      <c r="FL330" s="421">
        <v>1351</v>
      </c>
      <c r="FM330" s="758"/>
      <c r="FN330" s="758"/>
      <c r="FO330" s="421">
        <v>1351</v>
      </c>
      <c r="FP330" s="758"/>
      <c r="FQ330" s="758"/>
      <c r="FR330" s="421">
        <v>1351</v>
      </c>
      <c r="FS330" s="758"/>
      <c r="FT330" s="758"/>
      <c r="FU330" s="421">
        <v>1351</v>
      </c>
      <c r="FV330" s="758"/>
      <c r="FW330" s="758"/>
      <c r="FX330" s="421">
        <v>1351</v>
      </c>
      <c r="FY330" s="758"/>
      <c r="FZ330" s="758"/>
      <c r="GA330" s="421">
        <v>1351</v>
      </c>
      <c r="GB330" s="758"/>
      <c r="GC330" s="758"/>
      <c r="GD330" s="421">
        <v>1351</v>
      </c>
      <c r="GE330" s="758"/>
      <c r="GF330" s="758"/>
      <c r="GG330" s="421">
        <v>1351</v>
      </c>
      <c r="GH330" s="758"/>
      <c r="GI330" s="758"/>
      <c r="GJ330" s="421">
        <v>1351</v>
      </c>
      <c r="GK330" s="758"/>
      <c r="GL330" s="758"/>
      <c r="GM330" s="422">
        <v>2613.4098360655739</v>
      </c>
      <c r="GN330" s="759"/>
      <c r="GO330" s="759"/>
      <c r="GP330" s="761"/>
      <c r="GQ330" s="761"/>
      <c r="GR330" s="761"/>
      <c r="GS330" s="761"/>
      <c r="GT330" s="761"/>
      <c r="GU330" s="761"/>
      <c r="GV330" s="761"/>
      <c r="GW330" s="761"/>
      <c r="GX330" s="761"/>
      <c r="GY330" s="761"/>
      <c r="GZ330" s="761"/>
      <c r="HA330" s="761"/>
      <c r="HB330" s="761"/>
      <c r="HC330" s="761"/>
      <c r="HD330" s="761"/>
      <c r="HE330" s="761"/>
      <c r="HF330" s="761"/>
      <c r="HG330" s="761"/>
      <c r="HH330" s="761"/>
      <c r="HI330" s="761"/>
      <c r="HJ330" s="761"/>
      <c r="HK330" s="761"/>
      <c r="HL330" s="761"/>
      <c r="HM330" s="761"/>
      <c r="HN330" s="761"/>
      <c r="HO330" s="761"/>
      <c r="HP330" s="761"/>
      <c r="HQ330" s="761"/>
      <c r="HR330" s="761"/>
      <c r="HS330" s="761"/>
      <c r="HT330" s="761"/>
      <c r="HU330" s="761"/>
      <c r="HV330" s="761"/>
      <c r="HW330" s="761"/>
      <c r="HX330" s="761"/>
      <c r="HY330" s="761"/>
      <c r="HZ330" s="761"/>
      <c r="IA330" s="761"/>
      <c r="IB330" s="761"/>
      <c r="IC330" s="761"/>
      <c r="ID330" s="761"/>
      <c r="IE330" s="761"/>
      <c r="IF330" s="761"/>
      <c r="IG330" s="761"/>
      <c r="IH330" s="762"/>
      <c r="II330" s="763"/>
      <c r="IJ330" s="762"/>
      <c r="IK330" s="763"/>
      <c r="IL330" s="762"/>
      <c r="IM330" s="763"/>
      <c r="IN330" s="762"/>
      <c r="IO330" s="763"/>
      <c r="IP330" s="762"/>
      <c r="IQ330" s="763"/>
      <c r="IR330" s="429" t="s">
        <v>3505</v>
      </c>
      <c r="IS330" s="587" t="s">
        <v>77</v>
      </c>
      <c r="IT330" s="611">
        <v>44138</v>
      </c>
      <c r="IU330" s="518">
        <v>44197</v>
      </c>
      <c r="IV330" s="552"/>
      <c r="IW330" s="526">
        <f t="shared" si="33"/>
        <v>59</v>
      </c>
      <c r="IX330" s="665">
        <f>GM330/30.5</f>
        <v>85.685568395592583</v>
      </c>
      <c r="IY330" s="665">
        <v>2613.4098360655739</v>
      </c>
    </row>
    <row r="331" spans="1:262" s="367" customFormat="1" ht="16.5" customHeight="1" x14ac:dyDescent="0.3">
      <c r="A331" s="526" t="s">
        <v>2758</v>
      </c>
      <c r="B331" s="355" t="s">
        <v>3833</v>
      </c>
      <c r="C331" s="378" t="s">
        <v>2546</v>
      </c>
      <c r="D331" s="846">
        <f>(27*3)+2565</f>
        <v>2646</v>
      </c>
      <c r="E331" s="868">
        <v>71</v>
      </c>
      <c r="F331" s="868">
        <v>6</v>
      </c>
      <c r="G331" s="868">
        <v>108</v>
      </c>
      <c r="H331" s="445">
        <v>0</v>
      </c>
      <c r="I331" s="844">
        <v>2615</v>
      </c>
      <c r="J331" s="606">
        <v>108</v>
      </c>
      <c r="K331" s="835"/>
      <c r="L331" s="606">
        <v>2615</v>
      </c>
      <c r="M331" s="606">
        <v>108</v>
      </c>
      <c r="N331" s="835"/>
      <c r="O331" s="606">
        <v>2615</v>
      </c>
      <c r="P331" s="606">
        <v>108</v>
      </c>
      <c r="Q331" s="835"/>
      <c r="R331" s="845">
        <f>((2615-1763)/30.5)*22+2615</f>
        <v>3229.5573770491801</v>
      </c>
      <c r="S331" s="845">
        <f>(108/30.5)*22+108</f>
        <v>185.90163934426229</v>
      </c>
      <c r="T331" s="835"/>
      <c r="U331" s="597">
        <v>1763</v>
      </c>
      <c r="V331" s="835"/>
      <c r="W331" s="835"/>
      <c r="X331" s="597">
        <v>1763</v>
      </c>
      <c r="Y331" s="835"/>
      <c r="Z331" s="835"/>
      <c r="AA331" s="597">
        <v>1763</v>
      </c>
      <c r="AB331" s="835"/>
      <c r="AC331" s="835"/>
      <c r="AD331" s="597">
        <v>1763</v>
      </c>
      <c r="AE331" s="835"/>
      <c r="AF331" s="835"/>
      <c r="AG331" s="597">
        <v>1763</v>
      </c>
      <c r="AH331" s="835"/>
      <c r="AI331" s="835"/>
      <c r="AJ331" s="597">
        <v>1763</v>
      </c>
      <c r="AK331" s="835"/>
      <c r="AL331" s="835"/>
      <c r="AM331" s="597">
        <v>1763</v>
      </c>
      <c r="AN331" s="835"/>
      <c r="AO331" s="835"/>
      <c r="AP331" s="597">
        <v>1763</v>
      </c>
      <c r="AQ331" s="827"/>
      <c r="AR331" s="827"/>
      <c r="AS331" s="597">
        <v>1763</v>
      </c>
      <c r="AT331" s="827"/>
      <c r="AU331" s="827"/>
      <c r="AV331" s="597">
        <v>1763</v>
      </c>
      <c r="AW331" s="827"/>
      <c r="AX331" s="827"/>
      <c r="AY331" s="597">
        <v>1763</v>
      </c>
      <c r="AZ331" s="827"/>
      <c r="BA331" s="405"/>
      <c r="BB331" s="421">
        <v>1763</v>
      </c>
      <c r="BC331" s="405"/>
      <c r="BD331" s="405"/>
      <c r="BE331" s="421">
        <v>1763</v>
      </c>
      <c r="BF331" s="405"/>
      <c r="BG331" s="405"/>
      <c r="BH331" s="421">
        <v>1763</v>
      </c>
      <c r="BI331" s="764"/>
      <c r="BJ331" s="602"/>
      <c r="BK331" s="421">
        <v>1763</v>
      </c>
      <c r="BL331" s="764"/>
      <c r="BM331" s="602"/>
      <c r="BN331" s="421">
        <v>1763</v>
      </c>
      <c r="BO331" s="764"/>
      <c r="BP331" s="602"/>
      <c r="BQ331" s="421">
        <v>1763</v>
      </c>
      <c r="BR331" s="764"/>
      <c r="BS331" s="602"/>
      <c r="BT331" s="421">
        <v>1763</v>
      </c>
      <c r="BU331" s="764"/>
      <c r="BV331" s="602"/>
      <c r="BW331" s="421">
        <v>1763</v>
      </c>
      <c r="BX331" s="764"/>
      <c r="BY331" s="602"/>
      <c r="BZ331" s="421">
        <v>1763</v>
      </c>
      <c r="CA331" s="764"/>
      <c r="CB331" s="602"/>
      <c r="CC331" s="421">
        <v>1763</v>
      </c>
      <c r="CD331" s="764"/>
      <c r="CE331" s="602"/>
      <c r="CF331" s="421">
        <v>1763</v>
      </c>
      <c r="CG331" s="764"/>
      <c r="CH331" s="602"/>
      <c r="CI331" s="421">
        <v>1763</v>
      </c>
      <c r="CJ331" s="764"/>
      <c r="CK331" s="602"/>
      <c r="CL331" s="421">
        <v>1763</v>
      </c>
      <c r="CM331" s="764"/>
      <c r="CN331" s="602"/>
      <c r="CO331" s="421">
        <v>1763</v>
      </c>
      <c r="CP331" s="764"/>
      <c r="CQ331" s="602"/>
      <c r="CR331" s="421">
        <v>1763</v>
      </c>
      <c r="CS331" s="764"/>
      <c r="CT331" s="602"/>
      <c r="CU331" s="421">
        <v>1763</v>
      </c>
      <c r="CV331" s="764"/>
      <c r="CW331" s="602"/>
      <c r="CX331" s="421">
        <v>1763</v>
      </c>
      <c r="CY331" s="764"/>
      <c r="CZ331" s="602"/>
      <c r="DA331" s="421">
        <v>1763</v>
      </c>
      <c r="DB331" s="764"/>
      <c r="DC331" s="602"/>
      <c r="DD331" s="421">
        <v>1763</v>
      </c>
      <c r="DE331" s="764"/>
      <c r="DF331" s="602"/>
      <c r="DG331" s="421">
        <v>1763</v>
      </c>
      <c r="DH331" s="764"/>
      <c r="DI331" s="602"/>
      <c r="DJ331" s="421">
        <v>1763</v>
      </c>
      <c r="DK331" s="764"/>
      <c r="DL331" s="602"/>
      <c r="DM331" s="421">
        <v>1763</v>
      </c>
      <c r="DN331" s="764"/>
      <c r="DO331" s="602"/>
      <c r="DP331" s="421">
        <v>1763</v>
      </c>
      <c r="DQ331" s="764"/>
      <c r="DR331" s="602"/>
      <c r="DS331" s="421">
        <v>1763</v>
      </c>
      <c r="DT331" s="764"/>
      <c r="DU331" s="602"/>
      <c r="DV331" s="421">
        <v>1763</v>
      </c>
      <c r="DW331" s="764"/>
      <c r="DX331" s="602"/>
      <c r="DY331" s="421">
        <v>1763</v>
      </c>
      <c r="DZ331" s="764"/>
      <c r="EA331" s="602"/>
      <c r="EB331" s="421">
        <v>1763</v>
      </c>
      <c r="EC331" s="764"/>
      <c r="ED331" s="602"/>
      <c r="EE331" s="421">
        <v>1763</v>
      </c>
      <c r="EF331" s="764"/>
      <c r="EG331" s="602"/>
      <c r="EH331" s="421">
        <v>1763</v>
      </c>
      <c r="EI331" s="764"/>
      <c r="EJ331" s="602"/>
      <c r="EK331" s="421">
        <v>1763</v>
      </c>
      <c r="EL331" s="764"/>
      <c r="EM331" s="602"/>
      <c r="EN331" s="421">
        <v>1763</v>
      </c>
      <c r="EO331" s="764"/>
      <c r="EP331" s="602"/>
      <c r="EQ331" s="421">
        <v>1763</v>
      </c>
      <c r="ER331" s="764"/>
      <c r="ES331" s="602"/>
      <c r="ET331" s="421">
        <v>1763</v>
      </c>
      <c r="EU331" s="764"/>
      <c r="EV331" s="602"/>
      <c r="EW331" s="421">
        <v>1763</v>
      </c>
      <c r="EX331" s="764"/>
      <c r="EY331" s="602"/>
      <c r="EZ331" s="421">
        <v>1763</v>
      </c>
      <c r="FA331" s="764"/>
      <c r="FB331" s="602"/>
      <c r="FC331" s="421">
        <v>1763</v>
      </c>
      <c r="FD331" s="764"/>
      <c r="FE331" s="602"/>
      <c r="FF331" s="421">
        <v>1763</v>
      </c>
      <c r="FG331" s="764"/>
      <c r="FH331" s="602"/>
      <c r="FI331" s="421">
        <v>1763</v>
      </c>
      <c r="FJ331" s="764"/>
      <c r="FK331" s="602"/>
      <c r="FL331" s="421">
        <v>1763</v>
      </c>
      <c r="FM331" s="764"/>
      <c r="FN331" s="602"/>
      <c r="FO331" s="421">
        <v>1763</v>
      </c>
      <c r="FP331" s="764"/>
      <c r="FQ331" s="602"/>
      <c r="FR331" s="421">
        <v>1763</v>
      </c>
      <c r="FS331" s="764"/>
      <c r="FT331" s="602"/>
      <c r="FU331" s="421">
        <v>1763</v>
      </c>
      <c r="FV331" s="764"/>
      <c r="FW331" s="602"/>
      <c r="FX331" s="421">
        <v>1763</v>
      </c>
      <c r="FY331" s="764"/>
      <c r="FZ331" s="602"/>
      <c r="GA331" s="421">
        <v>1763</v>
      </c>
      <c r="GB331" s="764"/>
      <c r="GC331" s="602"/>
      <c r="GD331" s="421">
        <v>1763</v>
      </c>
      <c r="GE331" s="764"/>
      <c r="GF331" s="602"/>
      <c r="GG331" s="421">
        <v>1763</v>
      </c>
      <c r="GH331" s="764"/>
      <c r="GI331" s="602"/>
      <c r="GJ331" s="422">
        <v>3121.377049180328</v>
      </c>
      <c r="GK331" s="765"/>
      <c r="GL331" s="714"/>
      <c r="GM331" s="611"/>
      <c r="GN331" s="587"/>
      <c r="GO331" s="587"/>
      <c r="GP331" s="587"/>
      <c r="GQ331" s="587"/>
      <c r="GR331" s="587"/>
      <c r="GS331" s="587"/>
      <c r="GT331" s="587"/>
      <c r="GU331" s="587"/>
      <c r="GV331" s="587"/>
      <c r="GW331" s="587"/>
      <c r="GX331" s="587"/>
      <c r="GY331" s="587"/>
      <c r="GZ331" s="587"/>
      <c r="HA331" s="587"/>
      <c r="HB331" s="587"/>
      <c r="HC331" s="587"/>
      <c r="HD331" s="587"/>
      <c r="HE331" s="587"/>
      <c r="HF331" s="587"/>
      <c r="HG331" s="587"/>
      <c r="HH331" s="587"/>
      <c r="HI331" s="587"/>
      <c r="HJ331" s="587"/>
      <c r="HK331" s="587"/>
      <c r="HL331" s="587"/>
      <c r="HM331" s="587"/>
      <c r="HN331" s="587"/>
      <c r="HO331" s="587"/>
      <c r="HP331" s="587"/>
      <c r="HQ331" s="587"/>
      <c r="HR331" s="587"/>
      <c r="HS331" s="587"/>
      <c r="HT331" s="587"/>
      <c r="HU331" s="587"/>
      <c r="HV331" s="587"/>
      <c r="HW331" s="587"/>
      <c r="HX331" s="587"/>
      <c r="HY331" s="587"/>
      <c r="HZ331" s="587"/>
      <c r="IA331" s="587"/>
      <c r="IB331" s="587"/>
      <c r="IC331" s="587"/>
      <c r="ID331" s="587"/>
      <c r="IE331" s="587"/>
      <c r="IF331" s="587"/>
      <c r="IG331" s="587"/>
      <c r="IH331" s="588"/>
      <c r="II331" s="589"/>
      <c r="IJ331" s="588"/>
      <c r="IK331" s="589"/>
      <c r="IL331" s="588"/>
      <c r="IM331" s="589"/>
      <c r="IN331" s="588"/>
      <c r="IO331" s="589"/>
      <c r="IP331" s="588"/>
      <c r="IQ331" s="589"/>
      <c r="IR331" s="717" t="s">
        <v>2845</v>
      </c>
      <c r="IS331" s="587" t="s">
        <v>77</v>
      </c>
      <c r="IT331" s="611">
        <v>44174</v>
      </c>
      <c r="IU331" s="518">
        <v>44228</v>
      </c>
      <c r="IV331" s="552"/>
      <c r="IW331" s="526">
        <f t="shared" si="33"/>
        <v>54</v>
      </c>
      <c r="IX331" s="665">
        <f t="shared" ref="IX331:IX336" si="38">GJ331/30.5</f>
        <v>102.34023112066649</v>
      </c>
      <c r="IY331" s="665">
        <v>3121.377049180328</v>
      </c>
    </row>
    <row r="332" spans="1:262" s="367" customFormat="1" ht="16.5" customHeight="1" x14ac:dyDescent="0.3">
      <c r="A332" s="526" t="s">
        <v>2758</v>
      </c>
      <c r="B332" s="355" t="s">
        <v>3833</v>
      </c>
      <c r="C332" s="378" t="s">
        <v>2194</v>
      </c>
      <c r="D332" s="846">
        <f>(24*3)+2395</f>
        <v>2467</v>
      </c>
      <c r="E332" s="868">
        <v>71</v>
      </c>
      <c r="F332" s="867">
        <v>0</v>
      </c>
      <c r="G332" s="868">
        <v>108</v>
      </c>
      <c r="H332" s="445">
        <v>0</v>
      </c>
      <c r="I332" s="844">
        <v>2442</v>
      </c>
      <c r="J332" s="606">
        <v>108</v>
      </c>
      <c r="K332" s="835"/>
      <c r="L332" s="606">
        <v>2442</v>
      </c>
      <c r="M332" s="606">
        <v>108</v>
      </c>
      <c r="N332" s="835"/>
      <c r="O332" s="606">
        <v>2442</v>
      </c>
      <c r="P332" s="606">
        <v>108</v>
      </c>
      <c r="Q332" s="835"/>
      <c r="R332" s="845">
        <f>((2442-908)/30.5)*22+2442</f>
        <v>3548.4918032786886</v>
      </c>
      <c r="S332" s="845">
        <f>(108/30.5)*22+108</f>
        <v>185.90163934426229</v>
      </c>
      <c r="T332" s="835"/>
      <c r="U332" s="606">
        <v>908</v>
      </c>
      <c r="V332" s="835"/>
      <c r="W332" s="835"/>
      <c r="X332" s="606">
        <v>908</v>
      </c>
      <c r="Y332" s="835"/>
      <c r="Z332" s="835"/>
      <c r="AA332" s="606">
        <v>908</v>
      </c>
      <c r="AB332" s="835"/>
      <c r="AC332" s="835"/>
      <c r="AD332" s="606">
        <v>908</v>
      </c>
      <c r="AE332" s="835"/>
      <c r="AF332" s="835"/>
      <c r="AG332" s="606">
        <v>908</v>
      </c>
      <c r="AH332" s="835"/>
      <c r="AI332" s="835"/>
      <c r="AJ332" s="606">
        <v>908</v>
      </c>
      <c r="AK332" s="835"/>
      <c r="AL332" s="835"/>
      <c r="AM332" s="606">
        <v>908</v>
      </c>
      <c r="AN332" s="835"/>
      <c r="AO332" s="835"/>
      <c r="AP332" s="597">
        <v>908</v>
      </c>
      <c r="AQ332" s="827"/>
      <c r="AR332" s="827"/>
      <c r="AS332" s="597">
        <v>908</v>
      </c>
      <c r="AT332" s="827"/>
      <c r="AU332" s="827"/>
      <c r="AV332" s="597">
        <v>908</v>
      </c>
      <c r="AW332" s="827"/>
      <c r="AX332" s="827"/>
      <c r="AY332" s="597">
        <v>908</v>
      </c>
      <c r="AZ332" s="827"/>
      <c r="BA332" s="405"/>
      <c r="BB332" s="421">
        <v>908</v>
      </c>
      <c r="BC332" s="405"/>
      <c r="BD332" s="405"/>
      <c r="BE332" s="421">
        <v>908</v>
      </c>
      <c r="BF332" s="405"/>
      <c r="BG332" s="405"/>
      <c r="BH332" s="421">
        <v>908</v>
      </c>
      <c r="BI332" s="764"/>
      <c r="BJ332" s="602"/>
      <c r="BK332" s="421">
        <v>908</v>
      </c>
      <c r="BL332" s="764"/>
      <c r="BM332" s="602"/>
      <c r="BN332" s="421">
        <v>908</v>
      </c>
      <c r="BO332" s="764"/>
      <c r="BP332" s="602"/>
      <c r="BQ332" s="421">
        <v>908</v>
      </c>
      <c r="BR332" s="764"/>
      <c r="BS332" s="602"/>
      <c r="BT332" s="421">
        <v>908</v>
      </c>
      <c r="BU332" s="764"/>
      <c r="BV332" s="602"/>
      <c r="BW332" s="421">
        <v>908</v>
      </c>
      <c r="BX332" s="764"/>
      <c r="BY332" s="602"/>
      <c r="BZ332" s="421">
        <v>908</v>
      </c>
      <c r="CA332" s="764"/>
      <c r="CB332" s="602"/>
      <c r="CC332" s="421">
        <v>908</v>
      </c>
      <c r="CD332" s="764"/>
      <c r="CE332" s="602"/>
      <c r="CF332" s="421">
        <v>908</v>
      </c>
      <c r="CG332" s="764"/>
      <c r="CH332" s="602"/>
      <c r="CI332" s="421">
        <v>908</v>
      </c>
      <c r="CJ332" s="764"/>
      <c r="CK332" s="602"/>
      <c r="CL332" s="421">
        <v>908</v>
      </c>
      <c r="CM332" s="764"/>
      <c r="CN332" s="602"/>
      <c r="CO332" s="421">
        <v>908</v>
      </c>
      <c r="CP332" s="764"/>
      <c r="CQ332" s="602"/>
      <c r="CR332" s="421">
        <v>908</v>
      </c>
      <c r="CS332" s="764"/>
      <c r="CT332" s="602"/>
      <c r="CU332" s="421">
        <v>908</v>
      </c>
      <c r="CV332" s="764"/>
      <c r="CW332" s="602"/>
      <c r="CX332" s="421">
        <v>908</v>
      </c>
      <c r="CY332" s="764"/>
      <c r="CZ332" s="602"/>
      <c r="DA332" s="421">
        <v>908</v>
      </c>
      <c r="DB332" s="764"/>
      <c r="DC332" s="602"/>
      <c r="DD332" s="421">
        <v>908</v>
      </c>
      <c r="DE332" s="764"/>
      <c r="DF332" s="602"/>
      <c r="DG332" s="421">
        <v>908</v>
      </c>
      <c r="DH332" s="764"/>
      <c r="DI332" s="602"/>
      <c r="DJ332" s="421">
        <v>908</v>
      </c>
      <c r="DK332" s="764"/>
      <c r="DL332" s="602"/>
      <c r="DM332" s="421">
        <v>908</v>
      </c>
      <c r="DN332" s="764"/>
      <c r="DO332" s="602"/>
      <c r="DP332" s="421">
        <v>908</v>
      </c>
      <c r="DQ332" s="764"/>
      <c r="DR332" s="602"/>
      <c r="DS332" s="421">
        <v>908</v>
      </c>
      <c r="DT332" s="764"/>
      <c r="DU332" s="602"/>
      <c r="DV332" s="421">
        <v>908</v>
      </c>
      <c r="DW332" s="764"/>
      <c r="DX332" s="602"/>
      <c r="DY332" s="421">
        <v>908</v>
      </c>
      <c r="DZ332" s="764"/>
      <c r="EA332" s="602"/>
      <c r="EB332" s="421">
        <v>908</v>
      </c>
      <c r="EC332" s="764"/>
      <c r="ED332" s="602"/>
      <c r="EE332" s="421">
        <v>908</v>
      </c>
      <c r="EF332" s="764"/>
      <c r="EG332" s="602"/>
      <c r="EH332" s="421">
        <v>908</v>
      </c>
      <c r="EI332" s="764"/>
      <c r="EJ332" s="602"/>
      <c r="EK332" s="421">
        <v>908</v>
      </c>
      <c r="EL332" s="764"/>
      <c r="EM332" s="602"/>
      <c r="EN332" s="421">
        <v>908</v>
      </c>
      <c r="EO332" s="764"/>
      <c r="EP332" s="602"/>
      <c r="EQ332" s="421">
        <v>908</v>
      </c>
      <c r="ER332" s="764"/>
      <c r="ES332" s="602"/>
      <c r="ET332" s="421">
        <v>908</v>
      </c>
      <c r="EU332" s="764"/>
      <c r="EV332" s="602"/>
      <c r="EW332" s="421">
        <v>908</v>
      </c>
      <c r="EX332" s="764"/>
      <c r="EY332" s="602"/>
      <c r="EZ332" s="421">
        <v>908</v>
      </c>
      <c r="FA332" s="764"/>
      <c r="FB332" s="602"/>
      <c r="FC332" s="421">
        <v>908</v>
      </c>
      <c r="FD332" s="764"/>
      <c r="FE332" s="602"/>
      <c r="FF332" s="421">
        <v>908</v>
      </c>
      <c r="FG332" s="764"/>
      <c r="FH332" s="602"/>
      <c r="FI332" s="421">
        <v>908</v>
      </c>
      <c r="FJ332" s="764"/>
      <c r="FK332" s="602"/>
      <c r="FL332" s="421">
        <v>908</v>
      </c>
      <c r="FM332" s="764"/>
      <c r="FN332" s="602"/>
      <c r="FO332" s="421">
        <v>908</v>
      </c>
      <c r="FP332" s="764"/>
      <c r="FQ332" s="602"/>
      <c r="FR332" s="421">
        <v>908</v>
      </c>
      <c r="FS332" s="764"/>
      <c r="FT332" s="602"/>
      <c r="FU332" s="421">
        <v>908</v>
      </c>
      <c r="FV332" s="764"/>
      <c r="FW332" s="602"/>
      <c r="FX332" s="421">
        <v>908</v>
      </c>
      <c r="FY332" s="764"/>
      <c r="FZ332" s="602"/>
      <c r="GA332" s="421">
        <v>908</v>
      </c>
      <c r="GB332" s="764"/>
      <c r="GC332" s="602"/>
      <c r="GD332" s="421">
        <v>908</v>
      </c>
      <c r="GE332" s="764"/>
      <c r="GF332" s="602"/>
      <c r="GG332" s="421">
        <v>908</v>
      </c>
      <c r="GH332" s="764"/>
      <c r="GI332" s="602"/>
      <c r="GJ332" s="422">
        <v>1607.6065573770491</v>
      </c>
      <c r="GK332" s="765"/>
      <c r="GL332" s="714"/>
      <c r="GM332" s="611"/>
      <c r="GN332" s="587"/>
      <c r="GO332" s="587"/>
      <c r="GP332" s="587"/>
      <c r="GQ332" s="587"/>
      <c r="GR332" s="587"/>
      <c r="GS332" s="587"/>
      <c r="GT332" s="587"/>
      <c r="GU332" s="587"/>
      <c r="GV332" s="587"/>
      <c r="GW332" s="587"/>
      <c r="GX332" s="587"/>
      <c r="GY332" s="587"/>
      <c r="GZ332" s="587"/>
      <c r="HA332" s="587"/>
      <c r="HB332" s="587"/>
      <c r="HC332" s="587"/>
      <c r="HD332" s="587"/>
      <c r="HE332" s="587"/>
      <c r="HF332" s="587"/>
      <c r="HG332" s="587"/>
      <c r="HH332" s="587"/>
      <c r="HI332" s="587"/>
      <c r="HJ332" s="587"/>
      <c r="HK332" s="587"/>
      <c r="HL332" s="587"/>
      <c r="HM332" s="587"/>
      <c r="HN332" s="587"/>
      <c r="HO332" s="587"/>
      <c r="HP332" s="587"/>
      <c r="HQ332" s="587"/>
      <c r="HR332" s="587"/>
      <c r="HS332" s="587"/>
      <c r="HT332" s="587"/>
      <c r="HU332" s="587"/>
      <c r="HV332" s="587"/>
      <c r="HW332" s="587"/>
      <c r="HX332" s="587"/>
      <c r="HY332" s="587"/>
      <c r="HZ332" s="587"/>
      <c r="IA332" s="587"/>
      <c r="IB332" s="587"/>
      <c r="IC332" s="587"/>
      <c r="ID332" s="587"/>
      <c r="IE332" s="587"/>
      <c r="IF332" s="587"/>
      <c r="IG332" s="587"/>
      <c r="IH332" s="588"/>
      <c r="II332" s="589"/>
      <c r="IJ332" s="588"/>
      <c r="IK332" s="589"/>
      <c r="IL332" s="588"/>
      <c r="IM332" s="589"/>
      <c r="IN332" s="588"/>
      <c r="IO332" s="589"/>
      <c r="IP332" s="588"/>
      <c r="IQ332" s="589"/>
      <c r="IR332" s="717" t="s">
        <v>2840</v>
      </c>
      <c r="IS332" s="587" t="s">
        <v>77</v>
      </c>
      <c r="IT332" s="611">
        <v>44174</v>
      </c>
      <c r="IU332" s="518">
        <v>44228</v>
      </c>
      <c r="IV332" s="552"/>
      <c r="IW332" s="526">
        <f t="shared" si="33"/>
        <v>54</v>
      </c>
      <c r="IX332" s="665">
        <f t="shared" si="38"/>
        <v>52.708411717280299</v>
      </c>
      <c r="IY332" s="665">
        <v>1607.6065573770491</v>
      </c>
    </row>
    <row r="333" spans="1:262" s="367" customFormat="1" ht="16.5" customHeight="1" x14ac:dyDescent="0.3">
      <c r="A333" s="526" t="s">
        <v>2758</v>
      </c>
      <c r="B333" s="355" t="s">
        <v>3755</v>
      </c>
      <c r="C333" s="396" t="s">
        <v>2149</v>
      </c>
      <c r="D333" s="766">
        <v>675</v>
      </c>
      <c r="E333" s="767">
        <v>22</v>
      </c>
      <c r="F333" s="767">
        <v>8</v>
      </c>
      <c r="G333" s="767">
        <v>5</v>
      </c>
      <c r="H333" s="768">
        <v>0</v>
      </c>
      <c r="I333" s="855">
        <v>705</v>
      </c>
      <c r="J333" s="655">
        <v>5</v>
      </c>
      <c r="K333" s="827"/>
      <c r="L333" s="597">
        <v>705</v>
      </c>
      <c r="M333" s="655">
        <v>5</v>
      </c>
      <c r="N333" s="827"/>
      <c r="O333" s="597">
        <v>705</v>
      </c>
      <c r="P333" s="655">
        <v>5</v>
      </c>
      <c r="Q333" s="827"/>
      <c r="R333" s="597">
        <v>705</v>
      </c>
      <c r="S333" s="655">
        <v>5</v>
      </c>
      <c r="T333" s="827"/>
      <c r="U333" s="597">
        <v>705</v>
      </c>
      <c r="V333" s="655">
        <v>5</v>
      </c>
      <c r="W333" s="827"/>
      <c r="X333" s="597">
        <v>705</v>
      </c>
      <c r="Y333" s="655">
        <v>5</v>
      </c>
      <c r="Z333" s="827"/>
      <c r="AA333" s="597">
        <v>705</v>
      </c>
      <c r="AB333" s="655">
        <v>5</v>
      </c>
      <c r="AC333" s="827"/>
      <c r="AD333" s="597">
        <v>705</v>
      </c>
      <c r="AE333" s="655">
        <v>5</v>
      </c>
      <c r="AF333" s="827"/>
      <c r="AG333" s="597">
        <v>705</v>
      </c>
      <c r="AH333" s="655">
        <v>5</v>
      </c>
      <c r="AI333" s="827"/>
      <c r="AJ333" s="597">
        <v>705</v>
      </c>
      <c r="AK333" s="655">
        <v>5</v>
      </c>
      <c r="AL333" s="827"/>
      <c r="AM333" s="597">
        <v>705</v>
      </c>
      <c r="AN333" s="655">
        <v>5</v>
      </c>
      <c r="AO333" s="827"/>
      <c r="AP333" s="597">
        <v>705</v>
      </c>
      <c r="AQ333" s="655">
        <v>5</v>
      </c>
      <c r="AR333" s="827"/>
      <c r="AS333" s="597">
        <v>705</v>
      </c>
      <c r="AT333" s="655">
        <v>5</v>
      </c>
      <c r="AU333" s="827"/>
      <c r="AV333" s="597">
        <v>705</v>
      </c>
      <c r="AW333" s="655">
        <v>5</v>
      </c>
      <c r="AX333" s="827"/>
      <c r="AY333" s="597">
        <v>705</v>
      </c>
      <c r="AZ333" s="655">
        <v>5</v>
      </c>
      <c r="BA333" s="405"/>
      <c r="BB333" s="421">
        <v>705</v>
      </c>
      <c r="BC333" s="655">
        <v>5</v>
      </c>
      <c r="BD333" s="405"/>
      <c r="BE333" s="421">
        <v>705</v>
      </c>
      <c r="BF333" s="655">
        <v>5</v>
      </c>
      <c r="BG333" s="405"/>
      <c r="BH333" s="421">
        <v>705</v>
      </c>
      <c r="BI333" s="655">
        <v>5</v>
      </c>
      <c r="BJ333" s="602"/>
      <c r="BK333" s="421">
        <v>705</v>
      </c>
      <c r="BL333" s="655">
        <v>5</v>
      </c>
      <c r="BM333" s="602"/>
      <c r="BN333" s="421">
        <v>705</v>
      </c>
      <c r="BO333" s="655">
        <v>5</v>
      </c>
      <c r="BP333" s="602"/>
      <c r="BQ333" s="421">
        <v>705</v>
      </c>
      <c r="BR333" s="655">
        <v>5</v>
      </c>
      <c r="BS333" s="602"/>
      <c r="BT333" s="421">
        <v>705</v>
      </c>
      <c r="BU333" s="655">
        <v>5</v>
      </c>
      <c r="BV333" s="602"/>
      <c r="BW333" s="421">
        <v>705</v>
      </c>
      <c r="BX333" s="655">
        <v>5</v>
      </c>
      <c r="BY333" s="602"/>
      <c r="BZ333" s="421">
        <v>705</v>
      </c>
      <c r="CA333" s="655">
        <v>5</v>
      </c>
      <c r="CB333" s="602"/>
      <c r="CC333" s="421">
        <v>705</v>
      </c>
      <c r="CD333" s="655">
        <v>5</v>
      </c>
      <c r="CE333" s="602"/>
      <c r="CF333" s="421">
        <v>705</v>
      </c>
      <c r="CG333" s="655">
        <v>5</v>
      </c>
      <c r="CH333" s="602"/>
      <c r="CI333" s="421">
        <v>705</v>
      </c>
      <c r="CJ333" s="655">
        <v>5</v>
      </c>
      <c r="CK333" s="602"/>
      <c r="CL333" s="421">
        <v>705</v>
      </c>
      <c r="CM333" s="655">
        <v>5</v>
      </c>
      <c r="CN333" s="602"/>
      <c r="CO333" s="421">
        <v>705</v>
      </c>
      <c r="CP333" s="655">
        <v>5</v>
      </c>
      <c r="CQ333" s="602"/>
      <c r="CR333" s="421">
        <v>705</v>
      </c>
      <c r="CS333" s="655">
        <v>5</v>
      </c>
      <c r="CT333" s="602"/>
      <c r="CU333" s="421">
        <v>705</v>
      </c>
      <c r="CV333" s="655">
        <v>5</v>
      </c>
      <c r="CW333" s="602"/>
      <c r="CX333" s="421">
        <v>705</v>
      </c>
      <c r="CY333" s="655">
        <v>5</v>
      </c>
      <c r="CZ333" s="602"/>
      <c r="DA333" s="421">
        <v>705</v>
      </c>
      <c r="DB333" s="655">
        <v>5</v>
      </c>
      <c r="DC333" s="602"/>
      <c r="DD333" s="421">
        <v>705</v>
      </c>
      <c r="DE333" s="655">
        <v>5</v>
      </c>
      <c r="DF333" s="602"/>
      <c r="DG333" s="421">
        <v>705</v>
      </c>
      <c r="DH333" s="655">
        <v>5</v>
      </c>
      <c r="DI333" s="602"/>
      <c r="DJ333" s="421">
        <v>705</v>
      </c>
      <c r="DK333" s="655">
        <v>5</v>
      </c>
      <c r="DL333" s="602"/>
      <c r="DM333" s="421">
        <v>705</v>
      </c>
      <c r="DN333" s="655">
        <v>5</v>
      </c>
      <c r="DO333" s="602"/>
      <c r="DP333" s="421">
        <v>705</v>
      </c>
      <c r="DQ333" s="655">
        <v>5</v>
      </c>
      <c r="DR333" s="602"/>
      <c r="DS333" s="421">
        <v>705</v>
      </c>
      <c r="DT333" s="655">
        <v>5</v>
      </c>
      <c r="DU333" s="602"/>
      <c r="DV333" s="421">
        <v>705</v>
      </c>
      <c r="DW333" s="655">
        <v>5</v>
      </c>
      <c r="DX333" s="602"/>
      <c r="DY333" s="421">
        <v>705</v>
      </c>
      <c r="DZ333" s="655">
        <v>5</v>
      </c>
      <c r="EA333" s="602"/>
      <c r="EB333" s="421">
        <v>705</v>
      </c>
      <c r="EC333" s="655">
        <v>5</v>
      </c>
      <c r="ED333" s="602"/>
      <c r="EE333" s="421">
        <v>705</v>
      </c>
      <c r="EF333" s="655">
        <v>5</v>
      </c>
      <c r="EG333" s="602"/>
      <c r="EH333" s="421">
        <v>705</v>
      </c>
      <c r="EI333" s="655">
        <v>5</v>
      </c>
      <c r="EJ333" s="602"/>
      <c r="EK333" s="421">
        <v>705</v>
      </c>
      <c r="EL333" s="655">
        <v>5</v>
      </c>
      <c r="EM333" s="602"/>
      <c r="EN333" s="421">
        <v>705</v>
      </c>
      <c r="EO333" s="655">
        <v>5</v>
      </c>
      <c r="EP333" s="602"/>
      <c r="EQ333" s="421">
        <v>705</v>
      </c>
      <c r="ER333" s="655">
        <v>5</v>
      </c>
      <c r="ES333" s="602"/>
      <c r="ET333" s="421">
        <v>705</v>
      </c>
      <c r="EU333" s="655">
        <v>5</v>
      </c>
      <c r="EV333" s="602"/>
      <c r="EW333" s="421">
        <v>705</v>
      </c>
      <c r="EX333" s="655">
        <v>5</v>
      </c>
      <c r="EY333" s="602"/>
      <c r="EZ333" s="421">
        <v>705</v>
      </c>
      <c r="FA333" s="655">
        <v>5</v>
      </c>
      <c r="FB333" s="602"/>
      <c r="FC333" s="421">
        <v>705</v>
      </c>
      <c r="FD333" s="655">
        <v>5</v>
      </c>
      <c r="FE333" s="602"/>
      <c r="FF333" s="421">
        <v>705</v>
      </c>
      <c r="FG333" s="655">
        <v>5</v>
      </c>
      <c r="FH333" s="602"/>
      <c r="FI333" s="421">
        <v>705</v>
      </c>
      <c r="FJ333" s="655">
        <v>5</v>
      </c>
      <c r="FK333" s="602"/>
      <c r="FL333" s="421">
        <v>705</v>
      </c>
      <c r="FM333" s="655">
        <v>5</v>
      </c>
      <c r="FN333" s="602"/>
      <c r="FO333" s="421">
        <v>705</v>
      </c>
      <c r="FP333" s="655">
        <v>5</v>
      </c>
      <c r="FQ333" s="602"/>
      <c r="FR333" s="421">
        <v>705</v>
      </c>
      <c r="FS333" s="655">
        <v>5</v>
      </c>
      <c r="FT333" s="602"/>
      <c r="FU333" s="421">
        <v>705</v>
      </c>
      <c r="FV333" s="655">
        <v>5</v>
      </c>
      <c r="FW333" s="602"/>
      <c r="FX333" s="421">
        <v>705</v>
      </c>
      <c r="FY333" s="655">
        <v>5</v>
      </c>
      <c r="FZ333" s="602"/>
      <c r="GA333" s="421">
        <v>705</v>
      </c>
      <c r="GB333" s="655">
        <v>5</v>
      </c>
      <c r="GC333" s="602"/>
      <c r="GD333" s="421">
        <v>705</v>
      </c>
      <c r="GE333" s="655">
        <v>5</v>
      </c>
      <c r="GF333" s="602"/>
      <c r="GG333" s="421">
        <v>705</v>
      </c>
      <c r="GH333" s="655">
        <v>5</v>
      </c>
      <c r="GI333" s="602"/>
      <c r="GJ333" s="422">
        <v>1248.1967213114754</v>
      </c>
      <c r="GK333" s="517">
        <v>8.8524590163934427</v>
      </c>
      <c r="GL333" s="714"/>
      <c r="GM333" s="611"/>
      <c r="GN333" s="587"/>
      <c r="GO333" s="587"/>
      <c r="GP333" s="587"/>
      <c r="GQ333" s="587"/>
      <c r="GR333" s="587"/>
      <c r="GS333" s="587"/>
      <c r="GT333" s="587"/>
      <c r="GU333" s="587"/>
      <c r="GV333" s="587"/>
      <c r="GW333" s="587"/>
      <c r="GX333" s="587"/>
      <c r="GY333" s="587"/>
      <c r="GZ333" s="587"/>
      <c r="HA333" s="587"/>
      <c r="HB333" s="587"/>
      <c r="HC333" s="587"/>
      <c r="HD333" s="587"/>
      <c r="HE333" s="587"/>
      <c r="HF333" s="587"/>
      <c r="HG333" s="587"/>
      <c r="HH333" s="587"/>
      <c r="HI333" s="587"/>
      <c r="HJ333" s="587"/>
      <c r="HK333" s="587"/>
      <c r="HL333" s="587"/>
      <c r="HM333" s="587"/>
      <c r="HN333" s="587"/>
      <c r="HO333" s="587"/>
      <c r="HP333" s="587"/>
      <c r="HQ333" s="587"/>
      <c r="HR333" s="587"/>
      <c r="HS333" s="587"/>
      <c r="HT333" s="587"/>
      <c r="HU333" s="587"/>
      <c r="HV333" s="587"/>
      <c r="HW333" s="587"/>
      <c r="HX333" s="587"/>
      <c r="HY333" s="587"/>
      <c r="HZ333" s="587"/>
      <c r="IA333" s="587"/>
      <c r="IB333" s="587"/>
      <c r="IC333" s="587"/>
      <c r="ID333" s="587"/>
      <c r="IE333" s="587"/>
      <c r="IF333" s="587"/>
      <c r="IG333" s="587"/>
      <c r="IH333" s="588"/>
      <c r="II333" s="589"/>
      <c r="IJ333" s="588"/>
      <c r="IK333" s="589"/>
      <c r="IL333" s="588"/>
      <c r="IM333" s="589"/>
      <c r="IN333" s="588"/>
      <c r="IO333" s="589"/>
      <c r="IP333" s="588"/>
      <c r="IQ333" s="589"/>
      <c r="IR333" s="717" t="s">
        <v>2990</v>
      </c>
      <c r="IS333" s="587" t="s">
        <v>77</v>
      </c>
      <c r="IT333" s="611">
        <v>44174</v>
      </c>
      <c r="IU333" s="518">
        <v>44228</v>
      </c>
      <c r="IV333" s="552"/>
      <c r="IW333" s="526">
        <f t="shared" si="33"/>
        <v>54</v>
      </c>
      <c r="IX333" s="665">
        <f t="shared" si="38"/>
        <v>40.924482665950009</v>
      </c>
      <c r="IY333" s="665">
        <v>1248.1967213114754</v>
      </c>
    </row>
    <row r="334" spans="1:262" s="367" customFormat="1" ht="16.5" customHeight="1" x14ac:dyDescent="0.3">
      <c r="A334" s="526" t="s">
        <v>2758</v>
      </c>
      <c r="B334" s="355" t="s">
        <v>2884</v>
      </c>
      <c r="C334" s="443" t="s">
        <v>2140</v>
      </c>
      <c r="D334" s="444">
        <v>1027</v>
      </c>
      <c r="E334" s="445">
        <v>44</v>
      </c>
      <c r="F334" s="445">
        <v>40</v>
      </c>
      <c r="G334" s="445">
        <v>5</v>
      </c>
      <c r="H334" s="446">
        <v>0</v>
      </c>
      <c r="I334" s="855">
        <f>1111</f>
        <v>1111</v>
      </c>
      <c r="J334" s="831">
        <f>5</f>
        <v>5</v>
      </c>
      <c r="K334" s="827"/>
      <c r="L334" s="597">
        <f>1111</f>
        <v>1111</v>
      </c>
      <c r="M334" s="831">
        <f>5</f>
        <v>5</v>
      </c>
      <c r="N334" s="827"/>
      <c r="O334" s="597">
        <f>1111</f>
        <v>1111</v>
      </c>
      <c r="P334" s="831">
        <f>5</f>
        <v>5</v>
      </c>
      <c r="Q334" s="827"/>
      <c r="R334" s="597">
        <f>1111</f>
        <v>1111</v>
      </c>
      <c r="S334" s="831">
        <f>5</f>
        <v>5</v>
      </c>
      <c r="T334" s="827"/>
      <c r="U334" s="597">
        <f>1111</f>
        <v>1111</v>
      </c>
      <c r="V334" s="831">
        <f>5</f>
        <v>5</v>
      </c>
      <c r="W334" s="827"/>
      <c r="X334" s="597">
        <f>1111</f>
        <v>1111</v>
      </c>
      <c r="Y334" s="831">
        <f>5</f>
        <v>5</v>
      </c>
      <c r="Z334" s="827"/>
      <c r="AA334" s="597">
        <f>1111</f>
        <v>1111</v>
      </c>
      <c r="AB334" s="831">
        <f>5</f>
        <v>5</v>
      </c>
      <c r="AC334" s="827"/>
      <c r="AD334" s="597">
        <f>1111</f>
        <v>1111</v>
      </c>
      <c r="AE334" s="831">
        <f>5</f>
        <v>5</v>
      </c>
      <c r="AF334" s="827"/>
      <c r="AG334" s="597">
        <f>1111</f>
        <v>1111</v>
      </c>
      <c r="AH334" s="831">
        <f>5</f>
        <v>5</v>
      </c>
      <c r="AI334" s="827"/>
      <c r="AJ334" s="597">
        <f>1111</f>
        <v>1111</v>
      </c>
      <c r="AK334" s="831">
        <f>5</f>
        <v>5</v>
      </c>
      <c r="AL334" s="827"/>
      <c r="AM334" s="597">
        <f>1111</f>
        <v>1111</v>
      </c>
      <c r="AN334" s="831">
        <f>5</f>
        <v>5</v>
      </c>
      <c r="AO334" s="827"/>
      <c r="AP334" s="597">
        <f>1111</f>
        <v>1111</v>
      </c>
      <c r="AQ334" s="831">
        <f>5</f>
        <v>5</v>
      </c>
      <c r="AR334" s="827"/>
      <c r="AS334" s="597">
        <f>1111</f>
        <v>1111</v>
      </c>
      <c r="AT334" s="831">
        <f>5</f>
        <v>5</v>
      </c>
      <c r="AU334" s="827"/>
      <c r="AV334" s="597">
        <f>1111</f>
        <v>1111</v>
      </c>
      <c r="AW334" s="831">
        <f>5</f>
        <v>5</v>
      </c>
      <c r="AX334" s="827"/>
      <c r="AY334" s="597">
        <f>1111</f>
        <v>1111</v>
      </c>
      <c r="AZ334" s="831">
        <f>5</f>
        <v>5</v>
      </c>
      <c r="BA334" s="405"/>
      <c r="BB334" s="421">
        <f>1111</f>
        <v>1111</v>
      </c>
      <c r="BC334" s="385">
        <f>5</f>
        <v>5</v>
      </c>
      <c r="BD334" s="405"/>
      <c r="BE334" s="421">
        <f>1111</f>
        <v>1111</v>
      </c>
      <c r="BF334" s="385">
        <f>5</f>
        <v>5</v>
      </c>
      <c r="BG334" s="405"/>
      <c r="BH334" s="421">
        <f>1111</f>
        <v>1111</v>
      </c>
      <c r="BI334" s="385">
        <f>5</f>
        <v>5</v>
      </c>
      <c r="BJ334" s="602"/>
      <c r="BK334" s="421">
        <f>1111</f>
        <v>1111</v>
      </c>
      <c r="BL334" s="385">
        <f>5</f>
        <v>5</v>
      </c>
      <c r="BM334" s="602"/>
      <c r="BN334" s="421">
        <f>1111</f>
        <v>1111</v>
      </c>
      <c r="BO334" s="385">
        <f>5</f>
        <v>5</v>
      </c>
      <c r="BP334" s="602"/>
      <c r="BQ334" s="421">
        <f>1111</f>
        <v>1111</v>
      </c>
      <c r="BR334" s="385">
        <f>5</f>
        <v>5</v>
      </c>
      <c r="BS334" s="602"/>
      <c r="BT334" s="422">
        <f>((1111-1063)/30.5*8)+1111</f>
        <v>1123.5901639344263</v>
      </c>
      <c r="BU334" s="386">
        <f>((5/30.5*8)+5)</f>
        <v>6.3114754098360653</v>
      </c>
      <c r="BV334" s="714"/>
      <c r="BW334" s="421">
        <v>1063</v>
      </c>
      <c r="BX334" s="764"/>
      <c r="BY334" s="602"/>
      <c r="BZ334" s="421">
        <v>1063</v>
      </c>
      <c r="CA334" s="764"/>
      <c r="CB334" s="602"/>
      <c r="CC334" s="421">
        <v>1063</v>
      </c>
      <c r="CD334" s="764"/>
      <c r="CE334" s="602"/>
      <c r="CF334" s="421">
        <v>1063</v>
      </c>
      <c r="CG334" s="764"/>
      <c r="CH334" s="602"/>
      <c r="CI334" s="421">
        <v>1063</v>
      </c>
      <c r="CJ334" s="764"/>
      <c r="CK334" s="602"/>
      <c r="CL334" s="421">
        <v>1063</v>
      </c>
      <c r="CM334" s="764"/>
      <c r="CN334" s="602"/>
      <c r="CO334" s="421">
        <v>1063</v>
      </c>
      <c r="CP334" s="764"/>
      <c r="CQ334" s="602"/>
      <c r="CR334" s="421">
        <v>1063</v>
      </c>
      <c r="CS334" s="764"/>
      <c r="CT334" s="602"/>
      <c r="CU334" s="421">
        <v>1063</v>
      </c>
      <c r="CV334" s="764"/>
      <c r="CW334" s="602"/>
      <c r="CX334" s="421">
        <v>1063</v>
      </c>
      <c r="CY334" s="764"/>
      <c r="CZ334" s="602"/>
      <c r="DA334" s="421">
        <v>1063</v>
      </c>
      <c r="DB334" s="764"/>
      <c r="DC334" s="602"/>
      <c r="DD334" s="421">
        <v>1063</v>
      </c>
      <c r="DE334" s="764"/>
      <c r="DF334" s="602"/>
      <c r="DG334" s="421">
        <v>1063</v>
      </c>
      <c r="DH334" s="764"/>
      <c r="DI334" s="602"/>
      <c r="DJ334" s="421">
        <v>1063</v>
      </c>
      <c r="DK334" s="764"/>
      <c r="DL334" s="602"/>
      <c r="DM334" s="421">
        <v>1063</v>
      </c>
      <c r="DN334" s="764"/>
      <c r="DO334" s="602"/>
      <c r="DP334" s="421">
        <v>1063</v>
      </c>
      <c r="DQ334" s="764"/>
      <c r="DR334" s="602"/>
      <c r="DS334" s="421">
        <v>1063</v>
      </c>
      <c r="DT334" s="764"/>
      <c r="DU334" s="602"/>
      <c r="DV334" s="421">
        <v>1063</v>
      </c>
      <c r="DW334" s="764"/>
      <c r="DX334" s="602"/>
      <c r="DY334" s="421">
        <v>1063</v>
      </c>
      <c r="DZ334" s="764"/>
      <c r="EA334" s="602"/>
      <c r="EB334" s="421">
        <v>1063</v>
      </c>
      <c r="EC334" s="764"/>
      <c r="ED334" s="602"/>
      <c r="EE334" s="421">
        <v>1063</v>
      </c>
      <c r="EF334" s="764"/>
      <c r="EG334" s="602"/>
      <c r="EH334" s="421">
        <v>1063</v>
      </c>
      <c r="EI334" s="764"/>
      <c r="EJ334" s="602"/>
      <c r="EK334" s="421">
        <v>1063</v>
      </c>
      <c r="EL334" s="764"/>
      <c r="EM334" s="602"/>
      <c r="EN334" s="421">
        <v>1063</v>
      </c>
      <c r="EO334" s="764"/>
      <c r="EP334" s="602"/>
      <c r="EQ334" s="421">
        <v>1063</v>
      </c>
      <c r="ER334" s="764"/>
      <c r="ES334" s="602"/>
      <c r="ET334" s="421">
        <v>1063</v>
      </c>
      <c r="EU334" s="764"/>
      <c r="EV334" s="602"/>
      <c r="EW334" s="421">
        <v>1063</v>
      </c>
      <c r="EX334" s="764"/>
      <c r="EY334" s="602"/>
      <c r="EZ334" s="421">
        <v>1063</v>
      </c>
      <c r="FA334" s="764"/>
      <c r="FB334" s="602"/>
      <c r="FC334" s="421">
        <v>1063</v>
      </c>
      <c r="FD334" s="764"/>
      <c r="FE334" s="602"/>
      <c r="FF334" s="421">
        <v>1063</v>
      </c>
      <c r="FG334" s="764"/>
      <c r="FH334" s="602"/>
      <c r="FI334" s="421">
        <v>1063</v>
      </c>
      <c r="FJ334" s="764"/>
      <c r="FK334" s="602"/>
      <c r="FL334" s="421">
        <v>1063</v>
      </c>
      <c r="FM334" s="764"/>
      <c r="FN334" s="602"/>
      <c r="FO334" s="421">
        <v>1063</v>
      </c>
      <c r="FP334" s="764"/>
      <c r="FQ334" s="602"/>
      <c r="FR334" s="421">
        <v>1063</v>
      </c>
      <c r="FS334" s="764"/>
      <c r="FT334" s="602"/>
      <c r="FU334" s="421">
        <v>1063</v>
      </c>
      <c r="FV334" s="764"/>
      <c r="FW334" s="602"/>
      <c r="FX334" s="421">
        <v>1063</v>
      </c>
      <c r="FY334" s="764"/>
      <c r="FZ334" s="602"/>
      <c r="GA334" s="421">
        <v>1063</v>
      </c>
      <c r="GB334" s="764"/>
      <c r="GC334" s="602"/>
      <c r="GD334" s="421">
        <v>1063</v>
      </c>
      <c r="GE334" s="764"/>
      <c r="GF334" s="602"/>
      <c r="GG334" s="421">
        <v>1063</v>
      </c>
      <c r="GH334" s="764"/>
      <c r="GI334" s="602"/>
      <c r="GJ334" s="422">
        <v>1603.2131147540981</v>
      </c>
      <c r="GK334" s="765"/>
      <c r="GL334" s="714"/>
      <c r="GM334" s="611"/>
      <c r="GN334" s="587"/>
      <c r="GO334" s="587"/>
      <c r="GP334" s="587"/>
      <c r="GQ334" s="587"/>
      <c r="GR334" s="587"/>
      <c r="GS334" s="587"/>
      <c r="GT334" s="587"/>
      <c r="GU334" s="587"/>
      <c r="GV334" s="587"/>
      <c r="GW334" s="587"/>
      <c r="GX334" s="587"/>
      <c r="GY334" s="587"/>
      <c r="GZ334" s="587"/>
      <c r="HA334" s="587"/>
      <c r="HB334" s="587"/>
      <c r="HC334" s="587"/>
      <c r="HD334" s="587"/>
      <c r="HE334" s="587"/>
      <c r="HF334" s="587"/>
      <c r="HG334" s="587"/>
      <c r="HH334" s="587"/>
      <c r="HI334" s="587"/>
      <c r="HJ334" s="587"/>
      <c r="HK334" s="587"/>
      <c r="HL334" s="587"/>
      <c r="HM334" s="587"/>
      <c r="HN334" s="587"/>
      <c r="HO334" s="587"/>
      <c r="HP334" s="587"/>
      <c r="HQ334" s="587"/>
      <c r="HR334" s="587"/>
      <c r="HS334" s="587"/>
      <c r="HT334" s="587"/>
      <c r="HU334" s="587"/>
      <c r="HV334" s="587"/>
      <c r="HW334" s="587"/>
      <c r="HX334" s="587"/>
      <c r="HY334" s="587"/>
      <c r="HZ334" s="587"/>
      <c r="IA334" s="587"/>
      <c r="IB334" s="587"/>
      <c r="IC334" s="587"/>
      <c r="ID334" s="587"/>
      <c r="IE334" s="587"/>
      <c r="IF334" s="587"/>
      <c r="IG334" s="587"/>
      <c r="IH334" s="588"/>
      <c r="II334" s="589"/>
      <c r="IJ334" s="588"/>
      <c r="IK334" s="589"/>
      <c r="IL334" s="588"/>
      <c r="IM334" s="589"/>
      <c r="IN334" s="588"/>
      <c r="IO334" s="589"/>
      <c r="IP334" s="588"/>
      <c r="IQ334" s="589"/>
      <c r="IR334" s="717" t="s">
        <v>3030</v>
      </c>
      <c r="IS334" s="587" t="s">
        <v>77</v>
      </c>
      <c r="IT334" s="611">
        <v>44182</v>
      </c>
      <c r="IU334" s="518">
        <v>44228</v>
      </c>
      <c r="IV334" s="552"/>
      <c r="IW334" s="526">
        <f t="shared" si="33"/>
        <v>46</v>
      </c>
      <c r="IX334" s="665">
        <f t="shared" si="38"/>
        <v>52.564364418167152</v>
      </c>
      <c r="IY334" s="665">
        <v>1603.2131147540981</v>
      </c>
    </row>
    <row r="335" spans="1:262" s="367" customFormat="1" ht="16.5" customHeight="1" x14ac:dyDescent="0.3">
      <c r="A335" s="526" t="s">
        <v>2739</v>
      </c>
      <c r="B335" s="355" t="s">
        <v>2877</v>
      </c>
      <c r="C335" s="443" t="s">
        <v>1598</v>
      </c>
      <c r="D335" s="444">
        <v>1437</v>
      </c>
      <c r="E335" s="445">
        <v>30</v>
      </c>
      <c r="F335" s="445">
        <v>20</v>
      </c>
      <c r="G335" s="445">
        <v>14</v>
      </c>
      <c r="H335" s="446">
        <v>0</v>
      </c>
      <c r="I335" s="933">
        <v>1487</v>
      </c>
      <c r="J335" s="655">
        <v>14</v>
      </c>
      <c r="K335" s="827"/>
      <c r="L335" s="749">
        <v>1487</v>
      </c>
      <c r="M335" s="655">
        <v>14</v>
      </c>
      <c r="N335" s="827"/>
      <c r="O335" s="749">
        <v>1487</v>
      </c>
      <c r="P335" s="655">
        <v>14</v>
      </c>
      <c r="Q335" s="827"/>
      <c r="R335" s="749">
        <v>1487</v>
      </c>
      <c r="S335" s="655">
        <v>14</v>
      </c>
      <c r="T335" s="827"/>
      <c r="U335" s="749">
        <v>1487</v>
      </c>
      <c r="V335" s="655">
        <v>14</v>
      </c>
      <c r="W335" s="827"/>
      <c r="X335" s="749">
        <v>1487</v>
      </c>
      <c r="Y335" s="655">
        <v>14</v>
      </c>
      <c r="Z335" s="827"/>
      <c r="AA335" s="749">
        <v>1487</v>
      </c>
      <c r="AB335" s="655">
        <v>14</v>
      </c>
      <c r="AC335" s="827"/>
      <c r="AD335" s="750">
        <f>((1487-1330)*30.5)/19+1487</f>
        <v>1739.0263157894738</v>
      </c>
      <c r="AE335" s="517">
        <f>((14-5)/30.5)*16+14</f>
        <v>18.721311475409834</v>
      </c>
      <c r="AF335" s="827"/>
      <c r="AG335" s="831">
        <v>1330</v>
      </c>
      <c r="AH335" s="655">
        <v>5</v>
      </c>
      <c r="AI335" s="827"/>
      <c r="AJ335" s="831">
        <v>1330</v>
      </c>
      <c r="AK335" s="655">
        <v>5</v>
      </c>
      <c r="AL335" s="827"/>
      <c r="AM335" s="831">
        <v>1330</v>
      </c>
      <c r="AN335" s="655">
        <v>5</v>
      </c>
      <c r="AO335" s="827"/>
      <c r="AP335" s="831">
        <v>1330</v>
      </c>
      <c r="AQ335" s="655">
        <v>5</v>
      </c>
      <c r="AR335" s="827"/>
      <c r="AS335" s="831">
        <v>1330</v>
      </c>
      <c r="AT335" s="655">
        <v>5</v>
      </c>
      <c r="AU335" s="827"/>
      <c r="AV335" s="831">
        <v>1330</v>
      </c>
      <c r="AW335" s="655">
        <v>5</v>
      </c>
      <c r="AX335" s="827"/>
      <c r="AY335" s="831">
        <v>1330</v>
      </c>
      <c r="AZ335" s="655">
        <v>5</v>
      </c>
      <c r="BA335" s="405"/>
      <c r="BB335" s="385">
        <v>1330</v>
      </c>
      <c r="BC335" s="655">
        <v>5</v>
      </c>
      <c r="BD335" s="405"/>
      <c r="BE335" s="385">
        <v>1330</v>
      </c>
      <c r="BF335" s="655">
        <v>5</v>
      </c>
      <c r="BG335" s="405"/>
      <c r="BH335" s="385">
        <v>1330</v>
      </c>
      <c r="BI335" s="655">
        <v>5</v>
      </c>
      <c r="BJ335" s="690"/>
      <c r="BK335" s="385">
        <v>1330</v>
      </c>
      <c r="BL335" s="655">
        <v>5</v>
      </c>
      <c r="BM335" s="690"/>
      <c r="BN335" s="385">
        <v>1330</v>
      </c>
      <c r="BO335" s="655">
        <v>5</v>
      </c>
      <c r="BP335" s="690"/>
      <c r="BQ335" s="385">
        <v>1330</v>
      </c>
      <c r="BR335" s="655">
        <v>5</v>
      </c>
      <c r="BS335" s="690"/>
      <c r="BT335" s="385">
        <v>1330</v>
      </c>
      <c r="BU335" s="655">
        <v>5</v>
      </c>
      <c r="BV335" s="690"/>
      <c r="BW335" s="386">
        <f>(1330/30.5)*27</f>
        <v>1177.3770491803277</v>
      </c>
      <c r="BX335" s="517">
        <v>5</v>
      </c>
      <c r="BY335" s="691"/>
      <c r="BZ335" s="421">
        <v>1113</v>
      </c>
      <c r="CA335" s="655">
        <v>5</v>
      </c>
      <c r="CB335" s="690"/>
      <c r="CC335" s="421">
        <v>1113</v>
      </c>
      <c r="CD335" s="655">
        <v>5</v>
      </c>
      <c r="CE335" s="690"/>
      <c r="CF335" s="421">
        <v>1113</v>
      </c>
      <c r="CG335" s="655">
        <v>5</v>
      </c>
      <c r="CH335" s="690"/>
      <c r="CI335" s="421">
        <v>1113</v>
      </c>
      <c r="CJ335" s="655">
        <v>5</v>
      </c>
      <c r="CK335" s="690"/>
      <c r="CL335" s="421">
        <v>1113</v>
      </c>
      <c r="CM335" s="655">
        <v>5</v>
      </c>
      <c r="CN335" s="690"/>
      <c r="CO335" s="421">
        <v>1113</v>
      </c>
      <c r="CP335" s="655">
        <v>5</v>
      </c>
      <c r="CQ335" s="690"/>
      <c r="CR335" s="421">
        <v>1113</v>
      </c>
      <c r="CS335" s="655">
        <v>5</v>
      </c>
      <c r="CT335" s="690"/>
      <c r="CU335" s="421">
        <v>1113</v>
      </c>
      <c r="CV335" s="655">
        <v>5</v>
      </c>
      <c r="CW335" s="690"/>
      <c r="CX335" s="421">
        <v>1113</v>
      </c>
      <c r="CY335" s="655">
        <v>5</v>
      </c>
      <c r="CZ335" s="690"/>
      <c r="DA335" s="421">
        <v>1113</v>
      </c>
      <c r="DB335" s="655">
        <v>5</v>
      </c>
      <c r="DC335" s="690"/>
      <c r="DD335" s="421">
        <v>1113</v>
      </c>
      <c r="DE335" s="655">
        <v>5</v>
      </c>
      <c r="DF335" s="690"/>
      <c r="DG335" s="421">
        <v>1113</v>
      </c>
      <c r="DH335" s="655">
        <v>5</v>
      </c>
      <c r="DI335" s="690"/>
      <c r="DJ335" s="421">
        <v>1113</v>
      </c>
      <c r="DK335" s="655">
        <v>5</v>
      </c>
      <c r="DL335" s="690"/>
      <c r="DM335" s="421">
        <v>1113</v>
      </c>
      <c r="DN335" s="655">
        <v>5</v>
      </c>
      <c r="DO335" s="690"/>
      <c r="DP335" s="421">
        <v>1113</v>
      </c>
      <c r="DQ335" s="655">
        <v>5</v>
      </c>
      <c r="DR335" s="690"/>
      <c r="DS335" s="421">
        <v>1113</v>
      </c>
      <c r="DT335" s="655">
        <v>5</v>
      </c>
      <c r="DU335" s="690"/>
      <c r="DV335" s="421">
        <v>1113</v>
      </c>
      <c r="DW335" s="655">
        <v>5</v>
      </c>
      <c r="DX335" s="690"/>
      <c r="DY335" s="421">
        <v>1113</v>
      </c>
      <c r="DZ335" s="655">
        <v>5</v>
      </c>
      <c r="EA335" s="690"/>
      <c r="EB335" s="421">
        <v>1113</v>
      </c>
      <c r="EC335" s="655">
        <v>5</v>
      </c>
      <c r="ED335" s="690"/>
      <c r="EE335" s="421">
        <v>1113</v>
      </c>
      <c r="EF335" s="655">
        <v>5</v>
      </c>
      <c r="EG335" s="690"/>
      <c r="EH335" s="421">
        <v>1113</v>
      </c>
      <c r="EI335" s="655">
        <v>5</v>
      </c>
      <c r="EJ335" s="690"/>
      <c r="EK335" s="421">
        <v>1113</v>
      </c>
      <c r="EL335" s="655">
        <v>5</v>
      </c>
      <c r="EM335" s="690"/>
      <c r="EN335" s="421">
        <v>1113</v>
      </c>
      <c r="EO335" s="655">
        <v>5</v>
      </c>
      <c r="EP335" s="690"/>
      <c r="EQ335" s="421">
        <v>1113</v>
      </c>
      <c r="ER335" s="655">
        <v>5</v>
      </c>
      <c r="ES335" s="690"/>
      <c r="ET335" s="421">
        <v>1113</v>
      </c>
      <c r="EU335" s="655">
        <v>5</v>
      </c>
      <c r="EV335" s="690"/>
      <c r="EW335" s="421">
        <v>1113</v>
      </c>
      <c r="EX335" s="655">
        <v>5</v>
      </c>
      <c r="EY335" s="690"/>
      <c r="EZ335" s="421">
        <v>1113</v>
      </c>
      <c r="FA335" s="655">
        <v>5</v>
      </c>
      <c r="FB335" s="690"/>
      <c r="FC335" s="421">
        <v>1113</v>
      </c>
      <c r="FD335" s="655">
        <v>5</v>
      </c>
      <c r="FE335" s="690"/>
      <c r="FF335" s="421">
        <v>1113</v>
      </c>
      <c r="FG335" s="655">
        <v>5</v>
      </c>
      <c r="FH335" s="690"/>
      <c r="FI335" s="421">
        <v>1113</v>
      </c>
      <c r="FJ335" s="655">
        <v>5</v>
      </c>
      <c r="FK335" s="690"/>
      <c r="FL335" s="421">
        <v>1113</v>
      </c>
      <c r="FM335" s="655">
        <v>5</v>
      </c>
      <c r="FN335" s="690"/>
      <c r="FO335" s="421">
        <v>1113</v>
      </c>
      <c r="FP335" s="655">
        <v>5</v>
      </c>
      <c r="FQ335" s="690"/>
      <c r="FR335" s="421">
        <v>1113</v>
      </c>
      <c r="FS335" s="655">
        <v>5</v>
      </c>
      <c r="FT335" s="690"/>
      <c r="FU335" s="421">
        <v>1113</v>
      </c>
      <c r="FV335" s="655">
        <v>5</v>
      </c>
      <c r="FW335" s="690"/>
      <c r="FX335" s="421">
        <v>1113</v>
      </c>
      <c r="FY335" s="655">
        <v>5</v>
      </c>
      <c r="FZ335" s="690"/>
      <c r="GA335" s="421">
        <v>1113</v>
      </c>
      <c r="GB335" s="655">
        <v>5</v>
      </c>
      <c r="GC335" s="690"/>
      <c r="GD335" s="421">
        <v>1113</v>
      </c>
      <c r="GE335" s="655">
        <v>5</v>
      </c>
      <c r="GF335" s="690"/>
      <c r="GG335" s="421">
        <v>1113</v>
      </c>
      <c r="GH335" s="655">
        <v>5</v>
      </c>
      <c r="GI335" s="690"/>
      <c r="GJ335" s="422">
        <v>1532.655737704918</v>
      </c>
      <c r="GK335" s="517">
        <v>6.8852459016393439</v>
      </c>
      <c r="GL335" s="691"/>
      <c r="GM335" s="611"/>
      <c r="GN335" s="587"/>
      <c r="GO335" s="587"/>
      <c r="GP335" s="587"/>
      <c r="GQ335" s="587"/>
      <c r="GR335" s="587"/>
      <c r="GS335" s="587"/>
      <c r="GT335" s="587"/>
      <c r="GU335" s="587"/>
      <c r="GV335" s="587"/>
      <c r="GW335" s="587"/>
      <c r="GX335" s="587"/>
      <c r="GY335" s="587"/>
      <c r="GZ335" s="587"/>
      <c r="HA335" s="587"/>
      <c r="HB335" s="587"/>
      <c r="HC335" s="587"/>
      <c r="HD335" s="587"/>
      <c r="HE335" s="587"/>
      <c r="HF335" s="587"/>
      <c r="HG335" s="587"/>
      <c r="HH335" s="587"/>
      <c r="HI335" s="587"/>
      <c r="HJ335" s="587"/>
      <c r="HK335" s="587"/>
      <c r="HL335" s="587"/>
      <c r="HM335" s="587"/>
      <c r="HN335" s="587"/>
      <c r="HO335" s="587"/>
      <c r="HP335" s="587"/>
      <c r="HQ335" s="587"/>
      <c r="HR335" s="587"/>
      <c r="HS335" s="587"/>
      <c r="HT335" s="587"/>
      <c r="HU335" s="587"/>
      <c r="HV335" s="587"/>
      <c r="HW335" s="587"/>
      <c r="HX335" s="587"/>
      <c r="HY335" s="587"/>
      <c r="HZ335" s="587"/>
      <c r="IA335" s="587"/>
      <c r="IB335" s="587"/>
      <c r="IC335" s="587"/>
      <c r="ID335" s="587"/>
      <c r="IE335" s="587"/>
      <c r="IF335" s="587"/>
      <c r="IG335" s="587"/>
      <c r="IH335" s="588"/>
      <c r="II335" s="589"/>
      <c r="IJ335" s="588"/>
      <c r="IK335" s="589"/>
      <c r="IL335" s="588"/>
      <c r="IM335" s="589"/>
      <c r="IN335" s="588"/>
      <c r="IO335" s="589"/>
      <c r="IP335" s="588"/>
      <c r="IQ335" s="589"/>
      <c r="IR335" s="429" t="s">
        <v>3506</v>
      </c>
      <c r="IS335" s="587" t="s">
        <v>77</v>
      </c>
      <c r="IT335" s="611">
        <v>44186</v>
      </c>
      <c r="IU335" s="518">
        <v>44228</v>
      </c>
      <c r="IV335" s="552"/>
      <c r="IW335" s="526">
        <f t="shared" si="33"/>
        <v>42</v>
      </c>
      <c r="IX335" s="665">
        <f t="shared" si="38"/>
        <v>50.251007793603868</v>
      </c>
      <c r="IY335" s="665">
        <v>1532.655737704918</v>
      </c>
    </row>
    <row r="336" spans="1:262" s="367" customFormat="1" ht="16.5" customHeight="1" x14ac:dyDescent="0.3">
      <c r="A336" s="526" t="s">
        <v>2739</v>
      </c>
      <c r="B336" s="355" t="s">
        <v>2765</v>
      </c>
      <c r="C336" s="443" t="s">
        <v>1493</v>
      </c>
      <c r="D336" s="444">
        <v>1249</v>
      </c>
      <c r="E336" s="445">
        <v>239</v>
      </c>
      <c r="F336" s="445">
        <v>16</v>
      </c>
      <c r="G336" s="445">
        <v>14</v>
      </c>
      <c r="H336" s="446">
        <v>0</v>
      </c>
      <c r="I336" s="911">
        <v>1504</v>
      </c>
      <c r="J336" s="597">
        <v>14</v>
      </c>
      <c r="K336" s="827"/>
      <c r="L336" s="677">
        <v>1504</v>
      </c>
      <c r="M336" s="597">
        <v>14</v>
      </c>
      <c r="N336" s="827"/>
      <c r="O336" s="677">
        <v>1504</v>
      </c>
      <c r="P336" s="597">
        <v>14</v>
      </c>
      <c r="Q336" s="827"/>
      <c r="R336" s="677">
        <v>1504</v>
      </c>
      <c r="S336" s="597">
        <v>14</v>
      </c>
      <c r="T336" s="827"/>
      <c r="U336" s="677">
        <v>1504</v>
      </c>
      <c r="V336" s="597">
        <v>14</v>
      </c>
      <c r="W336" s="827"/>
      <c r="X336" s="677">
        <v>1504</v>
      </c>
      <c r="Y336" s="597">
        <v>14</v>
      </c>
      <c r="Z336" s="827"/>
      <c r="AA336" s="677">
        <v>1504</v>
      </c>
      <c r="AB336" s="597">
        <v>14</v>
      </c>
      <c r="AC336" s="827"/>
      <c r="AD336" s="677">
        <v>1504</v>
      </c>
      <c r="AE336" s="597">
        <v>14</v>
      </c>
      <c r="AF336" s="827"/>
      <c r="AG336" s="597">
        <v>1504</v>
      </c>
      <c r="AH336" s="597">
        <v>14</v>
      </c>
      <c r="AI336" s="827"/>
      <c r="AJ336" s="597">
        <v>1504</v>
      </c>
      <c r="AK336" s="597">
        <v>14</v>
      </c>
      <c r="AL336" s="827"/>
      <c r="AM336" s="597">
        <v>1504</v>
      </c>
      <c r="AN336" s="597">
        <v>14</v>
      </c>
      <c r="AO336" s="827"/>
      <c r="AP336" s="597">
        <v>1504</v>
      </c>
      <c r="AQ336" s="597">
        <v>14</v>
      </c>
      <c r="AR336" s="827"/>
      <c r="AS336" s="597">
        <v>1504</v>
      </c>
      <c r="AT336" s="597">
        <v>14</v>
      </c>
      <c r="AU336" s="827"/>
      <c r="AV336" s="597">
        <v>1504</v>
      </c>
      <c r="AW336" s="597">
        <v>14</v>
      </c>
      <c r="AX336" s="827"/>
      <c r="AY336" s="597">
        <v>1504</v>
      </c>
      <c r="AZ336" s="597">
        <v>14</v>
      </c>
      <c r="BA336" s="405"/>
      <c r="BB336" s="421">
        <v>1504</v>
      </c>
      <c r="BC336" s="421">
        <v>14</v>
      </c>
      <c r="BD336" s="405"/>
      <c r="BE336" s="421">
        <v>1504</v>
      </c>
      <c r="BF336" s="421">
        <v>14</v>
      </c>
      <c r="BG336" s="405"/>
      <c r="BH336" s="421">
        <v>1504</v>
      </c>
      <c r="BI336" s="421">
        <v>14</v>
      </c>
      <c r="BJ336" s="690"/>
      <c r="BK336" s="421">
        <v>1504</v>
      </c>
      <c r="BL336" s="421">
        <v>14</v>
      </c>
      <c r="BM336" s="690"/>
      <c r="BN336" s="421">
        <v>1504</v>
      </c>
      <c r="BO336" s="421">
        <v>14</v>
      </c>
      <c r="BP336" s="690"/>
      <c r="BQ336" s="421">
        <v>1504</v>
      </c>
      <c r="BR336" s="421">
        <v>14</v>
      </c>
      <c r="BS336" s="690"/>
      <c r="BT336" s="421">
        <v>1504</v>
      </c>
      <c r="BU336" s="421">
        <v>14</v>
      </c>
      <c r="BV336" s="690"/>
      <c r="BW336" s="421">
        <v>1504</v>
      </c>
      <c r="BX336" s="421">
        <v>14</v>
      </c>
      <c r="BY336" s="690"/>
      <c r="BZ336" s="421">
        <v>1504</v>
      </c>
      <c r="CA336" s="421">
        <v>14</v>
      </c>
      <c r="CB336" s="690"/>
      <c r="CC336" s="421">
        <v>1504</v>
      </c>
      <c r="CD336" s="421">
        <v>14</v>
      </c>
      <c r="CE336" s="690"/>
      <c r="CF336" s="421">
        <v>1504</v>
      </c>
      <c r="CG336" s="421">
        <v>14</v>
      </c>
      <c r="CH336" s="690"/>
      <c r="CI336" s="421">
        <v>1504</v>
      </c>
      <c r="CJ336" s="421">
        <v>14</v>
      </c>
      <c r="CK336" s="690"/>
      <c r="CL336" s="421">
        <v>1504</v>
      </c>
      <c r="CM336" s="421">
        <v>14</v>
      </c>
      <c r="CN336" s="690"/>
      <c r="CO336" s="421">
        <v>1504</v>
      </c>
      <c r="CP336" s="421">
        <v>14</v>
      </c>
      <c r="CQ336" s="690"/>
      <c r="CR336" s="421">
        <v>1504</v>
      </c>
      <c r="CS336" s="421">
        <v>14</v>
      </c>
      <c r="CT336" s="690"/>
      <c r="CU336" s="421">
        <v>1504</v>
      </c>
      <c r="CV336" s="421">
        <v>14</v>
      </c>
      <c r="CW336" s="690"/>
      <c r="CX336" s="421">
        <v>1504</v>
      </c>
      <c r="CY336" s="421">
        <v>14</v>
      </c>
      <c r="CZ336" s="690"/>
      <c r="DA336" s="421">
        <v>1504</v>
      </c>
      <c r="DB336" s="421">
        <v>14</v>
      </c>
      <c r="DC336" s="690"/>
      <c r="DD336" s="421">
        <v>1504</v>
      </c>
      <c r="DE336" s="421">
        <v>14</v>
      </c>
      <c r="DF336" s="690"/>
      <c r="DG336" s="421">
        <v>1504</v>
      </c>
      <c r="DH336" s="421">
        <v>14</v>
      </c>
      <c r="DI336" s="690"/>
      <c r="DJ336" s="421">
        <v>1504</v>
      </c>
      <c r="DK336" s="421">
        <v>14</v>
      </c>
      <c r="DL336" s="690"/>
      <c r="DM336" s="421">
        <v>1504</v>
      </c>
      <c r="DN336" s="421">
        <v>14</v>
      </c>
      <c r="DO336" s="690"/>
      <c r="DP336" s="421">
        <v>1504</v>
      </c>
      <c r="DQ336" s="421">
        <v>14</v>
      </c>
      <c r="DR336" s="690"/>
      <c r="DS336" s="421">
        <v>1504</v>
      </c>
      <c r="DT336" s="421">
        <v>14</v>
      </c>
      <c r="DU336" s="690"/>
      <c r="DV336" s="422">
        <f>(1504-1883)/30.5*27+1504</f>
        <v>1168.4918032786886</v>
      </c>
      <c r="DW336" s="422">
        <f>(14-108)/30.5*27+14</f>
        <v>-69.213114754098356</v>
      </c>
      <c r="DX336" s="691"/>
      <c r="DY336" s="421">
        <v>1883</v>
      </c>
      <c r="DZ336" s="655">
        <v>108</v>
      </c>
      <c r="EA336" s="690"/>
      <c r="EB336" s="421">
        <v>1883</v>
      </c>
      <c r="EC336" s="655">
        <v>108</v>
      </c>
      <c r="ED336" s="690"/>
      <c r="EE336" s="421">
        <v>1883</v>
      </c>
      <c r="EF336" s="655">
        <v>108</v>
      </c>
      <c r="EG336" s="690"/>
      <c r="EH336" s="421">
        <v>1883</v>
      </c>
      <c r="EI336" s="655">
        <v>108</v>
      </c>
      <c r="EJ336" s="690"/>
      <c r="EK336" s="421">
        <v>1883</v>
      </c>
      <c r="EL336" s="655">
        <v>108</v>
      </c>
      <c r="EM336" s="690"/>
      <c r="EN336" s="421">
        <v>1883</v>
      </c>
      <c r="EO336" s="655">
        <v>108</v>
      </c>
      <c r="EP336" s="690"/>
      <c r="EQ336" s="421">
        <v>1883</v>
      </c>
      <c r="ER336" s="655">
        <v>108</v>
      </c>
      <c r="ES336" s="690"/>
      <c r="ET336" s="421">
        <v>1883</v>
      </c>
      <c r="EU336" s="655">
        <v>108</v>
      </c>
      <c r="EV336" s="690"/>
      <c r="EW336" s="421">
        <v>1883</v>
      </c>
      <c r="EX336" s="655">
        <v>108</v>
      </c>
      <c r="EY336" s="690"/>
      <c r="EZ336" s="421">
        <v>1883</v>
      </c>
      <c r="FA336" s="655">
        <v>108</v>
      </c>
      <c r="FB336" s="690"/>
      <c r="FC336" s="421">
        <v>1883</v>
      </c>
      <c r="FD336" s="655">
        <v>108</v>
      </c>
      <c r="FE336" s="690"/>
      <c r="FF336" s="421">
        <v>1883</v>
      </c>
      <c r="FG336" s="655">
        <v>108</v>
      </c>
      <c r="FH336" s="690"/>
      <c r="FI336" s="421">
        <v>1883</v>
      </c>
      <c r="FJ336" s="655">
        <v>108</v>
      </c>
      <c r="FK336" s="690"/>
      <c r="FL336" s="421">
        <v>1883</v>
      </c>
      <c r="FM336" s="655">
        <v>108</v>
      </c>
      <c r="FN336" s="690"/>
      <c r="FO336" s="421">
        <v>1883</v>
      </c>
      <c r="FP336" s="655">
        <v>108</v>
      </c>
      <c r="FQ336" s="690"/>
      <c r="FR336" s="421">
        <v>1883</v>
      </c>
      <c r="FS336" s="655">
        <v>108</v>
      </c>
      <c r="FT336" s="690"/>
      <c r="FU336" s="421">
        <v>1883</v>
      </c>
      <c r="FV336" s="655">
        <v>108</v>
      </c>
      <c r="FW336" s="690"/>
      <c r="FX336" s="421">
        <v>1883</v>
      </c>
      <c r="FY336" s="655">
        <v>108</v>
      </c>
      <c r="FZ336" s="690"/>
      <c r="GA336" s="421">
        <v>1883</v>
      </c>
      <c r="GB336" s="655">
        <v>108</v>
      </c>
      <c r="GC336" s="690"/>
      <c r="GD336" s="421">
        <v>1883</v>
      </c>
      <c r="GE336" s="655">
        <v>108</v>
      </c>
      <c r="GF336" s="690"/>
      <c r="GG336" s="421">
        <v>1883</v>
      </c>
      <c r="GH336" s="655">
        <v>108</v>
      </c>
      <c r="GI336" s="690"/>
      <c r="GJ336" s="422">
        <v>1666.9180327868853</v>
      </c>
      <c r="GK336" s="517">
        <v>95.606557377049185</v>
      </c>
      <c r="GL336" s="691"/>
      <c r="GM336" s="587"/>
      <c r="GN336" s="587"/>
      <c r="GO336" s="587"/>
      <c r="GP336" s="587"/>
      <c r="GQ336" s="587"/>
      <c r="GR336" s="587"/>
      <c r="GS336" s="587"/>
      <c r="GT336" s="587"/>
      <c r="GU336" s="587"/>
      <c r="GV336" s="587"/>
      <c r="GW336" s="587"/>
      <c r="GX336" s="587"/>
      <c r="GY336" s="587"/>
      <c r="GZ336" s="587"/>
      <c r="HA336" s="587"/>
      <c r="HB336" s="587"/>
      <c r="HC336" s="587"/>
      <c r="HD336" s="587"/>
      <c r="HE336" s="587"/>
      <c r="HF336" s="587"/>
      <c r="HG336" s="587"/>
      <c r="HH336" s="587"/>
      <c r="HI336" s="587"/>
      <c r="HJ336" s="587"/>
      <c r="HK336" s="587"/>
      <c r="HL336" s="587"/>
      <c r="HM336" s="587"/>
      <c r="HN336" s="587"/>
      <c r="HO336" s="587"/>
      <c r="HP336" s="587"/>
      <c r="HQ336" s="587"/>
      <c r="HR336" s="587"/>
      <c r="HS336" s="587"/>
      <c r="HT336" s="587"/>
      <c r="HU336" s="587"/>
      <c r="HV336" s="587"/>
      <c r="HW336" s="587"/>
      <c r="HX336" s="587"/>
      <c r="HY336" s="587"/>
      <c r="HZ336" s="587"/>
      <c r="IA336" s="587"/>
      <c r="IB336" s="587"/>
      <c r="IC336" s="587"/>
      <c r="ID336" s="587"/>
      <c r="IE336" s="587"/>
      <c r="IF336" s="587"/>
      <c r="IG336" s="587"/>
      <c r="IH336" s="588"/>
      <c r="II336" s="589"/>
      <c r="IJ336" s="588"/>
      <c r="IK336" s="589"/>
      <c r="IL336" s="588"/>
      <c r="IM336" s="589"/>
      <c r="IN336" s="588"/>
      <c r="IO336" s="589"/>
      <c r="IP336" s="588"/>
      <c r="IQ336" s="589"/>
      <c r="IR336" s="717" t="s">
        <v>3129</v>
      </c>
      <c r="IS336" s="587" t="s">
        <v>77</v>
      </c>
      <c r="IT336" s="611">
        <v>44201</v>
      </c>
      <c r="IU336" s="518">
        <v>44228</v>
      </c>
      <c r="IV336" s="518">
        <v>44839</v>
      </c>
      <c r="IW336" s="526">
        <f t="shared" si="33"/>
        <v>27</v>
      </c>
      <c r="IX336" s="665">
        <f t="shared" si="38"/>
        <v>54.653050255307718</v>
      </c>
      <c r="IY336" s="665">
        <v>1666.9180327868853</v>
      </c>
    </row>
    <row r="337" spans="1:259" s="367" customFormat="1" ht="16.5" customHeight="1" x14ac:dyDescent="0.3">
      <c r="A337" s="401" t="s">
        <v>3315</v>
      </c>
      <c r="B337" s="402" t="s">
        <v>3315</v>
      </c>
      <c r="C337" s="471" t="s">
        <v>3507</v>
      </c>
      <c r="D337" s="863"/>
      <c r="E337" s="864"/>
      <c r="F337" s="864"/>
      <c r="G337" s="864"/>
      <c r="H337" s="865"/>
      <c r="I337" s="853">
        <v>0</v>
      </c>
      <c r="J337" s="833">
        <v>0</v>
      </c>
      <c r="K337" s="833">
        <v>0</v>
      </c>
      <c r="L337" s="833">
        <v>0</v>
      </c>
      <c r="M337" s="833">
        <v>0</v>
      </c>
      <c r="N337" s="833">
        <v>0</v>
      </c>
      <c r="O337" s="833">
        <v>0</v>
      </c>
      <c r="P337" s="833">
        <v>0</v>
      </c>
      <c r="Q337" s="833">
        <v>0</v>
      </c>
      <c r="R337" s="833">
        <v>0</v>
      </c>
      <c r="S337" s="833">
        <v>0</v>
      </c>
      <c r="T337" s="833">
        <v>0</v>
      </c>
      <c r="U337" s="833">
        <v>0</v>
      </c>
      <c r="V337" s="833">
        <v>0</v>
      </c>
      <c r="W337" s="833">
        <v>0</v>
      </c>
      <c r="X337" s="833">
        <v>0</v>
      </c>
      <c r="Y337" s="833">
        <v>0</v>
      </c>
      <c r="Z337" s="833">
        <v>0</v>
      </c>
      <c r="AA337" s="833">
        <v>0</v>
      </c>
      <c r="AB337" s="833">
        <v>0</v>
      </c>
      <c r="AC337" s="833">
        <v>0</v>
      </c>
      <c r="AD337" s="833">
        <v>0</v>
      </c>
      <c r="AE337" s="833">
        <v>0</v>
      </c>
      <c r="AF337" s="833">
        <v>0</v>
      </c>
      <c r="AG337" s="833">
        <v>0</v>
      </c>
      <c r="AH337" s="833">
        <v>0</v>
      </c>
      <c r="AI337" s="833">
        <v>0</v>
      </c>
      <c r="AJ337" s="833">
        <v>0</v>
      </c>
      <c r="AK337" s="833">
        <v>0</v>
      </c>
      <c r="AL337" s="833">
        <v>0</v>
      </c>
      <c r="AM337" s="833">
        <v>0</v>
      </c>
      <c r="AN337" s="833">
        <v>0</v>
      </c>
      <c r="AO337" s="833">
        <v>0</v>
      </c>
      <c r="AP337" s="833">
        <v>0</v>
      </c>
      <c r="AQ337" s="833">
        <v>0</v>
      </c>
      <c r="AR337" s="833">
        <v>0</v>
      </c>
      <c r="AS337" s="833">
        <v>0</v>
      </c>
      <c r="AT337" s="833">
        <v>0</v>
      </c>
      <c r="AU337" s="833">
        <v>0</v>
      </c>
      <c r="AV337" s="635"/>
      <c r="AW337" s="660"/>
      <c r="AX337" s="660"/>
      <c r="AY337" s="635"/>
      <c r="AZ337" s="660"/>
      <c r="BA337" s="652"/>
      <c r="BB337" s="511"/>
      <c r="BC337" s="660"/>
      <c r="BD337" s="652"/>
      <c r="BE337" s="511"/>
      <c r="BF337" s="660"/>
      <c r="BG337" s="652"/>
      <c r="BH337" s="511"/>
      <c r="BI337" s="660"/>
      <c r="BJ337" s="652"/>
      <c r="BK337" s="511"/>
      <c r="BL337" s="660"/>
      <c r="BM337" s="652"/>
      <c r="BN337" s="511"/>
      <c r="BO337" s="660"/>
      <c r="BP337" s="652"/>
      <c r="BQ337" s="511"/>
      <c r="BR337" s="660"/>
      <c r="BS337" s="652"/>
      <c r="BT337" s="511"/>
      <c r="BU337" s="660"/>
      <c r="BV337" s="652"/>
      <c r="BW337" s="511"/>
      <c r="BX337" s="660"/>
      <c r="BY337" s="652"/>
      <c r="BZ337" s="511"/>
      <c r="CA337" s="660"/>
      <c r="CB337" s="652"/>
      <c r="CC337" s="511"/>
      <c r="CD337" s="660"/>
      <c r="CE337" s="652"/>
      <c r="CF337" s="511"/>
      <c r="CG337" s="660"/>
      <c r="CH337" s="652"/>
      <c r="CI337" s="511"/>
      <c r="CJ337" s="660"/>
      <c r="CK337" s="652"/>
      <c r="CL337" s="511"/>
      <c r="CM337" s="660"/>
      <c r="CN337" s="652"/>
      <c r="CO337" s="511"/>
      <c r="CP337" s="660"/>
      <c r="CQ337" s="652"/>
      <c r="CR337" s="511"/>
      <c r="CS337" s="660"/>
      <c r="CT337" s="652"/>
      <c r="CU337" s="511"/>
      <c r="CV337" s="660"/>
      <c r="CW337" s="652"/>
      <c r="CX337" s="511"/>
      <c r="CY337" s="660"/>
      <c r="CZ337" s="652"/>
      <c r="DA337" s="511"/>
      <c r="DB337" s="660"/>
      <c r="DC337" s="652"/>
      <c r="DD337" s="511"/>
      <c r="DE337" s="660"/>
      <c r="DF337" s="652"/>
      <c r="DG337" s="511"/>
      <c r="DH337" s="660"/>
      <c r="DI337" s="652"/>
      <c r="DJ337" s="511"/>
      <c r="DK337" s="660"/>
      <c r="DL337" s="652"/>
      <c r="DM337" s="511"/>
      <c r="DN337" s="660"/>
      <c r="DO337" s="652"/>
      <c r="DP337" s="511"/>
      <c r="DQ337" s="660"/>
      <c r="DR337" s="652"/>
      <c r="DS337" s="421">
        <v>1842</v>
      </c>
      <c r="DT337" s="655">
        <v>252</v>
      </c>
      <c r="DU337" s="690"/>
      <c r="DV337" s="421">
        <v>1842</v>
      </c>
      <c r="DW337" s="655">
        <v>252</v>
      </c>
      <c r="DX337" s="690"/>
      <c r="DY337" s="421">
        <v>1842</v>
      </c>
      <c r="DZ337" s="655">
        <v>252</v>
      </c>
      <c r="EA337" s="690"/>
      <c r="EB337" s="421">
        <v>1842</v>
      </c>
      <c r="EC337" s="655">
        <v>252</v>
      </c>
      <c r="ED337" s="690"/>
      <c r="EE337" s="421">
        <v>1842</v>
      </c>
      <c r="EF337" s="655">
        <v>252</v>
      </c>
      <c r="EG337" s="690"/>
      <c r="EH337" s="421">
        <v>1842</v>
      </c>
      <c r="EI337" s="655">
        <v>252</v>
      </c>
      <c r="EJ337" s="690"/>
      <c r="EK337" s="421">
        <v>1842</v>
      </c>
      <c r="EL337" s="655">
        <v>252</v>
      </c>
      <c r="EM337" s="690"/>
      <c r="EN337" s="421">
        <v>1842</v>
      </c>
      <c r="EO337" s="655">
        <v>252</v>
      </c>
      <c r="EP337" s="690"/>
      <c r="EQ337" s="421">
        <v>1842</v>
      </c>
      <c r="ER337" s="655">
        <v>252</v>
      </c>
      <c r="ES337" s="690"/>
      <c r="ET337" s="421">
        <v>1842</v>
      </c>
      <c r="EU337" s="655">
        <v>252</v>
      </c>
      <c r="EV337" s="690"/>
      <c r="EW337" s="421">
        <v>1842</v>
      </c>
      <c r="EX337" s="655">
        <v>252</v>
      </c>
      <c r="EY337" s="690"/>
      <c r="EZ337" s="421">
        <v>1842</v>
      </c>
      <c r="FA337" s="655">
        <v>252</v>
      </c>
      <c r="FB337" s="690"/>
      <c r="FC337" s="421">
        <v>1842</v>
      </c>
      <c r="FD337" s="655">
        <v>252</v>
      </c>
      <c r="FE337" s="690"/>
      <c r="FF337" s="421">
        <v>1842</v>
      </c>
      <c r="FG337" s="655">
        <v>252</v>
      </c>
      <c r="FH337" s="690"/>
      <c r="FI337" s="421">
        <v>1842</v>
      </c>
      <c r="FJ337" s="655">
        <v>252</v>
      </c>
      <c r="FK337" s="690"/>
      <c r="FL337" s="421">
        <v>1842</v>
      </c>
      <c r="FM337" s="655">
        <v>252</v>
      </c>
      <c r="FN337" s="690"/>
      <c r="FO337" s="421">
        <v>1842</v>
      </c>
      <c r="FP337" s="655">
        <v>252</v>
      </c>
      <c r="FQ337" s="690"/>
      <c r="FR337" s="421">
        <v>1842</v>
      </c>
      <c r="FS337" s="655">
        <v>252</v>
      </c>
      <c r="FT337" s="690"/>
      <c r="FU337" s="421">
        <v>1842</v>
      </c>
      <c r="FV337" s="655">
        <v>252</v>
      </c>
      <c r="FW337" s="690"/>
      <c r="FX337" s="421">
        <v>1842</v>
      </c>
      <c r="FY337" s="655">
        <v>252</v>
      </c>
      <c r="FZ337" s="690"/>
      <c r="GA337" s="421">
        <v>1842</v>
      </c>
      <c r="GB337" s="655">
        <v>252</v>
      </c>
      <c r="GC337" s="690"/>
      <c r="GD337" s="422">
        <v>4227.5409836065573</v>
      </c>
      <c r="GE337" s="517">
        <v>578.36065573770497</v>
      </c>
      <c r="GF337" s="691"/>
      <c r="GG337" s="587"/>
      <c r="GH337" s="587"/>
      <c r="GI337" s="587"/>
      <c r="GJ337" s="587"/>
      <c r="GK337" s="587"/>
      <c r="GL337" s="587"/>
      <c r="GM337" s="587"/>
      <c r="GN337" s="587"/>
      <c r="GO337" s="587"/>
      <c r="GP337" s="587"/>
      <c r="GQ337" s="587"/>
      <c r="GR337" s="587"/>
      <c r="GS337" s="587"/>
      <c r="GT337" s="587"/>
      <c r="GU337" s="587"/>
      <c r="GV337" s="587"/>
      <c r="GW337" s="587"/>
      <c r="GX337" s="587"/>
      <c r="GY337" s="587"/>
      <c r="GZ337" s="587"/>
      <c r="HA337" s="587"/>
      <c r="HB337" s="587"/>
      <c r="HC337" s="587"/>
      <c r="HD337" s="587"/>
      <c r="HE337" s="587"/>
      <c r="HF337" s="587"/>
      <c r="HG337" s="587"/>
      <c r="HH337" s="587"/>
      <c r="HI337" s="587"/>
      <c r="HJ337" s="587"/>
      <c r="HK337" s="587"/>
      <c r="HL337" s="587"/>
      <c r="HM337" s="587"/>
      <c r="HN337" s="587"/>
      <c r="HO337" s="587"/>
      <c r="HP337" s="587"/>
      <c r="HQ337" s="587"/>
      <c r="HR337" s="587"/>
      <c r="HS337" s="587"/>
      <c r="HT337" s="587"/>
      <c r="HU337" s="587"/>
      <c r="HV337" s="587"/>
      <c r="HW337" s="587"/>
      <c r="HX337" s="587"/>
      <c r="HY337" s="587"/>
      <c r="HZ337" s="587"/>
      <c r="IA337" s="587"/>
      <c r="IB337" s="587"/>
      <c r="IC337" s="587"/>
      <c r="ID337" s="587"/>
      <c r="IE337" s="587"/>
      <c r="IF337" s="587"/>
      <c r="IG337" s="587"/>
      <c r="IH337" s="588"/>
      <c r="II337" s="589"/>
      <c r="IJ337" s="588"/>
      <c r="IK337" s="589"/>
      <c r="IL337" s="588"/>
      <c r="IM337" s="589"/>
      <c r="IN337" s="588"/>
      <c r="IO337" s="589"/>
      <c r="IP337" s="588"/>
      <c r="IQ337" s="589"/>
      <c r="IR337" s="400" t="s">
        <v>3508</v>
      </c>
      <c r="IS337" s="587" t="s">
        <v>77</v>
      </c>
      <c r="IT337" s="611">
        <v>44217</v>
      </c>
      <c r="IU337" s="518">
        <v>44287</v>
      </c>
      <c r="IV337" s="552"/>
      <c r="IW337" s="526">
        <f t="shared" si="33"/>
        <v>70</v>
      </c>
      <c r="IX337" s="701">
        <f>GD337/30.5</f>
        <v>138.60790110185434</v>
      </c>
      <c r="IY337" s="665">
        <v>4227.5409836065573</v>
      </c>
    </row>
    <row r="338" spans="1:259" s="367" customFormat="1" ht="16.5" customHeight="1" x14ac:dyDescent="0.3">
      <c r="A338" s="526" t="s">
        <v>2739</v>
      </c>
      <c r="B338" s="682" t="s">
        <v>2757</v>
      </c>
      <c r="C338" s="661" t="s">
        <v>1656</v>
      </c>
      <c r="D338" s="662">
        <v>356</v>
      </c>
      <c r="E338" s="516">
        <v>12</v>
      </c>
      <c r="F338" s="516">
        <v>0</v>
      </c>
      <c r="G338" s="516">
        <v>27</v>
      </c>
      <c r="H338" s="663">
        <v>0</v>
      </c>
      <c r="I338" s="855">
        <v>368</v>
      </c>
      <c r="J338" s="769">
        <v>27</v>
      </c>
      <c r="K338" s="827"/>
      <c r="L338" s="597">
        <v>368</v>
      </c>
      <c r="M338" s="769">
        <v>27</v>
      </c>
      <c r="N338" s="827"/>
      <c r="O338" s="597">
        <v>368</v>
      </c>
      <c r="P338" s="769">
        <v>27</v>
      </c>
      <c r="Q338" s="827"/>
      <c r="R338" s="597">
        <v>368</v>
      </c>
      <c r="S338" s="769">
        <v>27</v>
      </c>
      <c r="T338" s="827"/>
      <c r="U338" s="597">
        <v>368</v>
      </c>
      <c r="V338" s="769">
        <v>27</v>
      </c>
      <c r="W338" s="827"/>
      <c r="X338" s="597">
        <v>368</v>
      </c>
      <c r="Y338" s="769">
        <v>27</v>
      </c>
      <c r="Z338" s="827"/>
      <c r="AA338" s="597">
        <v>368</v>
      </c>
      <c r="AB338" s="769">
        <v>27</v>
      </c>
      <c r="AC338" s="827"/>
      <c r="AD338" s="597">
        <v>368</v>
      </c>
      <c r="AE338" s="769">
        <v>27</v>
      </c>
      <c r="AF338" s="827"/>
      <c r="AG338" s="597">
        <v>368</v>
      </c>
      <c r="AH338" s="769">
        <v>27</v>
      </c>
      <c r="AI338" s="827"/>
      <c r="AJ338" s="597">
        <v>368</v>
      </c>
      <c r="AK338" s="769">
        <v>27</v>
      </c>
      <c r="AL338" s="827"/>
      <c r="AM338" s="597">
        <v>368</v>
      </c>
      <c r="AN338" s="769">
        <v>27</v>
      </c>
      <c r="AO338" s="827"/>
      <c r="AP338" s="597">
        <v>368</v>
      </c>
      <c r="AQ338" s="769">
        <v>27</v>
      </c>
      <c r="AR338" s="827"/>
      <c r="AS338" s="597">
        <v>368</v>
      </c>
      <c r="AT338" s="769">
        <v>27</v>
      </c>
      <c r="AU338" s="827"/>
      <c r="AV338" s="597">
        <v>368</v>
      </c>
      <c r="AW338" s="769">
        <v>27</v>
      </c>
      <c r="AX338" s="827"/>
      <c r="AY338" s="597">
        <v>368</v>
      </c>
      <c r="AZ338" s="769">
        <v>27</v>
      </c>
      <c r="BA338" s="405"/>
      <c r="BB338" s="421">
        <v>368</v>
      </c>
      <c r="BC338" s="769">
        <v>27</v>
      </c>
      <c r="BD338" s="405"/>
      <c r="BE338" s="421">
        <v>368</v>
      </c>
      <c r="BF338" s="769">
        <v>27</v>
      </c>
      <c r="BG338" s="405"/>
      <c r="BH338" s="421">
        <v>368</v>
      </c>
      <c r="BI338" s="769">
        <v>27</v>
      </c>
      <c r="BJ338" s="770"/>
      <c r="BK338" s="421">
        <v>368</v>
      </c>
      <c r="BL338" s="769">
        <v>27</v>
      </c>
      <c r="BM338" s="770"/>
      <c r="BN338" s="421">
        <v>368</v>
      </c>
      <c r="BO338" s="769">
        <v>27</v>
      </c>
      <c r="BP338" s="770"/>
      <c r="BQ338" s="421">
        <v>368</v>
      </c>
      <c r="BR338" s="769">
        <v>27</v>
      </c>
      <c r="BS338" s="770"/>
      <c r="BT338" s="421">
        <v>368</v>
      </c>
      <c r="BU338" s="769">
        <v>27</v>
      </c>
      <c r="BV338" s="770"/>
      <c r="BW338" s="421">
        <v>368</v>
      </c>
      <c r="BX338" s="769">
        <v>27</v>
      </c>
      <c r="BY338" s="770"/>
      <c r="BZ338" s="421">
        <v>368</v>
      </c>
      <c r="CA338" s="769">
        <v>27</v>
      </c>
      <c r="CB338" s="770"/>
      <c r="CC338" s="421">
        <v>368</v>
      </c>
      <c r="CD338" s="769">
        <v>27</v>
      </c>
      <c r="CE338" s="770"/>
      <c r="CF338" s="421">
        <v>368</v>
      </c>
      <c r="CG338" s="769">
        <v>27</v>
      </c>
      <c r="CH338" s="770"/>
      <c r="CI338" s="421">
        <v>368</v>
      </c>
      <c r="CJ338" s="769">
        <v>27</v>
      </c>
      <c r="CK338" s="770"/>
      <c r="CL338" s="421">
        <v>368</v>
      </c>
      <c r="CM338" s="769">
        <v>27</v>
      </c>
      <c r="CN338" s="770"/>
      <c r="CO338" s="421">
        <v>368</v>
      </c>
      <c r="CP338" s="769">
        <v>27</v>
      </c>
      <c r="CQ338" s="770"/>
      <c r="CR338" s="421">
        <v>368</v>
      </c>
      <c r="CS338" s="769">
        <v>27</v>
      </c>
      <c r="CT338" s="770"/>
      <c r="CU338" s="421">
        <v>368</v>
      </c>
      <c r="CV338" s="769">
        <v>27</v>
      </c>
      <c r="CW338" s="770"/>
      <c r="CX338" s="421">
        <v>368</v>
      </c>
      <c r="CY338" s="769">
        <v>27</v>
      </c>
      <c r="CZ338" s="770"/>
      <c r="DA338" s="421">
        <v>368</v>
      </c>
      <c r="DB338" s="769">
        <v>27</v>
      </c>
      <c r="DC338" s="770"/>
      <c r="DD338" s="421">
        <v>368</v>
      </c>
      <c r="DE338" s="769">
        <v>27</v>
      </c>
      <c r="DF338" s="770"/>
      <c r="DG338" s="421">
        <v>368</v>
      </c>
      <c r="DH338" s="769">
        <v>27</v>
      </c>
      <c r="DI338" s="770"/>
      <c r="DJ338" s="421">
        <v>368</v>
      </c>
      <c r="DK338" s="769">
        <v>27</v>
      </c>
      <c r="DL338" s="770"/>
      <c r="DM338" s="421">
        <v>368</v>
      </c>
      <c r="DN338" s="769">
        <v>27</v>
      </c>
      <c r="DO338" s="770"/>
      <c r="DP338" s="421">
        <v>368</v>
      </c>
      <c r="DQ338" s="769">
        <v>27</v>
      </c>
      <c r="DR338" s="770"/>
      <c r="DS338" s="421">
        <v>368</v>
      </c>
      <c r="DT338" s="769">
        <v>27</v>
      </c>
      <c r="DU338" s="770"/>
      <c r="DV338" s="421">
        <v>368</v>
      </c>
      <c r="DW338" s="769">
        <v>27</v>
      </c>
      <c r="DX338" s="770"/>
      <c r="DY338" s="422">
        <f>(((368-582)/30.5)*5)+368</f>
        <v>332.91803278688525</v>
      </c>
      <c r="DZ338" s="771">
        <v>27</v>
      </c>
      <c r="EA338" s="772"/>
      <c r="EB338" s="421">
        <v>582</v>
      </c>
      <c r="EC338" s="769">
        <v>27</v>
      </c>
      <c r="ED338" s="770"/>
      <c r="EE338" s="421">
        <v>582</v>
      </c>
      <c r="EF338" s="769">
        <v>27</v>
      </c>
      <c r="EG338" s="770"/>
      <c r="EH338" s="421">
        <v>582</v>
      </c>
      <c r="EI338" s="769">
        <v>27</v>
      </c>
      <c r="EJ338" s="770"/>
      <c r="EK338" s="421">
        <v>582</v>
      </c>
      <c r="EL338" s="769">
        <v>27</v>
      </c>
      <c r="EM338" s="770"/>
      <c r="EN338" s="421">
        <v>582</v>
      </c>
      <c r="EO338" s="769">
        <v>27</v>
      </c>
      <c r="EP338" s="770"/>
      <c r="EQ338" s="421">
        <v>582</v>
      </c>
      <c r="ER338" s="769">
        <v>27</v>
      </c>
      <c r="ES338" s="770"/>
      <c r="ET338" s="421">
        <v>582</v>
      </c>
      <c r="EU338" s="769">
        <v>27</v>
      </c>
      <c r="EV338" s="770"/>
      <c r="EW338" s="421">
        <v>582</v>
      </c>
      <c r="EX338" s="769">
        <v>27</v>
      </c>
      <c r="EY338" s="770"/>
      <c r="EZ338" s="421">
        <v>582</v>
      </c>
      <c r="FA338" s="769">
        <v>27</v>
      </c>
      <c r="FB338" s="770"/>
      <c r="FC338" s="421">
        <v>582</v>
      </c>
      <c r="FD338" s="769">
        <v>27</v>
      </c>
      <c r="FE338" s="770"/>
      <c r="FF338" s="421">
        <v>582</v>
      </c>
      <c r="FG338" s="769">
        <v>27</v>
      </c>
      <c r="FH338" s="770"/>
      <c r="FI338" s="421">
        <v>582</v>
      </c>
      <c r="FJ338" s="769">
        <v>27</v>
      </c>
      <c r="FK338" s="770"/>
      <c r="FL338" s="421">
        <v>582</v>
      </c>
      <c r="FM338" s="769">
        <v>27</v>
      </c>
      <c r="FN338" s="770"/>
      <c r="FO338" s="421">
        <v>582</v>
      </c>
      <c r="FP338" s="769">
        <v>27</v>
      </c>
      <c r="FQ338" s="770"/>
      <c r="FR338" s="421">
        <v>582</v>
      </c>
      <c r="FS338" s="769">
        <v>27</v>
      </c>
      <c r="FT338" s="770"/>
      <c r="FU338" s="421">
        <v>582</v>
      </c>
      <c r="FV338" s="769">
        <v>27</v>
      </c>
      <c r="FW338" s="770"/>
      <c r="FX338" s="421">
        <v>582</v>
      </c>
      <c r="FY338" s="769">
        <v>27</v>
      </c>
      <c r="FZ338" s="770"/>
      <c r="GA338" s="422">
        <v>992.2622950819673</v>
      </c>
      <c r="GB338" s="771">
        <v>46.032786885245898</v>
      </c>
      <c r="GC338" s="772"/>
      <c r="GD338" s="587"/>
      <c r="GE338" s="587"/>
      <c r="GF338" s="587"/>
      <c r="GG338" s="587"/>
      <c r="GH338" s="587"/>
      <c r="GI338" s="587"/>
      <c r="GJ338" s="587"/>
      <c r="GK338" s="587"/>
      <c r="GL338" s="587"/>
      <c r="GM338" s="587"/>
      <c r="GN338" s="587"/>
      <c r="GO338" s="587"/>
      <c r="GP338" s="587"/>
      <c r="GQ338" s="587"/>
      <c r="GR338" s="587"/>
      <c r="GS338" s="587"/>
      <c r="GT338" s="587"/>
      <c r="GU338" s="587"/>
      <c r="GV338" s="587"/>
      <c r="GW338" s="587"/>
      <c r="GX338" s="587"/>
      <c r="GY338" s="587"/>
      <c r="GZ338" s="587"/>
      <c r="HA338" s="587"/>
      <c r="HB338" s="587"/>
      <c r="HC338" s="587"/>
      <c r="HD338" s="587"/>
      <c r="HE338" s="587"/>
      <c r="HF338" s="587"/>
      <c r="HG338" s="587"/>
      <c r="HH338" s="587"/>
      <c r="HI338" s="587"/>
      <c r="HJ338" s="587"/>
      <c r="HK338" s="587"/>
      <c r="HL338" s="587"/>
      <c r="HM338" s="587"/>
      <c r="HN338" s="587"/>
      <c r="HO338" s="587"/>
      <c r="HP338" s="587"/>
      <c r="HQ338" s="587"/>
      <c r="HR338" s="587"/>
      <c r="HS338" s="587"/>
      <c r="HT338" s="587"/>
      <c r="HU338" s="587"/>
      <c r="HV338" s="587"/>
      <c r="HW338" s="587"/>
      <c r="HX338" s="587"/>
      <c r="HY338" s="587"/>
      <c r="HZ338" s="587"/>
      <c r="IA338" s="587"/>
      <c r="IB338" s="587"/>
      <c r="IC338" s="587"/>
      <c r="ID338" s="587"/>
      <c r="IE338" s="587"/>
      <c r="IF338" s="587"/>
      <c r="IG338" s="587"/>
      <c r="IH338" s="588"/>
      <c r="II338" s="589"/>
      <c r="IJ338" s="588"/>
      <c r="IK338" s="589"/>
      <c r="IL338" s="588"/>
      <c r="IM338" s="589"/>
      <c r="IN338" s="588"/>
      <c r="IO338" s="589"/>
      <c r="IP338" s="588"/>
      <c r="IQ338" s="589"/>
      <c r="IR338" s="601" t="s">
        <v>3088</v>
      </c>
      <c r="IS338" s="587" t="s">
        <v>77</v>
      </c>
      <c r="IT338" s="611">
        <v>44265</v>
      </c>
      <c r="IU338" s="518">
        <v>44317</v>
      </c>
      <c r="IV338" s="518">
        <v>44830</v>
      </c>
      <c r="IW338" s="526">
        <f t="shared" ref="IW338:IW347" si="39">IU338-IT338</f>
        <v>52</v>
      </c>
      <c r="IX338" s="665">
        <f>GA338/30.5</f>
        <v>32.533190002687455</v>
      </c>
      <c r="IY338" s="665">
        <v>992.2622950819673</v>
      </c>
    </row>
    <row r="339" spans="1:259" s="367" customFormat="1" ht="16.5" customHeight="1" x14ac:dyDescent="0.3">
      <c r="A339" s="526" t="s">
        <v>2739</v>
      </c>
      <c r="B339" s="682" t="s">
        <v>2748</v>
      </c>
      <c r="C339" s="661" t="s">
        <v>1570</v>
      </c>
      <c r="D339" s="662">
        <v>1149</v>
      </c>
      <c r="E339" s="516">
        <v>71</v>
      </c>
      <c r="F339" s="516">
        <v>40</v>
      </c>
      <c r="G339" s="516">
        <v>5</v>
      </c>
      <c r="H339" s="663">
        <v>0</v>
      </c>
      <c r="I339" s="855">
        <v>1259</v>
      </c>
      <c r="J339" s="655">
        <v>5</v>
      </c>
      <c r="K339" s="827"/>
      <c r="L339" s="597">
        <v>1259</v>
      </c>
      <c r="M339" s="655">
        <v>5</v>
      </c>
      <c r="N339" s="827"/>
      <c r="O339" s="597">
        <v>1259</v>
      </c>
      <c r="P339" s="655">
        <v>5</v>
      </c>
      <c r="Q339" s="827"/>
      <c r="R339" s="597">
        <v>1259</v>
      </c>
      <c r="S339" s="655">
        <v>5</v>
      </c>
      <c r="T339" s="827"/>
      <c r="U339" s="597">
        <v>1259</v>
      </c>
      <c r="V339" s="655">
        <v>5</v>
      </c>
      <c r="W339" s="827"/>
      <c r="X339" s="597">
        <v>1259</v>
      </c>
      <c r="Y339" s="655">
        <v>5</v>
      </c>
      <c r="Z339" s="827"/>
      <c r="AA339" s="597">
        <v>1259</v>
      </c>
      <c r="AB339" s="655">
        <v>5</v>
      </c>
      <c r="AC339" s="827"/>
      <c r="AD339" s="597">
        <v>1259</v>
      </c>
      <c r="AE339" s="655">
        <v>5</v>
      </c>
      <c r="AF339" s="827"/>
      <c r="AG339" s="597">
        <v>1259</v>
      </c>
      <c r="AH339" s="655">
        <v>5</v>
      </c>
      <c r="AI339" s="827"/>
      <c r="AJ339" s="597">
        <v>1259</v>
      </c>
      <c r="AK339" s="655">
        <v>5</v>
      </c>
      <c r="AL339" s="827"/>
      <c r="AM339" s="597">
        <v>1259</v>
      </c>
      <c r="AN339" s="655">
        <v>5</v>
      </c>
      <c r="AO339" s="827"/>
      <c r="AP339" s="597">
        <v>1259</v>
      </c>
      <c r="AQ339" s="655">
        <v>5</v>
      </c>
      <c r="AR339" s="827"/>
      <c r="AS339" s="597">
        <v>1259</v>
      </c>
      <c r="AT339" s="655">
        <v>5</v>
      </c>
      <c r="AU339" s="827"/>
      <c r="AV339" s="597">
        <v>1259</v>
      </c>
      <c r="AW339" s="655">
        <v>5</v>
      </c>
      <c r="AX339" s="827"/>
      <c r="AY339" s="597">
        <v>1259</v>
      </c>
      <c r="AZ339" s="655">
        <v>5</v>
      </c>
      <c r="BA339" s="405"/>
      <c r="BB339" s="421">
        <v>1259</v>
      </c>
      <c r="BC339" s="655">
        <v>5</v>
      </c>
      <c r="BD339" s="405"/>
      <c r="BE339" s="421">
        <v>1259</v>
      </c>
      <c r="BF339" s="655">
        <v>5</v>
      </c>
      <c r="BG339" s="405"/>
      <c r="BH339" s="421">
        <v>1259</v>
      </c>
      <c r="BI339" s="655">
        <v>5</v>
      </c>
      <c r="BJ339" s="690"/>
      <c r="BK339" s="421">
        <v>1259</v>
      </c>
      <c r="BL339" s="655">
        <v>5</v>
      </c>
      <c r="BM339" s="690"/>
      <c r="BN339" s="421">
        <v>1259</v>
      </c>
      <c r="BO339" s="655">
        <v>5</v>
      </c>
      <c r="BP339" s="690"/>
      <c r="BQ339" s="421">
        <v>1259</v>
      </c>
      <c r="BR339" s="655">
        <v>5</v>
      </c>
      <c r="BS339" s="690"/>
      <c r="BT339" s="421">
        <v>1259</v>
      </c>
      <c r="BU339" s="655">
        <v>5</v>
      </c>
      <c r="BV339" s="690"/>
      <c r="BW339" s="421">
        <v>1259</v>
      </c>
      <c r="BX339" s="655">
        <v>5</v>
      </c>
      <c r="BY339" s="690"/>
      <c r="BZ339" s="421">
        <v>1259</v>
      </c>
      <c r="CA339" s="655">
        <v>5</v>
      </c>
      <c r="CB339" s="690"/>
      <c r="CC339" s="421">
        <v>1259</v>
      </c>
      <c r="CD339" s="655">
        <v>5</v>
      </c>
      <c r="CE339" s="690"/>
      <c r="CF339" s="421">
        <v>1259</v>
      </c>
      <c r="CG339" s="655">
        <v>5</v>
      </c>
      <c r="CH339" s="690"/>
      <c r="CI339" s="421">
        <v>1259</v>
      </c>
      <c r="CJ339" s="655">
        <v>5</v>
      </c>
      <c r="CK339" s="690"/>
      <c r="CL339" s="421">
        <v>1259</v>
      </c>
      <c r="CM339" s="655">
        <v>5</v>
      </c>
      <c r="CN339" s="690"/>
      <c r="CO339" s="421">
        <v>1259</v>
      </c>
      <c r="CP339" s="655">
        <v>5</v>
      </c>
      <c r="CQ339" s="690"/>
      <c r="CR339" s="421">
        <v>1259</v>
      </c>
      <c r="CS339" s="655">
        <v>5</v>
      </c>
      <c r="CT339" s="690"/>
      <c r="CU339" s="421">
        <v>1259</v>
      </c>
      <c r="CV339" s="655">
        <v>5</v>
      </c>
      <c r="CW339" s="690"/>
      <c r="CX339" s="421">
        <v>1259</v>
      </c>
      <c r="CY339" s="655">
        <v>5</v>
      </c>
      <c r="CZ339" s="690"/>
      <c r="DA339" s="421">
        <v>1259</v>
      </c>
      <c r="DB339" s="655">
        <v>5</v>
      </c>
      <c r="DC339" s="690"/>
      <c r="DD339" s="421">
        <v>1259</v>
      </c>
      <c r="DE339" s="655">
        <v>5</v>
      </c>
      <c r="DF339" s="690"/>
      <c r="DG339" s="421">
        <v>1259</v>
      </c>
      <c r="DH339" s="655">
        <v>5</v>
      </c>
      <c r="DI339" s="690"/>
      <c r="DJ339" s="421">
        <v>1259</v>
      </c>
      <c r="DK339" s="655">
        <v>5</v>
      </c>
      <c r="DL339" s="690"/>
      <c r="DM339" s="421">
        <v>1259</v>
      </c>
      <c r="DN339" s="655">
        <v>5</v>
      </c>
      <c r="DO339" s="690"/>
      <c r="DP339" s="421">
        <v>1259</v>
      </c>
      <c r="DQ339" s="655">
        <v>5</v>
      </c>
      <c r="DR339" s="690"/>
      <c r="DS339" s="421">
        <v>1259</v>
      </c>
      <c r="DT339" s="655">
        <v>5</v>
      </c>
      <c r="DU339" s="690"/>
      <c r="DV339" s="421">
        <v>1259</v>
      </c>
      <c r="DW339" s="655">
        <v>5</v>
      </c>
      <c r="DX339" s="690"/>
      <c r="DY339" s="421">
        <v>1259</v>
      </c>
      <c r="DZ339" s="655">
        <v>5</v>
      </c>
      <c r="EA339" s="690"/>
      <c r="EB339" s="421">
        <v>1259</v>
      </c>
      <c r="EC339" s="655">
        <v>5</v>
      </c>
      <c r="ED339" s="690"/>
      <c r="EE339" s="421">
        <v>1259</v>
      </c>
      <c r="EF339" s="655">
        <v>5</v>
      </c>
      <c r="EG339" s="690"/>
      <c r="EH339" s="421">
        <v>1259</v>
      </c>
      <c r="EI339" s="655">
        <v>5</v>
      </c>
      <c r="EJ339" s="690"/>
      <c r="EK339" s="421">
        <v>1259</v>
      </c>
      <c r="EL339" s="655">
        <v>5</v>
      </c>
      <c r="EM339" s="690"/>
      <c r="EN339" s="421">
        <v>1259</v>
      </c>
      <c r="EO339" s="655">
        <v>5</v>
      </c>
      <c r="EP339" s="690"/>
      <c r="EQ339" s="421">
        <v>1259</v>
      </c>
      <c r="ER339" s="655">
        <v>5</v>
      </c>
      <c r="ES339" s="690"/>
      <c r="ET339" s="421">
        <v>1259</v>
      </c>
      <c r="EU339" s="655">
        <v>5</v>
      </c>
      <c r="EV339" s="690"/>
      <c r="EW339" s="421">
        <v>1259</v>
      </c>
      <c r="EX339" s="655">
        <v>5</v>
      </c>
      <c r="EY339" s="690"/>
      <c r="EZ339" s="421">
        <v>1259</v>
      </c>
      <c r="FA339" s="655">
        <v>5</v>
      </c>
      <c r="FB339" s="690"/>
      <c r="FC339" s="421">
        <v>1259</v>
      </c>
      <c r="FD339" s="655">
        <v>5</v>
      </c>
      <c r="FE339" s="690"/>
      <c r="FF339" s="421">
        <v>1259</v>
      </c>
      <c r="FG339" s="655">
        <v>5</v>
      </c>
      <c r="FH339" s="690"/>
      <c r="FI339" s="421">
        <v>1259</v>
      </c>
      <c r="FJ339" s="655">
        <v>5</v>
      </c>
      <c r="FK339" s="690"/>
      <c r="FL339" s="421">
        <v>1259</v>
      </c>
      <c r="FM339" s="655">
        <v>5</v>
      </c>
      <c r="FN339" s="690"/>
      <c r="FO339" s="421">
        <v>1259</v>
      </c>
      <c r="FP339" s="655">
        <v>5</v>
      </c>
      <c r="FQ339" s="690"/>
      <c r="FR339" s="421">
        <v>1259</v>
      </c>
      <c r="FS339" s="655">
        <v>5</v>
      </c>
      <c r="FT339" s="690"/>
      <c r="FU339" s="421">
        <v>1259</v>
      </c>
      <c r="FV339" s="655">
        <v>5</v>
      </c>
      <c r="FW339" s="690"/>
      <c r="FX339" s="421">
        <v>1259</v>
      </c>
      <c r="FY339" s="655">
        <v>5</v>
      </c>
      <c r="FZ339" s="690"/>
      <c r="GA339" s="422">
        <v>1486.032786885246</v>
      </c>
      <c r="GB339" s="517">
        <v>5.9016393442622945</v>
      </c>
      <c r="GC339" s="691"/>
      <c r="GD339" s="587"/>
      <c r="GE339" s="587"/>
      <c r="GF339" s="587"/>
      <c r="GG339" s="587"/>
      <c r="GH339" s="587"/>
      <c r="GI339" s="587"/>
      <c r="GJ339" s="587"/>
      <c r="GK339" s="587"/>
      <c r="GL339" s="587"/>
      <c r="GM339" s="587"/>
      <c r="GN339" s="587"/>
      <c r="GO339" s="587"/>
      <c r="GP339" s="587"/>
      <c r="GQ339" s="587"/>
      <c r="GR339" s="587"/>
      <c r="GS339" s="587"/>
      <c r="GT339" s="587"/>
      <c r="GU339" s="587"/>
      <c r="GV339" s="587"/>
      <c r="GW339" s="587"/>
      <c r="GX339" s="587"/>
      <c r="GY339" s="587"/>
      <c r="GZ339" s="587"/>
      <c r="HA339" s="587"/>
      <c r="HB339" s="587"/>
      <c r="HC339" s="587"/>
      <c r="HD339" s="587"/>
      <c r="HE339" s="587"/>
      <c r="HF339" s="587"/>
      <c r="HG339" s="587"/>
      <c r="HH339" s="587"/>
      <c r="HI339" s="587"/>
      <c r="HJ339" s="587"/>
      <c r="HK339" s="587"/>
      <c r="HL339" s="587"/>
      <c r="HM339" s="587"/>
      <c r="HN339" s="587"/>
      <c r="HO339" s="587"/>
      <c r="HP339" s="587"/>
      <c r="HQ339" s="587"/>
      <c r="HR339" s="587"/>
      <c r="HS339" s="587"/>
      <c r="HT339" s="587"/>
      <c r="HU339" s="587"/>
      <c r="HV339" s="587"/>
      <c r="HW339" s="587"/>
      <c r="HX339" s="587"/>
      <c r="HY339" s="587"/>
      <c r="HZ339" s="587"/>
      <c r="IA339" s="587"/>
      <c r="IB339" s="587"/>
      <c r="IC339" s="587"/>
      <c r="ID339" s="587"/>
      <c r="IE339" s="587"/>
      <c r="IF339" s="587"/>
      <c r="IG339" s="587"/>
      <c r="IH339" s="588"/>
      <c r="II339" s="589"/>
      <c r="IJ339" s="588"/>
      <c r="IK339" s="589"/>
      <c r="IL339" s="588"/>
      <c r="IM339" s="589"/>
      <c r="IN339" s="588"/>
      <c r="IO339" s="589"/>
      <c r="IP339" s="588"/>
      <c r="IQ339" s="589"/>
      <c r="IR339" s="601" t="s">
        <v>3509</v>
      </c>
      <c r="IS339" s="587" t="s">
        <v>77</v>
      </c>
      <c r="IT339" s="611">
        <v>44281</v>
      </c>
      <c r="IU339" s="518">
        <v>44317</v>
      </c>
      <c r="IV339" s="552"/>
      <c r="IW339" s="526">
        <f t="shared" si="39"/>
        <v>36</v>
      </c>
      <c r="IX339" s="665">
        <f>GA339/30.5</f>
        <v>48.722386455253968</v>
      </c>
      <c r="IY339" s="665">
        <v>1486.032786885246</v>
      </c>
    </row>
    <row r="340" spans="1:259" s="367" customFormat="1" ht="16.5" customHeight="1" x14ac:dyDescent="0.3">
      <c r="A340" s="526" t="s">
        <v>2739</v>
      </c>
      <c r="B340" s="682" t="s">
        <v>2777</v>
      </c>
      <c r="C340" s="998" t="s">
        <v>1593</v>
      </c>
      <c r="D340" s="662">
        <v>725</v>
      </c>
      <c r="E340" s="516">
        <v>12</v>
      </c>
      <c r="F340" s="516">
        <v>8</v>
      </c>
      <c r="G340" s="516">
        <v>0</v>
      </c>
      <c r="H340" s="663">
        <v>0</v>
      </c>
      <c r="I340" s="855">
        <v>745</v>
      </c>
      <c r="J340" s="827"/>
      <c r="K340" s="827"/>
      <c r="L340" s="597">
        <v>745</v>
      </c>
      <c r="M340" s="827"/>
      <c r="N340" s="827"/>
      <c r="O340" s="597">
        <v>745</v>
      </c>
      <c r="P340" s="827"/>
      <c r="Q340" s="827"/>
      <c r="R340" s="597">
        <v>745</v>
      </c>
      <c r="S340" s="827"/>
      <c r="T340" s="827"/>
      <c r="U340" s="597">
        <v>745</v>
      </c>
      <c r="V340" s="827"/>
      <c r="W340" s="827"/>
      <c r="X340" s="597">
        <v>745</v>
      </c>
      <c r="Y340" s="827"/>
      <c r="Z340" s="827"/>
      <c r="AA340" s="597">
        <v>745</v>
      </c>
      <c r="AB340" s="827"/>
      <c r="AC340" s="827"/>
      <c r="AD340" s="597">
        <v>745</v>
      </c>
      <c r="AE340" s="827"/>
      <c r="AF340" s="827"/>
      <c r="AG340" s="597">
        <v>745</v>
      </c>
      <c r="AH340" s="827"/>
      <c r="AI340" s="827"/>
      <c r="AJ340" s="597">
        <v>745</v>
      </c>
      <c r="AK340" s="827"/>
      <c r="AL340" s="827"/>
      <c r="AM340" s="597">
        <v>745</v>
      </c>
      <c r="AN340" s="827"/>
      <c r="AO340" s="827"/>
      <c r="AP340" s="597">
        <v>745</v>
      </c>
      <c r="AQ340" s="827"/>
      <c r="AR340" s="827"/>
      <c r="AS340" s="597">
        <v>745</v>
      </c>
      <c r="AT340" s="827"/>
      <c r="AU340" s="827"/>
      <c r="AV340" s="597">
        <v>745</v>
      </c>
      <c r="AW340" s="827"/>
      <c r="AX340" s="827"/>
      <c r="AY340" s="597">
        <v>745</v>
      </c>
      <c r="AZ340" s="827"/>
      <c r="BA340" s="405"/>
      <c r="BB340" s="421">
        <v>745</v>
      </c>
      <c r="BC340" s="405"/>
      <c r="BD340" s="405"/>
      <c r="BE340" s="421">
        <v>745</v>
      </c>
      <c r="BF340" s="405"/>
      <c r="BG340" s="405"/>
      <c r="BH340" s="421">
        <v>745</v>
      </c>
      <c r="BI340" s="602"/>
      <c r="BJ340" s="690"/>
      <c r="BK340" s="421">
        <v>745</v>
      </c>
      <c r="BL340" s="602"/>
      <c r="BM340" s="690"/>
      <c r="BN340" s="421">
        <v>745</v>
      </c>
      <c r="BO340" s="602"/>
      <c r="BP340" s="690"/>
      <c r="BQ340" s="421">
        <v>745</v>
      </c>
      <c r="BR340" s="602"/>
      <c r="BS340" s="690"/>
      <c r="BT340" s="421">
        <v>745</v>
      </c>
      <c r="BU340" s="602"/>
      <c r="BV340" s="690"/>
      <c r="BW340" s="421">
        <v>745</v>
      </c>
      <c r="BX340" s="602"/>
      <c r="BY340" s="690"/>
      <c r="BZ340" s="421">
        <v>745</v>
      </c>
      <c r="CA340" s="602"/>
      <c r="CB340" s="690"/>
      <c r="CC340" s="421">
        <v>745</v>
      </c>
      <c r="CD340" s="602"/>
      <c r="CE340" s="690"/>
      <c r="CF340" s="421">
        <v>745</v>
      </c>
      <c r="CG340" s="602"/>
      <c r="CH340" s="690"/>
      <c r="CI340" s="421">
        <v>745</v>
      </c>
      <c r="CJ340" s="602"/>
      <c r="CK340" s="690"/>
      <c r="CL340" s="421">
        <v>745</v>
      </c>
      <c r="CM340" s="602"/>
      <c r="CN340" s="690"/>
      <c r="CO340" s="421">
        <v>745</v>
      </c>
      <c r="CP340" s="602"/>
      <c r="CQ340" s="690"/>
      <c r="CR340" s="421">
        <v>745</v>
      </c>
      <c r="CS340" s="602"/>
      <c r="CT340" s="690"/>
      <c r="CU340" s="421">
        <v>745</v>
      </c>
      <c r="CV340" s="602"/>
      <c r="CW340" s="690"/>
      <c r="CX340" s="421">
        <v>745</v>
      </c>
      <c r="CY340" s="602"/>
      <c r="CZ340" s="690"/>
      <c r="DA340" s="421">
        <v>745</v>
      </c>
      <c r="DB340" s="602"/>
      <c r="DC340" s="690"/>
      <c r="DD340" s="421">
        <v>745</v>
      </c>
      <c r="DE340" s="602"/>
      <c r="DF340" s="690"/>
      <c r="DG340" s="421">
        <v>745</v>
      </c>
      <c r="DH340" s="602"/>
      <c r="DI340" s="690"/>
      <c r="DJ340" s="421">
        <v>745</v>
      </c>
      <c r="DK340" s="602"/>
      <c r="DL340" s="690"/>
      <c r="DM340" s="421">
        <v>745</v>
      </c>
      <c r="DN340" s="602"/>
      <c r="DO340" s="690"/>
      <c r="DP340" s="421">
        <v>745</v>
      </c>
      <c r="DQ340" s="602"/>
      <c r="DR340" s="690"/>
      <c r="DS340" s="421">
        <v>745</v>
      </c>
      <c r="DT340" s="602"/>
      <c r="DU340" s="690"/>
      <c r="DV340" s="421">
        <v>745</v>
      </c>
      <c r="DW340" s="602"/>
      <c r="DX340" s="690"/>
      <c r="DY340" s="421">
        <v>745</v>
      </c>
      <c r="DZ340" s="602"/>
      <c r="EA340" s="690"/>
      <c r="EB340" s="421">
        <v>745</v>
      </c>
      <c r="EC340" s="602"/>
      <c r="ED340" s="690"/>
      <c r="EE340" s="421">
        <v>745</v>
      </c>
      <c r="EF340" s="602"/>
      <c r="EG340" s="690"/>
      <c r="EH340" s="421">
        <v>745</v>
      </c>
      <c r="EI340" s="602"/>
      <c r="EJ340" s="690"/>
      <c r="EK340" s="421">
        <v>745</v>
      </c>
      <c r="EL340" s="602"/>
      <c r="EM340" s="690"/>
      <c r="EN340" s="421">
        <v>745</v>
      </c>
      <c r="EO340" s="602"/>
      <c r="EP340" s="690"/>
      <c r="EQ340" s="421">
        <v>745</v>
      </c>
      <c r="ER340" s="602"/>
      <c r="ES340" s="690"/>
      <c r="ET340" s="421">
        <v>745</v>
      </c>
      <c r="EU340" s="602"/>
      <c r="EV340" s="690"/>
      <c r="EW340" s="421">
        <v>745</v>
      </c>
      <c r="EX340" s="602"/>
      <c r="EY340" s="690"/>
      <c r="EZ340" s="421">
        <v>745</v>
      </c>
      <c r="FA340" s="602"/>
      <c r="FB340" s="690"/>
      <c r="FC340" s="421">
        <v>745</v>
      </c>
      <c r="FD340" s="602"/>
      <c r="FE340" s="690"/>
      <c r="FF340" s="421">
        <v>745</v>
      </c>
      <c r="FG340" s="602"/>
      <c r="FH340" s="690"/>
      <c r="FI340" s="421">
        <v>745</v>
      </c>
      <c r="FJ340" s="602"/>
      <c r="FK340" s="690"/>
      <c r="FL340" s="421">
        <v>745</v>
      </c>
      <c r="FM340" s="602"/>
      <c r="FN340" s="690"/>
      <c r="FO340" s="421">
        <v>745</v>
      </c>
      <c r="FP340" s="602"/>
      <c r="FQ340" s="690"/>
      <c r="FR340" s="421">
        <v>745</v>
      </c>
      <c r="FS340" s="602"/>
      <c r="FT340" s="690"/>
      <c r="FU340" s="422">
        <v>2051.8032786885246</v>
      </c>
      <c r="FV340" s="714"/>
      <c r="FW340" s="691"/>
      <c r="FX340" s="587"/>
      <c r="FY340" s="587"/>
      <c r="FZ340" s="587"/>
      <c r="GA340" s="587"/>
      <c r="GB340" s="587"/>
      <c r="GC340" s="587"/>
      <c r="GD340" s="587"/>
      <c r="GE340" s="587"/>
      <c r="GF340" s="587"/>
      <c r="GG340" s="587"/>
      <c r="GH340" s="587"/>
      <c r="GI340" s="587"/>
      <c r="GJ340" s="587"/>
      <c r="GK340" s="587"/>
      <c r="GL340" s="587"/>
      <c r="GM340" s="587"/>
      <c r="GN340" s="587"/>
      <c r="GO340" s="587"/>
      <c r="GP340" s="587"/>
      <c r="GQ340" s="587"/>
      <c r="GR340" s="587"/>
      <c r="GS340" s="587"/>
      <c r="GT340" s="587"/>
      <c r="GU340" s="587"/>
      <c r="GV340" s="587"/>
      <c r="GW340" s="587"/>
      <c r="GX340" s="587"/>
      <c r="GY340" s="587"/>
      <c r="GZ340" s="587"/>
      <c r="HA340" s="587"/>
      <c r="HB340" s="587"/>
      <c r="HC340" s="587"/>
      <c r="HD340" s="587"/>
      <c r="HE340" s="576"/>
      <c r="HF340" s="576"/>
      <c r="HG340" s="576"/>
      <c r="HH340" s="576"/>
      <c r="HI340" s="576"/>
      <c r="HJ340" s="576"/>
      <c r="HK340" s="576"/>
      <c r="HL340" s="576"/>
      <c r="HM340" s="576"/>
      <c r="HN340" s="576"/>
      <c r="HO340" s="576"/>
      <c r="HP340" s="576"/>
      <c r="HQ340" s="576"/>
      <c r="HR340" s="576"/>
      <c r="HS340" s="576"/>
      <c r="HT340" s="576"/>
      <c r="HU340" s="576"/>
      <c r="HV340" s="576"/>
      <c r="HW340" s="576"/>
      <c r="HX340" s="576"/>
      <c r="HY340" s="576"/>
      <c r="HZ340" s="576"/>
      <c r="IA340" s="576"/>
      <c r="IB340" s="576"/>
      <c r="IC340" s="576"/>
      <c r="ID340" s="576"/>
      <c r="IE340" s="576"/>
      <c r="IF340" s="576"/>
      <c r="IG340" s="576"/>
      <c r="IH340" s="577"/>
      <c r="II340" s="578"/>
      <c r="IJ340" s="577"/>
      <c r="IK340" s="578"/>
      <c r="IL340" s="577"/>
      <c r="IM340" s="578"/>
      <c r="IN340" s="577"/>
      <c r="IO340" s="578"/>
      <c r="IP340" s="577"/>
      <c r="IQ340" s="578"/>
      <c r="IR340" s="773" t="s">
        <v>2897</v>
      </c>
      <c r="IS340" s="587" t="s">
        <v>77</v>
      </c>
      <c r="IT340" s="611">
        <v>44294</v>
      </c>
      <c r="IU340" s="518">
        <v>44378</v>
      </c>
      <c r="IV340" s="518">
        <v>44348</v>
      </c>
      <c r="IW340" s="526">
        <f t="shared" si="39"/>
        <v>84</v>
      </c>
      <c r="IX340" s="433">
        <f>FU340/30.5</f>
        <v>67.272238645525391</v>
      </c>
      <c r="IY340" s="433">
        <v>2051.8032786885246</v>
      </c>
    </row>
    <row r="341" spans="1:259" s="367" customFormat="1" ht="16.5" customHeight="1" x14ac:dyDescent="0.3">
      <c r="A341" s="526" t="s">
        <v>2739</v>
      </c>
      <c r="B341" s="682" t="s">
        <v>2777</v>
      </c>
      <c r="C341" s="661" t="s">
        <v>1579</v>
      </c>
      <c r="D341" s="662">
        <v>725</v>
      </c>
      <c r="E341" s="516">
        <v>12</v>
      </c>
      <c r="F341" s="516">
        <v>8</v>
      </c>
      <c r="G341" s="516">
        <v>0</v>
      </c>
      <c r="H341" s="663">
        <v>0</v>
      </c>
      <c r="I341" s="855">
        <v>745</v>
      </c>
      <c r="J341" s="827"/>
      <c r="K341" s="827"/>
      <c r="L341" s="597">
        <v>745</v>
      </c>
      <c r="M341" s="827"/>
      <c r="N341" s="827"/>
      <c r="O341" s="597">
        <v>745</v>
      </c>
      <c r="P341" s="827"/>
      <c r="Q341" s="827"/>
      <c r="R341" s="597">
        <v>745</v>
      </c>
      <c r="S341" s="827"/>
      <c r="T341" s="827"/>
      <c r="U341" s="597">
        <v>745</v>
      </c>
      <c r="V341" s="827"/>
      <c r="W341" s="827"/>
      <c r="X341" s="597">
        <v>745</v>
      </c>
      <c r="Y341" s="827"/>
      <c r="Z341" s="827"/>
      <c r="AA341" s="597">
        <v>745</v>
      </c>
      <c r="AB341" s="827"/>
      <c r="AC341" s="827"/>
      <c r="AD341" s="597">
        <v>745</v>
      </c>
      <c r="AE341" s="827"/>
      <c r="AF341" s="827"/>
      <c r="AG341" s="597">
        <v>745</v>
      </c>
      <c r="AH341" s="827"/>
      <c r="AI341" s="827"/>
      <c r="AJ341" s="597">
        <v>745</v>
      </c>
      <c r="AK341" s="827"/>
      <c r="AL341" s="827"/>
      <c r="AM341" s="597">
        <v>745</v>
      </c>
      <c r="AN341" s="827"/>
      <c r="AO341" s="827"/>
      <c r="AP341" s="597">
        <v>745</v>
      </c>
      <c r="AQ341" s="827"/>
      <c r="AR341" s="827"/>
      <c r="AS341" s="597">
        <v>745</v>
      </c>
      <c r="AT341" s="827"/>
      <c r="AU341" s="827"/>
      <c r="AV341" s="597">
        <v>745</v>
      </c>
      <c r="AW341" s="827"/>
      <c r="AX341" s="827"/>
      <c r="AY341" s="597">
        <v>745</v>
      </c>
      <c r="AZ341" s="827"/>
      <c r="BA341" s="405"/>
      <c r="BB341" s="421">
        <v>745</v>
      </c>
      <c r="BC341" s="405"/>
      <c r="BD341" s="405"/>
      <c r="BE341" s="421">
        <v>745</v>
      </c>
      <c r="BF341" s="405"/>
      <c r="BG341" s="405"/>
      <c r="BH341" s="421">
        <v>745</v>
      </c>
      <c r="BI341" s="602"/>
      <c r="BJ341" s="690"/>
      <c r="BK341" s="421">
        <v>745</v>
      </c>
      <c r="BL341" s="602"/>
      <c r="BM341" s="690"/>
      <c r="BN341" s="421">
        <v>745</v>
      </c>
      <c r="BO341" s="602"/>
      <c r="BP341" s="690"/>
      <c r="BQ341" s="421">
        <v>745</v>
      </c>
      <c r="BR341" s="602"/>
      <c r="BS341" s="690"/>
      <c r="BT341" s="421">
        <v>745</v>
      </c>
      <c r="BU341" s="602"/>
      <c r="BV341" s="690"/>
      <c r="BW341" s="421">
        <v>745</v>
      </c>
      <c r="BX341" s="602"/>
      <c r="BY341" s="690"/>
      <c r="BZ341" s="421">
        <v>745</v>
      </c>
      <c r="CA341" s="602"/>
      <c r="CB341" s="690"/>
      <c r="CC341" s="421">
        <v>745</v>
      </c>
      <c r="CD341" s="602"/>
      <c r="CE341" s="690"/>
      <c r="CF341" s="421">
        <v>745</v>
      </c>
      <c r="CG341" s="602"/>
      <c r="CH341" s="690"/>
      <c r="CI341" s="421">
        <v>745</v>
      </c>
      <c r="CJ341" s="602"/>
      <c r="CK341" s="690"/>
      <c r="CL341" s="421">
        <v>745</v>
      </c>
      <c r="CM341" s="602"/>
      <c r="CN341" s="690"/>
      <c r="CO341" s="421">
        <v>745</v>
      </c>
      <c r="CP341" s="602"/>
      <c r="CQ341" s="690"/>
      <c r="CR341" s="421">
        <v>745</v>
      </c>
      <c r="CS341" s="602"/>
      <c r="CT341" s="690"/>
      <c r="CU341" s="421">
        <v>745</v>
      </c>
      <c r="CV341" s="602"/>
      <c r="CW341" s="690"/>
      <c r="CX341" s="421">
        <v>745</v>
      </c>
      <c r="CY341" s="602"/>
      <c r="CZ341" s="690"/>
      <c r="DA341" s="421">
        <v>745</v>
      </c>
      <c r="DB341" s="602"/>
      <c r="DC341" s="690"/>
      <c r="DD341" s="421">
        <v>745</v>
      </c>
      <c r="DE341" s="602"/>
      <c r="DF341" s="690"/>
      <c r="DG341" s="421">
        <v>745</v>
      </c>
      <c r="DH341" s="602"/>
      <c r="DI341" s="690"/>
      <c r="DJ341" s="421">
        <v>745</v>
      </c>
      <c r="DK341" s="602"/>
      <c r="DL341" s="690"/>
      <c r="DM341" s="421">
        <v>745</v>
      </c>
      <c r="DN341" s="602"/>
      <c r="DO341" s="690"/>
      <c r="DP341" s="421">
        <v>745</v>
      </c>
      <c r="DQ341" s="602"/>
      <c r="DR341" s="690"/>
      <c r="DS341" s="421">
        <v>745</v>
      </c>
      <c r="DT341" s="602"/>
      <c r="DU341" s="690"/>
      <c r="DV341" s="421">
        <v>745</v>
      </c>
      <c r="DW341" s="602"/>
      <c r="DX341" s="690"/>
      <c r="DY341" s="421">
        <v>745</v>
      </c>
      <c r="DZ341" s="602"/>
      <c r="EA341" s="690"/>
      <c r="EB341" s="421">
        <v>745</v>
      </c>
      <c r="EC341" s="602"/>
      <c r="ED341" s="690"/>
      <c r="EE341" s="421">
        <v>745</v>
      </c>
      <c r="EF341" s="602"/>
      <c r="EG341" s="690"/>
      <c r="EH341" s="421">
        <v>745</v>
      </c>
      <c r="EI341" s="602"/>
      <c r="EJ341" s="690"/>
      <c r="EK341" s="421">
        <v>745</v>
      </c>
      <c r="EL341" s="602"/>
      <c r="EM341" s="690"/>
      <c r="EN341" s="421">
        <v>745</v>
      </c>
      <c r="EO341" s="602"/>
      <c r="EP341" s="690"/>
      <c r="EQ341" s="421">
        <v>745</v>
      </c>
      <c r="ER341" s="602"/>
      <c r="ES341" s="690"/>
      <c r="ET341" s="421">
        <v>745</v>
      </c>
      <c r="EU341" s="602"/>
      <c r="EV341" s="690"/>
      <c r="EW341" s="421">
        <v>745</v>
      </c>
      <c r="EX341" s="602"/>
      <c r="EY341" s="690"/>
      <c r="EZ341" s="421">
        <v>745</v>
      </c>
      <c r="FA341" s="602"/>
      <c r="FB341" s="690"/>
      <c r="FC341" s="421">
        <v>745</v>
      </c>
      <c r="FD341" s="602"/>
      <c r="FE341" s="690"/>
      <c r="FF341" s="421">
        <v>745</v>
      </c>
      <c r="FG341" s="602"/>
      <c r="FH341" s="690"/>
      <c r="FI341" s="421">
        <v>745</v>
      </c>
      <c r="FJ341" s="602"/>
      <c r="FK341" s="690"/>
      <c r="FL341" s="421">
        <v>745</v>
      </c>
      <c r="FM341" s="602"/>
      <c r="FN341" s="690"/>
      <c r="FO341" s="421">
        <v>745</v>
      </c>
      <c r="FP341" s="602"/>
      <c r="FQ341" s="690"/>
      <c r="FR341" s="421">
        <v>745</v>
      </c>
      <c r="FS341" s="602"/>
      <c r="FT341" s="690"/>
      <c r="FU341" s="733">
        <v>1709.8360655737704</v>
      </c>
      <c r="FV341" s="734"/>
      <c r="FW341" s="722"/>
      <c r="FX341" s="617"/>
      <c r="FY341" s="617"/>
      <c r="FZ341" s="617"/>
      <c r="GA341" s="617"/>
      <c r="GB341" s="617"/>
      <c r="GC341" s="617"/>
      <c r="GD341" s="617"/>
      <c r="GE341" s="617"/>
      <c r="GF341" s="617"/>
      <c r="GG341" s="617"/>
      <c r="GH341" s="617"/>
      <c r="GI341" s="617"/>
      <c r="GJ341" s="617"/>
      <c r="GK341" s="617"/>
      <c r="GL341" s="617"/>
      <c r="GM341" s="617"/>
      <c r="GN341" s="617"/>
      <c r="GO341" s="617"/>
      <c r="GP341" s="617"/>
      <c r="GQ341" s="617"/>
      <c r="GR341" s="617"/>
      <c r="GS341" s="617"/>
      <c r="GT341" s="617"/>
      <c r="GU341" s="617"/>
      <c r="GV341" s="617"/>
      <c r="GW341" s="617"/>
      <c r="GX341" s="617"/>
      <c r="GY341" s="617"/>
      <c r="GZ341" s="617"/>
      <c r="HA341" s="617"/>
      <c r="HB341" s="617"/>
      <c r="HC341" s="617"/>
      <c r="HD341" s="617"/>
      <c r="HE341" s="576"/>
      <c r="HF341" s="576"/>
      <c r="HG341" s="576"/>
      <c r="HH341" s="576"/>
      <c r="HI341" s="576"/>
      <c r="HJ341" s="576"/>
      <c r="HK341" s="576"/>
      <c r="HL341" s="576"/>
      <c r="HM341" s="576"/>
      <c r="HN341" s="576"/>
      <c r="HO341" s="576"/>
      <c r="HP341" s="576"/>
      <c r="HQ341" s="576"/>
      <c r="HR341" s="576"/>
      <c r="HS341" s="576"/>
      <c r="HT341" s="576"/>
      <c r="HU341" s="576"/>
      <c r="HV341" s="576"/>
      <c r="HW341" s="576"/>
      <c r="HX341" s="576"/>
      <c r="HY341" s="576"/>
      <c r="HZ341" s="576"/>
      <c r="IA341" s="576"/>
      <c r="IB341" s="576"/>
      <c r="IC341" s="576"/>
      <c r="ID341" s="576"/>
      <c r="IE341" s="576"/>
      <c r="IF341" s="576"/>
      <c r="IG341" s="576"/>
      <c r="IH341" s="577"/>
      <c r="II341" s="578"/>
      <c r="IJ341" s="577"/>
      <c r="IK341" s="578"/>
      <c r="IL341" s="577"/>
      <c r="IM341" s="578"/>
      <c r="IN341" s="577"/>
      <c r="IO341" s="578"/>
      <c r="IP341" s="577"/>
      <c r="IQ341" s="578"/>
      <c r="IR341" s="774" t="s">
        <v>2914</v>
      </c>
      <c r="IS341" s="617" t="s">
        <v>77</v>
      </c>
      <c r="IT341" s="618">
        <v>44308</v>
      </c>
      <c r="IU341" s="550">
        <v>44378</v>
      </c>
      <c r="IV341" s="550">
        <v>44348</v>
      </c>
      <c r="IW341" s="736">
        <f t="shared" si="39"/>
        <v>70</v>
      </c>
      <c r="IX341" s="752">
        <f>FU341/30.5</f>
        <v>56.060198871271162</v>
      </c>
      <c r="IY341" s="752">
        <v>1709.8360655737704</v>
      </c>
    </row>
    <row r="342" spans="1:259" s="367" customFormat="1" ht="16.5" customHeight="1" x14ac:dyDescent="0.3">
      <c r="A342" s="526" t="s">
        <v>2739</v>
      </c>
      <c r="B342" s="682" t="s">
        <v>2825</v>
      </c>
      <c r="C342" s="661" t="s">
        <v>1607</v>
      </c>
      <c r="D342" s="662">
        <v>2532</v>
      </c>
      <c r="E342" s="516">
        <v>689</v>
      </c>
      <c r="F342" s="516">
        <v>54</v>
      </c>
      <c r="G342" s="516">
        <v>1242</v>
      </c>
      <c r="H342" s="663">
        <v>0</v>
      </c>
      <c r="I342" s="855">
        <v>3276</v>
      </c>
      <c r="J342" s="597">
        <v>1242</v>
      </c>
      <c r="K342" s="827">
        <v>0</v>
      </c>
      <c r="L342" s="597">
        <v>3276</v>
      </c>
      <c r="M342" s="597">
        <v>1242</v>
      </c>
      <c r="N342" s="827">
        <v>0</v>
      </c>
      <c r="O342" s="597">
        <v>3276</v>
      </c>
      <c r="P342" s="597">
        <v>1242</v>
      </c>
      <c r="Q342" s="827">
        <v>0</v>
      </c>
      <c r="R342" s="597">
        <v>3276</v>
      </c>
      <c r="S342" s="597">
        <v>1242</v>
      </c>
      <c r="T342" s="827">
        <v>0</v>
      </c>
      <c r="U342" s="597">
        <v>3276</v>
      </c>
      <c r="V342" s="597">
        <v>1242</v>
      </c>
      <c r="W342" s="827">
        <v>0</v>
      </c>
      <c r="X342" s="597">
        <v>3276</v>
      </c>
      <c r="Y342" s="597">
        <v>1242</v>
      </c>
      <c r="Z342" s="827">
        <v>0</v>
      </c>
      <c r="AA342" s="597">
        <v>3276</v>
      </c>
      <c r="AB342" s="597">
        <v>1242</v>
      </c>
      <c r="AC342" s="827">
        <v>0</v>
      </c>
      <c r="AD342" s="597">
        <v>3276</v>
      </c>
      <c r="AE342" s="597">
        <v>1242</v>
      </c>
      <c r="AF342" s="827">
        <v>0</v>
      </c>
      <c r="AG342" s="597">
        <v>3276</v>
      </c>
      <c r="AH342" s="597">
        <v>1242</v>
      </c>
      <c r="AI342" s="827">
        <v>0</v>
      </c>
      <c r="AJ342" s="597">
        <v>3276</v>
      </c>
      <c r="AK342" s="597">
        <v>1242</v>
      </c>
      <c r="AL342" s="827">
        <v>0</v>
      </c>
      <c r="AM342" s="597">
        <v>3276</v>
      </c>
      <c r="AN342" s="597">
        <v>1242</v>
      </c>
      <c r="AO342" s="827">
        <v>0</v>
      </c>
      <c r="AP342" s="597">
        <v>3276</v>
      </c>
      <c r="AQ342" s="597">
        <v>1242</v>
      </c>
      <c r="AR342" s="827">
        <v>0</v>
      </c>
      <c r="AS342" s="597">
        <v>3276</v>
      </c>
      <c r="AT342" s="597">
        <v>1242</v>
      </c>
      <c r="AU342" s="827">
        <v>0</v>
      </c>
      <c r="AV342" s="597">
        <v>3276</v>
      </c>
      <c r="AW342" s="597">
        <v>1242</v>
      </c>
      <c r="AX342" s="827">
        <v>0</v>
      </c>
      <c r="AY342" s="597">
        <v>3276</v>
      </c>
      <c r="AZ342" s="597">
        <v>1242</v>
      </c>
      <c r="BA342" s="405">
        <v>0</v>
      </c>
      <c r="BB342" s="421">
        <v>3276</v>
      </c>
      <c r="BC342" s="421">
        <v>1242</v>
      </c>
      <c r="BD342" s="405">
        <v>0</v>
      </c>
      <c r="BE342" s="421">
        <v>3276</v>
      </c>
      <c r="BF342" s="421">
        <v>1242</v>
      </c>
      <c r="BG342" s="405">
        <v>0</v>
      </c>
      <c r="BH342" s="421">
        <v>3276</v>
      </c>
      <c r="BI342" s="421">
        <v>1242</v>
      </c>
      <c r="BJ342" s="655">
        <v>0</v>
      </c>
      <c r="BK342" s="421">
        <v>3276</v>
      </c>
      <c r="BL342" s="421">
        <v>1242</v>
      </c>
      <c r="BM342" s="655">
        <v>0</v>
      </c>
      <c r="BN342" s="421">
        <v>3276</v>
      </c>
      <c r="BO342" s="421">
        <v>1242</v>
      </c>
      <c r="BP342" s="655">
        <v>0</v>
      </c>
      <c r="BQ342" s="421">
        <v>3276</v>
      </c>
      <c r="BR342" s="421">
        <v>1242</v>
      </c>
      <c r="BS342" s="655">
        <v>0</v>
      </c>
      <c r="BT342" s="421">
        <v>3276</v>
      </c>
      <c r="BU342" s="421">
        <v>1242</v>
      </c>
      <c r="BV342" s="655">
        <v>0</v>
      </c>
      <c r="BW342" s="421">
        <v>3276</v>
      </c>
      <c r="BX342" s="421">
        <v>1242</v>
      </c>
      <c r="BY342" s="655">
        <v>0</v>
      </c>
      <c r="BZ342" s="421">
        <v>3276</v>
      </c>
      <c r="CA342" s="421">
        <v>1242</v>
      </c>
      <c r="CB342" s="655">
        <v>0</v>
      </c>
      <c r="CC342" s="421">
        <v>3276</v>
      </c>
      <c r="CD342" s="421">
        <v>1242</v>
      </c>
      <c r="CE342" s="655">
        <v>0</v>
      </c>
      <c r="CF342" s="421">
        <v>3276</v>
      </c>
      <c r="CG342" s="421">
        <v>1242</v>
      </c>
      <c r="CH342" s="655">
        <v>0</v>
      </c>
      <c r="CI342" s="421">
        <v>3276</v>
      </c>
      <c r="CJ342" s="421">
        <v>1242</v>
      </c>
      <c r="CK342" s="655">
        <v>0</v>
      </c>
      <c r="CL342" s="421">
        <v>3276</v>
      </c>
      <c r="CM342" s="421">
        <v>1242</v>
      </c>
      <c r="CN342" s="655">
        <v>0</v>
      </c>
      <c r="CO342" s="421">
        <v>3276</v>
      </c>
      <c r="CP342" s="421">
        <v>1242</v>
      </c>
      <c r="CQ342" s="655">
        <v>0</v>
      </c>
      <c r="CR342" s="421">
        <v>3276</v>
      </c>
      <c r="CS342" s="421">
        <v>1242</v>
      </c>
      <c r="CT342" s="655">
        <v>0</v>
      </c>
      <c r="CU342" s="421">
        <v>3276</v>
      </c>
      <c r="CV342" s="421">
        <v>1242</v>
      </c>
      <c r="CW342" s="655">
        <v>0</v>
      </c>
      <c r="CX342" s="421">
        <v>3276</v>
      </c>
      <c r="CY342" s="421">
        <v>1242</v>
      </c>
      <c r="CZ342" s="655">
        <v>0</v>
      </c>
      <c r="DA342" s="421">
        <v>3276</v>
      </c>
      <c r="DB342" s="421">
        <v>1242</v>
      </c>
      <c r="DC342" s="655">
        <v>0</v>
      </c>
      <c r="DD342" s="421">
        <v>3276</v>
      </c>
      <c r="DE342" s="421">
        <v>1242</v>
      </c>
      <c r="DF342" s="655">
        <v>0</v>
      </c>
      <c r="DG342" s="421">
        <v>3276</v>
      </c>
      <c r="DH342" s="421">
        <v>1242</v>
      </c>
      <c r="DI342" s="655">
        <v>0</v>
      </c>
      <c r="DJ342" s="421">
        <v>3276</v>
      </c>
      <c r="DK342" s="421">
        <v>1242</v>
      </c>
      <c r="DL342" s="655">
        <v>0</v>
      </c>
      <c r="DM342" s="421">
        <v>3276</v>
      </c>
      <c r="DN342" s="421">
        <v>1242</v>
      </c>
      <c r="DO342" s="655">
        <v>0</v>
      </c>
      <c r="DP342" s="421">
        <v>3276</v>
      </c>
      <c r="DQ342" s="421">
        <v>1242</v>
      </c>
      <c r="DR342" s="655">
        <v>0</v>
      </c>
      <c r="DS342" s="422">
        <f>((3276-3228)/30.5)*7+3276</f>
        <v>3287.0163934426228</v>
      </c>
      <c r="DT342" s="422">
        <f>((1242-792)/30.5)*7+1242</f>
        <v>1345.2786885245901</v>
      </c>
      <c r="DU342" s="517">
        <v>0</v>
      </c>
      <c r="DV342" s="421">
        <v>3228</v>
      </c>
      <c r="DW342" s="655">
        <v>792</v>
      </c>
      <c r="DX342" s="655">
        <v>0</v>
      </c>
      <c r="DY342" s="421">
        <v>3228</v>
      </c>
      <c r="DZ342" s="655">
        <v>792</v>
      </c>
      <c r="EA342" s="655">
        <v>0</v>
      </c>
      <c r="EB342" s="421">
        <v>3228</v>
      </c>
      <c r="EC342" s="655">
        <v>792</v>
      </c>
      <c r="ED342" s="655">
        <v>0</v>
      </c>
      <c r="EE342" s="421">
        <v>3228</v>
      </c>
      <c r="EF342" s="655">
        <v>792</v>
      </c>
      <c r="EG342" s="655">
        <v>0</v>
      </c>
      <c r="EH342" s="421">
        <v>3228</v>
      </c>
      <c r="EI342" s="655">
        <v>792</v>
      </c>
      <c r="EJ342" s="655">
        <v>0</v>
      </c>
      <c r="EK342" s="421">
        <v>3228</v>
      </c>
      <c r="EL342" s="655">
        <v>792</v>
      </c>
      <c r="EM342" s="655">
        <v>0</v>
      </c>
      <c r="EN342" s="421">
        <v>3228</v>
      </c>
      <c r="EO342" s="655">
        <v>792</v>
      </c>
      <c r="EP342" s="655">
        <v>0</v>
      </c>
      <c r="EQ342" s="421">
        <v>3228</v>
      </c>
      <c r="ER342" s="655">
        <v>792</v>
      </c>
      <c r="ES342" s="655">
        <v>0</v>
      </c>
      <c r="ET342" s="421">
        <v>3228</v>
      </c>
      <c r="EU342" s="655">
        <v>792</v>
      </c>
      <c r="EV342" s="655">
        <v>0</v>
      </c>
      <c r="EW342" s="421">
        <v>3228</v>
      </c>
      <c r="EX342" s="655">
        <v>792</v>
      </c>
      <c r="EY342" s="655">
        <v>0</v>
      </c>
      <c r="EZ342" s="421">
        <v>3228</v>
      </c>
      <c r="FA342" s="655">
        <v>792</v>
      </c>
      <c r="FB342" s="655">
        <v>0</v>
      </c>
      <c r="FC342" s="421">
        <v>3228</v>
      </c>
      <c r="FD342" s="655">
        <v>792</v>
      </c>
      <c r="FE342" s="655">
        <v>0</v>
      </c>
      <c r="FF342" s="421">
        <v>3228</v>
      </c>
      <c r="FG342" s="655">
        <v>792</v>
      </c>
      <c r="FH342" s="655">
        <v>0</v>
      </c>
      <c r="FI342" s="421">
        <v>3228</v>
      </c>
      <c r="FJ342" s="655">
        <v>792</v>
      </c>
      <c r="FK342" s="655">
        <v>0</v>
      </c>
      <c r="FL342" s="421">
        <v>3228</v>
      </c>
      <c r="FM342" s="655">
        <v>792</v>
      </c>
      <c r="FN342" s="655">
        <v>0</v>
      </c>
      <c r="FO342" s="421">
        <v>3228</v>
      </c>
      <c r="FP342" s="655">
        <v>792</v>
      </c>
      <c r="FQ342" s="655">
        <v>0</v>
      </c>
      <c r="FR342" s="422">
        <v>6138.4918032786891</v>
      </c>
      <c r="FS342" s="517">
        <v>1506.0983606557377</v>
      </c>
      <c r="FT342" s="517">
        <v>0</v>
      </c>
      <c r="FU342" s="587"/>
      <c r="FV342" s="587"/>
      <c r="FW342" s="587"/>
      <c r="FX342" s="587"/>
      <c r="FY342" s="587"/>
      <c r="FZ342" s="587"/>
      <c r="GA342" s="587"/>
      <c r="GB342" s="587"/>
      <c r="GC342" s="587"/>
      <c r="GD342" s="587"/>
      <c r="GE342" s="587"/>
      <c r="GF342" s="587"/>
      <c r="GG342" s="587"/>
      <c r="GH342" s="587"/>
      <c r="GI342" s="587"/>
      <c r="GJ342" s="587"/>
      <c r="GK342" s="587"/>
      <c r="GL342" s="587"/>
      <c r="GM342" s="587"/>
      <c r="GN342" s="587"/>
      <c r="GO342" s="587"/>
      <c r="GP342" s="587"/>
      <c r="GQ342" s="587"/>
      <c r="GR342" s="587"/>
      <c r="GS342" s="587"/>
      <c r="GT342" s="587"/>
      <c r="GU342" s="587"/>
      <c r="GV342" s="587"/>
      <c r="GW342" s="587"/>
      <c r="GX342" s="587"/>
      <c r="GY342" s="587"/>
      <c r="GZ342" s="587"/>
      <c r="HA342" s="587"/>
      <c r="HB342" s="587"/>
      <c r="HC342" s="587"/>
      <c r="HD342" s="587"/>
      <c r="HE342" s="587"/>
      <c r="HF342" s="587"/>
      <c r="HG342" s="587"/>
      <c r="HH342" s="587"/>
      <c r="HI342" s="587"/>
      <c r="HJ342" s="587"/>
      <c r="HK342" s="587"/>
      <c r="HL342" s="587"/>
      <c r="HM342" s="587"/>
      <c r="HN342" s="587"/>
      <c r="HO342" s="587"/>
      <c r="HP342" s="587"/>
      <c r="HQ342" s="587"/>
      <c r="HR342" s="587"/>
      <c r="HS342" s="587"/>
      <c r="HT342" s="587"/>
      <c r="HU342" s="587"/>
      <c r="HV342" s="587"/>
      <c r="HW342" s="587"/>
      <c r="HX342" s="587"/>
      <c r="HY342" s="587"/>
      <c r="HZ342" s="587"/>
      <c r="IA342" s="587"/>
      <c r="IB342" s="587"/>
      <c r="IC342" s="587"/>
      <c r="ID342" s="587"/>
      <c r="IE342" s="587"/>
      <c r="IF342" s="587"/>
      <c r="IG342" s="587"/>
      <c r="IH342" s="588"/>
      <c r="II342" s="589"/>
      <c r="IJ342" s="588"/>
      <c r="IK342" s="589"/>
      <c r="IL342" s="588"/>
      <c r="IM342" s="589"/>
      <c r="IN342" s="588"/>
      <c r="IO342" s="589"/>
      <c r="IP342" s="588"/>
      <c r="IQ342" s="589"/>
      <c r="IR342" s="601" t="s">
        <v>2936</v>
      </c>
      <c r="IS342" s="587" t="s">
        <v>77</v>
      </c>
      <c r="IT342" s="611">
        <v>44351</v>
      </c>
      <c r="IU342" s="518">
        <v>44409</v>
      </c>
      <c r="IV342" s="552"/>
      <c r="IW342" s="526">
        <f t="shared" si="39"/>
        <v>58</v>
      </c>
      <c r="IX342" s="433">
        <f>FR342/30.5</f>
        <v>201.2620263370062</v>
      </c>
      <c r="IY342" s="433">
        <v>6138.4918032786891</v>
      </c>
    </row>
    <row r="343" spans="1:259" s="367" customFormat="1" ht="16.5" customHeight="1" x14ac:dyDescent="0.3">
      <c r="A343" s="526" t="s">
        <v>2739</v>
      </c>
      <c r="B343" s="682" t="s">
        <v>2742</v>
      </c>
      <c r="C343" s="661" t="s">
        <v>1618</v>
      </c>
      <c r="D343" s="662">
        <v>1842</v>
      </c>
      <c r="E343" s="516">
        <v>299</v>
      </c>
      <c r="F343" s="516">
        <v>56</v>
      </c>
      <c r="G343" s="516">
        <v>252</v>
      </c>
      <c r="H343" s="663">
        <v>0</v>
      </c>
      <c r="I343" s="659">
        <v>2197</v>
      </c>
      <c r="J343" s="655">
        <v>252</v>
      </c>
      <c r="K343" s="827"/>
      <c r="L343" s="655">
        <v>2197</v>
      </c>
      <c r="M343" s="655">
        <v>252</v>
      </c>
      <c r="N343" s="827"/>
      <c r="O343" s="655">
        <v>2197</v>
      </c>
      <c r="P343" s="655">
        <v>252</v>
      </c>
      <c r="Q343" s="827"/>
      <c r="R343" s="655">
        <v>2197</v>
      </c>
      <c r="S343" s="655">
        <v>252</v>
      </c>
      <c r="T343" s="827"/>
      <c r="U343" s="655">
        <v>2197</v>
      </c>
      <c r="V343" s="655">
        <v>252</v>
      </c>
      <c r="W343" s="827"/>
      <c r="X343" s="655">
        <v>2197</v>
      </c>
      <c r="Y343" s="655">
        <v>252</v>
      </c>
      <c r="Z343" s="827"/>
      <c r="AA343" s="655">
        <v>2197</v>
      </c>
      <c r="AB343" s="655">
        <v>252</v>
      </c>
      <c r="AC343" s="827"/>
      <c r="AD343" s="655">
        <v>2197</v>
      </c>
      <c r="AE343" s="655">
        <v>252</v>
      </c>
      <c r="AF343" s="827"/>
      <c r="AG343" s="655">
        <v>2197</v>
      </c>
      <c r="AH343" s="655">
        <v>252</v>
      </c>
      <c r="AI343" s="827"/>
      <c r="AJ343" s="655">
        <v>2197</v>
      </c>
      <c r="AK343" s="655">
        <v>252</v>
      </c>
      <c r="AL343" s="827"/>
      <c r="AM343" s="655">
        <v>2197</v>
      </c>
      <c r="AN343" s="655">
        <v>252</v>
      </c>
      <c r="AO343" s="827"/>
      <c r="AP343" s="655">
        <v>2197</v>
      </c>
      <c r="AQ343" s="655">
        <v>252</v>
      </c>
      <c r="AR343" s="827"/>
      <c r="AS343" s="655">
        <v>2197</v>
      </c>
      <c r="AT343" s="655">
        <v>252</v>
      </c>
      <c r="AU343" s="827"/>
      <c r="AV343" s="655">
        <v>2197</v>
      </c>
      <c r="AW343" s="655">
        <v>252</v>
      </c>
      <c r="AX343" s="827"/>
      <c r="AY343" s="655">
        <v>2197</v>
      </c>
      <c r="AZ343" s="655">
        <v>252</v>
      </c>
      <c r="BA343" s="405"/>
      <c r="BB343" s="655">
        <v>2197</v>
      </c>
      <c r="BC343" s="655">
        <v>252</v>
      </c>
      <c r="BD343" s="405"/>
      <c r="BE343" s="655">
        <v>2197</v>
      </c>
      <c r="BF343" s="655">
        <v>252</v>
      </c>
      <c r="BG343" s="405"/>
      <c r="BH343" s="655">
        <v>2197</v>
      </c>
      <c r="BI343" s="655">
        <v>252</v>
      </c>
      <c r="BJ343" s="690"/>
      <c r="BK343" s="655">
        <v>2197</v>
      </c>
      <c r="BL343" s="655">
        <v>252</v>
      </c>
      <c r="BM343" s="690"/>
      <c r="BN343" s="655">
        <v>2197</v>
      </c>
      <c r="BO343" s="655">
        <v>252</v>
      </c>
      <c r="BP343" s="690"/>
      <c r="BQ343" s="655">
        <v>2197</v>
      </c>
      <c r="BR343" s="655">
        <v>252</v>
      </c>
      <c r="BS343" s="690"/>
      <c r="BT343" s="655">
        <v>2197</v>
      </c>
      <c r="BU343" s="655">
        <v>252</v>
      </c>
      <c r="BV343" s="690"/>
      <c r="BW343" s="655">
        <v>2197</v>
      </c>
      <c r="BX343" s="655">
        <v>252</v>
      </c>
      <c r="BY343" s="690"/>
      <c r="BZ343" s="655">
        <v>2197</v>
      </c>
      <c r="CA343" s="655">
        <v>252</v>
      </c>
      <c r="CB343" s="690"/>
      <c r="CC343" s="655">
        <v>2197</v>
      </c>
      <c r="CD343" s="655">
        <v>252</v>
      </c>
      <c r="CE343" s="690"/>
      <c r="CF343" s="655">
        <v>2197</v>
      </c>
      <c r="CG343" s="655">
        <v>252</v>
      </c>
      <c r="CH343" s="690"/>
      <c r="CI343" s="655">
        <v>2197</v>
      </c>
      <c r="CJ343" s="655">
        <v>252</v>
      </c>
      <c r="CK343" s="690"/>
      <c r="CL343" s="655">
        <v>2197</v>
      </c>
      <c r="CM343" s="655">
        <v>252</v>
      </c>
      <c r="CN343" s="690"/>
      <c r="CO343" s="655">
        <v>2197</v>
      </c>
      <c r="CP343" s="655">
        <v>252</v>
      </c>
      <c r="CQ343" s="690"/>
      <c r="CR343" s="655">
        <v>2197</v>
      </c>
      <c r="CS343" s="655">
        <v>252</v>
      </c>
      <c r="CT343" s="690"/>
      <c r="CU343" s="655">
        <v>2197</v>
      </c>
      <c r="CV343" s="655">
        <v>252</v>
      </c>
      <c r="CW343" s="690"/>
      <c r="CX343" s="655">
        <v>2197</v>
      </c>
      <c r="CY343" s="655">
        <v>252</v>
      </c>
      <c r="CZ343" s="690"/>
      <c r="DA343" s="655">
        <v>2197</v>
      </c>
      <c r="DB343" s="655">
        <v>252</v>
      </c>
      <c r="DC343" s="690"/>
      <c r="DD343" s="655">
        <v>2197</v>
      </c>
      <c r="DE343" s="655">
        <v>252</v>
      </c>
      <c r="DF343" s="690"/>
      <c r="DG343" s="655">
        <v>2197</v>
      </c>
      <c r="DH343" s="655">
        <v>252</v>
      </c>
      <c r="DI343" s="690"/>
      <c r="DJ343" s="655">
        <v>2197</v>
      </c>
      <c r="DK343" s="655">
        <v>252</v>
      </c>
      <c r="DL343" s="690"/>
      <c r="DM343" s="655">
        <v>2197</v>
      </c>
      <c r="DN343" s="655">
        <v>252</v>
      </c>
      <c r="DO343" s="690"/>
      <c r="DP343" s="655">
        <v>2197</v>
      </c>
      <c r="DQ343" s="655">
        <v>252</v>
      </c>
      <c r="DR343" s="690"/>
      <c r="DS343" s="655">
        <v>2197</v>
      </c>
      <c r="DT343" s="655">
        <v>252</v>
      </c>
      <c r="DU343" s="690"/>
      <c r="DV343" s="655">
        <v>2197</v>
      </c>
      <c r="DW343" s="655">
        <v>252</v>
      </c>
      <c r="DX343" s="690"/>
      <c r="DY343" s="655">
        <v>2197</v>
      </c>
      <c r="DZ343" s="655">
        <v>252</v>
      </c>
      <c r="EA343" s="690"/>
      <c r="EB343" s="655">
        <v>2197</v>
      </c>
      <c r="EC343" s="655">
        <v>252</v>
      </c>
      <c r="ED343" s="690"/>
      <c r="EE343" s="655">
        <v>2197</v>
      </c>
      <c r="EF343" s="655">
        <v>252</v>
      </c>
      <c r="EG343" s="690"/>
      <c r="EH343" s="655">
        <v>2197</v>
      </c>
      <c r="EI343" s="655">
        <v>252</v>
      </c>
      <c r="EJ343" s="690"/>
      <c r="EK343" s="655">
        <v>2197</v>
      </c>
      <c r="EL343" s="655">
        <v>252</v>
      </c>
      <c r="EM343" s="690"/>
      <c r="EN343" s="655">
        <v>2197</v>
      </c>
      <c r="EO343" s="655">
        <v>252</v>
      </c>
      <c r="EP343" s="690"/>
      <c r="EQ343" s="655">
        <v>2197</v>
      </c>
      <c r="ER343" s="655">
        <v>252</v>
      </c>
      <c r="ES343" s="690"/>
      <c r="ET343" s="655">
        <v>2197</v>
      </c>
      <c r="EU343" s="655">
        <v>252</v>
      </c>
      <c r="EV343" s="690"/>
      <c r="EW343" s="655">
        <v>2197</v>
      </c>
      <c r="EX343" s="655">
        <v>252</v>
      </c>
      <c r="EY343" s="690"/>
      <c r="EZ343" s="655">
        <v>2197</v>
      </c>
      <c r="FA343" s="655">
        <v>252</v>
      </c>
      <c r="FB343" s="690"/>
      <c r="FC343" s="655">
        <v>2197</v>
      </c>
      <c r="FD343" s="655">
        <v>252</v>
      </c>
      <c r="FE343" s="690"/>
      <c r="FF343" s="655">
        <v>2197</v>
      </c>
      <c r="FG343" s="655">
        <v>252</v>
      </c>
      <c r="FH343" s="690"/>
      <c r="FI343" s="655">
        <v>2197</v>
      </c>
      <c r="FJ343" s="655">
        <v>252</v>
      </c>
      <c r="FK343" s="690"/>
      <c r="FL343" s="655">
        <v>2197</v>
      </c>
      <c r="FM343" s="655">
        <v>252</v>
      </c>
      <c r="FN343" s="690"/>
      <c r="FO343" s="517">
        <v>4033.8360655737702</v>
      </c>
      <c r="FP343" s="517">
        <v>462.68852459016398</v>
      </c>
      <c r="FQ343" s="691"/>
      <c r="FR343" s="587"/>
      <c r="FS343" s="587"/>
      <c r="FT343" s="587"/>
      <c r="FU343" s="587"/>
      <c r="FV343" s="587"/>
      <c r="FW343" s="587"/>
      <c r="FX343" s="587"/>
      <c r="FY343" s="587"/>
      <c r="FZ343" s="587"/>
      <c r="GA343" s="587"/>
      <c r="GB343" s="587"/>
      <c r="GC343" s="587"/>
      <c r="GD343" s="587"/>
      <c r="GE343" s="587"/>
      <c r="GF343" s="587"/>
      <c r="GG343" s="587"/>
      <c r="GH343" s="587"/>
      <c r="GI343" s="587"/>
      <c r="GJ343" s="587"/>
      <c r="GK343" s="587"/>
      <c r="GL343" s="587"/>
      <c r="GM343" s="587"/>
      <c r="GN343" s="587"/>
      <c r="GO343" s="587"/>
      <c r="GP343" s="587"/>
      <c r="GQ343" s="587"/>
      <c r="GR343" s="587"/>
      <c r="GS343" s="587"/>
      <c r="GT343" s="587"/>
      <c r="GU343" s="587"/>
      <c r="GV343" s="587"/>
      <c r="GW343" s="587"/>
      <c r="GX343" s="587"/>
      <c r="GY343" s="587"/>
      <c r="GZ343" s="587"/>
      <c r="HA343" s="587"/>
      <c r="HB343" s="587"/>
      <c r="HC343" s="587"/>
      <c r="HD343" s="587"/>
      <c r="HE343" s="587"/>
      <c r="HF343" s="587"/>
      <c r="HG343" s="587"/>
      <c r="HH343" s="587"/>
      <c r="HI343" s="587"/>
      <c r="HJ343" s="587"/>
      <c r="HK343" s="587"/>
      <c r="HL343" s="587"/>
      <c r="HM343" s="587"/>
      <c r="HN343" s="587"/>
      <c r="HO343" s="587"/>
      <c r="HP343" s="587"/>
      <c r="HQ343" s="587"/>
      <c r="HR343" s="587"/>
      <c r="HS343" s="587"/>
      <c r="HT343" s="587"/>
      <c r="HU343" s="587"/>
      <c r="HV343" s="587"/>
      <c r="HW343" s="587"/>
      <c r="HX343" s="587"/>
      <c r="HY343" s="587"/>
      <c r="HZ343" s="587"/>
      <c r="IA343" s="587"/>
      <c r="IB343" s="587"/>
      <c r="IC343" s="587"/>
      <c r="ID343" s="587"/>
      <c r="IE343" s="587"/>
      <c r="IF343" s="587"/>
      <c r="IG343" s="587"/>
      <c r="IH343" s="588"/>
      <c r="II343" s="589"/>
      <c r="IJ343" s="588"/>
      <c r="IK343" s="589"/>
      <c r="IL343" s="588"/>
      <c r="IM343" s="589"/>
      <c r="IN343" s="588"/>
      <c r="IO343" s="589"/>
      <c r="IP343" s="588"/>
      <c r="IQ343" s="589"/>
      <c r="IR343" s="601" t="s">
        <v>3167</v>
      </c>
      <c r="IS343" s="587" t="s">
        <v>77</v>
      </c>
      <c r="IT343" s="611">
        <v>44384</v>
      </c>
      <c r="IU343" s="518">
        <v>44440</v>
      </c>
      <c r="IV343" s="552"/>
      <c r="IW343" s="526">
        <f t="shared" si="39"/>
        <v>56</v>
      </c>
      <c r="IX343" s="433">
        <f>2197/30.5</f>
        <v>72.032786885245898</v>
      </c>
      <c r="IY343" s="433">
        <v>4033.8360655737702</v>
      </c>
    </row>
    <row r="344" spans="1:259" s="367" customFormat="1" ht="16.5" customHeight="1" x14ac:dyDescent="0.3">
      <c r="A344" s="526" t="s">
        <v>2739</v>
      </c>
      <c r="B344" s="682" t="s">
        <v>3100</v>
      </c>
      <c r="C344" s="661" t="s">
        <v>1645</v>
      </c>
      <c r="D344" s="662">
        <v>4054</v>
      </c>
      <c r="E344" s="516">
        <v>84</v>
      </c>
      <c r="F344" s="516">
        <v>0</v>
      </c>
      <c r="G344" s="516">
        <v>108</v>
      </c>
      <c r="H344" s="663">
        <v>0</v>
      </c>
      <c r="I344" s="844">
        <v>4138</v>
      </c>
      <c r="J344" s="606">
        <v>108</v>
      </c>
      <c r="K344" s="837">
        <v>0</v>
      </c>
      <c r="L344" s="606">
        <v>4138</v>
      </c>
      <c r="M344" s="606">
        <v>108</v>
      </c>
      <c r="N344" s="837">
        <v>0</v>
      </c>
      <c r="O344" s="606">
        <v>4138</v>
      </c>
      <c r="P344" s="606">
        <v>108</v>
      </c>
      <c r="Q344" s="837">
        <v>0</v>
      </c>
      <c r="R344" s="606">
        <v>4138</v>
      </c>
      <c r="S344" s="606">
        <v>108</v>
      </c>
      <c r="T344" s="837">
        <v>0</v>
      </c>
      <c r="U344" s="606">
        <v>4138</v>
      </c>
      <c r="V344" s="606">
        <v>108</v>
      </c>
      <c r="W344" s="837">
        <v>0</v>
      </c>
      <c r="X344" s="606">
        <v>4138</v>
      </c>
      <c r="Y344" s="606">
        <v>108</v>
      </c>
      <c r="Z344" s="837">
        <v>0</v>
      </c>
      <c r="AA344" s="606">
        <v>4138</v>
      </c>
      <c r="AB344" s="606">
        <v>108</v>
      </c>
      <c r="AC344" s="837">
        <v>0</v>
      </c>
      <c r="AD344" s="606">
        <v>4138</v>
      </c>
      <c r="AE344" s="606">
        <v>108</v>
      </c>
      <c r="AF344" s="837">
        <v>0</v>
      </c>
      <c r="AG344" s="606">
        <v>4138</v>
      </c>
      <c r="AH344" s="606">
        <v>108</v>
      </c>
      <c r="AI344" s="837">
        <v>0</v>
      </c>
      <c r="AJ344" s="606">
        <v>4138</v>
      </c>
      <c r="AK344" s="606">
        <v>108</v>
      </c>
      <c r="AL344" s="837">
        <v>0</v>
      </c>
      <c r="AM344" s="606">
        <v>4138</v>
      </c>
      <c r="AN344" s="606">
        <v>108</v>
      </c>
      <c r="AO344" s="837">
        <v>0</v>
      </c>
      <c r="AP344" s="606">
        <v>4138</v>
      </c>
      <c r="AQ344" s="606">
        <v>108</v>
      </c>
      <c r="AR344" s="837">
        <v>0</v>
      </c>
      <c r="AS344" s="606">
        <v>4138</v>
      </c>
      <c r="AT344" s="606">
        <v>108</v>
      </c>
      <c r="AU344" s="837">
        <v>0</v>
      </c>
      <c r="AV344" s="606">
        <v>4138</v>
      </c>
      <c r="AW344" s="606">
        <v>108</v>
      </c>
      <c r="AX344" s="837">
        <v>0</v>
      </c>
      <c r="AY344" s="606">
        <v>4138</v>
      </c>
      <c r="AZ344" s="606">
        <v>108</v>
      </c>
      <c r="BA344" s="382">
        <v>0</v>
      </c>
      <c r="BB344" s="422">
        <f>((4138-1349)/30.5)*17+4138</f>
        <v>5692.5245901639346</v>
      </c>
      <c r="BC344" s="422">
        <f>((108-14)/30.5*17)+108</f>
        <v>160.39344262295083</v>
      </c>
      <c r="BD344" s="382">
        <v>0</v>
      </c>
      <c r="BE344" s="422">
        <v>1349</v>
      </c>
      <c r="BF344" s="421">
        <v>14</v>
      </c>
      <c r="BG344" s="775">
        <v>0</v>
      </c>
      <c r="BH344" s="421">
        <v>1349</v>
      </c>
      <c r="BI344" s="421">
        <v>14</v>
      </c>
      <c r="BJ344" s="655">
        <v>0</v>
      </c>
      <c r="BK344" s="421">
        <v>1349</v>
      </c>
      <c r="BL344" s="421">
        <v>14</v>
      </c>
      <c r="BM344" s="655">
        <v>0</v>
      </c>
      <c r="BN344" s="421">
        <v>1349</v>
      </c>
      <c r="BO344" s="421">
        <v>14</v>
      </c>
      <c r="BP344" s="655">
        <v>0</v>
      </c>
      <c r="BQ344" s="421">
        <v>1349</v>
      </c>
      <c r="BR344" s="421">
        <v>14</v>
      </c>
      <c r="BS344" s="655">
        <v>0</v>
      </c>
      <c r="BT344" s="420">
        <v>1349</v>
      </c>
      <c r="BU344" s="421">
        <v>14</v>
      </c>
      <c r="BV344" s="655">
        <v>0</v>
      </c>
      <c r="BW344" s="421">
        <v>1349</v>
      </c>
      <c r="BX344" s="421">
        <v>14</v>
      </c>
      <c r="BY344" s="655">
        <v>0</v>
      </c>
      <c r="BZ344" s="421">
        <v>1349</v>
      </c>
      <c r="CA344" s="421">
        <v>14</v>
      </c>
      <c r="CB344" s="655">
        <v>0</v>
      </c>
      <c r="CC344" s="421">
        <v>1349</v>
      </c>
      <c r="CD344" s="421">
        <v>14</v>
      </c>
      <c r="CE344" s="655">
        <v>0</v>
      </c>
      <c r="CF344" s="421">
        <v>1349</v>
      </c>
      <c r="CG344" s="421">
        <v>14</v>
      </c>
      <c r="CH344" s="655">
        <v>0</v>
      </c>
      <c r="CI344" s="421">
        <v>1349</v>
      </c>
      <c r="CJ344" s="421">
        <v>14</v>
      </c>
      <c r="CK344" s="655">
        <v>0</v>
      </c>
      <c r="CL344" s="421">
        <v>1349</v>
      </c>
      <c r="CM344" s="421">
        <v>14</v>
      </c>
      <c r="CN344" s="655">
        <v>0</v>
      </c>
      <c r="CO344" s="421">
        <v>1349</v>
      </c>
      <c r="CP344" s="421">
        <v>14</v>
      </c>
      <c r="CQ344" s="655">
        <v>0</v>
      </c>
      <c r="CR344" s="421">
        <v>1349</v>
      </c>
      <c r="CS344" s="421">
        <v>14</v>
      </c>
      <c r="CT344" s="655">
        <v>0</v>
      </c>
      <c r="CU344" s="421">
        <v>1349</v>
      </c>
      <c r="CV344" s="421">
        <v>14</v>
      </c>
      <c r="CW344" s="655">
        <v>0</v>
      </c>
      <c r="CX344" s="421">
        <v>1349</v>
      </c>
      <c r="CY344" s="421">
        <v>14</v>
      </c>
      <c r="CZ344" s="655">
        <v>0</v>
      </c>
      <c r="DA344" s="421">
        <v>1349</v>
      </c>
      <c r="DB344" s="421">
        <v>14</v>
      </c>
      <c r="DC344" s="655">
        <v>0</v>
      </c>
      <c r="DD344" s="421">
        <v>1349</v>
      </c>
      <c r="DE344" s="421">
        <v>14</v>
      </c>
      <c r="DF344" s="655">
        <v>0</v>
      </c>
      <c r="DG344" s="421">
        <v>1349</v>
      </c>
      <c r="DH344" s="421">
        <v>14</v>
      </c>
      <c r="DI344" s="655">
        <v>0</v>
      </c>
      <c r="DJ344" s="421">
        <v>1349</v>
      </c>
      <c r="DK344" s="421">
        <v>14</v>
      </c>
      <c r="DL344" s="655">
        <v>0</v>
      </c>
      <c r="DM344" s="421">
        <v>1349</v>
      </c>
      <c r="DN344" s="421">
        <v>14</v>
      </c>
      <c r="DO344" s="655">
        <v>0</v>
      </c>
      <c r="DP344" s="421">
        <v>1349</v>
      </c>
      <c r="DQ344" s="421">
        <v>14</v>
      </c>
      <c r="DR344" s="655">
        <v>0</v>
      </c>
      <c r="DS344" s="421">
        <v>1349</v>
      </c>
      <c r="DT344" s="421">
        <v>14</v>
      </c>
      <c r="DU344" s="655">
        <v>0</v>
      </c>
      <c r="DV344" s="422">
        <v>1349</v>
      </c>
      <c r="DW344" s="422">
        <v>14</v>
      </c>
      <c r="DX344" s="517">
        <v>0</v>
      </c>
      <c r="DY344" s="421">
        <v>1349</v>
      </c>
      <c r="DZ344" s="421">
        <v>14</v>
      </c>
      <c r="EA344" s="655">
        <v>0</v>
      </c>
      <c r="EB344" s="421">
        <v>1349</v>
      </c>
      <c r="EC344" s="421">
        <v>14</v>
      </c>
      <c r="ED344" s="655">
        <v>0</v>
      </c>
      <c r="EE344" s="422">
        <f>((1349/30.5)*4)-((1063/30.5)*4)+(1349-1063)+1349</f>
        <v>1672.5081967213114</v>
      </c>
      <c r="EF344" s="422">
        <f>((14/30.5)*4)-((5/30.5)*4)+(14-5)+14</f>
        <v>24.180327868852459</v>
      </c>
      <c r="EG344" s="517">
        <v>0</v>
      </c>
      <c r="EH344" s="421">
        <v>1063</v>
      </c>
      <c r="EI344" s="655">
        <v>5</v>
      </c>
      <c r="EJ344" s="655">
        <v>0</v>
      </c>
      <c r="EK344" s="421">
        <v>1063</v>
      </c>
      <c r="EL344" s="655">
        <v>5</v>
      </c>
      <c r="EM344" s="655">
        <v>0</v>
      </c>
      <c r="EN344" s="421">
        <v>1063</v>
      </c>
      <c r="EO344" s="655">
        <v>5</v>
      </c>
      <c r="EP344" s="655">
        <v>0</v>
      </c>
      <c r="EQ344" s="421">
        <v>1063</v>
      </c>
      <c r="ER344" s="655">
        <v>5</v>
      </c>
      <c r="ES344" s="655">
        <v>0</v>
      </c>
      <c r="ET344" s="421">
        <v>1063</v>
      </c>
      <c r="EU344" s="655">
        <v>5</v>
      </c>
      <c r="EV344" s="655">
        <v>0</v>
      </c>
      <c r="EW344" s="421">
        <v>1063</v>
      </c>
      <c r="EX344" s="655">
        <v>5</v>
      </c>
      <c r="EY344" s="655">
        <v>0</v>
      </c>
      <c r="EZ344" s="421">
        <v>1063</v>
      </c>
      <c r="FA344" s="655">
        <v>5</v>
      </c>
      <c r="FB344" s="655">
        <v>0</v>
      </c>
      <c r="FC344" s="421">
        <v>1063</v>
      </c>
      <c r="FD344" s="655">
        <v>5</v>
      </c>
      <c r="FE344" s="655">
        <v>0</v>
      </c>
      <c r="FF344" s="422">
        <v>1672.9180327868851</v>
      </c>
      <c r="FG344" s="517">
        <f>(5/30.5)*48</f>
        <v>7.8688524590163933</v>
      </c>
      <c r="FH344" s="517">
        <v>0</v>
      </c>
      <c r="FI344" s="587"/>
      <c r="FJ344" s="587"/>
      <c r="FK344" s="587"/>
      <c r="FL344" s="587"/>
      <c r="FM344" s="587"/>
      <c r="FN344" s="587"/>
      <c r="FO344" s="587"/>
      <c r="FP344" s="587"/>
      <c r="FQ344" s="587"/>
      <c r="FR344" s="587"/>
      <c r="FS344" s="587"/>
      <c r="FT344" s="587"/>
      <c r="FU344" s="587"/>
      <c r="FV344" s="587"/>
      <c r="FW344" s="587"/>
      <c r="FX344" s="587"/>
      <c r="FY344" s="587"/>
      <c r="FZ344" s="587"/>
      <c r="GA344" s="587"/>
      <c r="GB344" s="587"/>
      <c r="GC344" s="587"/>
      <c r="GD344" s="587"/>
      <c r="GE344" s="587"/>
      <c r="GF344" s="587"/>
      <c r="GG344" s="587"/>
      <c r="GH344" s="587"/>
      <c r="GI344" s="587"/>
      <c r="GJ344" s="587"/>
      <c r="GK344" s="587"/>
      <c r="GL344" s="587"/>
      <c r="GM344" s="587"/>
      <c r="GN344" s="587"/>
      <c r="GO344" s="587"/>
      <c r="GP344" s="587"/>
      <c r="GQ344" s="587"/>
      <c r="GR344" s="587"/>
      <c r="GS344" s="587"/>
      <c r="GT344" s="587"/>
      <c r="GU344" s="587"/>
      <c r="GV344" s="587"/>
      <c r="GW344" s="587"/>
      <c r="GX344" s="587"/>
      <c r="GY344" s="587"/>
      <c r="GZ344" s="587"/>
      <c r="HA344" s="587"/>
      <c r="HB344" s="587"/>
      <c r="HC344" s="587"/>
      <c r="HD344" s="587"/>
      <c r="HE344" s="587"/>
      <c r="HF344" s="587"/>
      <c r="HG344" s="587"/>
      <c r="HH344" s="587"/>
      <c r="HI344" s="587"/>
      <c r="HJ344" s="587"/>
      <c r="HK344" s="587"/>
      <c r="HL344" s="587"/>
      <c r="HM344" s="587"/>
      <c r="HN344" s="587"/>
      <c r="HO344" s="587"/>
      <c r="HP344" s="587"/>
      <c r="HQ344" s="587"/>
      <c r="HR344" s="587"/>
      <c r="HS344" s="587"/>
      <c r="HT344" s="587"/>
      <c r="HU344" s="587"/>
      <c r="HV344" s="587"/>
      <c r="HW344" s="587"/>
      <c r="HX344" s="587"/>
      <c r="HY344" s="587"/>
      <c r="HZ344" s="587"/>
      <c r="IA344" s="587"/>
      <c r="IB344" s="587"/>
      <c r="IC344" s="587"/>
      <c r="ID344" s="587"/>
      <c r="IE344" s="587"/>
      <c r="IF344" s="587"/>
      <c r="IG344" s="587"/>
      <c r="IH344" s="588"/>
      <c r="II344" s="589"/>
      <c r="IJ344" s="588"/>
      <c r="IK344" s="589"/>
      <c r="IL344" s="588"/>
      <c r="IM344" s="589"/>
      <c r="IN344" s="588"/>
      <c r="IO344" s="589"/>
      <c r="IP344" s="588"/>
      <c r="IQ344" s="589"/>
      <c r="IR344" s="601" t="s">
        <v>3510</v>
      </c>
      <c r="IS344" s="587" t="s">
        <v>3511</v>
      </c>
      <c r="IT344" s="611">
        <v>44483</v>
      </c>
      <c r="IU344" s="518">
        <v>44531</v>
      </c>
      <c r="IV344" s="518">
        <v>44739</v>
      </c>
      <c r="IW344" s="526">
        <f t="shared" si="39"/>
        <v>48</v>
      </c>
      <c r="IX344" s="665">
        <f>1063/30.5</f>
        <v>34.852459016393439</v>
      </c>
      <c r="IY344" s="433">
        <v>1672.9180327868851</v>
      </c>
    </row>
    <row r="345" spans="1:259" s="367" customFormat="1" ht="16.5" customHeight="1" x14ac:dyDescent="0.3">
      <c r="A345" s="526" t="s">
        <v>2739</v>
      </c>
      <c r="B345" s="682" t="s">
        <v>3011</v>
      </c>
      <c r="C345" s="661" t="s">
        <v>1627</v>
      </c>
      <c r="D345" s="662">
        <v>2323</v>
      </c>
      <c r="E345" s="516">
        <v>299</v>
      </c>
      <c r="F345" s="516">
        <v>56</v>
      </c>
      <c r="G345" s="516">
        <v>540</v>
      </c>
      <c r="H345" s="663">
        <v>0</v>
      </c>
      <c r="I345" s="776">
        <v>2678</v>
      </c>
      <c r="J345" s="777">
        <v>540</v>
      </c>
      <c r="K345" s="827">
        <v>0</v>
      </c>
      <c r="L345" s="777">
        <v>2678</v>
      </c>
      <c r="M345" s="777">
        <v>540</v>
      </c>
      <c r="N345" s="827">
        <v>0</v>
      </c>
      <c r="O345" s="777">
        <v>2678</v>
      </c>
      <c r="P345" s="777">
        <v>540</v>
      </c>
      <c r="Q345" s="827">
        <v>0</v>
      </c>
      <c r="R345" s="777">
        <v>2678</v>
      </c>
      <c r="S345" s="777">
        <v>540</v>
      </c>
      <c r="T345" s="827">
        <v>0</v>
      </c>
      <c r="U345" s="777">
        <v>2678</v>
      </c>
      <c r="V345" s="777">
        <v>540</v>
      </c>
      <c r="W345" s="827">
        <v>0</v>
      </c>
      <c r="X345" s="777">
        <v>2678</v>
      </c>
      <c r="Y345" s="777">
        <v>540</v>
      </c>
      <c r="Z345" s="827">
        <v>0</v>
      </c>
      <c r="AA345" s="777">
        <v>2678</v>
      </c>
      <c r="AB345" s="777">
        <v>540</v>
      </c>
      <c r="AC345" s="827">
        <v>0</v>
      </c>
      <c r="AD345" s="777">
        <v>2678</v>
      </c>
      <c r="AE345" s="777">
        <v>540</v>
      </c>
      <c r="AF345" s="827">
        <v>0</v>
      </c>
      <c r="AG345" s="777">
        <v>2678</v>
      </c>
      <c r="AH345" s="777">
        <v>540</v>
      </c>
      <c r="AI345" s="827">
        <v>0</v>
      </c>
      <c r="AJ345" s="777">
        <v>2678</v>
      </c>
      <c r="AK345" s="777">
        <v>540</v>
      </c>
      <c r="AL345" s="827">
        <v>0</v>
      </c>
      <c r="AM345" s="777">
        <v>2678</v>
      </c>
      <c r="AN345" s="777">
        <v>540</v>
      </c>
      <c r="AO345" s="827">
        <v>0</v>
      </c>
      <c r="AP345" s="777">
        <v>2678</v>
      </c>
      <c r="AQ345" s="777">
        <v>540</v>
      </c>
      <c r="AR345" s="827">
        <v>0</v>
      </c>
      <c r="AS345" s="777">
        <v>2678</v>
      </c>
      <c r="AT345" s="777">
        <v>540</v>
      </c>
      <c r="AU345" s="827">
        <v>0</v>
      </c>
      <c r="AV345" s="777">
        <v>2678</v>
      </c>
      <c r="AW345" s="777">
        <v>540</v>
      </c>
      <c r="AX345" s="827">
        <v>0</v>
      </c>
      <c r="AY345" s="777">
        <v>2678</v>
      </c>
      <c r="AZ345" s="777">
        <v>540</v>
      </c>
      <c r="BA345" s="405">
        <v>0</v>
      </c>
      <c r="BB345" s="777">
        <v>2678</v>
      </c>
      <c r="BC345" s="777">
        <v>540</v>
      </c>
      <c r="BD345" s="405">
        <v>0</v>
      </c>
      <c r="BE345" s="777">
        <v>2678</v>
      </c>
      <c r="BF345" s="777">
        <v>540</v>
      </c>
      <c r="BG345" s="405">
        <v>0</v>
      </c>
      <c r="BH345" s="777">
        <v>2678</v>
      </c>
      <c r="BI345" s="777">
        <v>540</v>
      </c>
      <c r="BJ345" s="777">
        <v>0</v>
      </c>
      <c r="BK345" s="777">
        <v>2678</v>
      </c>
      <c r="BL345" s="777">
        <v>540</v>
      </c>
      <c r="BM345" s="777">
        <v>0</v>
      </c>
      <c r="BN345" s="777">
        <v>2678</v>
      </c>
      <c r="BO345" s="777">
        <v>540</v>
      </c>
      <c r="BP345" s="777">
        <v>0</v>
      </c>
      <c r="BQ345" s="777">
        <v>2678</v>
      </c>
      <c r="BR345" s="777">
        <v>540</v>
      </c>
      <c r="BS345" s="777">
        <v>0</v>
      </c>
      <c r="BT345" s="655">
        <v>2678</v>
      </c>
      <c r="BU345" s="655">
        <v>540</v>
      </c>
      <c r="BV345" s="655">
        <v>0</v>
      </c>
      <c r="BW345" s="517">
        <f>((2678-2581)/30.5)*27+2678</f>
        <v>2763.8688524590166</v>
      </c>
      <c r="BX345" s="517">
        <f>((540-414)/30.5)*27+540</f>
        <v>651.54098360655735</v>
      </c>
      <c r="BY345" s="517">
        <v>0</v>
      </c>
      <c r="BZ345" s="655">
        <v>2581</v>
      </c>
      <c r="CA345" s="655">
        <v>414</v>
      </c>
      <c r="CB345" s="655">
        <v>0</v>
      </c>
      <c r="CC345" s="655">
        <v>2581</v>
      </c>
      <c r="CD345" s="655">
        <v>414</v>
      </c>
      <c r="CE345" s="655">
        <v>0</v>
      </c>
      <c r="CF345" s="655">
        <v>2581</v>
      </c>
      <c r="CG345" s="655">
        <v>414</v>
      </c>
      <c r="CH345" s="655">
        <v>0</v>
      </c>
      <c r="CI345" s="655">
        <v>2581</v>
      </c>
      <c r="CJ345" s="655">
        <v>414</v>
      </c>
      <c r="CK345" s="655">
        <v>0</v>
      </c>
      <c r="CL345" s="655">
        <v>2581</v>
      </c>
      <c r="CM345" s="655">
        <v>414</v>
      </c>
      <c r="CN345" s="655">
        <v>0</v>
      </c>
      <c r="CO345" s="655">
        <v>2581</v>
      </c>
      <c r="CP345" s="655">
        <v>414</v>
      </c>
      <c r="CQ345" s="655">
        <v>0</v>
      </c>
      <c r="CR345" s="655">
        <v>2581</v>
      </c>
      <c r="CS345" s="655">
        <v>414</v>
      </c>
      <c r="CT345" s="655">
        <v>0</v>
      </c>
      <c r="CU345" s="655">
        <v>2581</v>
      </c>
      <c r="CV345" s="655">
        <v>414</v>
      </c>
      <c r="CW345" s="655">
        <v>0</v>
      </c>
      <c r="CX345" s="655">
        <v>2581</v>
      </c>
      <c r="CY345" s="655">
        <v>414</v>
      </c>
      <c r="CZ345" s="655">
        <v>0</v>
      </c>
      <c r="DA345" s="655">
        <v>2581</v>
      </c>
      <c r="DB345" s="655">
        <v>414</v>
      </c>
      <c r="DC345" s="655">
        <v>0</v>
      </c>
      <c r="DD345" s="655">
        <v>2581</v>
      </c>
      <c r="DE345" s="655">
        <v>414</v>
      </c>
      <c r="DF345" s="655">
        <v>0</v>
      </c>
      <c r="DG345" s="655">
        <v>2581</v>
      </c>
      <c r="DH345" s="655">
        <v>414</v>
      </c>
      <c r="DI345" s="655">
        <v>0</v>
      </c>
      <c r="DJ345" s="655">
        <v>2581</v>
      </c>
      <c r="DK345" s="655">
        <v>414</v>
      </c>
      <c r="DL345" s="655">
        <v>0</v>
      </c>
      <c r="DM345" s="655">
        <v>2581</v>
      </c>
      <c r="DN345" s="655">
        <v>414</v>
      </c>
      <c r="DO345" s="655">
        <v>0</v>
      </c>
      <c r="DP345" s="655">
        <v>2581</v>
      </c>
      <c r="DQ345" s="655">
        <v>414</v>
      </c>
      <c r="DR345" s="655">
        <v>0</v>
      </c>
      <c r="DS345" s="655">
        <v>2581</v>
      </c>
      <c r="DT345" s="655">
        <v>414</v>
      </c>
      <c r="DU345" s="655">
        <v>0</v>
      </c>
      <c r="DV345" s="655">
        <v>2581</v>
      </c>
      <c r="DW345" s="655">
        <v>414</v>
      </c>
      <c r="DX345" s="655">
        <v>0</v>
      </c>
      <c r="DY345" s="655">
        <v>2581</v>
      </c>
      <c r="DZ345" s="655">
        <v>414</v>
      </c>
      <c r="EA345" s="655">
        <v>0</v>
      </c>
      <c r="EB345" s="655">
        <v>2581</v>
      </c>
      <c r="EC345" s="655">
        <v>414</v>
      </c>
      <c r="ED345" s="655">
        <v>0</v>
      </c>
      <c r="EE345" s="655">
        <v>2581</v>
      </c>
      <c r="EF345" s="655">
        <v>414</v>
      </c>
      <c r="EG345" s="655">
        <v>0</v>
      </c>
      <c r="EH345" s="655">
        <v>2581</v>
      </c>
      <c r="EI345" s="655">
        <v>414</v>
      </c>
      <c r="EJ345" s="655">
        <v>0</v>
      </c>
      <c r="EK345" s="655">
        <v>2581</v>
      </c>
      <c r="EL345" s="655">
        <v>414</v>
      </c>
      <c r="EM345" s="655">
        <v>0</v>
      </c>
      <c r="EN345" s="655">
        <v>2581</v>
      </c>
      <c r="EO345" s="655">
        <v>414</v>
      </c>
      <c r="EP345" s="655">
        <v>0</v>
      </c>
      <c r="EQ345" s="655">
        <v>2581</v>
      </c>
      <c r="ER345" s="655">
        <v>414</v>
      </c>
      <c r="ES345" s="655">
        <v>0</v>
      </c>
      <c r="ET345" s="655">
        <v>2581</v>
      </c>
      <c r="EU345" s="655">
        <v>414</v>
      </c>
      <c r="EV345" s="655">
        <v>0</v>
      </c>
      <c r="EW345" s="655">
        <v>2581</v>
      </c>
      <c r="EX345" s="655">
        <v>414</v>
      </c>
      <c r="EY345" s="655">
        <v>0</v>
      </c>
      <c r="EZ345" s="517">
        <f>((2581/30)*5)+2581</f>
        <v>3011.1666666666665</v>
      </c>
      <c r="FA345" s="517">
        <f>((414/30)*5)+414</f>
        <v>483</v>
      </c>
      <c r="FB345" s="691">
        <v>0</v>
      </c>
      <c r="FC345" s="587"/>
      <c r="FD345" s="587"/>
      <c r="FE345" s="587"/>
      <c r="FF345" s="587"/>
      <c r="FG345" s="587"/>
      <c r="FH345" s="587"/>
      <c r="FI345" s="587"/>
      <c r="FJ345" s="587"/>
      <c r="FK345" s="587"/>
      <c r="FL345" s="587"/>
      <c r="FM345" s="587"/>
      <c r="FN345" s="587"/>
      <c r="FO345" s="587"/>
      <c r="FP345" s="587"/>
      <c r="FQ345" s="587"/>
      <c r="FR345" s="587"/>
      <c r="FS345" s="587"/>
      <c r="FT345" s="587"/>
      <c r="FU345" s="587"/>
      <c r="FV345" s="587"/>
      <c r="FW345" s="587"/>
      <c r="FX345" s="587"/>
      <c r="FY345" s="587"/>
      <c r="FZ345" s="587"/>
      <c r="GA345" s="587"/>
      <c r="GB345" s="587"/>
      <c r="GC345" s="587"/>
      <c r="GD345" s="587"/>
      <c r="GE345" s="587"/>
      <c r="GF345" s="587"/>
      <c r="GG345" s="587"/>
      <c r="GH345" s="587"/>
      <c r="GI345" s="587"/>
      <c r="GJ345" s="587"/>
      <c r="GK345" s="587"/>
      <c r="GL345" s="587"/>
      <c r="GM345" s="587"/>
      <c r="GN345" s="587"/>
      <c r="GO345" s="587"/>
      <c r="GP345" s="587"/>
      <c r="GQ345" s="587"/>
      <c r="GR345" s="587"/>
      <c r="GS345" s="587"/>
      <c r="GT345" s="587"/>
      <c r="GU345" s="587"/>
      <c r="GV345" s="587"/>
      <c r="GW345" s="587"/>
      <c r="GX345" s="587"/>
      <c r="GY345" s="587"/>
      <c r="GZ345" s="587"/>
      <c r="HA345" s="587"/>
      <c r="HB345" s="587"/>
      <c r="HC345" s="587"/>
      <c r="HD345" s="587"/>
      <c r="HE345" s="587"/>
      <c r="HF345" s="587"/>
      <c r="HG345" s="587"/>
      <c r="HH345" s="587"/>
      <c r="HI345" s="587"/>
      <c r="HJ345" s="587"/>
      <c r="HK345" s="587"/>
      <c r="HL345" s="587"/>
      <c r="HM345" s="587"/>
      <c r="HN345" s="587"/>
      <c r="HO345" s="587"/>
      <c r="HP345" s="587"/>
      <c r="HQ345" s="587"/>
      <c r="HR345" s="587"/>
      <c r="HS345" s="587"/>
      <c r="HT345" s="587"/>
      <c r="HU345" s="587"/>
      <c r="HV345" s="587"/>
      <c r="HW345" s="587"/>
      <c r="HX345" s="587"/>
      <c r="HY345" s="587"/>
      <c r="HZ345" s="587"/>
      <c r="IA345" s="587"/>
      <c r="IB345" s="587"/>
      <c r="IC345" s="587"/>
      <c r="ID345" s="587"/>
      <c r="IE345" s="587"/>
      <c r="IF345" s="587"/>
      <c r="IG345" s="587"/>
      <c r="IH345" s="588"/>
      <c r="II345" s="589"/>
      <c r="IJ345" s="588"/>
      <c r="IK345" s="589"/>
      <c r="IL345" s="588"/>
      <c r="IM345" s="589"/>
      <c r="IN345" s="588"/>
      <c r="IO345" s="589"/>
      <c r="IP345" s="588"/>
      <c r="IQ345" s="589"/>
      <c r="IR345" s="601" t="s">
        <v>3010</v>
      </c>
      <c r="IS345" s="587" t="s">
        <v>3511</v>
      </c>
      <c r="IT345" s="611">
        <v>44557</v>
      </c>
      <c r="IU345" s="518">
        <v>44593</v>
      </c>
      <c r="IV345" s="552"/>
      <c r="IW345" s="526">
        <f t="shared" si="39"/>
        <v>36</v>
      </c>
      <c r="IX345" s="552"/>
      <c r="IY345" s="552"/>
    </row>
    <row r="346" spans="1:259" s="367" customFormat="1" ht="16.5" customHeight="1" x14ac:dyDescent="0.3">
      <c r="A346" s="526" t="s">
        <v>2739</v>
      </c>
      <c r="B346" s="682" t="s">
        <v>2751</v>
      </c>
      <c r="C346" s="685" t="s">
        <v>1636</v>
      </c>
      <c r="D346" s="686">
        <v>568</v>
      </c>
      <c r="E346" s="656">
        <v>22</v>
      </c>
      <c r="F346" s="656">
        <v>8</v>
      </c>
      <c r="G346" s="656">
        <v>0</v>
      </c>
      <c r="H346" s="687">
        <v>0</v>
      </c>
      <c r="I346" s="934">
        <v>598</v>
      </c>
      <c r="J346" s="655">
        <v>0</v>
      </c>
      <c r="K346" s="827">
        <v>0</v>
      </c>
      <c r="L346" s="935">
        <v>598</v>
      </c>
      <c r="M346" s="655">
        <v>0</v>
      </c>
      <c r="N346" s="827">
        <v>0</v>
      </c>
      <c r="O346" s="935">
        <v>598</v>
      </c>
      <c r="P346" s="655">
        <v>0</v>
      </c>
      <c r="Q346" s="827">
        <v>0</v>
      </c>
      <c r="R346" s="935">
        <v>598</v>
      </c>
      <c r="S346" s="655">
        <v>0</v>
      </c>
      <c r="T346" s="827">
        <v>0</v>
      </c>
      <c r="U346" s="935">
        <v>598</v>
      </c>
      <c r="V346" s="655">
        <v>0</v>
      </c>
      <c r="W346" s="827">
        <v>0</v>
      </c>
      <c r="X346" s="935">
        <v>598</v>
      </c>
      <c r="Y346" s="655">
        <v>0</v>
      </c>
      <c r="Z346" s="827">
        <v>0</v>
      </c>
      <c r="AA346" s="935">
        <v>598</v>
      </c>
      <c r="AB346" s="655">
        <v>0</v>
      </c>
      <c r="AC346" s="827">
        <v>0</v>
      </c>
      <c r="AD346" s="935">
        <v>598</v>
      </c>
      <c r="AE346" s="655">
        <v>0</v>
      </c>
      <c r="AF346" s="827">
        <v>0</v>
      </c>
      <c r="AG346" s="935">
        <v>598</v>
      </c>
      <c r="AH346" s="655">
        <v>0</v>
      </c>
      <c r="AI346" s="827">
        <v>0</v>
      </c>
      <c r="AJ346" s="935">
        <v>598</v>
      </c>
      <c r="AK346" s="655">
        <v>0</v>
      </c>
      <c r="AL346" s="827">
        <v>0</v>
      </c>
      <c r="AM346" s="935">
        <v>598</v>
      </c>
      <c r="AN346" s="655">
        <v>0</v>
      </c>
      <c r="AO346" s="827">
        <v>0</v>
      </c>
      <c r="AP346" s="935">
        <v>598</v>
      </c>
      <c r="AQ346" s="655">
        <v>0</v>
      </c>
      <c r="AR346" s="827">
        <v>0</v>
      </c>
      <c r="AS346" s="935">
        <v>598</v>
      </c>
      <c r="AT346" s="655">
        <v>0</v>
      </c>
      <c r="AU346" s="827">
        <v>0</v>
      </c>
      <c r="AV346" s="935">
        <v>598</v>
      </c>
      <c r="AW346" s="655">
        <v>0</v>
      </c>
      <c r="AX346" s="827">
        <v>0</v>
      </c>
      <c r="AY346" s="935">
        <v>598</v>
      </c>
      <c r="AZ346" s="655">
        <v>0</v>
      </c>
      <c r="BA346" s="405">
        <v>0</v>
      </c>
      <c r="BB346" s="778">
        <v>598</v>
      </c>
      <c r="BC346" s="655">
        <v>0</v>
      </c>
      <c r="BD346" s="405">
        <v>0</v>
      </c>
      <c r="BE346" s="778">
        <v>598</v>
      </c>
      <c r="BF346" s="655">
        <v>0</v>
      </c>
      <c r="BG346" s="405">
        <v>0</v>
      </c>
      <c r="BH346" s="778">
        <v>598</v>
      </c>
      <c r="BI346" s="655">
        <v>0</v>
      </c>
      <c r="BJ346" s="655">
        <v>0</v>
      </c>
      <c r="BK346" s="778">
        <v>598</v>
      </c>
      <c r="BL346" s="655">
        <v>0</v>
      </c>
      <c r="BM346" s="655">
        <v>0</v>
      </c>
      <c r="BN346" s="778">
        <v>598</v>
      </c>
      <c r="BO346" s="655">
        <v>0</v>
      </c>
      <c r="BP346" s="655">
        <v>0</v>
      </c>
      <c r="BQ346" s="778">
        <v>598</v>
      </c>
      <c r="BR346" s="655">
        <v>0</v>
      </c>
      <c r="BS346" s="655">
        <v>0</v>
      </c>
      <c r="BT346" s="778">
        <v>598</v>
      </c>
      <c r="BU346" s="655">
        <v>0</v>
      </c>
      <c r="BV346" s="655">
        <v>0</v>
      </c>
      <c r="BW346" s="778">
        <v>598</v>
      </c>
      <c r="BX346" s="655">
        <v>0</v>
      </c>
      <c r="BY346" s="655">
        <v>0</v>
      </c>
      <c r="BZ346" s="778">
        <v>598</v>
      </c>
      <c r="CA346" s="655">
        <v>0</v>
      </c>
      <c r="CB346" s="655">
        <v>0</v>
      </c>
      <c r="CC346" s="778">
        <v>598</v>
      </c>
      <c r="CD346" s="655">
        <v>0</v>
      </c>
      <c r="CE346" s="655">
        <v>0</v>
      </c>
      <c r="CF346" s="778">
        <v>598</v>
      </c>
      <c r="CG346" s="655">
        <v>0</v>
      </c>
      <c r="CH346" s="655">
        <v>0</v>
      </c>
      <c r="CI346" s="778">
        <v>598</v>
      </c>
      <c r="CJ346" s="655">
        <v>0</v>
      </c>
      <c r="CK346" s="655">
        <v>0</v>
      </c>
      <c r="CL346" s="778">
        <v>598</v>
      </c>
      <c r="CM346" s="655">
        <v>0</v>
      </c>
      <c r="CN346" s="655">
        <v>0</v>
      </c>
      <c r="CO346" s="778">
        <v>598</v>
      </c>
      <c r="CP346" s="655">
        <v>0</v>
      </c>
      <c r="CQ346" s="655">
        <v>0</v>
      </c>
      <c r="CR346" s="778">
        <v>598</v>
      </c>
      <c r="CS346" s="655">
        <v>0</v>
      </c>
      <c r="CT346" s="655">
        <v>0</v>
      </c>
      <c r="CU346" s="778">
        <v>598</v>
      </c>
      <c r="CV346" s="655">
        <v>0</v>
      </c>
      <c r="CW346" s="655">
        <v>0</v>
      </c>
      <c r="CX346" s="778">
        <v>598</v>
      </c>
      <c r="CY346" s="655">
        <v>0</v>
      </c>
      <c r="CZ346" s="655">
        <v>0</v>
      </c>
      <c r="DA346" s="778">
        <v>598</v>
      </c>
      <c r="DB346" s="655">
        <v>0</v>
      </c>
      <c r="DC346" s="655">
        <v>0</v>
      </c>
      <c r="DD346" s="778">
        <v>598</v>
      </c>
      <c r="DE346" s="655">
        <v>0</v>
      </c>
      <c r="DF346" s="655">
        <v>0</v>
      </c>
      <c r="DG346" s="778">
        <v>598</v>
      </c>
      <c r="DH346" s="655">
        <v>0</v>
      </c>
      <c r="DI346" s="655">
        <v>0</v>
      </c>
      <c r="DJ346" s="778">
        <v>598</v>
      </c>
      <c r="DK346" s="655">
        <v>0</v>
      </c>
      <c r="DL346" s="655">
        <v>0</v>
      </c>
      <c r="DM346" s="778">
        <v>598</v>
      </c>
      <c r="DN346" s="655">
        <v>0</v>
      </c>
      <c r="DO346" s="655">
        <v>0</v>
      </c>
      <c r="DP346" s="778">
        <v>598</v>
      </c>
      <c r="DQ346" s="655">
        <v>0</v>
      </c>
      <c r="DR346" s="655">
        <v>0</v>
      </c>
      <c r="DS346" s="778">
        <v>598</v>
      </c>
      <c r="DT346" s="655">
        <v>0</v>
      </c>
      <c r="DU346" s="655">
        <v>0</v>
      </c>
      <c r="DV346" s="778">
        <v>598</v>
      </c>
      <c r="DW346" s="655">
        <v>0</v>
      </c>
      <c r="DX346" s="655">
        <v>0</v>
      </c>
      <c r="DY346" s="778">
        <v>598</v>
      </c>
      <c r="DZ346" s="655">
        <v>0</v>
      </c>
      <c r="EA346" s="655">
        <v>0</v>
      </c>
      <c r="EB346" s="778">
        <v>598</v>
      </c>
      <c r="EC346" s="655">
        <v>0</v>
      </c>
      <c r="ED346" s="655">
        <v>0</v>
      </c>
      <c r="EE346" s="778">
        <v>598</v>
      </c>
      <c r="EF346" s="655">
        <v>0</v>
      </c>
      <c r="EG346" s="655">
        <v>0</v>
      </c>
      <c r="EH346" s="778">
        <v>598</v>
      </c>
      <c r="EI346" s="655">
        <v>0</v>
      </c>
      <c r="EJ346" s="655">
        <v>0</v>
      </c>
      <c r="EK346" s="779">
        <v>1019.5409836065575</v>
      </c>
      <c r="EL346" s="765"/>
      <c r="EM346" s="517">
        <v>0</v>
      </c>
      <c r="EN346" s="587"/>
      <c r="EO346" s="587"/>
      <c r="EP346" s="587"/>
      <c r="EQ346" s="587"/>
      <c r="ER346" s="587"/>
      <c r="ES346" s="587"/>
      <c r="ET346" s="587"/>
      <c r="EU346" s="587"/>
      <c r="EV346" s="587"/>
      <c r="EW346" s="587"/>
      <c r="EX346" s="587"/>
      <c r="EY346" s="587"/>
      <c r="EZ346" s="587"/>
      <c r="FA346" s="587"/>
      <c r="FB346" s="587"/>
      <c r="FC346" s="587"/>
      <c r="FD346" s="587"/>
      <c r="FE346" s="587"/>
      <c r="FF346" s="587"/>
      <c r="FG346" s="587"/>
      <c r="FH346" s="587"/>
      <c r="FI346" s="587"/>
      <c r="FJ346" s="587"/>
      <c r="FK346" s="587"/>
      <c r="FL346" s="587"/>
      <c r="FM346" s="587"/>
      <c r="FN346" s="587"/>
      <c r="FO346" s="587"/>
      <c r="FP346" s="587"/>
      <c r="FQ346" s="587"/>
      <c r="FR346" s="587"/>
      <c r="FS346" s="587"/>
      <c r="FT346" s="587"/>
      <c r="FU346" s="576"/>
      <c r="FV346" s="576"/>
      <c r="FW346" s="576"/>
      <c r="FX346" s="576"/>
      <c r="FY346" s="576"/>
      <c r="FZ346" s="576"/>
      <c r="GA346" s="576"/>
      <c r="GB346" s="576"/>
      <c r="GC346" s="576"/>
      <c r="GD346" s="576"/>
      <c r="GE346" s="576"/>
      <c r="GF346" s="576"/>
      <c r="GG346" s="576"/>
      <c r="GH346" s="576"/>
      <c r="GI346" s="576"/>
      <c r="GJ346" s="576"/>
      <c r="GK346" s="576"/>
      <c r="GL346" s="576"/>
      <c r="GM346" s="576"/>
      <c r="GN346" s="576"/>
      <c r="GO346" s="576"/>
      <c r="GP346" s="576"/>
      <c r="GQ346" s="576"/>
      <c r="GR346" s="576"/>
      <c r="GS346" s="576"/>
      <c r="GT346" s="576"/>
      <c r="GU346" s="576"/>
      <c r="GV346" s="576"/>
      <c r="GW346" s="576"/>
      <c r="GX346" s="576"/>
      <c r="GY346" s="576"/>
      <c r="GZ346" s="576"/>
      <c r="HA346" s="576"/>
      <c r="HB346" s="576"/>
      <c r="HC346" s="576"/>
      <c r="HD346" s="576"/>
      <c r="HE346" s="576"/>
      <c r="HF346" s="576"/>
      <c r="HG346" s="576"/>
      <c r="HH346" s="576"/>
      <c r="HI346" s="576"/>
      <c r="HJ346" s="576"/>
      <c r="HK346" s="576"/>
      <c r="HL346" s="576"/>
      <c r="HM346" s="576"/>
      <c r="HN346" s="576"/>
      <c r="HO346" s="576"/>
      <c r="HP346" s="576"/>
      <c r="HQ346" s="576"/>
      <c r="HR346" s="576"/>
      <c r="HS346" s="576"/>
      <c r="HT346" s="576"/>
      <c r="HU346" s="576"/>
      <c r="HV346" s="576"/>
      <c r="HW346" s="576"/>
      <c r="HX346" s="576"/>
      <c r="HY346" s="576"/>
      <c r="HZ346" s="576"/>
      <c r="IA346" s="576"/>
      <c r="IB346" s="576"/>
      <c r="IC346" s="576"/>
      <c r="ID346" s="576"/>
      <c r="IE346" s="576"/>
      <c r="IF346" s="576"/>
      <c r="IG346" s="576"/>
      <c r="IH346" s="577"/>
      <c r="II346" s="578"/>
      <c r="IJ346" s="577"/>
      <c r="IK346" s="578"/>
      <c r="IL346" s="577"/>
      <c r="IM346" s="578"/>
      <c r="IN346" s="577"/>
      <c r="IO346" s="578"/>
      <c r="IP346" s="577"/>
      <c r="IQ346" s="578"/>
      <c r="IR346" s="601" t="s">
        <v>3094</v>
      </c>
      <c r="IS346" s="587" t="s">
        <v>3511</v>
      </c>
      <c r="IT346" s="611">
        <v>44691</v>
      </c>
      <c r="IU346" s="518">
        <v>44743</v>
      </c>
      <c r="IV346" s="552"/>
      <c r="IW346" s="526">
        <f t="shared" si="39"/>
        <v>52</v>
      </c>
      <c r="IX346" s="527">
        <f>598/30.5</f>
        <v>19.606557377049182</v>
      </c>
      <c r="IY346" s="553">
        <f>IX346*IW346</f>
        <v>1019.5409836065575</v>
      </c>
    </row>
    <row r="347" spans="1:259" s="367" customFormat="1" ht="16.5" customHeight="1" x14ac:dyDescent="0.3">
      <c r="A347" s="526" t="s">
        <v>2739</v>
      </c>
      <c r="B347" s="682" t="s">
        <v>2757</v>
      </c>
      <c r="C347" s="378" t="s">
        <v>1665</v>
      </c>
      <c r="D347" s="846">
        <f>(-12*12)+356</f>
        <v>212</v>
      </c>
      <c r="E347" s="868">
        <v>22</v>
      </c>
      <c r="F347" s="868">
        <v>22</v>
      </c>
      <c r="G347" s="868">
        <v>27</v>
      </c>
      <c r="H347" s="516">
        <v>0</v>
      </c>
      <c r="I347" s="936">
        <v>412</v>
      </c>
      <c r="J347" s="694">
        <v>27</v>
      </c>
      <c r="K347" s="827">
        <v>0</v>
      </c>
      <c r="L347" s="937">
        <v>412</v>
      </c>
      <c r="M347" s="694">
        <v>27</v>
      </c>
      <c r="N347" s="827">
        <v>0</v>
      </c>
      <c r="O347" s="937">
        <v>412</v>
      </c>
      <c r="P347" s="694">
        <v>27</v>
      </c>
      <c r="Q347" s="827">
        <v>0</v>
      </c>
      <c r="R347" s="937">
        <v>412</v>
      </c>
      <c r="S347" s="694">
        <v>27</v>
      </c>
      <c r="T347" s="827">
        <v>0</v>
      </c>
      <c r="U347" s="937">
        <v>412</v>
      </c>
      <c r="V347" s="694">
        <v>27</v>
      </c>
      <c r="W347" s="827">
        <v>0</v>
      </c>
      <c r="X347" s="937">
        <v>412</v>
      </c>
      <c r="Y347" s="694">
        <v>27</v>
      </c>
      <c r="Z347" s="827">
        <v>0</v>
      </c>
      <c r="AA347" s="937">
        <v>412</v>
      </c>
      <c r="AB347" s="694">
        <v>27</v>
      </c>
      <c r="AC347" s="827">
        <v>0</v>
      </c>
      <c r="AD347" s="937">
        <v>412</v>
      </c>
      <c r="AE347" s="694">
        <v>27</v>
      </c>
      <c r="AF347" s="827">
        <v>0</v>
      </c>
      <c r="AG347" s="937">
        <v>412</v>
      </c>
      <c r="AH347" s="694">
        <v>27</v>
      </c>
      <c r="AI347" s="827">
        <v>0</v>
      </c>
      <c r="AJ347" s="937">
        <v>412</v>
      </c>
      <c r="AK347" s="694">
        <v>27</v>
      </c>
      <c r="AL347" s="827">
        <v>0</v>
      </c>
      <c r="AM347" s="937">
        <v>412</v>
      </c>
      <c r="AN347" s="694">
        <v>27</v>
      </c>
      <c r="AO347" s="827">
        <v>0</v>
      </c>
      <c r="AP347" s="937">
        <v>412</v>
      </c>
      <c r="AQ347" s="694">
        <v>27</v>
      </c>
      <c r="AR347" s="827">
        <v>0</v>
      </c>
      <c r="AS347" s="938">
        <f>((412-400)/30.5)*31+412</f>
        <v>424.19672131147541</v>
      </c>
      <c r="AT347" s="694">
        <v>27</v>
      </c>
      <c r="AU347" s="827">
        <v>0</v>
      </c>
      <c r="AV347" s="939">
        <v>400</v>
      </c>
      <c r="AW347" s="694">
        <v>27</v>
      </c>
      <c r="AX347" s="827">
        <v>0</v>
      </c>
      <c r="AY347" s="939">
        <v>400</v>
      </c>
      <c r="AZ347" s="694">
        <v>27</v>
      </c>
      <c r="BA347" s="405">
        <v>0</v>
      </c>
      <c r="BB347" s="780">
        <v>400</v>
      </c>
      <c r="BC347" s="694">
        <v>27</v>
      </c>
      <c r="BD347" s="405">
        <v>0</v>
      </c>
      <c r="BE347" s="780">
        <v>400</v>
      </c>
      <c r="BF347" s="694">
        <v>27</v>
      </c>
      <c r="BG347" s="405">
        <v>0</v>
      </c>
      <c r="BH347" s="780">
        <v>400</v>
      </c>
      <c r="BI347" s="694">
        <v>27</v>
      </c>
      <c r="BJ347" s="694">
        <v>0</v>
      </c>
      <c r="BK347" s="780">
        <v>400</v>
      </c>
      <c r="BL347" s="694">
        <v>27</v>
      </c>
      <c r="BM347" s="694">
        <v>0</v>
      </c>
      <c r="BN347" s="780">
        <v>400</v>
      </c>
      <c r="BO347" s="694">
        <v>27</v>
      </c>
      <c r="BP347" s="694">
        <v>0</v>
      </c>
      <c r="BQ347" s="780">
        <v>400</v>
      </c>
      <c r="BR347" s="694">
        <v>27</v>
      </c>
      <c r="BS347" s="694">
        <v>0</v>
      </c>
      <c r="BT347" s="780">
        <v>400</v>
      </c>
      <c r="BU347" s="694">
        <v>27</v>
      </c>
      <c r="BV347" s="694">
        <v>0</v>
      </c>
      <c r="BW347" s="780">
        <v>400</v>
      </c>
      <c r="BX347" s="694">
        <v>27</v>
      </c>
      <c r="BY347" s="694">
        <v>0</v>
      </c>
      <c r="BZ347" s="780">
        <v>400</v>
      </c>
      <c r="CA347" s="694">
        <v>27</v>
      </c>
      <c r="CB347" s="694">
        <v>0</v>
      </c>
      <c r="CC347" s="780">
        <v>400</v>
      </c>
      <c r="CD347" s="694">
        <v>27</v>
      </c>
      <c r="CE347" s="694">
        <v>0</v>
      </c>
      <c r="CF347" s="780">
        <v>400</v>
      </c>
      <c r="CG347" s="694">
        <v>27</v>
      </c>
      <c r="CH347" s="694">
        <v>0</v>
      </c>
      <c r="CI347" s="780">
        <v>400</v>
      </c>
      <c r="CJ347" s="694">
        <v>27</v>
      </c>
      <c r="CK347" s="694">
        <v>0</v>
      </c>
      <c r="CL347" s="780">
        <v>400</v>
      </c>
      <c r="CM347" s="694">
        <v>27</v>
      </c>
      <c r="CN347" s="694">
        <v>0</v>
      </c>
      <c r="CO347" s="780">
        <v>400</v>
      </c>
      <c r="CP347" s="694">
        <v>27</v>
      </c>
      <c r="CQ347" s="694">
        <v>0</v>
      </c>
      <c r="CR347" s="780">
        <v>400</v>
      </c>
      <c r="CS347" s="694">
        <v>27</v>
      </c>
      <c r="CT347" s="694">
        <v>0</v>
      </c>
      <c r="CU347" s="780">
        <v>400</v>
      </c>
      <c r="CV347" s="694">
        <v>27</v>
      </c>
      <c r="CW347" s="694">
        <v>0</v>
      </c>
      <c r="CX347" s="780">
        <v>400</v>
      </c>
      <c r="CY347" s="694">
        <v>27</v>
      </c>
      <c r="CZ347" s="694">
        <v>0</v>
      </c>
      <c r="DA347" s="780">
        <v>400</v>
      </c>
      <c r="DB347" s="694">
        <v>27</v>
      </c>
      <c r="DC347" s="694">
        <v>0</v>
      </c>
      <c r="DD347" s="780">
        <v>400</v>
      </c>
      <c r="DE347" s="694">
        <v>27</v>
      </c>
      <c r="DF347" s="694">
        <v>0</v>
      </c>
      <c r="DG347" s="780">
        <v>400</v>
      </c>
      <c r="DH347" s="694">
        <v>27</v>
      </c>
      <c r="DI347" s="694">
        <v>0</v>
      </c>
      <c r="DJ347" s="780">
        <v>400</v>
      </c>
      <c r="DK347" s="694">
        <v>27</v>
      </c>
      <c r="DL347" s="694">
        <v>0</v>
      </c>
      <c r="DM347" s="780">
        <v>400</v>
      </c>
      <c r="DN347" s="694">
        <v>27</v>
      </c>
      <c r="DO347" s="694">
        <v>0</v>
      </c>
      <c r="DP347" s="780">
        <v>400</v>
      </c>
      <c r="DQ347" s="694">
        <v>27</v>
      </c>
      <c r="DR347" s="694">
        <v>0</v>
      </c>
      <c r="DS347" s="780">
        <v>400</v>
      </c>
      <c r="DT347" s="694">
        <v>27</v>
      </c>
      <c r="DU347" s="694">
        <v>0</v>
      </c>
      <c r="DV347" s="780">
        <v>400</v>
      </c>
      <c r="DW347" s="694">
        <v>27</v>
      </c>
      <c r="DX347" s="694">
        <v>0</v>
      </c>
      <c r="DY347" s="780">
        <v>400</v>
      </c>
      <c r="DZ347" s="694">
        <v>27</v>
      </c>
      <c r="EA347" s="694">
        <v>0</v>
      </c>
      <c r="EB347" s="780">
        <v>400</v>
      </c>
      <c r="EC347" s="694">
        <v>27</v>
      </c>
      <c r="ED347" s="694">
        <v>0</v>
      </c>
      <c r="EE347" s="780">
        <v>400</v>
      </c>
      <c r="EF347" s="694">
        <v>27</v>
      </c>
      <c r="EG347" s="694">
        <v>0</v>
      </c>
      <c r="EH347" s="780">
        <v>400</v>
      </c>
      <c r="EI347" s="694">
        <v>27</v>
      </c>
      <c r="EJ347" s="694">
        <v>0</v>
      </c>
      <c r="EK347" s="781">
        <v>734.42622950819668</v>
      </c>
      <c r="EL347" s="753">
        <f>((27/30.5)*26)+27</f>
        <v>50.016393442622949</v>
      </c>
      <c r="EM347" s="753">
        <v>0</v>
      </c>
      <c r="EN347" s="617"/>
      <c r="EO347" s="617"/>
      <c r="EP347" s="617"/>
      <c r="EQ347" s="617"/>
      <c r="ER347" s="617"/>
      <c r="ES347" s="617"/>
      <c r="ET347" s="617"/>
      <c r="EU347" s="617"/>
      <c r="EV347" s="617"/>
      <c r="EW347" s="617"/>
      <c r="EX347" s="617"/>
      <c r="EY347" s="617"/>
      <c r="EZ347" s="617"/>
      <c r="FA347" s="617"/>
      <c r="FB347" s="617"/>
      <c r="FC347" s="617"/>
      <c r="FD347" s="617"/>
      <c r="FE347" s="617"/>
      <c r="FF347" s="617"/>
      <c r="FG347" s="617"/>
      <c r="FH347" s="617"/>
      <c r="FI347" s="617"/>
      <c r="FJ347" s="617"/>
      <c r="FK347" s="617"/>
      <c r="FL347" s="617"/>
      <c r="FM347" s="617"/>
      <c r="FN347" s="617"/>
      <c r="FO347" s="617"/>
      <c r="FP347" s="617"/>
      <c r="FQ347" s="617"/>
      <c r="FR347" s="617"/>
      <c r="FS347" s="617"/>
      <c r="FT347" s="617"/>
      <c r="FU347" s="576"/>
      <c r="FV347" s="576"/>
      <c r="FW347" s="576"/>
      <c r="FX347" s="576"/>
      <c r="FY347" s="576"/>
      <c r="FZ347" s="576"/>
      <c r="GA347" s="576"/>
      <c r="GB347" s="576"/>
      <c r="GC347" s="576"/>
      <c r="GD347" s="576"/>
      <c r="GE347" s="576"/>
      <c r="GF347" s="576"/>
      <c r="GG347" s="576"/>
      <c r="GH347" s="576"/>
      <c r="GI347" s="576"/>
      <c r="GJ347" s="576"/>
      <c r="GK347" s="576"/>
      <c r="GL347" s="576"/>
      <c r="GM347" s="576"/>
      <c r="GN347" s="576"/>
      <c r="GO347" s="576"/>
      <c r="GP347" s="576"/>
      <c r="GQ347" s="576"/>
      <c r="GR347" s="576"/>
      <c r="GS347" s="576"/>
      <c r="GT347" s="576"/>
      <c r="GU347" s="576"/>
      <c r="GV347" s="576"/>
      <c r="GW347" s="576"/>
      <c r="GX347" s="576"/>
      <c r="GY347" s="576"/>
      <c r="GZ347" s="576"/>
      <c r="HA347" s="576"/>
      <c r="HB347" s="576"/>
      <c r="HC347" s="576"/>
      <c r="HD347" s="576"/>
      <c r="HE347" s="576"/>
      <c r="HF347" s="576"/>
      <c r="HG347" s="576"/>
      <c r="HH347" s="576"/>
      <c r="HI347" s="576"/>
      <c r="HJ347" s="576"/>
      <c r="HK347" s="576"/>
      <c r="HL347" s="576"/>
      <c r="HM347" s="576"/>
      <c r="HN347" s="576"/>
      <c r="HO347" s="576"/>
      <c r="HP347" s="576"/>
      <c r="HQ347" s="576"/>
      <c r="HR347" s="576"/>
      <c r="HS347" s="576"/>
      <c r="HT347" s="576"/>
      <c r="HU347" s="576"/>
      <c r="HV347" s="576"/>
      <c r="HW347" s="576"/>
      <c r="HX347" s="576"/>
      <c r="HY347" s="576"/>
      <c r="HZ347" s="576"/>
      <c r="IA347" s="576"/>
      <c r="IB347" s="576"/>
      <c r="IC347" s="576"/>
      <c r="ID347" s="576"/>
      <c r="IE347" s="576"/>
      <c r="IF347" s="576"/>
      <c r="IG347" s="576"/>
      <c r="IH347" s="577"/>
      <c r="II347" s="578"/>
      <c r="IJ347" s="577"/>
      <c r="IK347" s="578"/>
      <c r="IL347" s="577"/>
      <c r="IM347" s="578"/>
      <c r="IN347" s="577"/>
      <c r="IO347" s="578"/>
      <c r="IP347" s="577"/>
      <c r="IQ347" s="578"/>
      <c r="IR347" s="782" t="s">
        <v>2861</v>
      </c>
      <c r="IS347" s="617" t="s">
        <v>3511</v>
      </c>
      <c r="IT347" s="618">
        <v>44687</v>
      </c>
      <c r="IU347" s="550">
        <v>44743</v>
      </c>
      <c r="IV347" s="616"/>
      <c r="IW347" s="736">
        <f t="shared" si="39"/>
        <v>56</v>
      </c>
      <c r="IX347" s="783">
        <f>400/30.5</f>
        <v>13.114754098360656</v>
      </c>
      <c r="IY347" s="784">
        <f>IX347*IW347</f>
        <v>734.42622950819668</v>
      </c>
    </row>
    <row r="348" spans="1:259" s="367" customFormat="1" ht="16.5" customHeight="1" x14ac:dyDescent="0.3">
      <c r="A348" s="526" t="s">
        <v>2739</v>
      </c>
      <c r="B348" s="682" t="s">
        <v>2849</v>
      </c>
      <c r="C348" s="378" t="s">
        <v>1674</v>
      </c>
      <c r="D348" s="868">
        <v>2436</v>
      </c>
      <c r="E348" s="868">
        <v>382</v>
      </c>
      <c r="F348" s="868">
        <v>16</v>
      </c>
      <c r="G348" s="846">
        <f>(27*12)+414</f>
        <v>738</v>
      </c>
      <c r="H348" s="516">
        <v>0</v>
      </c>
      <c r="I348" s="659">
        <v>2834</v>
      </c>
      <c r="J348" s="655">
        <v>387</v>
      </c>
      <c r="K348" s="827">
        <v>0</v>
      </c>
      <c r="L348" s="655">
        <v>2834</v>
      </c>
      <c r="M348" s="655">
        <v>387</v>
      </c>
      <c r="N348" s="827">
        <v>0</v>
      </c>
      <c r="O348" s="655">
        <v>2834</v>
      </c>
      <c r="P348" s="655">
        <v>387</v>
      </c>
      <c r="Q348" s="827">
        <v>0</v>
      </c>
      <c r="R348" s="655">
        <v>2834</v>
      </c>
      <c r="S348" s="655">
        <v>387</v>
      </c>
      <c r="T348" s="827">
        <v>0</v>
      </c>
      <c r="U348" s="655">
        <v>2834</v>
      </c>
      <c r="V348" s="655">
        <v>387</v>
      </c>
      <c r="W348" s="827">
        <v>0</v>
      </c>
      <c r="X348" s="655">
        <v>2834</v>
      </c>
      <c r="Y348" s="655">
        <v>387</v>
      </c>
      <c r="Z348" s="827">
        <v>0</v>
      </c>
      <c r="AA348" s="655">
        <v>2834</v>
      </c>
      <c r="AB348" s="655">
        <v>387</v>
      </c>
      <c r="AC348" s="827">
        <v>0</v>
      </c>
      <c r="AD348" s="655">
        <v>2834</v>
      </c>
      <c r="AE348" s="655">
        <v>387</v>
      </c>
      <c r="AF348" s="827">
        <v>0</v>
      </c>
      <c r="AG348" s="655">
        <v>2834</v>
      </c>
      <c r="AH348" s="655">
        <v>387</v>
      </c>
      <c r="AI348" s="827">
        <v>0</v>
      </c>
      <c r="AJ348" s="655">
        <v>2834</v>
      </c>
      <c r="AK348" s="655">
        <v>387</v>
      </c>
      <c r="AL348" s="827">
        <v>0</v>
      </c>
      <c r="AM348" s="655">
        <v>2834</v>
      </c>
      <c r="AN348" s="655">
        <v>387</v>
      </c>
      <c r="AO348" s="827">
        <v>0</v>
      </c>
      <c r="AP348" s="655">
        <v>2834</v>
      </c>
      <c r="AQ348" s="655">
        <v>387</v>
      </c>
      <c r="AR348" s="827">
        <v>0</v>
      </c>
      <c r="AS348" s="655">
        <v>2834</v>
      </c>
      <c r="AT348" s="655">
        <v>387</v>
      </c>
      <c r="AU348" s="827">
        <v>0</v>
      </c>
      <c r="AV348" s="655">
        <v>2834</v>
      </c>
      <c r="AW348" s="655">
        <v>387</v>
      </c>
      <c r="AX348" s="827">
        <v>0</v>
      </c>
      <c r="AY348" s="655">
        <v>2834</v>
      </c>
      <c r="AZ348" s="655">
        <v>387</v>
      </c>
      <c r="BA348" s="405">
        <v>0</v>
      </c>
      <c r="BB348" s="655">
        <v>2834</v>
      </c>
      <c r="BC348" s="655">
        <v>387</v>
      </c>
      <c r="BD348" s="405">
        <v>0</v>
      </c>
      <c r="BE348" s="655">
        <v>2834</v>
      </c>
      <c r="BF348" s="655">
        <v>387</v>
      </c>
      <c r="BG348" s="405">
        <v>0</v>
      </c>
      <c r="BH348" s="655">
        <v>2834</v>
      </c>
      <c r="BI348" s="655">
        <v>387</v>
      </c>
      <c r="BJ348" s="655">
        <v>0</v>
      </c>
      <c r="BK348" s="655">
        <v>2834</v>
      </c>
      <c r="BL348" s="655">
        <v>387</v>
      </c>
      <c r="BM348" s="655">
        <v>0</v>
      </c>
      <c r="BN348" s="655">
        <v>2834</v>
      </c>
      <c r="BO348" s="655">
        <v>387</v>
      </c>
      <c r="BP348" s="655">
        <v>0</v>
      </c>
      <c r="BQ348" s="655">
        <v>2834</v>
      </c>
      <c r="BR348" s="655">
        <v>387</v>
      </c>
      <c r="BS348" s="655">
        <v>0</v>
      </c>
      <c r="BT348" s="655">
        <v>2834</v>
      </c>
      <c r="BU348" s="655">
        <v>387</v>
      </c>
      <c r="BV348" s="655">
        <v>0</v>
      </c>
      <c r="BW348" s="655">
        <v>2834</v>
      </c>
      <c r="BX348" s="655">
        <v>387</v>
      </c>
      <c r="BY348" s="655">
        <v>0</v>
      </c>
      <c r="BZ348" s="655">
        <v>2834</v>
      </c>
      <c r="CA348" s="655">
        <v>387</v>
      </c>
      <c r="CB348" s="655">
        <v>0</v>
      </c>
      <c r="CC348" s="655">
        <v>2834</v>
      </c>
      <c r="CD348" s="655">
        <v>387</v>
      </c>
      <c r="CE348" s="655">
        <v>0</v>
      </c>
      <c r="CF348" s="655">
        <v>2834</v>
      </c>
      <c r="CG348" s="655">
        <v>387</v>
      </c>
      <c r="CH348" s="655">
        <v>0</v>
      </c>
      <c r="CI348" s="655">
        <v>2834</v>
      </c>
      <c r="CJ348" s="655">
        <v>387</v>
      </c>
      <c r="CK348" s="655">
        <v>0</v>
      </c>
      <c r="CL348" s="655">
        <v>2834</v>
      </c>
      <c r="CM348" s="655">
        <v>387</v>
      </c>
      <c r="CN348" s="655">
        <v>0</v>
      </c>
      <c r="CO348" s="655">
        <v>2834</v>
      </c>
      <c r="CP348" s="655">
        <v>387</v>
      </c>
      <c r="CQ348" s="655">
        <v>0</v>
      </c>
      <c r="CR348" s="655">
        <v>2834</v>
      </c>
      <c r="CS348" s="655">
        <v>387</v>
      </c>
      <c r="CT348" s="655">
        <v>0</v>
      </c>
      <c r="CU348" s="655">
        <v>2834</v>
      </c>
      <c r="CV348" s="655">
        <v>387</v>
      </c>
      <c r="CW348" s="655">
        <v>0</v>
      </c>
      <c r="CX348" s="655">
        <v>2834</v>
      </c>
      <c r="CY348" s="655">
        <v>387</v>
      </c>
      <c r="CZ348" s="655">
        <v>0</v>
      </c>
      <c r="DA348" s="655">
        <v>2834</v>
      </c>
      <c r="DB348" s="655">
        <v>387</v>
      </c>
      <c r="DC348" s="655">
        <v>0</v>
      </c>
      <c r="DD348" s="655">
        <v>2834</v>
      </c>
      <c r="DE348" s="655">
        <v>387</v>
      </c>
      <c r="DF348" s="655">
        <v>0</v>
      </c>
      <c r="DG348" s="655">
        <v>2834</v>
      </c>
      <c r="DH348" s="655">
        <v>387</v>
      </c>
      <c r="DI348" s="655">
        <v>0</v>
      </c>
      <c r="DJ348" s="655">
        <v>2834</v>
      </c>
      <c r="DK348" s="655">
        <v>387</v>
      </c>
      <c r="DL348" s="655">
        <v>0</v>
      </c>
      <c r="DM348" s="655">
        <v>2834</v>
      </c>
      <c r="DN348" s="655">
        <v>387</v>
      </c>
      <c r="DO348" s="655">
        <v>0</v>
      </c>
      <c r="DP348" s="655">
        <v>2834</v>
      </c>
      <c r="DQ348" s="655">
        <v>387</v>
      </c>
      <c r="DR348" s="655">
        <v>0</v>
      </c>
      <c r="DS348" s="655">
        <v>2834</v>
      </c>
      <c r="DT348" s="655">
        <v>387</v>
      </c>
      <c r="DU348" s="655">
        <v>0</v>
      </c>
      <c r="DV348" s="655">
        <v>2834</v>
      </c>
      <c r="DW348" s="655">
        <v>387</v>
      </c>
      <c r="DX348" s="655">
        <v>0</v>
      </c>
      <c r="DY348" s="655">
        <v>2834</v>
      </c>
      <c r="DZ348" s="655">
        <v>387</v>
      </c>
      <c r="EA348" s="655">
        <v>0</v>
      </c>
      <c r="EB348" s="517">
        <f>((2834/30.5)*22)+2834</f>
        <v>4878.1967213114749</v>
      </c>
      <c r="EC348" s="517">
        <f>((387/30.5)*22)+387</f>
        <v>666.14754098360663</v>
      </c>
      <c r="ED348" s="517">
        <v>0</v>
      </c>
      <c r="EE348" s="587"/>
      <c r="EF348" s="587"/>
      <c r="EG348" s="587"/>
      <c r="EH348" s="587"/>
      <c r="EI348" s="587"/>
      <c r="EJ348" s="587"/>
      <c r="EK348" s="587"/>
      <c r="EL348" s="587"/>
      <c r="EM348" s="587"/>
      <c r="EN348" s="587"/>
      <c r="EO348" s="587"/>
      <c r="EP348" s="587"/>
      <c r="EQ348" s="587"/>
      <c r="ER348" s="587"/>
      <c r="ES348" s="587"/>
      <c r="ET348" s="587"/>
      <c r="EU348" s="587"/>
      <c r="EV348" s="587"/>
      <c r="EW348" s="587"/>
      <c r="EX348" s="587"/>
      <c r="EY348" s="587"/>
      <c r="EZ348" s="587"/>
      <c r="FA348" s="587"/>
      <c r="FB348" s="587"/>
      <c r="FC348" s="587"/>
      <c r="FD348" s="587"/>
      <c r="FE348" s="587"/>
      <c r="FF348" s="587"/>
      <c r="FG348" s="587"/>
      <c r="FH348" s="587"/>
      <c r="FI348" s="587"/>
      <c r="FJ348" s="587"/>
      <c r="FK348" s="587"/>
      <c r="FL348" s="587"/>
      <c r="FM348" s="587"/>
      <c r="FN348" s="587"/>
      <c r="FO348" s="587"/>
      <c r="FP348" s="587"/>
      <c r="FQ348" s="587"/>
      <c r="FR348" s="587"/>
      <c r="FS348" s="587"/>
      <c r="FT348" s="587"/>
      <c r="FU348" s="587"/>
      <c r="FV348" s="587"/>
      <c r="FW348" s="587"/>
      <c r="FX348" s="587"/>
      <c r="FY348" s="587"/>
      <c r="FZ348" s="587"/>
      <c r="GA348" s="587"/>
      <c r="GB348" s="587"/>
      <c r="GC348" s="587"/>
      <c r="GD348" s="587"/>
      <c r="GE348" s="587"/>
      <c r="GF348" s="587"/>
      <c r="GG348" s="587"/>
      <c r="GH348" s="587"/>
      <c r="GI348" s="587"/>
      <c r="GJ348" s="587"/>
      <c r="GK348" s="587"/>
      <c r="GL348" s="587"/>
      <c r="GM348" s="587"/>
      <c r="GN348" s="587"/>
      <c r="GO348" s="587"/>
      <c r="GP348" s="587"/>
      <c r="GQ348" s="587"/>
      <c r="GR348" s="587"/>
      <c r="GS348" s="587"/>
      <c r="GT348" s="587"/>
      <c r="GU348" s="587"/>
      <c r="GV348" s="587"/>
      <c r="GW348" s="587"/>
      <c r="GX348" s="587"/>
      <c r="GY348" s="587"/>
      <c r="GZ348" s="587"/>
      <c r="HA348" s="587"/>
      <c r="HB348" s="587"/>
      <c r="HC348" s="587"/>
      <c r="HD348" s="587"/>
      <c r="HE348" s="587"/>
      <c r="HF348" s="587"/>
      <c r="HG348" s="587"/>
      <c r="HH348" s="587"/>
      <c r="HI348" s="587"/>
      <c r="HJ348" s="587"/>
      <c r="HK348" s="587"/>
      <c r="HL348" s="587"/>
      <c r="HM348" s="587"/>
      <c r="HN348" s="587"/>
      <c r="HO348" s="587"/>
      <c r="HP348" s="587"/>
      <c r="HQ348" s="587"/>
      <c r="HR348" s="587"/>
      <c r="HS348" s="587"/>
      <c r="HT348" s="587"/>
      <c r="HU348" s="587"/>
      <c r="HV348" s="587"/>
      <c r="HW348" s="587"/>
      <c r="HX348" s="587"/>
      <c r="HY348" s="587"/>
      <c r="HZ348" s="587"/>
      <c r="IA348" s="587"/>
      <c r="IB348" s="587"/>
      <c r="IC348" s="587"/>
      <c r="ID348" s="587"/>
      <c r="IE348" s="587"/>
      <c r="IF348" s="587"/>
      <c r="IG348" s="587"/>
      <c r="IH348" s="588"/>
      <c r="II348" s="589"/>
      <c r="IJ348" s="588"/>
      <c r="IK348" s="589"/>
      <c r="IL348" s="588"/>
      <c r="IM348" s="589"/>
      <c r="IN348" s="588"/>
      <c r="IO348" s="589"/>
      <c r="IP348" s="588"/>
      <c r="IQ348" s="589"/>
      <c r="IR348" s="601" t="s">
        <v>2848</v>
      </c>
      <c r="IS348" s="587" t="s">
        <v>3511</v>
      </c>
      <c r="IT348" s="611">
        <v>44783</v>
      </c>
      <c r="IU348" s="518">
        <v>44835</v>
      </c>
      <c r="IV348" s="552"/>
      <c r="IW348" s="552"/>
      <c r="IX348" s="552"/>
      <c r="IY348" s="552"/>
    </row>
    <row r="349" spans="1:259" s="367" customFormat="1" ht="16.5" customHeight="1" x14ac:dyDescent="0.3">
      <c r="A349" s="526" t="s">
        <v>2739</v>
      </c>
      <c r="B349" s="682" t="s">
        <v>2745</v>
      </c>
      <c r="C349" s="785" t="s">
        <v>1694</v>
      </c>
      <c r="D349" s="786">
        <v>1628</v>
      </c>
      <c r="E349" s="787">
        <v>239</v>
      </c>
      <c r="F349" s="787">
        <v>32</v>
      </c>
      <c r="G349" s="787">
        <v>108</v>
      </c>
      <c r="H349" s="788">
        <v>0</v>
      </c>
      <c r="I349" s="659">
        <v>1899</v>
      </c>
      <c r="J349" s="655">
        <v>108</v>
      </c>
      <c r="K349" s="827">
        <v>0</v>
      </c>
      <c r="L349" s="655">
        <v>1899</v>
      </c>
      <c r="M349" s="655">
        <v>108</v>
      </c>
      <c r="N349" s="827">
        <v>0</v>
      </c>
      <c r="O349" s="655">
        <v>1899</v>
      </c>
      <c r="P349" s="655">
        <v>108</v>
      </c>
      <c r="Q349" s="827">
        <v>0</v>
      </c>
      <c r="R349" s="655">
        <v>1899</v>
      </c>
      <c r="S349" s="655">
        <v>108</v>
      </c>
      <c r="T349" s="827">
        <v>0</v>
      </c>
      <c r="U349" s="655">
        <v>1899</v>
      </c>
      <c r="V349" s="655">
        <v>108</v>
      </c>
      <c r="W349" s="827">
        <v>0</v>
      </c>
      <c r="X349" s="655">
        <v>1899</v>
      </c>
      <c r="Y349" s="655">
        <v>108</v>
      </c>
      <c r="Z349" s="827">
        <v>0</v>
      </c>
      <c r="AA349" s="655">
        <v>1899</v>
      </c>
      <c r="AB349" s="655">
        <v>108</v>
      </c>
      <c r="AC349" s="827">
        <v>0</v>
      </c>
      <c r="AD349" s="655">
        <v>1899</v>
      </c>
      <c r="AE349" s="655">
        <v>108</v>
      </c>
      <c r="AF349" s="827">
        <v>0</v>
      </c>
      <c r="AG349" s="655">
        <v>1899</v>
      </c>
      <c r="AH349" s="655">
        <v>108</v>
      </c>
      <c r="AI349" s="827">
        <v>0</v>
      </c>
      <c r="AJ349" s="655">
        <v>1899</v>
      </c>
      <c r="AK349" s="655">
        <v>108</v>
      </c>
      <c r="AL349" s="827">
        <v>0</v>
      </c>
      <c r="AM349" s="655">
        <v>1899</v>
      </c>
      <c r="AN349" s="655">
        <v>108</v>
      </c>
      <c r="AO349" s="827">
        <v>0</v>
      </c>
      <c r="AP349" s="655">
        <v>1899</v>
      </c>
      <c r="AQ349" s="655">
        <v>108</v>
      </c>
      <c r="AR349" s="827">
        <v>0</v>
      </c>
      <c r="AS349" s="655">
        <v>1899</v>
      </c>
      <c r="AT349" s="655">
        <v>108</v>
      </c>
      <c r="AU349" s="827">
        <v>0</v>
      </c>
      <c r="AV349" s="655">
        <v>1899</v>
      </c>
      <c r="AW349" s="655">
        <v>108</v>
      </c>
      <c r="AX349" s="827">
        <v>0</v>
      </c>
      <c r="AY349" s="655">
        <v>1899</v>
      </c>
      <c r="AZ349" s="655">
        <v>108</v>
      </c>
      <c r="BA349" s="405">
        <v>0</v>
      </c>
      <c r="BB349" s="655">
        <v>1899</v>
      </c>
      <c r="BC349" s="655">
        <v>108</v>
      </c>
      <c r="BD349" s="405">
        <v>0</v>
      </c>
      <c r="BE349" s="655">
        <v>1899</v>
      </c>
      <c r="BF349" s="655">
        <v>108</v>
      </c>
      <c r="BG349" s="405">
        <v>0</v>
      </c>
      <c r="BH349" s="655">
        <v>1899</v>
      </c>
      <c r="BI349" s="655">
        <v>108</v>
      </c>
      <c r="BJ349" s="655">
        <v>0</v>
      </c>
      <c r="BK349" s="655">
        <v>1899</v>
      </c>
      <c r="BL349" s="655">
        <v>108</v>
      </c>
      <c r="BM349" s="655">
        <v>0</v>
      </c>
      <c r="BN349" s="655">
        <v>1899</v>
      </c>
      <c r="BO349" s="655">
        <v>108</v>
      </c>
      <c r="BP349" s="655">
        <v>0</v>
      </c>
      <c r="BQ349" s="655">
        <v>1899</v>
      </c>
      <c r="BR349" s="655">
        <v>108</v>
      </c>
      <c r="BS349" s="655">
        <v>0</v>
      </c>
      <c r="BT349" s="655">
        <v>1899</v>
      </c>
      <c r="BU349" s="655">
        <v>108</v>
      </c>
      <c r="BV349" s="655">
        <v>0</v>
      </c>
      <c r="BW349" s="655">
        <v>1899</v>
      </c>
      <c r="BX349" s="655">
        <v>108</v>
      </c>
      <c r="BY349" s="655">
        <v>0</v>
      </c>
      <c r="BZ349" s="655">
        <v>1899</v>
      </c>
      <c r="CA349" s="655">
        <v>108</v>
      </c>
      <c r="CB349" s="655">
        <v>0</v>
      </c>
      <c r="CC349" s="655">
        <v>1899</v>
      </c>
      <c r="CD349" s="655">
        <v>108</v>
      </c>
      <c r="CE349" s="655">
        <v>0</v>
      </c>
      <c r="CF349" s="655">
        <v>1899</v>
      </c>
      <c r="CG349" s="655">
        <v>108</v>
      </c>
      <c r="CH349" s="655">
        <v>0</v>
      </c>
      <c r="CI349" s="655">
        <v>1899</v>
      </c>
      <c r="CJ349" s="655">
        <v>108</v>
      </c>
      <c r="CK349" s="655">
        <v>0</v>
      </c>
      <c r="CL349" s="655">
        <v>1899</v>
      </c>
      <c r="CM349" s="655">
        <v>108</v>
      </c>
      <c r="CN349" s="655">
        <v>0</v>
      </c>
      <c r="CO349" s="517">
        <f>((1899/30.5)*27)+1899</f>
        <v>3580.0819672131147</v>
      </c>
      <c r="CP349" s="517">
        <f>((108/30.5)*27)+108</f>
        <v>203.60655737704917</v>
      </c>
      <c r="CQ349" s="691"/>
      <c r="CR349" s="587"/>
      <c r="CS349" s="587"/>
      <c r="CT349" s="587"/>
      <c r="CU349" s="587"/>
      <c r="CV349" s="587"/>
      <c r="CW349" s="587"/>
      <c r="CX349" s="587"/>
      <c r="CY349" s="587"/>
      <c r="CZ349" s="587"/>
      <c r="DA349" s="587"/>
      <c r="DB349" s="587"/>
      <c r="DC349" s="587"/>
      <c r="DD349" s="587"/>
      <c r="DE349" s="587"/>
      <c r="DF349" s="587"/>
      <c r="DG349" s="587"/>
      <c r="DH349" s="587"/>
      <c r="DI349" s="587"/>
      <c r="DJ349" s="587"/>
      <c r="DK349" s="587"/>
      <c r="DL349" s="587"/>
      <c r="DM349" s="587"/>
      <c r="DN349" s="587"/>
      <c r="DO349" s="587"/>
      <c r="DP349" s="587"/>
      <c r="DQ349" s="587"/>
      <c r="DR349" s="587"/>
      <c r="DS349" s="587"/>
      <c r="DT349" s="587"/>
      <c r="DU349" s="587"/>
      <c r="DV349" s="587"/>
      <c r="DW349" s="587"/>
      <c r="DX349" s="587"/>
      <c r="DY349" s="587"/>
      <c r="DZ349" s="587"/>
      <c r="EA349" s="587"/>
      <c r="EB349" s="587"/>
      <c r="EC349" s="587"/>
      <c r="ED349" s="587"/>
      <c r="EE349" s="587"/>
      <c r="EF349" s="587"/>
      <c r="EG349" s="587"/>
      <c r="EH349" s="587"/>
      <c r="EI349" s="587"/>
      <c r="EJ349" s="587"/>
      <c r="EK349" s="587"/>
      <c r="EL349" s="587"/>
      <c r="EM349" s="587"/>
      <c r="EN349" s="587"/>
      <c r="EO349" s="587"/>
      <c r="EP349" s="587"/>
      <c r="EQ349" s="587"/>
      <c r="ER349" s="587"/>
      <c r="ES349" s="587"/>
      <c r="ET349" s="587"/>
      <c r="EU349" s="587"/>
      <c r="EV349" s="587"/>
      <c r="EW349" s="587"/>
      <c r="EX349" s="587"/>
      <c r="EY349" s="587"/>
      <c r="EZ349" s="587"/>
      <c r="FA349" s="587"/>
      <c r="FB349" s="587"/>
      <c r="FC349" s="587"/>
      <c r="FD349" s="587"/>
      <c r="FE349" s="587"/>
      <c r="FF349" s="587"/>
      <c r="FG349" s="587"/>
      <c r="FH349" s="587"/>
      <c r="FI349" s="587"/>
      <c r="FJ349" s="587"/>
      <c r="FK349" s="587"/>
      <c r="FL349" s="587"/>
      <c r="FM349" s="587"/>
      <c r="FN349" s="587"/>
      <c r="FO349" s="587"/>
      <c r="FP349" s="587"/>
      <c r="FQ349" s="587"/>
      <c r="FR349" s="587"/>
      <c r="FS349" s="587"/>
      <c r="FT349" s="587"/>
      <c r="FU349" s="587"/>
      <c r="FV349" s="587"/>
      <c r="FW349" s="587"/>
      <c r="FX349" s="587"/>
      <c r="FY349" s="587"/>
      <c r="FZ349" s="587"/>
      <c r="GA349" s="587"/>
      <c r="GB349" s="587"/>
      <c r="GC349" s="587"/>
      <c r="GD349" s="587"/>
      <c r="GE349" s="587"/>
      <c r="GF349" s="587"/>
      <c r="GG349" s="587"/>
      <c r="GH349" s="587"/>
      <c r="GI349" s="587"/>
      <c r="GJ349" s="587"/>
      <c r="GK349" s="587"/>
      <c r="GL349" s="587"/>
      <c r="GM349" s="587"/>
      <c r="GN349" s="587"/>
      <c r="GO349" s="587"/>
      <c r="GP349" s="587"/>
      <c r="GQ349" s="587"/>
      <c r="GR349" s="587"/>
      <c r="GS349" s="587"/>
      <c r="GT349" s="587"/>
      <c r="GU349" s="587"/>
      <c r="GV349" s="587"/>
      <c r="GW349" s="587"/>
      <c r="GX349" s="587"/>
      <c r="GY349" s="587"/>
      <c r="GZ349" s="587"/>
      <c r="HA349" s="587"/>
      <c r="HB349" s="587"/>
      <c r="HC349" s="587"/>
      <c r="HD349" s="587"/>
      <c r="HE349" s="587"/>
      <c r="HF349" s="587"/>
      <c r="HG349" s="587"/>
      <c r="HH349" s="587"/>
      <c r="HI349" s="587"/>
      <c r="HJ349" s="587"/>
      <c r="HK349" s="587"/>
      <c r="HL349" s="587"/>
      <c r="HM349" s="587"/>
      <c r="HN349" s="587"/>
      <c r="HO349" s="587"/>
      <c r="HP349" s="587"/>
      <c r="HQ349" s="587"/>
      <c r="HR349" s="587"/>
      <c r="HS349" s="587"/>
      <c r="HT349" s="587"/>
      <c r="HU349" s="587"/>
      <c r="HV349" s="587"/>
      <c r="HW349" s="587"/>
      <c r="HX349" s="587"/>
      <c r="HY349" s="587"/>
      <c r="HZ349" s="587"/>
      <c r="IA349" s="587"/>
      <c r="IB349" s="587"/>
      <c r="IC349" s="587"/>
      <c r="ID349" s="587"/>
      <c r="IE349" s="587"/>
      <c r="IF349" s="587"/>
      <c r="IG349" s="587"/>
      <c r="IH349" s="588"/>
      <c r="II349" s="589"/>
      <c r="IJ349" s="588"/>
      <c r="IK349" s="589"/>
      <c r="IL349" s="588"/>
      <c r="IM349" s="589"/>
      <c r="IN349" s="588"/>
      <c r="IO349" s="589"/>
      <c r="IP349" s="588"/>
      <c r="IQ349" s="589"/>
      <c r="IR349" s="601" t="s">
        <v>3097</v>
      </c>
      <c r="IS349" s="587"/>
      <c r="IT349" s="611">
        <v>45173</v>
      </c>
      <c r="IU349" s="552"/>
      <c r="IV349" s="552"/>
      <c r="IW349" s="552"/>
      <c r="IX349" s="552"/>
      <c r="IY349" s="552"/>
    </row>
    <row r="350" spans="1:259" s="367" customFormat="1" ht="16.5" customHeight="1" x14ac:dyDescent="0.3">
      <c r="A350" s="526" t="s">
        <v>2739</v>
      </c>
      <c r="B350" s="682" t="s">
        <v>2838</v>
      </c>
      <c r="C350" s="378" t="s">
        <v>1683</v>
      </c>
      <c r="D350" s="832">
        <v>7820.3364263010353</v>
      </c>
      <c r="E350" s="832">
        <v>382</v>
      </c>
      <c r="F350" s="832">
        <v>16</v>
      </c>
      <c r="G350" s="840">
        <f>(360*12)+702</f>
        <v>5022</v>
      </c>
      <c r="H350" s="840">
        <f>(66*12)+66</f>
        <v>858</v>
      </c>
      <c r="I350" s="789">
        <v>8218</v>
      </c>
      <c r="J350" s="516">
        <v>342</v>
      </c>
      <c r="K350" s="835">
        <v>66</v>
      </c>
      <c r="L350" s="790">
        <v>8218</v>
      </c>
      <c r="M350" s="516">
        <v>342</v>
      </c>
      <c r="N350" s="835">
        <v>66</v>
      </c>
      <c r="O350" s="790">
        <v>8218</v>
      </c>
      <c r="P350" s="516">
        <v>342</v>
      </c>
      <c r="Q350" s="835">
        <v>66</v>
      </c>
      <c r="R350" s="790">
        <v>8218</v>
      </c>
      <c r="S350" s="516">
        <v>342</v>
      </c>
      <c r="T350" s="835">
        <v>66</v>
      </c>
      <c r="U350" s="790">
        <v>8218</v>
      </c>
      <c r="V350" s="516">
        <v>342</v>
      </c>
      <c r="W350" s="835">
        <v>66</v>
      </c>
      <c r="X350" s="790">
        <v>8218</v>
      </c>
      <c r="Y350" s="516">
        <v>342</v>
      </c>
      <c r="Z350" s="835">
        <v>66</v>
      </c>
      <c r="AA350" s="790">
        <v>8218</v>
      </c>
      <c r="AB350" s="516">
        <v>342</v>
      </c>
      <c r="AC350" s="835">
        <v>66</v>
      </c>
      <c r="AD350" s="790">
        <v>8218</v>
      </c>
      <c r="AE350" s="516">
        <v>342</v>
      </c>
      <c r="AF350" s="835">
        <v>66</v>
      </c>
      <c r="AG350" s="790">
        <v>8218</v>
      </c>
      <c r="AH350" s="516">
        <v>342</v>
      </c>
      <c r="AI350" s="835">
        <v>66</v>
      </c>
      <c r="AJ350" s="790">
        <v>8218</v>
      </c>
      <c r="AK350" s="516">
        <v>342</v>
      </c>
      <c r="AL350" s="835">
        <v>66</v>
      </c>
      <c r="AM350" s="790">
        <v>8218</v>
      </c>
      <c r="AN350" s="516">
        <v>342</v>
      </c>
      <c r="AO350" s="835">
        <v>66</v>
      </c>
      <c r="AP350" s="790">
        <v>8218</v>
      </c>
      <c r="AQ350" s="516">
        <v>342</v>
      </c>
      <c r="AR350" s="835">
        <v>66</v>
      </c>
      <c r="AS350" s="790">
        <v>8218</v>
      </c>
      <c r="AT350" s="516">
        <v>342</v>
      </c>
      <c r="AU350" s="835">
        <v>66</v>
      </c>
      <c r="AV350" s="790">
        <v>8218</v>
      </c>
      <c r="AW350" s="516">
        <v>342</v>
      </c>
      <c r="AX350" s="835">
        <v>66</v>
      </c>
      <c r="AY350" s="791">
        <f>((8218-7672)/30.5)*5+8218</f>
        <v>8307.5081967213118</v>
      </c>
      <c r="AZ350" s="517">
        <f>((342-702)/30.5)*5+342</f>
        <v>282.98360655737702</v>
      </c>
      <c r="BA350" s="386">
        <v>66</v>
      </c>
      <c r="BB350" s="655">
        <v>7672</v>
      </c>
      <c r="BC350" s="655">
        <v>702</v>
      </c>
      <c r="BD350" s="405">
        <v>66</v>
      </c>
      <c r="BE350" s="655">
        <v>7672</v>
      </c>
      <c r="BF350" s="655">
        <v>702</v>
      </c>
      <c r="BG350" s="405">
        <v>66</v>
      </c>
      <c r="BH350" s="655">
        <v>7672</v>
      </c>
      <c r="BI350" s="655">
        <v>702</v>
      </c>
      <c r="BJ350" s="655">
        <v>66</v>
      </c>
      <c r="BK350" s="655">
        <v>7672</v>
      </c>
      <c r="BL350" s="655">
        <v>702</v>
      </c>
      <c r="BM350" s="655">
        <v>66</v>
      </c>
      <c r="BN350" s="655">
        <v>7672</v>
      </c>
      <c r="BO350" s="655">
        <v>702</v>
      </c>
      <c r="BP350" s="655">
        <v>66</v>
      </c>
      <c r="BQ350" s="655">
        <v>7672</v>
      </c>
      <c r="BR350" s="655">
        <v>702</v>
      </c>
      <c r="BS350" s="655">
        <v>66</v>
      </c>
      <c r="BT350" s="655">
        <v>7672</v>
      </c>
      <c r="BU350" s="655">
        <v>702</v>
      </c>
      <c r="BV350" s="655">
        <v>66</v>
      </c>
      <c r="BW350" s="655">
        <v>7672</v>
      </c>
      <c r="BX350" s="655">
        <v>702</v>
      </c>
      <c r="BY350" s="655">
        <v>66</v>
      </c>
      <c r="BZ350" s="655">
        <v>7672</v>
      </c>
      <c r="CA350" s="655">
        <v>702</v>
      </c>
      <c r="CB350" s="655">
        <v>66</v>
      </c>
      <c r="CC350" s="655">
        <v>7672</v>
      </c>
      <c r="CD350" s="655">
        <v>702</v>
      </c>
      <c r="CE350" s="655">
        <v>66</v>
      </c>
      <c r="CF350" s="655">
        <v>7672</v>
      </c>
      <c r="CG350" s="655">
        <v>702</v>
      </c>
      <c r="CH350" s="655">
        <v>66</v>
      </c>
      <c r="CI350" s="655">
        <v>7672</v>
      </c>
      <c r="CJ350" s="655">
        <v>702</v>
      </c>
      <c r="CK350" s="655">
        <v>66</v>
      </c>
      <c r="CL350" s="517">
        <f>((7672/30.5)*11)+7672+7672</f>
        <v>18110.950819672129</v>
      </c>
      <c r="CM350" s="517">
        <f>((702/30.5)*11)+702+702</f>
        <v>1657.1803278688526</v>
      </c>
      <c r="CN350" s="517">
        <f>((66/30.5)*11)+66+66</f>
        <v>155.80327868852459</v>
      </c>
      <c r="CO350" s="587"/>
      <c r="CP350" s="587"/>
      <c r="CQ350" s="587"/>
      <c r="CR350" s="587"/>
      <c r="CS350" s="587"/>
      <c r="CT350" s="587"/>
      <c r="CU350" s="587"/>
      <c r="CV350" s="587"/>
      <c r="CW350" s="587"/>
      <c r="CX350" s="587"/>
      <c r="CY350" s="587"/>
      <c r="CZ350" s="587"/>
      <c r="DA350" s="587"/>
      <c r="DB350" s="587"/>
      <c r="DC350" s="587"/>
      <c r="DD350" s="587"/>
      <c r="DE350" s="587"/>
      <c r="DF350" s="587"/>
      <c r="DG350" s="587"/>
      <c r="DH350" s="587"/>
      <c r="DI350" s="587"/>
      <c r="DJ350" s="587"/>
      <c r="DK350" s="587"/>
      <c r="DL350" s="587"/>
      <c r="DM350" s="587"/>
      <c r="DN350" s="587"/>
      <c r="DO350" s="587"/>
      <c r="DP350" s="587"/>
      <c r="DQ350" s="587"/>
      <c r="DR350" s="587"/>
      <c r="DS350" s="587"/>
      <c r="DT350" s="587"/>
      <c r="DU350" s="587"/>
      <c r="DV350" s="587"/>
      <c r="DW350" s="587"/>
      <c r="DX350" s="587"/>
      <c r="DY350" s="587"/>
      <c r="DZ350" s="587"/>
      <c r="EA350" s="587"/>
      <c r="EB350" s="587"/>
      <c r="EC350" s="587"/>
      <c r="ED350" s="587"/>
      <c r="EE350" s="587"/>
      <c r="EF350" s="587"/>
      <c r="EG350" s="587"/>
      <c r="EH350" s="587"/>
      <c r="EI350" s="587"/>
      <c r="EJ350" s="587"/>
      <c r="EK350" s="587"/>
      <c r="EL350" s="587"/>
      <c r="EM350" s="587"/>
      <c r="EN350" s="587"/>
      <c r="EO350" s="587"/>
      <c r="EP350" s="587"/>
      <c r="EQ350" s="587"/>
      <c r="ER350" s="587"/>
      <c r="ES350" s="587"/>
      <c r="ET350" s="587"/>
      <c r="EU350" s="587"/>
      <c r="EV350" s="587"/>
      <c r="EW350" s="587"/>
      <c r="EX350" s="587"/>
      <c r="EY350" s="587"/>
      <c r="EZ350" s="587"/>
      <c r="FA350" s="587"/>
      <c r="FB350" s="587"/>
      <c r="FC350" s="587"/>
      <c r="FD350" s="587"/>
      <c r="FE350" s="587"/>
      <c r="FF350" s="587"/>
      <c r="FG350" s="587"/>
      <c r="FH350" s="587"/>
      <c r="FI350" s="587"/>
      <c r="FJ350" s="587"/>
      <c r="FK350" s="587"/>
      <c r="FL350" s="587"/>
      <c r="FM350" s="587"/>
      <c r="FN350" s="587"/>
      <c r="FO350" s="587"/>
      <c r="FP350" s="587"/>
      <c r="FQ350" s="587"/>
      <c r="FR350" s="587"/>
      <c r="FS350" s="587"/>
      <c r="FT350" s="587"/>
      <c r="FU350" s="587"/>
      <c r="FV350" s="587"/>
      <c r="FW350" s="587"/>
      <c r="FX350" s="587"/>
      <c r="FY350" s="587"/>
      <c r="FZ350" s="587"/>
      <c r="GA350" s="587"/>
      <c r="GB350" s="587"/>
      <c r="GC350" s="587"/>
      <c r="GD350" s="587"/>
      <c r="GE350" s="587"/>
      <c r="GF350" s="587"/>
      <c r="GG350" s="587"/>
      <c r="GH350" s="587"/>
      <c r="GI350" s="587"/>
      <c r="GJ350" s="587"/>
      <c r="GK350" s="587"/>
      <c r="GL350" s="587"/>
      <c r="GM350" s="587"/>
      <c r="GN350" s="587"/>
      <c r="GO350" s="587"/>
      <c r="GP350" s="587"/>
      <c r="GQ350" s="587"/>
      <c r="GR350" s="587"/>
      <c r="GS350" s="587"/>
      <c r="GT350" s="587"/>
      <c r="GU350" s="587"/>
      <c r="GV350" s="587"/>
      <c r="GW350" s="587"/>
      <c r="GX350" s="587"/>
      <c r="GY350" s="587"/>
      <c r="GZ350" s="587"/>
      <c r="HA350" s="587"/>
      <c r="HB350" s="587"/>
      <c r="HC350" s="587"/>
      <c r="HD350" s="587"/>
      <c r="HE350" s="587"/>
      <c r="HF350" s="587"/>
      <c r="HG350" s="587"/>
      <c r="HH350" s="587"/>
      <c r="HI350" s="587"/>
      <c r="HJ350" s="587"/>
      <c r="HK350" s="587"/>
      <c r="HL350" s="587"/>
      <c r="HM350" s="587"/>
      <c r="HN350" s="587"/>
      <c r="HO350" s="587"/>
      <c r="HP350" s="587"/>
      <c r="HQ350" s="587"/>
      <c r="HR350" s="587"/>
      <c r="HS350" s="587"/>
      <c r="HT350" s="587"/>
      <c r="HU350" s="587"/>
      <c r="HV350" s="587"/>
      <c r="HW350" s="587"/>
      <c r="HX350" s="587"/>
      <c r="HY350" s="587"/>
      <c r="HZ350" s="587"/>
      <c r="IA350" s="587"/>
      <c r="IB350" s="587"/>
      <c r="IC350" s="587"/>
      <c r="ID350" s="587"/>
      <c r="IE350" s="587"/>
      <c r="IF350" s="587"/>
      <c r="IG350" s="587"/>
      <c r="IH350" s="588"/>
      <c r="II350" s="589"/>
      <c r="IJ350" s="588"/>
      <c r="IK350" s="589"/>
      <c r="IL350" s="588"/>
      <c r="IM350" s="589"/>
      <c r="IN350" s="588"/>
      <c r="IO350" s="589"/>
      <c r="IP350" s="588"/>
      <c r="IQ350" s="589"/>
      <c r="IR350" s="601" t="s">
        <v>2837</v>
      </c>
      <c r="IS350" s="587"/>
      <c r="IT350" s="611">
        <v>45189</v>
      </c>
      <c r="IU350" s="552"/>
      <c r="IV350" s="552"/>
      <c r="IW350" s="552"/>
      <c r="IX350" s="552"/>
      <c r="IY350" s="552"/>
    </row>
    <row r="351" spans="1:259" s="367" customFormat="1" ht="16.5" customHeight="1" x14ac:dyDescent="0.3">
      <c r="A351" s="526" t="s">
        <v>2739</v>
      </c>
      <c r="B351" s="682" t="s">
        <v>3008</v>
      </c>
      <c r="C351" s="378" t="s">
        <v>1701</v>
      </c>
      <c r="D351" s="868">
        <v>2209</v>
      </c>
      <c r="E351" s="868">
        <v>299</v>
      </c>
      <c r="F351" s="868">
        <v>32</v>
      </c>
      <c r="G351" s="868">
        <v>252</v>
      </c>
      <c r="H351" s="792">
        <f>(-66*12)+66</f>
        <v>-726</v>
      </c>
      <c r="I351" s="659">
        <v>2540</v>
      </c>
      <c r="J351" s="655">
        <v>252</v>
      </c>
      <c r="K351" s="827">
        <v>66</v>
      </c>
      <c r="L351" s="655">
        <v>2540</v>
      </c>
      <c r="M351" s="655">
        <v>252</v>
      </c>
      <c r="N351" s="827">
        <v>66</v>
      </c>
      <c r="O351" s="655">
        <v>2540</v>
      </c>
      <c r="P351" s="655">
        <v>252</v>
      </c>
      <c r="Q351" s="827">
        <v>66</v>
      </c>
      <c r="R351" s="655">
        <v>2540</v>
      </c>
      <c r="S351" s="655">
        <v>252</v>
      </c>
      <c r="T351" s="827">
        <v>66</v>
      </c>
      <c r="U351" s="655">
        <v>2540</v>
      </c>
      <c r="V351" s="655">
        <v>252</v>
      </c>
      <c r="W351" s="827">
        <v>66</v>
      </c>
      <c r="X351" s="655">
        <v>2540</v>
      </c>
      <c r="Y351" s="655">
        <v>252</v>
      </c>
      <c r="Z351" s="827">
        <v>66</v>
      </c>
      <c r="AA351" s="655">
        <v>2540</v>
      </c>
      <c r="AB351" s="655">
        <v>252</v>
      </c>
      <c r="AC351" s="827">
        <v>66</v>
      </c>
      <c r="AD351" s="655">
        <v>2540</v>
      </c>
      <c r="AE351" s="655">
        <v>252</v>
      </c>
      <c r="AF351" s="827">
        <v>66</v>
      </c>
      <c r="AG351" s="655">
        <v>2540</v>
      </c>
      <c r="AH351" s="655">
        <v>252</v>
      </c>
      <c r="AI351" s="827">
        <v>66</v>
      </c>
      <c r="AJ351" s="655">
        <v>2540</v>
      </c>
      <c r="AK351" s="655">
        <v>252</v>
      </c>
      <c r="AL351" s="827">
        <v>66</v>
      </c>
      <c r="AM351" s="655">
        <v>2540</v>
      </c>
      <c r="AN351" s="655">
        <v>252</v>
      </c>
      <c r="AO351" s="827">
        <v>66</v>
      </c>
      <c r="AP351" s="655">
        <v>2540</v>
      </c>
      <c r="AQ351" s="655">
        <v>252</v>
      </c>
      <c r="AR351" s="827">
        <v>66</v>
      </c>
      <c r="AS351" s="655">
        <v>2540</v>
      </c>
      <c r="AT351" s="655">
        <v>252</v>
      </c>
      <c r="AU351" s="827">
        <v>66</v>
      </c>
      <c r="AV351" s="655">
        <v>2540</v>
      </c>
      <c r="AW351" s="655">
        <v>252</v>
      </c>
      <c r="AX351" s="827">
        <v>66</v>
      </c>
      <c r="AY351" s="655">
        <v>2540</v>
      </c>
      <c r="AZ351" s="655">
        <v>252</v>
      </c>
      <c r="BA351" s="405">
        <v>66</v>
      </c>
      <c r="BB351" s="655">
        <v>2540</v>
      </c>
      <c r="BC351" s="655">
        <v>252</v>
      </c>
      <c r="BD351" s="405">
        <v>66</v>
      </c>
      <c r="BE351" s="655">
        <v>2540</v>
      </c>
      <c r="BF351" s="655">
        <v>252</v>
      </c>
      <c r="BG351" s="405">
        <v>66</v>
      </c>
      <c r="BH351" s="655">
        <v>2540</v>
      </c>
      <c r="BI351" s="655">
        <v>252</v>
      </c>
      <c r="BJ351" s="655">
        <v>66</v>
      </c>
      <c r="BK351" s="655">
        <v>2540</v>
      </c>
      <c r="BL351" s="655">
        <v>252</v>
      </c>
      <c r="BM351" s="655">
        <v>66</v>
      </c>
      <c r="BN351" s="655">
        <v>2540</v>
      </c>
      <c r="BO351" s="655">
        <v>252</v>
      </c>
      <c r="BP351" s="655">
        <v>66</v>
      </c>
      <c r="BQ351" s="655">
        <v>2540</v>
      </c>
      <c r="BR351" s="655">
        <v>252</v>
      </c>
      <c r="BS351" s="655">
        <v>66</v>
      </c>
      <c r="BT351" s="655">
        <v>2540</v>
      </c>
      <c r="BU351" s="655">
        <v>252</v>
      </c>
      <c r="BV351" s="655">
        <v>66</v>
      </c>
      <c r="BW351" s="655">
        <v>2540</v>
      </c>
      <c r="BX351" s="655">
        <v>252</v>
      </c>
      <c r="BY351" s="655">
        <v>66</v>
      </c>
      <c r="BZ351" s="655">
        <v>2540</v>
      </c>
      <c r="CA351" s="655">
        <v>252</v>
      </c>
      <c r="CB351" s="655">
        <v>66</v>
      </c>
      <c r="CC351" s="517">
        <f>((2540/30.5)*13)+(2540*5)</f>
        <v>13782.622950819672</v>
      </c>
      <c r="CD351" s="517">
        <f>((252/30.5)*13)+(252*5)</f>
        <v>1367.4098360655737</v>
      </c>
      <c r="CE351" s="517">
        <f>((66/30.5)*13)+(66*5)</f>
        <v>358.13114754098359</v>
      </c>
      <c r="CF351" s="587"/>
      <c r="CG351" s="587"/>
      <c r="CH351" s="587"/>
      <c r="CI351" s="587"/>
      <c r="CJ351" s="587"/>
      <c r="CK351" s="587"/>
      <c r="CL351" s="587"/>
      <c r="CM351" s="587"/>
      <c r="CN351" s="587"/>
      <c r="CO351" s="587"/>
      <c r="CP351" s="587"/>
      <c r="CQ351" s="587"/>
      <c r="CR351" s="587"/>
      <c r="CS351" s="587"/>
      <c r="CT351" s="587"/>
      <c r="CU351" s="587"/>
      <c r="CV351" s="587"/>
      <c r="CW351" s="587"/>
      <c r="CX351" s="587"/>
      <c r="CY351" s="587"/>
      <c r="CZ351" s="587"/>
      <c r="DA351" s="587"/>
      <c r="DB351" s="587"/>
      <c r="DC351" s="587"/>
      <c r="DD351" s="587"/>
      <c r="DE351" s="587"/>
      <c r="DF351" s="587"/>
      <c r="DG351" s="587"/>
      <c r="DH351" s="587"/>
      <c r="DI351" s="587"/>
      <c r="DJ351" s="587"/>
      <c r="DK351" s="587"/>
      <c r="DL351" s="587"/>
      <c r="DM351" s="587"/>
      <c r="DN351" s="587"/>
      <c r="DO351" s="587"/>
      <c r="DP351" s="587"/>
      <c r="DQ351" s="587"/>
      <c r="DR351" s="587"/>
      <c r="DS351" s="587"/>
      <c r="DT351" s="587"/>
      <c r="DU351" s="587"/>
      <c r="DV351" s="587"/>
      <c r="DW351" s="587"/>
      <c r="DX351" s="587"/>
      <c r="DY351" s="587"/>
      <c r="DZ351" s="587"/>
      <c r="EA351" s="587"/>
      <c r="EB351" s="587"/>
      <c r="EC351" s="587"/>
      <c r="ED351" s="587"/>
      <c r="EE351" s="587"/>
      <c r="EF351" s="587"/>
      <c r="EG351" s="587"/>
      <c r="EH351" s="587"/>
      <c r="EI351" s="587"/>
      <c r="EJ351" s="587"/>
      <c r="EK351" s="587"/>
      <c r="EL351" s="587"/>
      <c r="EM351" s="587"/>
      <c r="EN351" s="587"/>
      <c r="EO351" s="587"/>
      <c r="EP351" s="587"/>
      <c r="EQ351" s="587"/>
      <c r="ER351" s="587"/>
      <c r="ES351" s="587"/>
      <c r="ET351" s="587"/>
      <c r="EU351" s="587"/>
      <c r="EV351" s="587"/>
      <c r="EW351" s="587"/>
      <c r="EX351" s="587"/>
      <c r="EY351" s="587"/>
      <c r="EZ351" s="587"/>
      <c r="FA351" s="587"/>
      <c r="FB351" s="587"/>
      <c r="FC351" s="587"/>
      <c r="FD351" s="587"/>
      <c r="FE351" s="587"/>
      <c r="FF351" s="587"/>
      <c r="FG351" s="587"/>
      <c r="FH351" s="587"/>
      <c r="FI351" s="587"/>
      <c r="FJ351" s="587"/>
      <c r="FK351" s="587"/>
      <c r="FL351" s="587"/>
      <c r="FM351" s="587"/>
      <c r="FN351" s="587"/>
      <c r="FO351" s="587"/>
      <c r="FP351" s="587"/>
      <c r="FQ351" s="587"/>
      <c r="FR351" s="587"/>
      <c r="FS351" s="587"/>
      <c r="FT351" s="587"/>
      <c r="FU351" s="587"/>
      <c r="FV351" s="587"/>
      <c r="FW351" s="587"/>
      <c r="FX351" s="587"/>
      <c r="FY351" s="587"/>
      <c r="FZ351" s="587"/>
      <c r="GA351" s="587"/>
      <c r="GB351" s="587"/>
      <c r="GC351" s="587"/>
      <c r="GD351" s="587"/>
      <c r="GE351" s="587"/>
      <c r="GF351" s="587"/>
      <c r="GG351" s="587"/>
      <c r="GH351" s="587"/>
      <c r="GI351" s="587"/>
      <c r="GJ351" s="587"/>
      <c r="GK351" s="587"/>
      <c r="GL351" s="587"/>
      <c r="GM351" s="587"/>
      <c r="GN351" s="587"/>
      <c r="GO351" s="587"/>
      <c r="GP351" s="587"/>
      <c r="GQ351" s="587"/>
      <c r="GR351" s="587"/>
      <c r="GS351" s="587"/>
      <c r="GT351" s="587"/>
      <c r="GU351" s="587"/>
      <c r="GV351" s="587"/>
      <c r="GW351" s="587"/>
      <c r="GX351" s="587"/>
      <c r="GY351" s="587"/>
      <c r="GZ351" s="587"/>
      <c r="HA351" s="587"/>
      <c r="HB351" s="587"/>
      <c r="HC351" s="587"/>
      <c r="HD351" s="587"/>
      <c r="HE351" s="587"/>
      <c r="HF351" s="587"/>
      <c r="HG351" s="587"/>
      <c r="HH351" s="587"/>
      <c r="HI351" s="587"/>
      <c r="HJ351" s="587"/>
      <c r="HK351" s="587"/>
      <c r="HL351" s="587"/>
      <c r="HM351" s="587"/>
      <c r="HN351" s="587"/>
      <c r="HO351" s="587"/>
      <c r="HP351" s="587"/>
      <c r="HQ351" s="587"/>
      <c r="HR351" s="587"/>
      <c r="HS351" s="587"/>
      <c r="HT351" s="587"/>
      <c r="HU351" s="587"/>
      <c r="HV351" s="587"/>
      <c r="HW351" s="587"/>
      <c r="HX351" s="587"/>
      <c r="HY351" s="587"/>
      <c r="HZ351" s="587"/>
      <c r="IA351" s="587"/>
      <c r="IB351" s="587"/>
      <c r="IC351" s="587"/>
      <c r="ID351" s="587"/>
      <c r="IE351" s="587"/>
      <c r="IF351" s="587"/>
      <c r="IG351" s="587"/>
      <c r="IH351" s="588"/>
      <c r="II351" s="589"/>
      <c r="IJ351" s="588"/>
      <c r="IK351" s="589"/>
      <c r="IL351" s="588"/>
      <c r="IM351" s="589"/>
      <c r="IN351" s="588"/>
      <c r="IO351" s="589"/>
      <c r="IP351" s="588"/>
      <c r="IQ351" s="589"/>
      <c r="IR351" s="601" t="s">
        <v>3007</v>
      </c>
      <c r="IS351" s="587"/>
      <c r="IT351" s="611">
        <v>45187</v>
      </c>
      <c r="IU351" s="552"/>
      <c r="IV351" s="552"/>
      <c r="IW351" s="552"/>
      <c r="IX351" s="552"/>
      <c r="IY351" s="552"/>
    </row>
    <row r="352" spans="1:259" s="367" customFormat="1" ht="16.5" customHeight="1" x14ac:dyDescent="0.3">
      <c r="A352" s="526" t="s">
        <v>2739</v>
      </c>
      <c r="B352" s="682" t="s">
        <v>3005</v>
      </c>
      <c r="C352" s="696" t="s">
        <v>1723</v>
      </c>
      <c r="D352" s="697">
        <v>2484</v>
      </c>
      <c r="E352" s="681">
        <v>142</v>
      </c>
      <c r="F352" s="681">
        <v>16</v>
      </c>
      <c r="G352" s="681">
        <v>792</v>
      </c>
      <c r="H352" s="698">
        <v>66</v>
      </c>
      <c r="I352" s="664">
        <v>2642</v>
      </c>
      <c r="J352" s="516">
        <v>792</v>
      </c>
      <c r="K352" s="597">
        <v>66</v>
      </c>
      <c r="L352" s="516">
        <v>2642</v>
      </c>
      <c r="M352" s="516">
        <v>792</v>
      </c>
      <c r="N352" s="597">
        <v>66</v>
      </c>
      <c r="O352" s="516">
        <v>2642</v>
      </c>
      <c r="P352" s="516">
        <v>792</v>
      </c>
      <c r="Q352" s="597">
        <v>66</v>
      </c>
      <c r="R352" s="516">
        <v>2642</v>
      </c>
      <c r="S352" s="516">
        <v>792</v>
      </c>
      <c r="T352" s="597">
        <v>66</v>
      </c>
      <c r="U352" s="516">
        <v>2642</v>
      </c>
      <c r="V352" s="516">
        <v>792</v>
      </c>
      <c r="W352" s="597">
        <v>66</v>
      </c>
      <c r="X352" s="516">
        <v>2642</v>
      </c>
      <c r="Y352" s="516">
        <v>792</v>
      </c>
      <c r="Z352" s="597">
        <v>66</v>
      </c>
      <c r="AA352" s="516">
        <v>2642</v>
      </c>
      <c r="AB352" s="516">
        <v>792</v>
      </c>
      <c r="AC352" s="597">
        <v>66</v>
      </c>
      <c r="AD352" s="516">
        <v>2642</v>
      </c>
      <c r="AE352" s="516">
        <v>792</v>
      </c>
      <c r="AF352" s="597">
        <v>66</v>
      </c>
      <c r="AG352" s="516">
        <v>2642</v>
      </c>
      <c r="AH352" s="516">
        <v>792</v>
      </c>
      <c r="AI352" s="597">
        <v>66</v>
      </c>
      <c r="AJ352" s="516">
        <v>2642</v>
      </c>
      <c r="AK352" s="516">
        <v>792</v>
      </c>
      <c r="AL352" s="597">
        <v>66</v>
      </c>
      <c r="AM352" s="516">
        <v>2642</v>
      </c>
      <c r="AN352" s="516">
        <v>792</v>
      </c>
      <c r="AO352" s="597">
        <v>66</v>
      </c>
      <c r="AP352" s="516">
        <v>2642</v>
      </c>
      <c r="AQ352" s="516">
        <v>792</v>
      </c>
      <c r="AR352" s="597">
        <v>66</v>
      </c>
      <c r="AS352" s="517">
        <f>((2642-2581)/30.5)*2+2642</f>
        <v>2646</v>
      </c>
      <c r="AT352" s="517">
        <f>((792-414)/30.5)*2+792</f>
        <v>816.78688524590166</v>
      </c>
      <c r="AU352" s="597">
        <v>66</v>
      </c>
      <c r="AV352" s="655">
        <v>2581</v>
      </c>
      <c r="AW352" s="655">
        <v>414</v>
      </c>
      <c r="AX352" s="597">
        <v>66</v>
      </c>
      <c r="AY352" s="655">
        <v>2581</v>
      </c>
      <c r="AZ352" s="655">
        <v>414</v>
      </c>
      <c r="BA352" s="405">
        <v>66</v>
      </c>
      <c r="BB352" s="655">
        <v>2581</v>
      </c>
      <c r="BC352" s="655">
        <v>414</v>
      </c>
      <c r="BD352" s="405">
        <v>66</v>
      </c>
      <c r="BE352" s="655">
        <v>2581</v>
      </c>
      <c r="BF352" s="655">
        <v>414</v>
      </c>
      <c r="BG352" s="405">
        <v>66</v>
      </c>
      <c r="BH352" s="655">
        <v>2581</v>
      </c>
      <c r="BI352" s="655">
        <v>414</v>
      </c>
      <c r="BJ352" s="655">
        <v>66</v>
      </c>
      <c r="BK352" s="655">
        <v>2581</v>
      </c>
      <c r="BL352" s="655">
        <v>414</v>
      </c>
      <c r="BM352" s="655">
        <v>66</v>
      </c>
      <c r="BN352" s="655">
        <v>2581</v>
      </c>
      <c r="BO352" s="655">
        <v>414</v>
      </c>
      <c r="BP352" s="655">
        <v>66</v>
      </c>
      <c r="BQ352" s="655">
        <v>2581</v>
      </c>
      <c r="BR352" s="655">
        <v>414</v>
      </c>
      <c r="BS352" s="655">
        <v>66</v>
      </c>
      <c r="BT352" s="655">
        <v>2581</v>
      </c>
      <c r="BU352" s="655">
        <v>414</v>
      </c>
      <c r="BV352" s="655">
        <v>66</v>
      </c>
      <c r="BW352" s="655">
        <v>2581</v>
      </c>
      <c r="BX352" s="655">
        <v>414</v>
      </c>
      <c r="BY352" s="655">
        <v>66</v>
      </c>
      <c r="BZ352" s="655">
        <v>2581</v>
      </c>
      <c r="CA352" s="655">
        <v>414</v>
      </c>
      <c r="CB352" s="655">
        <v>66</v>
      </c>
      <c r="CC352" s="517">
        <f>((2581/30.5)*12)+(2581*5)</f>
        <v>13920.475409836066</v>
      </c>
      <c r="CD352" s="517">
        <f>((414/30.5)*12)+(414*5)</f>
        <v>2232.8852459016393</v>
      </c>
      <c r="CE352" s="517">
        <f>((66/30.5)*12)+(66*5)</f>
        <v>355.96721311475409</v>
      </c>
      <c r="CF352" s="587"/>
      <c r="CG352" s="587"/>
      <c r="CH352" s="587"/>
      <c r="CI352" s="587"/>
      <c r="CJ352" s="587"/>
      <c r="CK352" s="587"/>
      <c r="CL352" s="587"/>
      <c r="CM352" s="587"/>
      <c r="CN352" s="587"/>
      <c r="CO352" s="587"/>
      <c r="CP352" s="587"/>
      <c r="CQ352" s="587"/>
      <c r="CR352" s="587"/>
      <c r="CS352" s="587"/>
      <c r="CT352" s="587"/>
      <c r="CU352" s="587"/>
      <c r="CV352" s="587"/>
      <c r="CW352" s="587"/>
      <c r="CX352" s="587"/>
      <c r="CY352" s="587"/>
      <c r="CZ352" s="587"/>
      <c r="DA352" s="587"/>
      <c r="DB352" s="587"/>
      <c r="DC352" s="587"/>
      <c r="DD352" s="587"/>
      <c r="DE352" s="587"/>
      <c r="DF352" s="587"/>
      <c r="DG352" s="587"/>
      <c r="DH352" s="587"/>
      <c r="DI352" s="587"/>
      <c r="DJ352" s="587"/>
      <c r="DK352" s="587"/>
      <c r="DL352" s="587"/>
      <c r="DM352" s="587"/>
      <c r="DN352" s="587"/>
      <c r="DO352" s="587"/>
      <c r="DP352" s="587"/>
      <c r="DQ352" s="587"/>
      <c r="DR352" s="587"/>
      <c r="DS352" s="587"/>
      <c r="DT352" s="587"/>
      <c r="DU352" s="587"/>
      <c r="DV352" s="587"/>
      <c r="DW352" s="587"/>
      <c r="DX352" s="587"/>
      <c r="DY352" s="587"/>
      <c r="DZ352" s="587"/>
      <c r="EA352" s="587"/>
      <c r="EB352" s="587"/>
      <c r="EC352" s="587"/>
      <c r="ED352" s="587"/>
      <c r="EE352" s="587"/>
      <c r="EF352" s="587"/>
      <c r="EG352" s="587"/>
      <c r="EH352" s="587"/>
      <c r="EI352" s="587"/>
      <c r="EJ352" s="587"/>
      <c r="EK352" s="587"/>
      <c r="EL352" s="587"/>
      <c r="EM352" s="587"/>
      <c r="EN352" s="587"/>
      <c r="EO352" s="587"/>
      <c r="EP352" s="587"/>
      <c r="EQ352" s="587"/>
      <c r="ER352" s="587"/>
      <c r="ES352" s="587"/>
      <c r="ET352" s="587"/>
      <c r="EU352" s="587"/>
      <c r="EV352" s="587"/>
      <c r="EW352" s="587"/>
      <c r="EX352" s="587"/>
      <c r="EY352" s="587"/>
      <c r="EZ352" s="587"/>
      <c r="FA352" s="587"/>
      <c r="FB352" s="587"/>
      <c r="FC352" s="587"/>
      <c r="FD352" s="587"/>
      <c r="FE352" s="587"/>
      <c r="FF352" s="587"/>
      <c r="FG352" s="587"/>
      <c r="FH352" s="587"/>
      <c r="FI352" s="587"/>
      <c r="FJ352" s="587"/>
      <c r="FK352" s="587"/>
      <c r="FL352" s="587"/>
      <c r="FM352" s="587"/>
      <c r="FN352" s="587"/>
      <c r="FO352" s="587"/>
      <c r="FP352" s="587"/>
      <c r="FQ352" s="587"/>
      <c r="FR352" s="587"/>
      <c r="FS352" s="587"/>
      <c r="FT352" s="587"/>
      <c r="FU352" s="587"/>
      <c r="FV352" s="587"/>
      <c r="FW352" s="587"/>
      <c r="FX352" s="587"/>
      <c r="FY352" s="587"/>
      <c r="FZ352" s="587"/>
      <c r="GA352" s="587"/>
      <c r="GB352" s="587"/>
      <c r="GC352" s="587"/>
      <c r="GD352" s="587"/>
      <c r="GE352" s="587"/>
      <c r="GF352" s="587"/>
      <c r="GG352" s="587"/>
      <c r="GH352" s="587"/>
      <c r="GI352" s="587"/>
      <c r="GJ352" s="587"/>
      <c r="GK352" s="587"/>
      <c r="GL352" s="587"/>
      <c r="GM352" s="587"/>
      <c r="GN352" s="587"/>
      <c r="GO352" s="587"/>
      <c r="GP352" s="587"/>
      <c r="GQ352" s="587"/>
      <c r="GR352" s="587"/>
      <c r="GS352" s="587"/>
      <c r="GT352" s="587"/>
      <c r="GU352" s="587"/>
      <c r="GV352" s="587"/>
      <c r="GW352" s="587"/>
      <c r="GX352" s="587"/>
      <c r="GY352" s="587"/>
      <c r="GZ352" s="587"/>
      <c r="HA352" s="587"/>
      <c r="HB352" s="587"/>
      <c r="HC352" s="587"/>
      <c r="HD352" s="587"/>
      <c r="HE352" s="587"/>
      <c r="HF352" s="587"/>
      <c r="HG352" s="587"/>
      <c r="HH352" s="587"/>
      <c r="HI352" s="587"/>
      <c r="HJ352" s="587"/>
      <c r="HK352" s="587"/>
      <c r="HL352" s="587"/>
      <c r="HM352" s="587"/>
      <c r="HN352" s="587"/>
      <c r="HO352" s="587"/>
      <c r="HP352" s="587"/>
      <c r="HQ352" s="587"/>
      <c r="HR352" s="587"/>
      <c r="HS352" s="587"/>
      <c r="HT352" s="587"/>
      <c r="HU352" s="587"/>
      <c r="HV352" s="587"/>
      <c r="HW352" s="587"/>
      <c r="HX352" s="587"/>
      <c r="HY352" s="587"/>
      <c r="HZ352" s="587"/>
      <c r="IA352" s="587"/>
      <c r="IB352" s="587"/>
      <c r="IC352" s="587"/>
      <c r="ID352" s="587"/>
      <c r="IE352" s="587"/>
      <c r="IF352" s="587"/>
      <c r="IG352" s="587"/>
      <c r="IH352" s="588"/>
      <c r="II352" s="589"/>
      <c r="IJ352" s="588"/>
      <c r="IK352" s="589"/>
      <c r="IL352" s="588"/>
      <c r="IM352" s="589"/>
      <c r="IN352" s="588"/>
      <c r="IO352" s="589"/>
      <c r="IP352" s="588"/>
      <c r="IQ352" s="589"/>
      <c r="IR352" s="601" t="s">
        <v>3004</v>
      </c>
      <c r="IS352" s="587"/>
      <c r="IT352" s="611">
        <v>45188</v>
      </c>
      <c r="IU352" s="552"/>
      <c r="IV352" s="552"/>
      <c r="IW352" s="552"/>
      <c r="IX352" s="552"/>
      <c r="IY352" s="552"/>
    </row>
    <row r="353" spans="1:259" s="367" customFormat="1" ht="16.5" customHeight="1" x14ac:dyDescent="0.3">
      <c r="A353" s="526" t="s">
        <v>2739</v>
      </c>
      <c r="B353" s="682" t="s">
        <v>2825</v>
      </c>
      <c r="C353" s="661" t="s">
        <v>1708</v>
      </c>
      <c r="D353" s="662">
        <v>2532</v>
      </c>
      <c r="E353" s="516">
        <v>142</v>
      </c>
      <c r="F353" s="516">
        <v>16</v>
      </c>
      <c r="G353" s="516">
        <v>1242</v>
      </c>
      <c r="H353" s="663">
        <v>0</v>
      </c>
      <c r="I353" s="664">
        <v>2690</v>
      </c>
      <c r="J353" s="940">
        <v>1242</v>
      </c>
      <c r="K353" s="827"/>
      <c r="L353" s="517">
        <f>(2690-(13*17))</f>
        <v>2469</v>
      </c>
      <c r="M353" s="941">
        <f>(1242+(540*17))</f>
        <v>10422</v>
      </c>
      <c r="N353" s="827"/>
      <c r="O353" s="516">
        <v>2703</v>
      </c>
      <c r="P353" s="940">
        <v>702</v>
      </c>
      <c r="Q353" s="827"/>
      <c r="R353" s="516">
        <v>2703</v>
      </c>
      <c r="S353" s="940">
        <v>702</v>
      </c>
      <c r="T353" s="827"/>
      <c r="U353" s="516">
        <v>2703</v>
      </c>
      <c r="V353" s="940">
        <v>702</v>
      </c>
      <c r="W353" s="827"/>
      <c r="X353" s="516">
        <v>2703</v>
      </c>
      <c r="Y353" s="940">
        <v>702</v>
      </c>
      <c r="Z353" s="827"/>
      <c r="AA353" s="516">
        <v>2703</v>
      </c>
      <c r="AB353" s="940">
        <v>702</v>
      </c>
      <c r="AC353" s="827"/>
      <c r="AD353" s="516">
        <v>2703</v>
      </c>
      <c r="AE353" s="940">
        <v>702</v>
      </c>
      <c r="AF353" s="827"/>
      <c r="AG353" s="516">
        <v>2703</v>
      </c>
      <c r="AH353" s="940">
        <v>702</v>
      </c>
      <c r="AI353" s="827"/>
      <c r="AJ353" s="516">
        <v>2703</v>
      </c>
      <c r="AK353" s="940">
        <v>702</v>
      </c>
      <c r="AL353" s="827"/>
      <c r="AM353" s="516">
        <v>2703</v>
      </c>
      <c r="AN353" s="940">
        <v>702</v>
      </c>
      <c r="AO353" s="827"/>
      <c r="AP353" s="516">
        <v>2703</v>
      </c>
      <c r="AQ353" s="940">
        <v>702</v>
      </c>
      <c r="AR353" s="827"/>
      <c r="AS353" s="516">
        <v>2703</v>
      </c>
      <c r="AT353" s="940">
        <v>702</v>
      </c>
      <c r="AU353" s="827"/>
      <c r="AV353" s="516">
        <v>2703</v>
      </c>
      <c r="AW353" s="940">
        <v>702</v>
      </c>
      <c r="AX353" s="827"/>
      <c r="AY353" s="516">
        <v>2703</v>
      </c>
      <c r="AZ353" s="940">
        <v>702</v>
      </c>
      <c r="BA353" s="405"/>
      <c r="BB353" s="796">
        <v>2703</v>
      </c>
      <c r="BC353" s="793">
        <v>702</v>
      </c>
      <c r="BD353" s="405"/>
      <c r="BE353" s="796">
        <v>2703</v>
      </c>
      <c r="BF353" s="793">
        <v>702</v>
      </c>
      <c r="BG353" s="405"/>
      <c r="BH353" s="796">
        <v>2703</v>
      </c>
      <c r="BI353" s="793">
        <v>702</v>
      </c>
      <c r="BJ353" s="516"/>
      <c r="BK353" s="794">
        <f>((2703-2581)/30.5)*27+2703</f>
        <v>2811</v>
      </c>
      <c r="BL353" s="795">
        <f>((702-414)/30.5)*27+702</f>
        <v>956.95081967213116</v>
      </c>
      <c r="BM353" s="517"/>
      <c r="BN353" s="794">
        <v>2703</v>
      </c>
      <c r="BO353" s="795">
        <v>702</v>
      </c>
      <c r="BP353" s="517"/>
      <c r="BQ353" s="796">
        <v>2581</v>
      </c>
      <c r="BR353" s="793">
        <v>414</v>
      </c>
      <c r="BS353" s="516">
        <v>66</v>
      </c>
      <c r="BT353" s="796">
        <v>2581</v>
      </c>
      <c r="BU353" s="793">
        <v>414</v>
      </c>
      <c r="BV353" s="516">
        <v>66</v>
      </c>
      <c r="BW353" s="796">
        <v>2581</v>
      </c>
      <c r="BX353" s="793">
        <v>414</v>
      </c>
      <c r="BY353" s="516">
        <v>66</v>
      </c>
      <c r="BZ353" s="796">
        <f>2581*2</f>
        <v>5162</v>
      </c>
      <c r="CA353" s="793">
        <f>414*2</f>
        <v>828</v>
      </c>
      <c r="CB353" s="516">
        <f>66*2</f>
        <v>132</v>
      </c>
      <c r="CC353" s="587"/>
      <c r="CD353" s="587"/>
      <c r="CE353" s="587"/>
      <c r="CF353" s="587"/>
      <c r="CG353" s="587"/>
      <c r="CH353" s="587"/>
      <c r="CI353" s="587"/>
      <c r="CJ353" s="587"/>
      <c r="CK353" s="587"/>
      <c r="CL353" s="587"/>
      <c r="CM353" s="587"/>
      <c r="CN353" s="587"/>
      <c r="CO353" s="587"/>
      <c r="CP353" s="587"/>
      <c r="CQ353" s="587"/>
      <c r="CR353" s="587"/>
      <c r="CS353" s="587"/>
      <c r="CT353" s="587"/>
      <c r="CU353" s="587"/>
      <c r="CV353" s="587"/>
      <c r="CW353" s="587"/>
      <c r="CX353" s="587"/>
      <c r="CY353" s="587"/>
      <c r="CZ353" s="587"/>
      <c r="DA353" s="587"/>
      <c r="DB353" s="587"/>
      <c r="DC353" s="587"/>
      <c r="DD353" s="587"/>
      <c r="DE353" s="587"/>
      <c r="DF353" s="587"/>
      <c r="DG353" s="587"/>
      <c r="DH353" s="587"/>
      <c r="DI353" s="587"/>
      <c r="DJ353" s="587"/>
      <c r="DK353" s="587"/>
      <c r="DL353" s="587"/>
      <c r="DM353" s="587"/>
      <c r="DN353" s="587"/>
      <c r="DO353" s="587"/>
      <c r="DP353" s="587"/>
      <c r="DQ353" s="587"/>
      <c r="DR353" s="587"/>
      <c r="DS353" s="587"/>
      <c r="DT353" s="587"/>
      <c r="DU353" s="587"/>
      <c r="DV353" s="587"/>
      <c r="DW353" s="587"/>
      <c r="DX353" s="587"/>
      <c r="DY353" s="587"/>
      <c r="DZ353" s="587"/>
      <c r="EA353" s="587"/>
      <c r="EB353" s="587"/>
      <c r="EC353" s="587"/>
      <c r="ED353" s="587"/>
      <c r="EE353" s="587"/>
      <c r="EF353" s="587"/>
      <c r="EG353" s="587"/>
      <c r="EH353" s="587"/>
      <c r="EI353" s="587"/>
      <c r="EJ353" s="587"/>
      <c r="EK353" s="587"/>
      <c r="EL353" s="587"/>
      <c r="EM353" s="587"/>
      <c r="EN353" s="587"/>
      <c r="EO353" s="587"/>
      <c r="EP353" s="587"/>
      <c r="EQ353" s="587"/>
      <c r="ER353" s="587"/>
      <c r="ES353" s="587"/>
      <c r="ET353" s="587"/>
      <c r="EU353" s="587"/>
      <c r="EV353" s="587"/>
      <c r="EW353" s="587"/>
      <c r="EX353" s="587"/>
      <c r="EY353" s="587"/>
      <c r="EZ353" s="587"/>
      <c r="FA353" s="587"/>
      <c r="FB353" s="587"/>
      <c r="FC353" s="587"/>
      <c r="FD353" s="587"/>
      <c r="FE353" s="587"/>
      <c r="FF353" s="587"/>
      <c r="FG353" s="587"/>
      <c r="FH353" s="587"/>
      <c r="FI353" s="587"/>
      <c r="FJ353" s="587"/>
      <c r="FK353" s="587"/>
      <c r="FL353" s="587"/>
      <c r="FM353" s="587"/>
      <c r="FN353" s="587"/>
      <c r="FO353" s="587"/>
      <c r="FP353" s="587"/>
      <c r="FQ353" s="587"/>
      <c r="FR353" s="587"/>
      <c r="FS353" s="587"/>
      <c r="FT353" s="587"/>
      <c r="FU353" s="576"/>
      <c r="FV353" s="576"/>
      <c r="FW353" s="576"/>
      <c r="FX353" s="576"/>
      <c r="FY353" s="576"/>
      <c r="FZ353" s="576"/>
      <c r="GA353" s="576"/>
      <c r="GB353" s="576"/>
      <c r="GC353" s="576"/>
      <c r="GD353" s="576"/>
      <c r="GE353" s="576"/>
      <c r="GF353" s="576"/>
      <c r="GG353" s="576"/>
      <c r="GH353" s="576"/>
      <c r="GI353" s="576"/>
      <c r="GJ353" s="576"/>
      <c r="GK353" s="576"/>
      <c r="GL353" s="576"/>
      <c r="GM353" s="576"/>
      <c r="GN353" s="576"/>
      <c r="GO353" s="576"/>
      <c r="GP353" s="576"/>
      <c r="GQ353" s="576"/>
      <c r="GR353" s="576"/>
      <c r="GS353" s="576"/>
      <c r="GT353" s="576"/>
      <c r="GU353" s="576"/>
      <c r="GV353" s="576"/>
      <c r="GW353" s="576"/>
      <c r="GX353" s="576"/>
      <c r="GY353" s="576"/>
      <c r="GZ353" s="576"/>
      <c r="HA353" s="576"/>
      <c r="HB353" s="576"/>
      <c r="HC353" s="576"/>
      <c r="HD353" s="576"/>
      <c r="HE353" s="576"/>
      <c r="HF353" s="576"/>
      <c r="HG353" s="576"/>
      <c r="HH353" s="576"/>
      <c r="HI353" s="576"/>
      <c r="HJ353" s="576"/>
      <c r="HK353" s="576"/>
      <c r="HL353" s="576"/>
      <c r="HM353" s="576"/>
      <c r="HN353" s="576"/>
      <c r="HO353" s="576"/>
      <c r="HP353" s="576"/>
      <c r="HQ353" s="576"/>
      <c r="HR353" s="576"/>
      <c r="HS353" s="576"/>
      <c r="HT353" s="576"/>
      <c r="HU353" s="576"/>
      <c r="HV353" s="576"/>
      <c r="HW353" s="576"/>
      <c r="HX353" s="576"/>
      <c r="HY353" s="576"/>
      <c r="HZ353" s="576"/>
      <c r="IA353" s="576"/>
      <c r="IB353" s="576"/>
      <c r="IC353" s="576"/>
      <c r="ID353" s="576"/>
      <c r="IE353" s="576"/>
      <c r="IF353" s="576"/>
      <c r="IG353" s="576"/>
      <c r="IH353" s="577"/>
      <c r="II353" s="578"/>
      <c r="IJ353" s="577"/>
      <c r="IK353" s="578"/>
      <c r="IL353" s="577"/>
      <c r="IM353" s="578"/>
      <c r="IN353" s="577"/>
      <c r="IO353" s="578"/>
      <c r="IP353" s="577"/>
      <c r="IQ353" s="578"/>
      <c r="IR353" s="682" t="s">
        <v>3512</v>
      </c>
      <c r="IS353" s="587" t="s">
        <v>3511</v>
      </c>
      <c r="IT353" s="611">
        <v>45323</v>
      </c>
      <c r="IU353" s="552"/>
      <c r="IV353" s="552"/>
      <c r="IW353" s="552"/>
      <c r="IX353" s="552"/>
      <c r="IY353" s="552"/>
    </row>
    <row r="354" spans="1:259" s="367" customFormat="1" ht="16.5" customHeight="1" x14ac:dyDescent="0.3">
      <c r="A354" s="526" t="s">
        <v>2739</v>
      </c>
      <c r="B354" s="682" t="s">
        <v>3165</v>
      </c>
      <c r="C354" s="685" t="s">
        <v>1740</v>
      </c>
      <c r="D354" s="686">
        <v>1842</v>
      </c>
      <c r="E354" s="656">
        <v>142</v>
      </c>
      <c r="F354" s="656">
        <v>16</v>
      </c>
      <c r="G354" s="656">
        <v>252</v>
      </c>
      <c r="H354" s="687">
        <v>0</v>
      </c>
      <c r="I354" s="719">
        <v>2000</v>
      </c>
      <c r="J354" s="694">
        <v>252</v>
      </c>
      <c r="K354" s="827"/>
      <c r="L354" s="694">
        <v>2000</v>
      </c>
      <c r="M354" s="694">
        <v>252</v>
      </c>
      <c r="N354" s="827"/>
      <c r="O354" s="694">
        <v>2000</v>
      </c>
      <c r="P354" s="694">
        <v>252</v>
      </c>
      <c r="Q354" s="827"/>
      <c r="R354" s="694">
        <v>2000</v>
      </c>
      <c r="S354" s="694">
        <v>252</v>
      </c>
      <c r="T354" s="827"/>
      <c r="U354" s="694">
        <v>2000</v>
      </c>
      <c r="V354" s="694">
        <v>252</v>
      </c>
      <c r="W354" s="827"/>
      <c r="X354" s="694">
        <v>2000</v>
      </c>
      <c r="Y354" s="694">
        <v>252</v>
      </c>
      <c r="Z354" s="827"/>
      <c r="AA354" s="694">
        <v>2000</v>
      </c>
      <c r="AB354" s="694">
        <v>252</v>
      </c>
      <c r="AC354" s="827"/>
      <c r="AD354" s="694">
        <v>2000</v>
      </c>
      <c r="AE354" s="694">
        <v>252</v>
      </c>
      <c r="AF354" s="827"/>
      <c r="AG354" s="694">
        <v>2000</v>
      </c>
      <c r="AH354" s="694">
        <v>252</v>
      </c>
      <c r="AI354" s="827"/>
      <c r="AJ354" s="694">
        <v>2000</v>
      </c>
      <c r="AK354" s="694">
        <v>252</v>
      </c>
      <c r="AL354" s="827"/>
      <c r="AM354" s="694">
        <v>2000</v>
      </c>
      <c r="AN354" s="694">
        <v>252</v>
      </c>
      <c r="AO354" s="827"/>
      <c r="AP354" s="694">
        <v>2000</v>
      </c>
      <c r="AQ354" s="694">
        <v>252</v>
      </c>
      <c r="AR354" s="827"/>
      <c r="AS354" s="694">
        <v>2000</v>
      </c>
      <c r="AT354" s="694">
        <v>252</v>
      </c>
      <c r="AU354" s="827"/>
      <c r="AV354" s="694">
        <v>2000</v>
      </c>
      <c r="AW354" s="694">
        <v>252</v>
      </c>
      <c r="AX354" s="827"/>
      <c r="AY354" s="694">
        <v>2000</v>
      </c>
      <c r="AZ354" s="694">
        <v>252</v>
      </c>
      <c r="BA354" s="405"/>
      <c r="BB354" s="694">
        <v>2000</v>
      </c>
      <c r="BC354" s="694">
        <v>252</v>
      </c>
      <c r="BD354" s="405"/>
      <c r="BE354" s="694">
        <v>2000</v>
      </c>
      <c r="BF354" s="694">
        <v>252</v>
      </c>
      <c r="BG354" s="405"/>
      <c r="BH354" s="694">
        <v>2000</v>
      </c>
      <c r="BI354" s="694">
        <v>252</v>
      </c>
      <c r="BJ354" s="720"/>
      <c r="BK354" s="694">
        <v>2000</v>
      </c>
      <c r="BL354" s="694">
        <v>252</v>
      </c>
      <c r="BM354" s="720"/>
      <c r="BN354" s="694">
        <v>2000</v>
      </c>
      <c r="BO354" s="694">
        <v>252</v>
      </c>
      <c r="BP354" s="720"/>
      <c r="BQ354" s="694">
        <v>2000</v>
      </c>
      <c r="BR354" s="694">
        <v>252</v>
      </c>
      <c r="BS354" s="720"/>
      <c r="BT354" s="694">
        <v>2000</v>
      </c>
      <c r="BU354" s="694">
        <v>252</v>
      </c>
      <c r="BV354" s="720"/>
      <c r="BW354" s="694">
        <v>2000</v>
      </c>
      <c r="BX354" s="694">
        <v>252</v>
      </c>
      <c r="BY354" s="720"/>
      <c r="BZ354" s="753">
        <f>(((2000/30.5)*4+2000))</f>
        <v>2262.2950819672133</v>
      </c>
      <c r="CA354" s="753">
        <f>(((252/30.5)*4+252))</f>
        <v>285.04918032786884</v>
      </c>
      <c r="CB354" s="722"/>
      <c r="CC354" s="617"/>
      <c r="CD354" s="617"/>
      <c r="CE354" s="617"/>
      <c r="CF354" s="617"/>
      <c r="CG354" s="617"/>
      <c r="CH354" s="617"/>
      <c r="CI354" s="617"/>
      <c r="CJ354" s="617"/>
      <c r="CK354" s="617"/>
      <c r="CL354" s="617"/>
      <c r="CM354" s="617"/>
      <c r="CN354" s="617"/>
      <c r="CO354" s="617"/>
      <c r="CP354" s="617"/>
      <c r="CQ354" s="617"/>
      <c r="CR354" s="617"/>
      <c r="CS354" s="617"/>
      <c r="CT354" s="617"/>
      <c r="CU354" s="617"/>
      <c r="CV354" s="617"/>
      <c r="CW354" s="617"/>
      <c r="CX354" s="617"/>
      <c r="CY354" s="617"/>
      <c r="CZ354" s="617"/>
      <c r="DA354" s="617"/>
      <c r="DB354" s="617"/>
      <c r="DC354" s="617"/>
      <c r="DD354" s="617"/>
      <c r="DE354" s="617"/>
      <c r="DF354" s="617"/>
      <c r="DG354" s="617"/>
      <c r="DH354" s="617"/>
      <c r="DI354" s="617"/>
      <c r="DJ354" s="617"/>
      <c r="DK354" s="617"/>
      <c r="DL354" s="617"/>
      <c r="DM354" s="617"/>
      <c r="DN354" s="617"/>
      <c r="DO354" s="617"/>
      <c r="DP354" s="617"/>
      <c r="DQ354" s="617"/>
      <c r="DR354" s="617"/>
      <c r="DS354" s="617"/>
      <c r="DT354" s="617"/>
      <c r="DU354" s="617"/>
      <c r="DV354" s="617"/>
      <c r="DW354" s="617"/>
      <c r="DX354" s="617"/>
      <c r="DY354" s="617"/>
      <c r="DZ354" s="617"/>
      <c r="EA354" s="617"/>
      <c r="EB354" s="617"/>
      <c r="EC354" s="617"/>
      <c r="ED354" s="617"/>
      <c r="EE354" s="617"/>
      <c r="EF354" s="617"/>
      <c r="EG354" s="617"/>
      <c r="EH354" s="617"/>
      <c r="EI354" s="617"/>
      <c r="EJ354" s="617"/>
      <c r="EK354" s="617"/>
      <c r="EL354" s="617"/>
      <c r="EM354" s="617"/>
      <c r="EN354" s="617"/>
      <c r="EO354" s="617"/>
      <c r="EP354" s="617"/>
      <c r="EQ354" s="617"/>
      <c r="ER354" s="617"/>
      <c r="ES354" s="617"/>
      <c r="ET354" s="617"/>
      <c r="EU354" s="617"/>
      <c r="EV354" s="617"/>
      <c r="EW354" s="617"/>
      <c r="EX354" s="617"/>
      <c r="EY354" s="617"/>
      <c r="EZ354" s="617"/>
      <c r="FA354" s="617"/>
      <c r="FB354" s="617"/>
      <c r="FC354" s="617"/>
      <c r="FD354" s="617"/>
      <c r="FE354" s="617"/>
      <c r="FF354" s="617"/>
      <c r="FG354" s="617"/>
      <c r="FH354" s="617"/>
      <c r="FI354" s="617"/>
      <c r="FJ354" s="617"/>
      <c r="FK354" s="617"/>
      <c r="FL354" s="617"/>
      <c r="FM354" s="617"/>
      <c r="FN354" s="617"/>
      <c r="FO354" s="617"/>
      <c r="FP354" s="617"/>
      <c r="FQ354" s="617"/>
      <c r="FR354" s="617"/>
      <c r="FS354" s="617"/>
      <c r="FT354" s="617"/>
      <c r="FU354" s="576"/>
      <c r="FV354" s="576"/>
      <c r="FW354" s="576"/>
      <c r="FX354" s="576"/>
      <c r="FY354" s="576"/>
      <c r="FZ354" s="576"/>
      <c r="GA354" s="576"/>
      <c r="GB354" s="576"/>
      <c r="GC354" s="576"/>
      <c r="GD354" s="576"/>
      <c r="GE354" s="576"/>
      <c r="GF354" s="576"/>
      <c r="GG354" s="576"/>
      <c r="GH354" s="576"/>
      <c r="GI354" s="576"/>
      <c r="GJ354" s="576"/>
      <c r="GK354" s="576"/>
      <c r="GL354" s="576"/>
      <c r="GM354" s="576"/>
      <c r="GN354" s="576"/>
      <c r="GO354" s="576"/>
      <c r="GP354" s="576"/>
      <c r="GQ354" s="576"/>
      <c r="GR354" s="576"/>
      <c r="GS354" s="576"/>
      <c r="GT354" s="576"/>
      <c r="GU354" s="576"/>
      <c r="GV354" s="576"/>
      <c r="GW354" s="576"/>
      <c r="GX354" s="576"/>
      <c r="GY354" s="576"/>
      <c r="GZ354" s="576"/>
      <c r="HA354" s="576"/>
      <c r="HB354" s="576"/>
      <c r="HC354" s="576"/>
      <c r="HD354" s="576"/>
      <c r="HE354" s="576"/>
      <c r="HF354" s="576"/>
      <c r="HG354" s="576"/>
      <c r="HH354" s="576"/>
      <c r="HI354" s="576"/>
      <c r="HJ354" s="576"/>
      <c r="HK354" s="576"/>
      <c r="HL354" s="576"/>
      <c r="HM354" s="576"/>
      <c r="HN354" s="576"/>
      <c r="HO354" s="576"/>
      <c r="HP354" s="576"/>
      <c r="HQ354" s="576"/>
      <c r="HR354" s="576"/>
      <c r="HS354" s="576"/>
      <c r="HT354" s="576"/>
      <c r="HU354" s="576"/>
      <c r="HV354" s="576"/>
      <c r="HW354" s="576"/>
      <c r="HX354" s="576"/>
      <c r="HY354" s="576"/>
      <c r="HZ354" s="576"/>
      <c r="IA354" s="576"/>
      <c r="IB354" s="576"/>
      <c r="IC354" s="576"/>
      <c r="ID354" s="576"/>
      <c r="IE354" s="576"/>
      <c r="IF354" s="576"/>
      <c r="IG354" s="576"/>
      <c r="IH354" s="577"/>
      <c r="II354" s="578"/>
      <c r="IJ354" s="577"/>
      <c r="IK354" s="578"/>
      <c r="IL354" s="577"/>
      <c r="IM354" s="578"/>
      <c r="IN354" s="577"/>
      <c r="IO354" s="578"/>
      <c r="IP354" s="577"/>
      <c r="IQ354" s="578"/>
      <c r="IR354" s="797" t="s">
        <v>3513</v>
      </c>
      <c r="IS354" s="617" t="s">
        <v>3511</v>
      </c>
      <c r="IT354" s="618">
        <v>45348</v>
      </c>
      <c r="IU354" s="616"/>
      <c r="IV354" s="616"/>
      <c r="IW354" s="616"/>
      <c r="IX354" s="616"/>
      <c r="IY354" s="616"/>
    </row>
    <row r="355" spans="1:259" s="367" customFormat="1" ht="16.5" customHeight="1" x14ac:dyDescent="0.3">
      <c r="A355" s="526" t="s">
        <v>2739</v>
      </c>
      <c r="B355" s="682" t="s">
        <v>2768</v>
      </c>
      <c r="C355" s="378" t="s">
        <v>1716</v>
      </c>
      <c r="D355" s="867">
        <v>1229</v>
      </c>
      <c r="E355" s="868">
        <v>44</v>
      </c>
      <c r="F355" s="868">
        <v>16</v>
      </c>
      <c r="G355" s="868">
        <v>5</v>
      </c>
      <c r="H355" s="792">
        <f>(66*12)+66</f>
        <v>858</v>
      </c>
      <c r="I355" s="659">
        <f>1289</f>
        <v>1289</v>
      </c>
      <c r="J355" s="655">
        <f>5</f>
        <v>5</v>
      </c>
      <c r="K355" s="839"/>
      <c r="L355" s="655">
        <f>1289</f>
        <v>1289</v>
      </c>
      <c r="M355" s="655">
        <f>5</f>
        <v>5</v>
      </c>
      <c r="N355" s="839"/>
      <c r="O355" s="655">
        <f>1289</f>
        <v>1289</v>
      </c>
      <c r="P355" s="655">
        <f>5</f>
        <v>5</v>
      </c>
      <c r="Q355" s="839"/>
      <c r="R355" s="655">
        <f>1289</f>
        <v>1289</v>
      </c>
      <c r="S355" s="655">
        <f>5</f>
        <v>5</v>
      </c>
      <c r="T355" s="839"/>
      <c r="U355" s="655">
        <f>1289</f>
        <v>1289</v>
      </c>
      <c r="V355" s="655">
        <f>5</f>
        <v>5</v>
      </c>
      <c r="W355" s="839"/>
      <c r="X355" s="655">
        <f>1289</f>
        <v>1289</v>
      </c>
      <c r="Y355" s="655">
        <f>5</f>
        <v>5</v>
      </c>
      <c r="Z355" s="839"/>
      <c r="AA355" s="655">
        <f>1289</f>
        <v>1289</v>
      </c>
      <c r="AB355" s="655">
        <f>5</f>
        <v>5</v>
      </c>
      <c r="AC355" s="839"/>
      <c r="AD355" s="655">
        <f>1289</f>
        <v>1289</v>
      </c>
      <c r="AE355" s="655">
        <f>5</f>
        <v>5</v>
      </c>
      <c r="AF355" s="839"/>
      <c r="AG355" s="655">
        <f>1289</f>
        <v>1289</v>
      </c>
      <c r="AH355" s="655">
        <f>5</f>
        <v>5</v>
      </c>
      <c r="AI355" s="839"/>
      <c r="AJ355" s="655">
        <f>1289</f>
        <v>1289</v>
      </c>
      <c r="AK355" s="655">
        <f>5</f>
        <v>5</v>
      </c>
      <c r="AL355" s="839"/>
      <c r="AM355" s="655">
        <f>1289</f>
        <v>1289</v>
      </c>
      <c r="AN355" s="655">
        <f>5</f>
        <v>5</v>
      </c>
      <c r="AO355" s="839"/>
      <c r="AP355" s="655">
        <f>1289</f>
        <v>1289</v>
      </c>
      <c r="AQ355" s="655">
        <f>5</f>
        <v>5</v>
      </c>
      <c r="AR355" s="839"/>
      <c r="AS355" s="655">
        <f>1289</f>
        <v>1289</v>
      </c>
      <c r="AT355" s="655">
        <f>5</f>
        <v>5</v>
      </c>
      <c r="AU355" s="839"/>
      <c r="AV355" s="655">
        <f>1289</f>
        <v>1289</v>
      </c>
      <c r="AW355" s="655">
        <f>5</f>
        <v>5</v>
      </c>
      <c r="AX355" s="839"/>
      <c r="AY355" s="655">
        <f>1289</f>
        <v>1289</v>
      </c>
      <c r="AZ355" s="655">
        <f>5</f>
        <v>5</v>
      </c>
      <c r="BA355" s="775"/>
      <c r="BB355" s="655">
        <f>1289</f>
        <v>1289</v>
      </c>
      <c r="BC355" s="655">
        <f>5</f>
        <v>5</v>
      </c>
      <c r="BD355" s="775"/>
      <c r="BE355" s="655">
        <f>1289</f>
        <v>1289</v>
      </c>
      <c r="BF355" s="655">
        <f>5</f>
        <v>5</v>
      </c>
      <c r="BG355" s="775"/>
      <c r="BH355" s="655">
        <f>1289</f>
        <v>1289</v>
      </c>
      <c r="BI355" s="694">
        <f>5</f>
        <v>5</v>
      </c>
      <c r="BJ355" s="720"/>
      <c r="BK355" s="694">
        <f>1289</f>
        <v>1289</v>
      </c>
      <c r="BL355" s="694">
        <f>5</f>
        <v>5</v>
      </c>
      <c r="BM355" s="720"/>
      <c r="BN355" s="694">
        <f>1289</f>
        <v>1289</v>
      </c>
      <c r="BO355" s="694">
        <f>5</f>
        <v>5</v>
      </c>
      <c r="BP355" s="720"/>
      <c r="BQ355" s="694">
        <f>1289</f>
        <v>1289</v>
      </c>
      <c r="BR355" s="694">
        <f>5</f>
        <v>5</v>
      </c>
      <c r="BS355" s="720"/>
      <c r="BT355" s="753">
        <f>(1289/30.5)*8+1289</f>
        <v>1627.0983606557377</v>
      </c>
      <c r="BU355" s="753">
        <f>(5/30.5)*8+5</f>
        <v>6.3114754098360653</v>
      </c>
      <c r="BV355" s="722"/>
      <c r="BW355" s="617"/>
      <c r="BX355" s="617"/>
      <c r="BY355" s="617"/>
      <c r="BZ355" s="617"/>
      <c r="CA355" s="617"/>
      <c r="CB355" s="617"/>
      <c r="CC355" s="617"/>
      <c r="CD355" s="617"/>
      <c r="CE355" s="617"/>
      <c r="CF355" s="617"/>
      <c r="CG355" s="617"/>
      <c r="CH355" s="617"/>
      <c r="CI355" s="617"/>
      <c r="CJ355" s="617"/>
      <c r="CK355" s="617"/>
      <c r="CL355" s="617"/>
      <c r="CM355" s="617"/>
      <c r="CN355" s="617"/>
      <c r="CO355" s="617"/>
      <c r="CP355" s="617"/>
      <c r="CQ355" s="617"/>
      <c r="CR355" s="617"/>
      <c r="CS355" s="617"/>
      <c r="CT355" s="617"/>
      <c r="CU355" s="617"/>
      <c r="CV355" s="617"/>
      <c r="CW355" s="617"/>
      <c r="CX355" s="617"/>
      <c r="CY355" s="617"/>
      <c r="CZ355" s="617"/>
      <c r="DA355" s="617"/>
      <c r="DB355" s="617"/>
      <c r="DC355" s="617"/>
      <c r="DD355" s="617"/>
      <c r="DE355" s="617"/>
      <c r="DF355" s="617"/>
      <c r="DG355" s="617"/>
      <c r="DH355" s="617"/>
      <c r="DI355" s="617"/>
      <c r="DJ355" s="617"/>
      <c r="DK355" s="617"/>
      <c r="DL355" s="617"/>
      <c r="DM355" s="617"/>
      <c r="DN355" s="617"/>
      <c r="DO355" s="617"/>
      <c r="DP355" s="617"/>
      <c r="DQ355" s="617"/>
      <c r="DR355" s="617"/>
      <c r="DS355" s="617"/>
      <c r="DT355" s="617"/>
      <c r="DU355" s="617"/>
      <c r="DV355" s="617"/>
      <c r="DW355" s="617"/>
      <c r="DX355" s="617"/>
      <c r="DY355" s="617"/>
      <c r="DZ355" s="617"/>
      <c r="EA355" s="617"/>
      <c r="EB355" s="617"/>
      <c r="EC355" s="617"/>
      <c r="ED355" s="617"/>
      <c r="EE355" s="617"/>
      <c r="EF355" s="617"/>
      <c r="EG355" s="617"/>
      <c r="EH355" s="617"/>
      <c r="EI355" s="617"/>
      <c r="EJ355" s="617"/>
      <c r="EK355" s="617"/>
      <c r="EL355" s="617"/>
      <c r="EM355" s="617"/>
      <c r="EN355" s="617"/>
      <c r="EO355" s="617"/>
      <c r="EP355" s="617"/>
      <c r="EQ355" s="617"/>
      <c r="ER355" s="617"/>
      <c r="ES355" s="617"/>
      <c r="ET355" s="617"/>
      <c r="EU355" s="617"/>
      <c r="EV355" s="617"/>
      <c r="EW355" s="617"/>
      <c r="EX355" s="617"/>
      <c r="EY355" s="617"/>
      <c r="EZ355" s="617"/>
      <c r="FA355" s="617"/>
      <c r="FB355" s="617"/>
      <c r="FC355" s="617"/>
      <c r="FD355" s="617"/>
      <c r="FE355" s="617"/>
      <c r="FF355" s="617"/>
      <c r="FG355" s="617"/>
      <c r="FH355" s="617"/>
      <c r="FI355" s="617"/>
      <c r="FJ355" s="617"/>
      <c r="FK355" s="617"/>
      <c r="FL355" s="617"/>
      <c r="FM355" s="617"/>
      <c r="FN355" s="617"/>
      <c r="FO355" s="617"/>
      <c r="FP355" s="617"/>
      <c r="FQ355" s="617"/>
      <c r="FR355" s="617"/>
      <c r="FS355" s="617"/>
      <c r="FT355" s="617"/>
      <c r="FU355" s="587"/>
      <c r="FV355" s="587"/>
      <c r="FW355" s="587"/>
      <c r="FX355" s="587"/>
      <c r="FY355" s="587"/>
      <c r="FZ355" s="587"/>
      <c r="GA355" s="587"/>
      <c r="GB355" s="587"/>
      <c r="GC355" s="587"/>
      <c r="GD355" s="587"/>
      <c r="GE355" s="587"/>
      <c r="GF355" s="587"/>
      <c r="GG355" s="587"/>
      <c r="GH355" s="587"/>
      <c r="GI355" s="587"/>
      <c r="GJ355" s="587"/>
      <c r="GK355" s="587"/>
      <c r="GL355" s="587"/>
      <c r="GM355" s="587"/>
      <c r="GN355" s="587"/>
      <c r="GO355" s="587"/>
      <c r="GP355" s="587"/>
      <c r="GQ355" s="587"/>
      <c r="GR355" s="587"/>
      <c r="GS355" s="587"/>
      <c r="GT355" s="587"/>
      <c r="GU355" s="587"/>
      <c r="GV355" s="587"/>
      <c r="GW355" s="587"/>
      <c r="GX355" s="587"/>
      <c r="GY355" s="587"/>
      <c r="GZ355" s="587"/>
      <c r="HA355" s="587"/>
      <c r="HB355" s="587"/>
      <c r="HC355" s="587"/>
      <c r="HD355" s="587"/>
      <c r="HE355" s="587"/>
      <c r="HF355" s="587"/>
      <c r="HG355" s="587"/>
      <c r="HH355" s="587"/>
      <c r="HI355" s="587"/>
      <c r="HJ355" s="587"/>
      <c r="HK355" s="587"/>
      <c r="HL355" s="587"/>
      <c r="HM355" s="587"/>
      <c r="HN355" s="587"/>
      <c r="HO355" s="587"/>
      <c r="HP355" s="587"/>
      <c r="HQ355" s="587"/>
      <c r="HR355" s="587"/>
      <c r="HS355" s="587"/>
      <c r="HT355" s="587"/>
      <c r="HU355" s="587"/>
      <c r="HV355" s="587"/>
      <c r="HW355" s="587"/>
      <c r="HX355" s="587"/>
      <c r="HY355" s="587"/>
      <c r="HZ355" s="587"/>
      <c r="IA355" s="587"/>
      <c r="IB355" s="587"/>
      <c r="IC355" s="587"/>
      <c r="ID355" s="587"/>
      <c r="IE355" s="587"/>
      <c r="IF355" s="587"/>
      <c r="IG355" s="587"/>
      <c r="IH355" s="588"/>
      <c r="II355" s="589"/>
      <c r="IJ355" s="588"/>
      <c r="IK355" s="589"/>
      <c r="IL355" s="588"/>
      <c r="IM355" s="589"/>
      <c r="IN355" s="588"/>
      <c r="IO355" s="589"/>
      <c r="IP355" s="588"/>
      <c r="IQ355" s="589"/>
      <c r="IR355" s="559" t="s">
        <v>2923</v>
      </c>
      <c r="IS355" s="617" t="s">
        <v>3511</v>
      </c>
      <c r="IT355" s="618">
        <v>45405</v>
      </c>
      <c r="IU355" s="616"/>
      <c r="IV355" s="616"/>
      <c r="IW355" s="616"/>
      <c r="IX355" s="616"/>
      <c r="IY355" s="616"/>
    </row>
    <row r="356" spans="1:259" s="367" customFormat="1" ht="16.5" customHeight="1" x14ac:dyDescent="0.3">
      <c r="A356" s="526" t="s">
        <v>2739</v>
      </c>
      <c r="B356" s="682" t="s">
        <v>2791</v>
      </c>
      <c r="C356" s="696" t="s">
        <v>1764</v>
      </c>
      <c r="D356" s="697">
        <v>1454</v>
      </c>
      <c r="E356" s="681">
        <v>54</v>
      </c>
      <c r="F356" s="681">
        <v>0</v>
      </c>
      <c r="G356" s="681">
        <v>36</v>
      </c>
      <c r="H356" s="698">
        <v>0</v>
      </c>
      <c r="I356" s="664">
        <v>1508</v>
      </c>
      <c r="J356" s="516">
        <v>36</v>
      </c>
      <c r="K356" s="839"/>
      <c r="L356" s="516">
        <v>1508</v>
      </c>
      <c r="M356" s="516">
        <v>36</v>
      </c>
      <c r="N356" s="839"/>
      <c r="O356" s="516">
        <v>1508</v>
      </c>
      <c r="P356" s="516">
        <v>36</v>
      </c>
      <c r="Q356" s="839"/>
      <c r="R356" s="516">
        <v>1508</v>
      </c>
      <c r="S356" s="516">
        <v>36</v>
      </c>
      <c r="T356" s="839"/>
      <c r="U356" s="516">
        <v>1508</v>
      </c>
      <c r="V356" s="516">
        <v>36</v>
      </c>
      <c r="W356" s="839"/>
      <c r="X356" s="516">
        <v>1508</v>
      </c>
      <c r="Y356" s="516">
        <v>36</v>
      </c>
      <c r="Z356" s="839"/>
      <c r="AA356" s="516">
        <v>1508</v>
      </c>
      <c r="AB356" s="516">
        <v>36</v>
      </c>
      <c r="AC356" s="839"/>
      <c r="AD356" s="516">
        <v>1508</v>
      </c>
      <c r="AE356" s="516">
        <v>36</v>
      </c>
      <c r="AF356" s="839"/>
      <c r="AG356" s="516">
        <v>1508</v>
      </c>
      <c r="AH356" s="516">
        <v>36</v>
      </c>
      <c r="AI356" s="839"/>
      <c r="AJ356" s="516">
        <v>1508</v>
      </c>
      <c r="AK356" s="516">
        <v>36</v>
      </c>
      <c r="AL356" s="839"/>
      <c r="AM356" s="516">
        <v>1508</v>
      </c>
      <c r="AN356" s="516">
        <v>36</v>
      </c>
      <c r="AO356" s="839"/>
      <c r="AP356" s="516">
        <v>1508</v>
      </c>
      <c r="AQ356" s="516">
        <v>36</v>
      </c>
      <c r="AR356" s="839"/>
      <c r="AS356" s="516">
        <v>1508</v>
      </c>
      <c r="AT356" s="516">
        <v>36</v>
      </c>
      <c r="AU356" s="839"/>
      <c r="AV356" s="516">
        <v>1508</v>
      </c>
      <c r="AW356" s="516">
        <v>36</v>
      </c>
      <c r="AX356" s="839"/>
      <c r="AY356" s="516">
        <v>1508</v>
      </c>
      <c r="AZ356" s="516">
        <v>36</v>
      </c>
      <c r="BA356" s="775"/>
      <c r="BB356" s="516">
        <v>1508</v>
      </c>
      <c r="BC356" s="516">
        <v>36</v>
      </c>
      <c r="BD356" s="775"/>
      <c r="BE356" s="516">
        <v>1508</v>
      </c>
      <c r="BF356" s="516">
        <v>36</v>
      </c>
      <c r="BG356" s="775"/>
      <c r="BH356" s="516">
        <v>1508</v>
      </c>
      <c r="BI356" s="656">
        <v>36</v>
      </c>
      <c r="BJ356" s="617"/>
      <c r="BK356" s="656">
        <v>1508</v>
      </c>
      <c r="BL356" s="656">
        <v>36</v>
      </c>
      <c r="BM356" s="617"/>
      <c r="BN356" s="656">
        <v>1508</v>
      </c>
      <c r="BO356" s="656">
        <v>36</v>
      </c>
      <c r="BP356" s="617"/>
      <c r="BQ356" s="753">
        <f>(1508/30.5)*19+1508</f>
        <v>2447.4098360655739</v>
      </c>
      <c r="BR356" s="753">
        <f>(36/30.5)*19+36</f>
        <v>58.42622950819672</v>
      </c>
      <c r="BS356" s="722"/>
      <c r="BT356" s="617"/>
      <c r="BU356" s="617"/>
      <c r="BV356" s="617"/>
      <c r="BW356" s="617"/>
      <c r="BX356" s="617"/>
      <c r="BY356" s="617"/>
      <c r="BZ356" s="617"/>
      <c r="CA356" s="617"/>
      <c r="CB356" s="617"/>
      <c r="CC356" s="617"/>
      <c r="CD356" s="617"/>
      <c r="CE356" s="617"/>
      <c r="CF356" s="617"/>
      <c r="CG356" s="617"/>
      <c r="CH356" s="617"/>
      <c r="CI356" s="617"/>
      <c r="CJ356" s="617"/>
      <c r="CK356" s="617"/>
      <c r="CL356" s="617"/>
      <c r="CM356" s="617"/>
      <c r="CN356" s="617"/>
      <c r="CO356" s="617"/>
      <c r="CP356" s="617"/>
      <c r="CQ356" s="617"/>
      <c r="CR356" s="617"/>
      <c r="CS356" s="617"/>
      <c r="CT356" s="617"/>
      <c r="CU356" s="617"/>
      <c r="CV356" s="617"/>
      <c r="CW356" s="617"/>
      <c r="CX356" s="617"/>
      <c r="CY356" s="617"/>
      <c r="CZ356" s="617"/>
      <c r="DA356" s="617"/>
      <c r="DB356" s="617"/>
      <c r="DC356" s="617"/>
      <c r="DD356" s="617"/>
      <c r="DE356" s="617"/>
      <c r="DF356" s="617"/>
      <c r="DG356" s="617"/>
      <c r="DH356" s="617"/>
      <c r="DI356" s="617"/>
      <c r="DJ356" s="617"/>
      <c r="DK356" s="617"/>
      <c r="DL356" s="617"/>
      <c r="DM356" s="617"/>
      <c r="DN356" s="617"/>
      <c r="DO356" s="617"/>
      <c r="DP356" s="617"/>
      <c r="DQ356" s="617"/>
      <c r="DR356" s="617"/>
      <c r="DS356" s="617"/>
      <c r="DT356" s="617"/>
      <c r="DU356" s="617"/>
      <c r="DV356" s="617"/>
      <c r="DW356" s="617"/>
      <c r="DX356" s="617"/>
      <c r="DY356" s="617"/>
      <c r="DZ356" s="617"/>
      <c r="EA356" s="617"/>
      <c r="EB356" s="617"/>
      <c r="EC356" s="617"/>
      <c r="ED356" s="617"/>
      <c r="EE356" s="617"/>
      <c r="EF356" s="617"/>
      <c r="EG356" s="617"/>
      <c r="EH356" s="617"/>
      <c r="EI356" s="617"/>
      <c r="EJ356" s="617"/>
      <c r="EK356" s="617"/>
      <c r="EL356" s="617"/>
      <c r="EM356" s="617"/>
      <c r="EN356" s="617"/>
      <c r="EO356" s="617"/>
      <c r="EP356" s="617"/>
      <c r="EQ356" s="617"/>
      <c r="ER356" s="617"/>
      <c r="ES356" s="617"/>
      <c r="ET356" s="617"/>
      <c r="EU356" s="617"/>
      <c r="EV356" s="617"/>
      <c r="EW356" s="617"/>
      <c r="EX356" s="617"/>
      <c r="EY356" s="617"/>
      <c r="EZ356" s="617"/>
      <c r="FA356" s="617"/>
      <c r="FB356" s="617"/>
      <c r="FC356" s="617"/>
      <c r="FD356" s="617"/>
      <c r="FE356" s="617"/>
      <c r="FF356" s="617"/>
      <c r="FG356" s="617"/>
      <c r="FH356" s="617"/>
      <c r="FI356" s="617"/>
      <c r="FJ356" s="617"/>
      <c r="FK356" s="617"/>
      <c r="FL356" s="617"/>
      <c r="FM356" s="617"/>
      <c r="FN356" s="617"/>
      <c r="FO356" s="617"/>
      <c r="FP356" s="617"/>
      <c r="FQ356" s="617"/>
      <c r="FR356" s="617"/>
      <c r="FS356" s="617"/>
      <c r="FT356" s="617"/>
      <c r="FU356" s="576"/>
      <c r="FV356" s="576"/>
      <c r="FW356" s="576"/>
      <c r="FX356" s="576"/>
      <c r="FY356" s="576"/>
      <c r="FZ356" s="576"/>
      <c r="GA356" s="576"/>
      <c r="GB356" s="576"/>
      <c r="GC356" s="576"/>
      <c r="GD356" s="576"/>
      <c r="GE356" s="576"/>
      <c r="GF356" s="576"/>
      <c r="GG356" s="576"/>
      <c r="GH356" s="576"/>
      <c r="GI356" s="576"/>
      <c r="GJ356" s="576"/>
      <c r="GK356" s="576"/>
      <c r="GL356" s="576"/>
      <c r="GM356" s="576"/>
      <c r="GN356" s="576"/>
      <c r="GO356" s="576"/>
      <c r="GP356" s="576"/>
      <c r="GQ356" s="576"/>
      <c r="GR356" s="576"/>
      <c r="GS356" s="576"/>
      <c r="GT356" s="576"/>
      <c r="GU356" s="576"/>
      <c r="GV356" s="576"/>
      <c r="GW356" s="576"/>
      <c r="GX356" s="576"/>
      <c r="GY356" s="576"/>
      <c r="GZ356" s="576"/>
      <c r="HA356" s="576"/>
      <c r="HB356" s="576"/>
      <c r="HC356" s="576"/>
      <c r="HD356" s="576"/>
      <c r="HE356" s="576"/>
      <c r="HF356" s="576"/>
      <c r="HG356" s="576"/>
      <c r="HH356" s="576"/>
      <c r="HI356" s="576"/>
      <c r="HJ356" s="576"/>
      <c r="HK356" s="576"/>
      <c r="HL356" s="576"/>
      <c r="HM356" s="576"/>
      <c r="HN356" s="576"/>
      <c r="HO356" s="576"/>
      <c r="HP356" s="576"/>
      <c r="HQ356" s="576"/>
      <c r="HR356" s="576"/>
      <c r="HS356" s="576"/>
      <c r="HT356" s="576"/>
      <c r="HU356" s="576"/>
      <c r="HV356" s="576"/>
      <c r="HW356" s="576"/>
      <c r="HX356" s="576"/>
      <c r="HY356" s="576"/>
      <c r="HZ356" s="576"/>
      <c r="IA356" s="576"/>
      <c r="IB356" s="576"/>
      <c r="IC356" s="576"/>
      <c r="ID356" s="576"/>
      <c r="IE356" s="576"/>
      <c r="IF356" s="576"/>
      <c r="IG356" s="576"/>
      <c r="IH356" s="577"/>
      <c r="II356" s="578"/>
      <c r="IJ356" s="577"/>
      <c r="IK356" s="578"/>
      <c r="IL356" s="577"/>
      <c r="IM356" s="578"/>
      <c r="IN356" s="577"/>
      <c r="IO356" s="578"/>
      <c r="IP356" s="577"/>
      <c r="IQ356" s="578"/>
      <c r="IR356" s="798" t="s">
        <v>3104</v>
      </c>
      <c r="IS356" s="617" t="s">
        <v>3511</v>
      </c>
      <c r="IT356" s="618">
        <v>45425</v>
      </c>
      <c r="IU356" s="616"/>
      <c r="IV356" s="616"/>
      <c r="IW356" s="552"/>
      <c r="IX356" s="552"/>
      <c r="IY356" s="552"/>
    </row>
    <row r="357" spans="1:259" s="367" customFormat="1" ht="16.5" customHeight="1" x14ac:dyDescent="0.3">
      <c r="A357" s="526" t="s">
        <v>2739</v>
      </c>
      <c r="B357" s="682" t="s">
        <v>2751</v>
      </c>
      <c r="C357" s="661" t="s">
        <v>1798</v>
      </c>
      <c r="D357" s="662">
        <v>818</v>
      </c>
      <c r="E357" s="516">
        <v>42</v>
      </c>
      <c r="F357" s="516">
        <v>0</v>
      </c>
      <c r="G357" s="516">
        <v>5</v>
      </c>
      <c r="H357" s="663">
        <v>36</v>
      </c>
      <c r="I357" s="664">
        <v>860</v>
      </c>
      <c r="J357" s="516">
        <v>5</v>
      </c>
      <c r="K357" s="516">
        <v>36</v>
      </c>
      <c r="L357" s="516">
        <v>860</v>
      </c>
      <c r="M357" s="516">
        <v>5</v>
      </c>
      <c r="N357" s="516">
        <v>36</v>
      </c>
      <c r="O357" s="516">
        <v>860</v>
      </c>
      <c r="P357" s="516">
        <v>5</v>
      </c>
      <c r="Q357" s="516">
        <v>36</v>
      </c>
      <c r="R357" s="516">
        <v>860</v>
      </c>
      <c r="S357" s="516">
        <v>5</v>
      </c>
      <c r="T357" s="516">
        <v>36</v>
      </c>
      <c r="U357" s="516">
        <v>860</v>
      </c>
      <c r="V357" s="516">
        <v>5</v>
      </c>
      <c r="W357" s="516">
        <v>36</v>
      </c>
      <c r="X357" s="516">
        <v>860</v>
      </c>
      <c r="Y357" s="516">
        <v>5</v>
      </c>
      <c r="Z357" s="516">
        <v>36</v>
      </c>
      <c r="AA357" s="516">
        <v>860</v>
      </c>
      <c r="AB357" s="516">
        <v>5</v>
      </c>
      <c r="AC357" s="516">
        <v>36</v>
      </c>
      <c r="AD357" s="516">
        <v>860</v>
      </c>
      <c r="AE357" s="516">
        <v>5</v>
      </c>
      <c r="AF357" s="516">
        <v>36</v>
      </c>
      <c r="AG357" s="516">
        <v>860</v>
      </c>
      <c r="AH357" s="516">
        <v>5</v>
      </c>
      <c r="AI357" s="516">
        <v>36</v>
      </c>
      <c r="AJ357" s="516">
        <v>860</v>
      </c>
      <c r="AK357" s="516">
        <v>5</v>
      </c>
      <c r="AL357" s="516">
        <v>36</v>
      </c>
      <c r="AM357" s="516">
        <v>860</v>
      </c>
      <c r="AN357" s="516">
        <v>5</v>
      </c>
      <c r="AO357" s="516">
        <v>36</v>
      </c>
      <c r="AP357" s="516">
        <v>860</v>
      </c>
      <c r="AQ357" s="516">
        <v>5</v>
      </c>
      <c r="AR357" s="516">
        <v>36</v>
      </c>
      <c r="AS357" s="516">
        <v>860</v>
      </c>
      <c r="AT357" s="516">
        <v>5</v>
      </c>
      <c r="AU357" s="516">
        <v>36</v>
      </c>
      <c r="AV357" s="516">
        <v>860</v>
      </c>
      <c r="AW357" s="516">
        <v>5</v>
      </c>
      <c r="AX357" s="516">
        <v>36</v>
      </c>
      <c r="AY357" s="516">
        <v>860</v>
      </c>
      <c r="AZ357" s="516">
        <v>5</v>
      </c>
      <c r="BA357" s="796">
        <v>36</v>
      </c>
      <c r="BB357" s="796">
        <v>860</v>
      </c>
      <c r="BC357" s="796">
        <v>5</v>
      </c>
      <c r="BD357" s="796">
        <v>36</v>
      </c>
      <c r="BE357" s="794">
        <f>((860/30.5)*12+860)</f>
        <v>1198.360655737705</v>
      </c>
      <c r="BF357" s="794">
        <f>((5/30.5)*12+5)</f>
        <v>6.9672131147540988</v>
      </c>
      <c r="BG357" s="794">
        <f>((36/30.5)*12+36)</f>
        <v>50.16393442622951</v>
      </c>
      <c r="BH357" s="587"/>
      <c r="BI357" s="587"/>
      <c r="BJ357" s="587"/>
      <c r="BK357" s="587"/>
      <c r="BL357" s="587"/>
      <c r="BM357" s="587"/>
      <c r="BN357" s="587"/>
      <c r="BO357" s="587"/>
      <c r="BP357" s="587"/>
      <c r="BQ357" s="587"/>
      <c r="BR357" s="587"/>
      <c r="BS357" s="587"/>
      <c r="BT357" s="587"/>
      <c r="BU357" s="587"/>
      <c r="BV357" s="587"/>
      <c r="BW357" s="587"/>
      <c r="BX357" s="587"/>
      <c r="BY357" s="587"/>
      <c r="BZ357" s="587"/>
      <c r="CA357" s="587"/>
      <c r="CB357" s="587"/>
      <c r="CC357" s="587"/>
      <c r="CD357" s="587"/>
      <c r="CE357" s="587"/>
      <c r="CF357" s="587"/>
      <c r="CG357" s="587"/>
      <c r="CH357" s="587"/>
      <c r="CI357" s="587"/>
      <c r="CJ357" s="587"/>
      <c r="CK357" s="587"/>
      <c r="CL357" s="587"/>
      <c r="CM357" s="587"/>
      <c r="CN357" s="587"/>
      <c r="CO357" s="587"/>
      <c r="CP357" s="587"/>
      <c r="CQ357" s="587"/>
      <c r="CR357" s="587"/>
      <c r="CS357" s="587"/>
      <c r="CT357" s="587"/>
      <c r="CU357" s="587"/>
      <c r="CV357" s="587"/>
      <c r="CW357" s="587"/>
      <c r="CX357" s="587"/>
      <c r="CY357" s="587"/>
      <c r="CZ357" s="587"/>
      <c r="DA357" s="587"/>
      <c r="DB357" s="587"/>
      <c r="DC357" s="587"/>
      <c r="DD357" s="587"/>
      <c r="DE357" s="587"/>
      <c r="DF357" s="587"/>
      <c r="DG357" s="587"/>
      <c r="DH357" s="587"/>
      <c r="DI357" s="587"/>
      <c r="DJ357" s="587"/>
      <c r="DK357" s="587"/>
      <c r="DL357" s="587"/>
      <c r="DM357" s="587"/>
      <c r="DN357" s="587"/>
      <c r="DO357" s="587"/>
      <c r="DP357" s="587"/>
      <c r="DQ357" s="587"/>
      <c r="DR357" s="587"/>
      <c r="DS357" s="587"/>
      <c r="DT357" s="587"/>
      <c r="DU357" s="587"/>
      <c r="DV357" s="587"/>
      <c r="DW357" s="587"/>
      <c r="DX357" s="587"/>
      <c r="DY357" s="587"/>
      <c r="DZ357" s="587"/>
      <c r="EA357" s="587"/>
      <c r="EB357" s="587"/>
      <c r="EC357" s="587"/>
      <c r="ED357" s="587"/>
      <c r="EE357" s="587"/>
      <c r="EF357" s="587"/>
      <c r="EG357" s="587"/>
      <c r="EH357" s="587"/>
      <c r="EI357" s="587"/>
      <c r="EJ357" s="587"/>
      <c r="EK357" s="587"/>
      <c r="EL357" s="587"/>
      <c r="EM357" s="587"/>
      <c r="EN357" s="587"/>
      <c r="EO357" s="587"/>
      <c r="EP357" s="587"/>
      <c r="EQ357" s="587"/>
      <c r="ER357" s="587"/>
      <c r="ES357" s="587"/>
      <c r="ET357" s="587"/>
      <c r="EU357" s="587"/>
      <c r="EV357" s="587"/>
      <c r="EW357" s="587"/>
      <c r="EX357" s="587"/>
      <c r="EY357" s="587"/>
      <c r="EZ357" s="587"/>
      <c r="FA357" s="587"/>
      <c r="FB357" s="587"/>
      <c r="FC357" s="587"/>
      <c r="FD357" s="587"/>
      <c r="FE357" s="587"/>
      <c r="FF357" s="587"/>
      <c r="FG357" s="587"/>
      <c r="FH357" s="587"/>
      <c r="FI357" s="587"/>
      <c r="FJ357" s="587"/>
      <c r="FK357" s="587"/>
      <c r="FL357" s="587"/>
      <c r="FM357" s="587"/>
      <c r="FN357" s="587"/>
      <c r="FO357" s="587"/>
      <c r="FP357" s="587"/>
      <c r="FQ357" s="587"/>
      <c r="FR357" s="587"/>
      <c r="FS357" s="587"/>
      <c r="FT357" s="587"/>
      <c r="FU357" s="587"/>
      <c r="FV357" s="587"/>
      <c r="FW357" s="587"/>
      <c r="FX357" s="587"/>
      <c r="FY357" s="587"/>
      <c r="FZ357" s="587"/>
      <c r="GA357" s="587"/>
      <c r="GB357" s="587"/>
      <c r="GC357" s="587"/>
      <c r="GD357" s="587"/>
      <c r="GE357" s="587"/>
      <c r="GF357" s="587"/>
      <c r="GG357" s="587"/>
      <c r="GH357" s="587"/>
      <c r="GI357" s="587"/>
      <c r="GJ357" s="587"/>
      <c r="GK357" s="587"/>
      <c r="GL357" s="587"/>
      <c r="GM357" s="587"/>
      <c r="GN357" s="587"/>
      <c r="GO357" s="587"/>
      <c r="GP357" s="587"/>
      <c r="GQ357" s="587"/>
      <c r="GR357" s="587"/>
      <c r="GS357" s="587"/>
      <c r="GT357" s="587"/>
      <c r="GU357" s="587"/>
      <c r="GV357" s="587"/>
      <c r="GW357" s="587"/>
      <c r="GX357" s="587"/>
      <c r="GY357" s="587"/>
      <c r="GZ357" s="587"/>
      <c r="HA357" s="587"/>
      <c r="HB357" s="587"/>
      <c r="HC357" s="587"/>
      <c r="HD357" s="587"/>
      <c r="HE357" s="587"/>
      <c r="HF357" s="587"/>
      <c r="HG357" s="587"/>
      <c r="HH357" s="587"/>
      <c r="HI357" s="587"/>
      <c r="HJ357" s="587"/>
      <c r="HK357" s="587"/>
      <c r="HL357" s="587"/>
      <c r="HM357" s="587"/>
      <c r="HN357" s="587"/>
      <c r="HO357" s="587"/>
      <c r="HP357" s="587"/>
      <c r="HQ357" s="587"/>
      <c r="HR357" s="587"/>
      <c r="HS357" s="587"/>
      <c r="HT357" s="587"/>
      <c r="HU357" s="587"/>
      <c r="HV357" s="587"/>
      <c r="HW357" s="587"/>
      <c r="HX357" s="587"/>
      <c r="HY357" s="587"/>
      <c r="HZ357" s="587"/>
      <c r="IA357" s="587"/>
      <c r="IB357" s="587"/>
      <c r="IC357" s="587"/>
      <c r="ID357" s="587"/>
      <c r="IE357" s="587"/>
      <c r="IF357" s="587"/>
      <c r="IG357" s="587"/>
      <c r="IH357" s="588"/>
      <c r="II357" s="589"/>
      <c r="IJ357" s="588"/>
      <c r="IK357" s="589"/>
      <c r="IL357" s="588"/>
      <c r="IM357" s="589"/>
      <c r="IN357" s="588"/>
      <c r="IO357" s="589"/>
      <c r="IP357" s="588"/>
      <c r="IQ357" s="589"/>
      <c r="IR357" s="799"/>
      <c r="IS357" s="587"/>
      <c r="IT357" s="800">
        <v>45547</v>
      </c>
      <c r="IU357" s="552"/>
      <c r="IV357" s="552"/>
    </row>
    <row r="358" spans="1:259" s="367" customFormat="1" ht="16.5" customHeight="1" x14ac:dyDescent="0.3">
      <c r="A358" s="526" t="s">
        <v>2739</v>
      </c>
      <c r="B358" s="682" t="s">
        <v>3833</v>
      </c>
      <c r="C358" s="661" t="s">
        <v>1805</v>
      </c>
      <c r="D358" s="662">
        <v>1627.8564263010346</v>
      </c>
      <c r="E358" s="516">
        <v>84</v>
      </c>
      <c r="F358" s="516">
        <v>0</v>
      </c>
      <c r="G358" s="516">
        <v>108</v>
      </c>
      <c r="H358" s="663">
        <v>0</v>
      </c>
      <c r="I358" s="664">
        <v>1712</v>
      </c>
      <c r="J358" s="516">
        <v>108</v>
      </c>
      <c r="K358" s="516">
        <v>0</v>
      </c>
      <c r="L358" s="516">
        <v>1712</v>
      </c>
      <c r="M358" s="516">
        <v>108</v>
      </c>
      <c r="N358" s="516">
        <v>0</v>
      </c>
      <c r="O358" s="516">
        <v>1712</v>
      </c>
      <c r="P358" s="516">
        <v>108</v>
      </c>
      <c r="Q358" s="516">
        <v>0</v>
      </c>
      <c r="R358" s="516">
        <v>1712</v>
      </c>
      <c r="S358" s="516">
        <v>108</v>
      </c>
      <c r="T358" s="516">
        <v>0</v>
      </c>
      <c r="U358" s="516">
        <v>1712</v>
      </c>
      <c r="V358" s="516">
        <v>108</v>
      </c>
      <c r="W358" s="516">
        <v>0</v>
      </c>
      <c r="X358" s="516">
        <v>1712</v>
      </c>
      <c r="Y358" s="516">
        <v>108</v>
      </c>
      <c r="Z358" s="516">
        <v>0</v>
      </c>
      <c r="AA358" s="516">
        <v>1712</v>
      </c>
      <c r="AB358" s="516">
        <v>108</v>
      </c>
      <c r="AC358" s="516">
        <v>0</v>
      </c>
      <c r="AD358" s="516">
        <v>1712</v>
      </c>
      <c r="AE358" s="516">
        <v>108</v>
      </c>
      <c r="AF358" s="516">
        <v>0</v>
      </c>
      <c r="AG358" s="516">
        <v>1712</v>
      </c>
      <c r="AH358" s="516">
        <v>108</v>
      </c>
      <c r="AI358" s="516">
        <v>0</v>
      </c>
      <c r="AJ358" s="516">
        <v>1712</v>
      </c>
      <c r="AK358" s="516">
        <v>108</v>
      </c>
      <c r="AL358" s="516">
        <v>0</v>
      </c>
      <c r="AM358" s="516">
        <v>1712</v>
      </c>
      <c r="AN358" s="516">
        <v>108</v>
      </c>
      <c r="AO358" s="516">
        <v>0</v>
      </c>
      <c r="AP358" s="516">
        <v>1712</v>
      </c>
      <c r="AQ358" s="516">
        <v>108</v>
      </c>
      <c r="AR358" s="516">
        <v>0</v>
      </c>
      <c r="AS358" s="516">
        <v>1712</v>
      </c>
      <c r="AT358" s="516">
        <v>108</v>
      </c>
      <c r="AU358" s="516">
        <v>0</v>
      </c>
      <c r="AV358" s="516">
        <v>1712</v>
      </c>
      <c r="AW358" s="516">
        <v>108</v>
      </c>
      <c r="AX358" s="516">
        <v>0</v>
      </c>
      <c r="AY358" s="516">
        <v>1712</v>
      </c>
      <c r="AZ358" s="516">
        <v>108</v>
      </c>
      <c r="BA358" s="796">
        <v>0</v>
      </c>
      <c r="BB358" s="796">
        <v>1712</v>
      </c>
      <c r="BC358" s="796">
        <v>108</v>
      </c>
      <c r="BD358" s="796">
        <v>0</v>
      </c>
      <c r="BE358" s="794">
        <f>((1712/30.5)*19+1712)</f>
        <v>2778.4918032786882</v>
      </c>
      <c r="BF358" s="794">
        <f>((108/30.5)*19+108)</f>
        <v>175.27868852459017</v>
      </c>
      <c r="BG358" s="794">
        <v>0</v>
      </c>
      <c r="BH358" s="587"/>
      <c r="BI358" s="587"/>
      <c r="BJ358" s="587"/>
      <c r="BK358" s="587"/>
      <c r="BL358" s="587"/>
      <c r="BM358" s="587"/>
      <c r="BN358" s="587"/>
      <c r="BO358" s="587"/>
      <c r="BP358" s="587"/>
      <c r="BQ358" s="587"/>
      <c r="BR358" s="587"/>
      <c r="BS358" s="587"/>
      <c r="BT358" s="587"/>
      <c r="BU358" s="587"/>
      <c r="BV358" s="587"/>
      <c r="BW358" s="587"/>
      <c r="BX358" s="587"/>
      <c r="BY358" s="587"/>
      <c r="BZ358" s="587"/>
      <c r="CA358" s="587"/>
      <c r="CB358" s="587"/>
      <c r="CC358" s="587"/>
      <c r="CD358" s="587"/>
      <c r="CE358" s="587"/>
      <c r="CF358" s="587"/>
      <c r="CG358" s="587"/>
      <c r="CH358" s="587"/>
      <c r="CI358" s="587"/>
      <c r="CJ358" s="587"/>
      <c r="CK358" s="587"/>
      <c r="CL358" s="587"/>
      <c r="CM358" s="587"/>
      <c r="CN358" s="587"/>
      <c r="CO358" s="587"/>
      <c r="CP358" s="587"/>
      <c r="CQ358" s="587"/>
      <c r="CR358" s="587"/>
      <c r="CS358" s="587"/>
      <c r="CT358" s="587"/>
      <c r="CU358" s="587"/>
      <c r="CV358" s="587"/>
      <c r="CW358" s="587"/>
      <c r="CX358" s="587"/>
      <c r="CY358" s="587"/>
      <c r="CZ358" s="587"/>
      <c r="DA358" s="587"/>
      <c r="DB358" s="587"/>
      <c r="DC358" s="587"/>
      <c r="DD358" s="587"/>
      <c r="DE358" s="587"/>
      <c r="DF358" s="587"/>
      <c r="DG358" s="587"/>
      <c r="DH358" s="587"/>
      <c r="DI358" s="587"/>
      <c r="DJ358" s="587"/>
      <c r="DK358" s="587"/>
      <c r="DL358" s="587"/>
      <c r="DM358" s="587"/>
      <c r="DN358" s="587"/>
      <c r="DO358" s="587"/>
      <c r="DP358" s="587"/>
      <c r="DQ358" s="587"/>
      <c r="DR358" s="587"/>
      <c r="DS358" s="587"/>
      <c r="DT358" s="587"/>
      <c r="DU358" s="587"/>
      <c r="DV358" s="587"/>
      <c r="DW358" s="587"/>
      <c r="DX358" s="587"/>
      <c r="DY358" s="587"/>
      <c r="DZ358" s="587"/>
      <c r="EA358" s="587"/>
      <c r="EB358" s="587"/>
      <c r="EC358" s="587"/>
      <c r="ED358" s="587"/>
      <c r="EE358" s="587"/>
      <c r="EF358" s="587"/>
      <c r="EG358" s="587"/>
      <c r="EH358" s="587"/>
      <c r="EI358" s="587"/>
      <c r="EJ358" s="587"/>
      <c r="EK358" s="587"/>
      <c r="EL358" s="587"/>
      <c r="EM358" s="587"/>
      <c r="EN358" s="587"/>
      <c r="EO358" s="587"/>
      <c r="EP358" s="587"/>
      <c r="EQ358" s="587"/>
      <c r="ER358" s="587"/>
      <c r="ES358" s="587"/>
      <c r="ET358" s="587"/>
      <c r="EU358" s="587"/>
      <c r="EV358" s="587"/>
      <c r="EW358" s="587"/>
      <c r="EX358" s="587"/>
      <c r="EY358" s="587"/>
      <c r="EZ358" s="587"/>
      <c r="FA358" s="587"/>
      <c r="FB358" s="587"/>
      <c r="FC358" s="587"/>
      <c r="FD358" s="587"/>
      <c r="FE358" s="587"/>
      <c r="FF358" s="587"/>
      <c r="FG358" s="587"/>
      <c r="FH358" s="587"/>
      <c r="FI358" s="587"/>
      <c r="FJ358" s="587"/>
      <c r="FK358" s="587"/>
      <c r="FL358" s="587"/>
      <c r="FM358" s="587"/>
      <c r="FN358" s="587"/>
      <c r="FO358" s="587"/>
      <c r="FP358" s="587"/>
      <c r="FQ358" s="587"/>
      <c r="FR358" s="587"/>
      <c r="FS358" s="587"/>
      <c r="FT358" s="587"/>
      <c r="FU358" s="587"/>
      <c r="FV358" s="587"/>
      <c r="FW358" s="587"/>
      <c r="FX358" s="587"/>
      <c r="FY358" s="587"/>
      <c r="FZ358" s="587"/>
      <c r="GA358" s="587"/>
      <c r="GB358" s="587"/>
      <c r="GC358" s="587"/>
      <c r="GD358" s="587"/>
      <c r="GE358" s="587"/>
      <c r="GF358" s="587"/>
      <c r="GG358" s="587"/>
      <c r="GH358" s="587"/>
      <c r="GI358" s="587"/>
      <c r="GJ358" s="587"/>
      <c r="GK358" s="587"/>
      <c r="GL358" s="587"/>
      <c r="GM358" s="587"/>
      <c r="GN358" s="587"/>
      <c r="GO358" s="587"/>
      <c r="GP358" s="587"/>
      <c r="GQ358" s="587"/>
      <c r="GR358" s="587"/>
      <c r="GS358" s="587"/>
      <c r="GT358" s="587"/>
      <c r="GU358" s="587"/>
      <c r="GV358" s="587"/>
      <c r="GW358" s="587"/>
      <c r="GX358" s="587"/>
      <c r="GY358" s="587"/>
      <c r="GZ358" s="587"/>
      <c r="HA358" s="587"/>
      <c r="HB358" s="587"/>
      <c r="HC358" s="587"/>
      <c r="HD358" s="587"/>
      <c r="HE358" s="587"/>
      <c r="HF358" s="587"/>
      <c r="HG358" s="587"/>
      <c r="HH358" s="587"/>
      <c r="HI358" s="587"/>
      <c r="HJ358" s="587"/>
      <c r="HK358" s="587"/>
      <c r="HL358" s="587"/>
      <c r="HM358" s="587"/>
      <c r="HN358" s="587"/>
      <c r="HO358" s="587"/>
      <c r="HP358" s="587"/>
      <c r="HQ358" s="587"/>
      <c r="HR358" s="587"/>
      <c r="HS358" s="587"/>
      <c r="HT358" s="587"/>
      <c r="HU358" s="587"/>
      <c r="HV358" s="587"/>
      <c r="HW358" s="587"/>
      <c r="HX358" s="587"/>
      <c r="HY358" s="587"/>
      <c r="HZ358" s="587"/>
      <c r="IA358" s="587"/>
      <c r="IB358" s="587"/>
      <c r="IC358" s="587"/>
      <c r="ID358" s="587"/>
      <c r="IE358" s="587"/>
      <c r="IF358" s="587"/>
      <c r="IG358" s="587"/>
      <c r="IH358" s="588"/>
      <c r="II358" s="589"/>
      <c r="IJ358" s="588"/>
      <c r="IK358" s="589"/>
      <c r="IL358" s="588"/>
      <c r="IM358" s="589"/>
      <c r="IN358" s="588"/>
      <c r="IO358" s="589"/>
      <c r="IP358" s="588"/>
      <c r="IQ358" s="589"/>
      <c r="IR358" s="799"/>
      <c r="IS358" s="587"/>
      <c r="IT358" s="801">
        <v>45554</v>
      </c>
      <c r="IU358" s="552"/>
      <c r="IV358" s="552"/>
    </row>
    <row r="359" spans="1:259" s="367" customFormat="1" ht="16.5" customHeight="1" x14ac:dyDescent="0.3">
      <c r="A359" s="526" t="s">
        <v>2739</v>
      </c>
      <c r="B359" s="682" t="s">
        <v>3002</v>
      </c>
      <c r="C359" s="661" t="s">
        <v>1790</v>
      </c>
      <c r="D359" s="662">
        <v>3671</v>
      </c>
      <c r="E359" s="516">
        <v>936</v>
      </c>
      <c r="F359" s="516">
        <v>124</v>
      </c>
      <c r="G359" s="516">
        <v>1692</v>
      </c>
      <c r="H359" s="663">
        <v>0</v>
      </c>
      <c r="I359" s="844">
        <v>4731</v>
      </c>
      <c r="J359" s="606">
        <v>1692</v>
      </c>
      <c r="K359" s="837">
        <v>0</v>
      </c>
      <c r="L359" s="606">
        <v>4731</v>
      </c>
      <c r="M359" s="606">
        <v>1692</v>
      </c>
      <c r="N359" s="837">
        <v>0</v>
      </c>
      <c r="O359" s="606">
        <v>4731</v>
      </c>
      <c r="P359" s="606">
        <v>1692</v>
      </c>
      <c r="Q359" s="837">
        <v>0</v>
      </c>
      <c r="R359" s="606">
        <v>4731</v>
      </c>
      <c r="S359" s="606">
        <v>1692</v>
      </c>
      <c r="T359" s="837">
        <v>0</v>
      </c>
      <c r="U359" s="606">
        <v>4731</v>
      </c>
      <c r="V359" s="606">
        <v>1692</v>
      </c>
      <c r="W359" s="837">
        <v>0</v>
      </c>
      <c r="X359" s="606">
        <v>4731</v>
      </c>
      <c r="Y359" s="606">
        <v>1692</v>
      </c>
      <c r="Z359" s="837">
        <v>0</v>
      </c>
      <c r="AA359" s="606">
        <v>4731</v>
      </c>
      <c r="AB359" s="606">
        <v>1692</v>
      </c>
      <c r="AC359" s="837">
        <v>0</v>
      </c>
      <c r="AD359" s="606">
        <v>4731</v>
      </c>
      <c r="AE359" s="606">
        <v>1692</v>
      </c>
      <c r="AF359" s="837">
        <v>0</v>
      </c>
      <c r="AG359" s="606">
        <v>4731</v>
      </c>
      <c r="AH359" s="606">
        <v>1692</v>
      </c>
      <c r="AI359" s="837">
        <v>0</v>
      </c>
      <c r="AJ359" s="606">
        <v>4731</v>
      </c>
      <c r="AK359" s="606">
        <v>1692</v>
      </c>
      <c r="AL359" s="837">
        <v>0</v>
      </c>
      <c r="AM359" s="606">
        <v>4731</v>
      </c>
      <c r="AN359" s="606">
        <v>1692</v>
      </c>
      <c r="AO359" s="837">
        <v>0</v>
      </c>
      <c r="AP359" s="606">
        <v>4731</v>
      </c>
      <c r="AQ359" s="606">
        <v>1692</v>
      </c>
      <c r="AR359" s="837">
        <v>0</v>
      </c>
      <c r="AS359" s="606">
        <v>4731</v>
      </c>
      <c r="AT359" s="606">
        <v>1692</v>
      </c>
      <c r="AU359" s="837">
        <v>0</v>
      </c>
      <c r="AV359" s="606">
        <v>4731</v>
      </c>
      <c r="AW359" s="606">
        <v>1692</v>
      </c>
      <c r="AX359" s="837">
        <v>0</v>
      </c>
      <c r="AY359" s="606">
        <v>4731</v>
      </c>
      <c r="AZ359" s="606">
        <v>1692</v>
      </c>
      <c r="BA359" s="382">
        <v>0</v>
      </c>
      <c r="BB359" s="422">
        <f>(4731/30.5)*13+4731</f>
        <v>6747.4918032786882</v>
      </c>
      <c r="BC359" s="422">
        <f>(1692/30.5)*13+1692</f>
        <v>2413.1803278688526</v>
      </c>
      <c r="BD359" s="382">
        <v>0</v>
      </c>
      <c r="BE359" s="587"/>
      <c r="BF359" s="587"/>
      <c r="BG359" s="587"/>
      <c r="BH359" s="587"/>
      <c r="BI359" s="587"/>
      <c r="BJ359" s="587"/>
      <c r="BK359" s="587"/>
      <c r="BL359" s="587"/>
      <c r="BM359" s="587"/>
      <c r="BN359" s="587"/>
      <c r="BO359" s="587"/>
      <c r="BP359" s="587"/>
      <c r="BQ359" s="587"/>
      <c r="BR359" s="587"/>
      <c r="BS359" s="587"/>
      <c r="BT359" s="587"/>
      <c r="BU359" s="587"/>
      <c r="BV359" s="587"/>
      <c r="BW359" s="587"/>
      <c r="BX359" s="587"/>
      <c r="BY359" s="587"/>
      <c r="BZ359" s="587"/>
      <c r="CA359" s="587"/>
      <c r="CB359" s="587"/>
      <c r="CC359" s="587"/>
      <c r="CD359" s="587"/>
      <c r="CE359" s="587"/>
      <c r="CF359" s="587"/>
      <c r="CG359" s="587"/>
      <c r="CH359" s="587"/>
      <c r="CI359" s="587"/>
      <c r="CJ359" s="587"/>
      <c r="CK359" s="587"/>
      <c r="CL359" s="587"/>
      <c r="CM359" s="587"/>
      <c r="CN359" s="587"/>
      <c r="CO359" s="587"/>
      <c r="CP359" s="587"/>
      <c r="CQ359" s="587"/>
      <c r="CR359" s="587"/>
      <c r="CS359" s="587"/>
      <c r="CT359" s="587"/>
      <c r="CU359" s="587"/>
      <c r="CV359" s="587"/>
      <c r="CW359" s="587"/>
      <c r="CX359" s="587"/>
      <c r="CY359" s="587"/>
      <c r="CZ359" s="587"/>
      <c r="DA359" s="587"/>
      <c r="DB359" s="587"/>
      <c r="DC359" s="587"/>
      <c r="DD359" s="587"/>
      <c r="DE359" s="587"/>
      <c r="DF359" s="587"/>
      <c r="DG359" s="587"/>
      <c r="DH359" s="587"/>
      <c r="DI359" s="587"/>
      <c r="DJ359" s="587"/>
      <c r="DK359" s="587"/>
      <c r="DL359" s="587"/>
      <c r="DM359" s="587"/>
      <c r="DN359" s="587"/>
      <c r="DO359" s="587"/>
      <c r="DP359" s="587"/>
      <c r="DQ359" s="587"/>
      <c r="DR359" s="587"/>
      <c r="DS359" s="587"/>
      <c r="DT359" s="587"/>
      <c r="DU359" s="587"/>
      <c r="DV359" s="587"/>
      <c r="DW359" s="587"/>
      <c r="DX359" s="587"/>
      <c r="DY359" s="587"/>
      <c r="DZ359" s="587"/>
      <c r="EA359" s="587"/>
      <c r="EB359" s="587"/>
      <c r="EC359" s="587"/>
      <c r="ED359" s="587"/>
      <c r="EE359" s="587"/>
      <c r="EF359" s="587"/>
      <c r="EG359" s="587"/>
      <c r="EH359" s="587"/>
      <c r="EI359" s="587"/>
      <c r="EJ359" s="587"/>
      <c r="EK359" s="587"/>
      <c r="EL359" s="587"/>
      <c r="EM359" s="587"/>
      <c r="EN359" s="587"/>
      <c r="EO359" s="587"/>
      <c r="EP359" s="587"/>
      <c r="EQ359" s="587"/>
      <c r="ER359" s="587"/>
      <c r="ES359" s="587"/>
      <c r="ET359" s="587"/>
      <c r="EU359" s="587"/>
      <c r="EV359" s="587"/>
      <c r="EW359" s="587"/>
      <c r="EX359" s="587"/>
      <c r="EY359" s="587"/>
      <c r="EZ359" s="587"/>
      <c r="FA359" s="587"/>
      <c r="FB359" s="587"/>
      <c r="FC359" s="587"/>
      <c r="FD359" s="587"/>
      <c r="FE359" s="587"/>
      <c r="FF359" s="587"/>
      <c r="FG359" s="587"/>
      <c r="FH359" s="587"/>
      <c r="FI359" s="587"/>
      <c r="FJ359" s="587"/>
      <c r="FK359" s="587"/>
      <c r="FL359" s="587"/>
      <c r="FM359" s="587"/>
      <c r="FN359" s="587"/>
      <c r="FO359" s="587"/>
      <c r="FP359" s="587"/>
      <c r="FQ359" s="587"/>
      <c r="FR359" s="587"/>
      <c r="FS359" s="587"/>
      <c r="FT359" s="587"/>
      <c r="FU359" s="576"/>
      <c r="FV359" s="576"/>
      <c r="FW359" s="576"/>
      <c r="FX359" s="576"/>
      <c r="FY359" s="576"/>
      <c r="FZ359" s="576"/>
      <c r="GA359" s="576"/>
      <c r="GB359" s="576"/>
      <c r="GC359" s="576"/>
      <c r="GD359" s="576"/>
      <c r="GE359" s="576"/>
      <c r="GF359" s="576"/>
      <c r="GG359" s="576"/>
      <c r="GH359" s="576"/>
      <c r="GI359" s="576"/>
      <c r="GJ359" s="576"/>
      <c r="GK359" s="576"/>
      <c r="GL359" s="576"/>
      <c r="GM359" s="576"/>
      <c r="GN359" s="576"/>
      <c r="GO359" s="576"/>
      <c r="GP359" s="576"/>
      <c r="GQ359" s="576"/>
      <c r="GR359" s="576"/>
      <c r="GS359" s="576"/>
      <c r="GT359" s="576"/>
      <c r="GU359" s="576"/>
      <c r="GV359" s="576"/>
      <c r="GW359" s="576"/>
      <c r="GX359" s="576"/>
      <c r="GY359" s="576"/>
      <c r="GZ359" s="576"/>
      <c r="HA359" s="576"/>
      <c r="HB359" s="576"/>
      <c r="HC359" s="576"/>
      <c r="HD359" s="576"/>
      <c r="HE359" s="576"/>
      <c r="HF359" s="576"/>
      <c r="HG359" s="576"/>
      <c r="HH359" s="576"/>
      <c r="HI359" s="576"/>
      <c r="HJ359" s="576"/>
      <c r="HK359" s="576"/>
      <c r="HL359" s="576"/>
      <c r="HM359" s="576"/>
      <c r="HN359" s="576"/>
      <c r="HO359" s="576"/>
      <c r="HP359" s="576"/>
      <c r="HQ359" s="576"/>
      <c r="HR359" s="576"/>
      <c r="HS359" s="576"/>
      <c r="HT359" s="576"/>
      <c r="HU359" s="576"/>
      <c r="HV359" s="576"/>
      <c r="HW359" s="576"/>
      <c r="HX359" s="576"/>
      <c r="HY359" s="576"/>
      <c r="HZ359" s="576"/>
      <c r="IA359" s="576"/>
      <c r="IB359" s="576"/>
      <c r="IC359" s="576"/>
      <c r="ID359" s="576"/>
      <c r="IE359" s="576"/>
      <c r="IF359" s="576"/>
      <c r="IG359" s="576"/>
      <c r="IH359" s="577"/>
      <c r="II359" s="578"/>
      <c r="IJ359" s="577"/>
      <c r="IK359" s="578"/>
      <c r="IL359" s="577"/>
      <c r="IM359" s="578"/>
      <c r="IN359" s="577"/>
      <c r="IO359" s="578"/>
      <c r="IP359" s="577"/>
      <c r="IQ359" s="578"/>
      <c r="IR359" s="799"/>
      <c r="IS359" s="587"/>
      <c r="IT359" s="611">
        <v>45583</v>
      </c>
    </row>
    <row r="360" spans="1:259" s="367" customFormat="1" ht="16.5" customHeight="1" x14ac:dyDescent="0.3">
      <c r="A360" s="526" t="s">
        <v>2739</v>
      </c>
      <c r="B360" s="603" t="s">
        <v>2931</v>
      </c>
      <c r="C360" s="992" t="s">
        <v>1748</v>
      </c>
      <c r="D360" s="662">
        <v>7701</v>
      </c>
      <c r="E360" s="662">
        <v>71</v>
      </c>
      <c r="F360" s="662">
        <v>0</v>
      </c>
      <c r="G360" s="662">
        <v>414</v>
      </c>
      <c r="H360" s="802">
        <f>(36*12)+36</f>
        <v>468</v>
      </c>
      <c r="I360" s="910">
        <v>7772</v>
      </c>
      <c r="J360" s="910">
        <v>414</v>
      </c>
      <c r="K360" s="657"/>
      <c r="L360" s="910">
        <v>7772</v>
      </c>
      <c r="M360" s="910">
        <v>414</v>
      </c>
      <c r="N360" s="657"/>
      <c r="O360" s="910">
        <v>7772</v>
      </c>
      <c r="P360" s="910">
        <v>414</v>
      </c>
      <c r="Q360" s="657"/>
      <c r="R360" s="910">
        <v>7772</v>
      </c>
      <c r="S360" s="910">
        <v>414</v>
      </c>
      <c r="T360" s="657"/>
      <c r="U360" s="910">
        <v>7772</v>
      </c>
      <c r="V360" s="910">
        <v>414</v>
      </c>
      <c r="W360" s="657"/>
      <c r="X360" s="910">
        <v>7772</v>
      </c>
      <c r="Y360" s="910">
        <v>414</v>
      </c>
      <c r="Z360" s="657"/>
      <c r="AA360" s="910">
        <v>7772</v>
      </c>
      <c r="AB360" s="910">
        <v>414</v>
      </c>
      <c r="AC360" s="657"/>
      <c r="AD360" s="910">
        <v>7772</v>
      </c>
      <c r="AE360" s="910">
        <v>414</v>
      </c>
      <c r="AF360" s="657"/>
      <c r="AG360" s="910">
        <v>7772</v>
      </c>
      <c r="AH360" s="910">
        <v>414</v>
      </c>
      <c r="AI360" s="657"/>
      <c r="AJ360" s="910">
        <v>7772</v>
      </c>
      <c r="AK360" s="910">
        <v>414</v>
      </c>
      <c r="AL360" s="657"/>
      <c r="AM360" s="844">
        <v>7772</v>
      </c>
      <c r="AN360" s="844">
        <v>414</v>
      </c>
      <c r="AO360" s="600"/>
      <c r="AP360" s="844">
        <v>7772</v>
      </c>
      <c r="AQ360" s="844">
        <v>414</v>
      </c>
      <c r="AR360" s="600"/>
      <c r="AS360" s="844">
        <v>7772</v>
      </c>
      <c r="AT360" s="844">
        <v>414</v>
      </c>
      <c r="AU360" s="600"/>
      <c r="AV360" s="866">
        <f>((7772/30.5)*18+7772)</f>
        <v>12358.754098360656</v>
      </c>
      <c r="AW360" s="866">
        <f>((414/30.5)*18+414)</f>
        <v>658.32786885245901</v>
      </c>
      <c r="AX360" s="600"/>
      <c r="AY360" s="942" t="s">
        <v>3514</v>
      </c>
      <c r="AZ360" s="942"/>
      <c r="BA360" s="576"/>
      <c r="BB360" s="576"/>
      <c r="BC360" s="576"/>
      <c r="BD360" s="576"/>
      <c r="BE360" s="576"/>
      <c r="BF360" s="576"/>
      <c r="BG360" s="576"/>
      <c r="BH360" s="576"/>
      <c r="BI360" s="576"/>
      <c r="BJ360" s="576"/>
      <c r="BK360" s="576"/>
      <c r="BL360" s="576"/>
      <c r="BM360" s="576"/>
      <c r="BN360" s="576"/>
      <c r="BO360" s="576"/>
      <c r="BP360" s="576"/>
      <c r="BQ360" s="576"/>
      <c r="BR360" s="576"/>
      <c r="BS360" s="576"/>
      <c r="BT360" s="576"/>
      <c r="BU360" s="576"/>
      <c r="BV360" s="576"/>
      <c r="BW360" s="576"/>
      <c r="BX360" s="576"/>
      <c r="BY360" s="576"/>
      <c r="BZ360" s="576"/>
      <c r="CA360" s="576"/>
      <c r="CB360" s="576"/>
      <c r="CC360" s="576"/>
      <c r="CD360" s="576"/>
      <c r="CE360" s="576"/>
      <c r="CF360" s="576"/>
      <c r="CG360" s="576"/>
      <c r="CH360" s="576"/>
      <c r="CI360" s="576"/>
      <c r="CJ360" s="576"/>
      <c r="CK360" s="576"/>
      <c r="CL360" s="576"/>
      <c r="CM360" s="576"/>
      <c r="CN360" s="576"/>
      <c r="CO360" s="576"/>
      <c r="CP360" s="576"/>
      <c r="CQ360" s="576"/>
      <c r="CR360" s="576"/>
      <c r="CS360" s="576"/>
      <c r="CT360" s="576"/>
      <c r="CU360" s="576"/>
      <c r="CV360" s="576"/>
      <c r="CW360" s="576"/>
      <c r="CX360" s="576"/>
      <c r="CY360" s="576"/>
      <c r="CZ360" s="576"/>
      <c r="DA360" s="576"/>
      <c r="DB360" s="576"/>
      <c r="DC360" s="576"/>
      <c r="DD360" s="576"/>
      <c r="DE360" s="576"/>
      <c r="DF360" s="576"/>
      <c r="DG360" s="576"/>
      <c r="DH360" s="576"/>
      <c r="DI360" s="576"/>
      <c r="DJ360" s="576"/>
      <c r="DK360" s="576"/>
      <c r="DL360" s="576"/>
      <c r="DM360" s="576"/>
      <c r="DN360" s="576"/>
      <c r="DO360" s="576"/>
      <c r="DP360" s="576"/>
      <c r="DQ360" s="576"/>
      <c r="DR360" s="576"/>
      <c r="DS360" s="576"/>
      <c r="DT360" s="576"/>
      <c r="DU360" s="576"/>
      <c r="DV360" s="576"/>
      <c r="DW360" s="576"/>
      <c r="DX360" s="576"/>
      <c r="DY360" s="576"/>
      <c r="DZ360" s="576"/>
      <c r="EA360" s="576"/>
      <c r="EB360" s="576"/>
      <c r="EC360" s="576"/>
      <c r="ED360" s="576"/>
      <c r="EE360" s="576"/>
      <c r="EF360" s="576"/>
      <c r="EG360" s="576"/>
      <c r="EH360" s="576"/>
      <c r="EI360" s="576"/>
      <c r="EJ360" s="576"/>
      <c r="EK360" s="576"/>
      <c r="EL360" s="576"/>
      <c r="EM360" s="576"/>
      <c r="EN360" s="576"/>
      <c r="EO360" s="576"/>
      <c r="EP360" s="576"/>
      <c r="EQ360" s="576"/>
      <c r="ER360" s="576"/>
      <c r="ES360" s="576"/>
      <c r="ET360" s="576"/>
      <c r="EU360" s="576"/>
      <c r="EV360" s="576"/>
      <c r="EW360" s="576"/>
      <c r="EX360" s="576"/>
      <c r="EY360" s="576"/>
      <c r="EZ360" s="576"/>
      <c r="FA360" s="576"/>
      <c r="FB360" s="576"/>
      <c r="FC360" s="576"/>
      <c r="FD360" s="576"/>
      <c r="FE360" s="576"/>
      <c r="FF360" s="576"/>
      <c r="FG360" s="576"/>
      <c r="FH360" s="576"/>
      <c r="FI360" s="576"/>
      <c r="FJ360" s="576"/>
      <c r="FK360" s="576"/>
      <c r="FL360" s="576"/>
      <c r="FM360" s="576"/>
      <c r="FN360" s="576"/>
      <c r="FO360" s="576"/>
      <c r="FP360" s="576"/>
      <c r="FQ360" s="576"/>
      <c r="FR360" s="576"/>
      <c r="FS360" s="576"/>
      <c r="FT360" s="576"/>
      <c r="FU360" s="576"/>
      <c r="FV360" s="576"/>
      <c r="FW360" s="576"/>
      <c r="FX360" s="576"/>
      <c r="FY360" s="576"/>
      <c r="FZ360" s="576"/>
      <c r="GA360" s="576"/>
      <c r="GB360" s="576"/>
      <c r="GC360" s="576"/>
      <c r="GD360" s="576"/>
      <c r="GE360" s="576"/>
      <c r="GF360" s="576"/>
      <c r="GG360" s="576"/>
      <c r="GH360" s="576"/>
      <c r="GI360" s="576"/>
      <c r="GJ360" s="576"/>
      <c r="GK360" s="576"/>
      <c r="GL360" s="576"/>
      <c r="GM360" s="576"/>
      <c r="GN360" s="576"/>
      <c r="GO360" s="576"/>
      <c r="GP360" s="576"/>
      <c r="GQ360" s="576"/>
      <c r="GR360" s="576"/>
      <c r="GS360" s="576"/>
      <c r="GT360" s="576"/>
      <c r="GU360" s="576"/>
      <c r="GV360" s="576"/>
      <c r="GW360" s="576"/>
      <c r="GX360" s="576"/>
      <c r="GY360" s="576"/>
      <c r="GZ360" s="576"/>
      <c r="HA360" s="576"/>
      <c r="HB360" s="576"/>
      <c r="HC360" s="576"/>
      <c r="HD360" s="576"/>
      <c r="HE360" s="576"/>
      <c r="HF360" s="576"/>
      <c r="HG360" s="576"/>
      <c r="HH360" s="576"/>
      <c r="HI360" s="576"/>
      <c r="HJ360" s="576"/>
      <c r="HK360" s="576"/>
      <c r="HL360" s="576"/>
      <c r="HM360" s="576"/>
      <c r="HN360" s="576"/>
      <c r="HO360" s="576"/>
      <c r="HP360" s="576"/>
      <c r="HQ360" s="576"/>
      <c r="HR360" s="576"/>
      <c r="HS360" s="576"/>
      <c r="HT360" s="576"/>
      <c r="HU360" s="576"/>
      <c r="HV360" s="576"/>
      <c r="HW360" s="576"/>
      <c r="HX360" s="576"/>
      <c r="HY360" s="576"/>
      <c r="HZ360" s="576"/>
      <c r="IA360" s="576"/>
      <c r="IB360" s="576"/>
      <c r="IC360" s="576"/>
      <c r="ID360" s="576"/>
      <c r="IE360" s="576"/>
      <c r="IF360" s="576"/>
      <c r="IG360" s="576"/>
      <c r="IH360" s="577"/>
      <c r="II360" s="578"/>
      <c r="IJ360" s="577"/>
      <c r="IK360" s="578"/>
      <c r="IL360" s="577"/>
      <c r="IM360" s="578"/>
      <c r="IN360" s="577"/>
      <c r="IO360" s="578"/>
      <c r="IP360" s="577"/>
      <c r="IQ360" s="578"/>
      <c r="IR360" s="803"/>
      <c r="IS360" s="576"/>
      <c r="IT360" s="804">
        <v>45639</v>
      </c>
    </row>
    <row r="361" spans="1:259" s="367" customFormat="1" ht="16.5" customHeight="1" x14ac:dyDescent="0.3">
      <c r="A361" s="526" t="s">
        <v>2739</v>
      </c>
      <c r="B361" s="395" t="s">
        <v>3065</v>
      </c>
      <c r="C361" s="661" t="s">
        <v>1755</v>
      </c>
      <c r="D361" s="662">
        <v>1899</v>
      </c>
      <c r="E361" s="516">
        <v>142</v>
      </c>
      <c r="F361" s="516">
        <v>16</v>
      </c>
      <c r="G361" s="516">
        <v>414</v>
      </c>
      <c r="H361" s="663">
        <v>66</v>
      </c>
      <c r="I361" s="664">
        <v>2057</v>
      </c>
      <c r="J361" s="516">
        <v>414</v>
      </c>
      <c r="K361" s="516">
        <v>66</v>
      </c>
      <c r="L361" s="516">
        <v>2057</v>
      </c>
      <c r="M361" s="516">
        <v>414</v>
      </c>
      <c r="N361" s="516">
        <v>66</v>
      </c>
      <c r="O361" s="516">
        <v>2057</v>
      </c>
      <c r="P361" s="516">
        <v>414</v>
      </c>
      <c r="Q361" s="516">
        <v>66</v>
      </c>
      <c r="R361" s="516">
        <v>2057</v>
      </c>
      <c r="S361" s="516">
        <v>414</v>
      </c>
      <c r="T361" s="516">
        <v>66</v>
      </c>
      <c r="U361" s="516">
        <v>2057</v>
      </c>
      <c r="V361" s="516">
        <v>414</v>
      </c>
      <c r="W361" s="516">
        <v>66</v>
      </c>
      <c r="X361" s="516">
        <v>2057</v>
      </c>
      <c r="Y361" s="516">
        <v>414</v>
      </c>
      <c r="Z361" s="516">
        <v>66</v>
      </c>
      <c r="AA361" s="516">
        <v>2057</v>
      </c>
      <c r="AB361" s="516">
        <v>414</v>
      </c>
      <c r="AC361" s="516">
        <v>66</v>
      </c>
      <c r="AD361" s="516">
        <v>2057</v>
      </c>
      <c r="AE361" s="516">
        <v>414</v>
      </c>
      <c r="AF361" s="516">
        <v>66</v>
      </c>
      <c r="AG361" s="517">
        <f>((2057-2016)/30.5)*5+2057</f>
        <v>2063.7213114754099</v>
      </c>
      <c r="AH361" s="517">
        <f>((414-252)/30.5)*5+414</f>
        <v>440.55737704918033</v>
      </c>
      <c r="AI361" s="517">
        <v>66</v>
      </c>
      <c r="AJ361" s="516">
        <v>2016</v>
      </c>
      <c r="AK361" s="516">
        <v>252</v>
      </c>
      <c r="AL361" s="516">
        <v>66</v>
      </c>
      <c r="AM361" s="664">
        <v>2016</v>
      </c>
      <c r="AN361" s="516">
        <v>252</v>
      </c>
      <c r="AO361" s="517">
        <v>66</v>
      </c>
      <c r="AP361" s="516">
        <v>2016</v>
      </c>
      <c r="AQ361" s="516">
        <v>252</v>
      </c>
      <c r="AR361" s="517">
        <v>66</v>
      </c>
      <c r="AS361" s="517">
        <f>(2016/30.5)*1+2016</f>
        <v>2082.0983606557379</v>
      </c>
      <c r="AT361" s="517">
        <f>(252/30.5)*1+252</f>
        <v>260.26229508196724</v>
      </c>
      <c r="AU361" s="517">
        <f>(66/30.5)*1+66</f>
        <v>68.163934426229503</v>
      </c>
      <c r="AV361" s="942"/>
      <c r="AW361" s="942"/>
      <c r="AX361" s="942"/>
      <c r="AY361" s="942"/>
      <c r="AZ361" s="942"/>
      <c r="BA361" s="576"/>
      <c r="BB361" s="576"/>
      <c r="BC361" s="576"/>
      <c r="BD361" s="576"/>
      <c r="BE361" s="576"/>
      <c r="BF361" s="576"/>
      <c r="BG361" s="576"/>
      <c r="BH361" s="576"/>
      <c r="BI361" s="576"/>
      <c r="BJ361" s="576"/>
      <c r="BK361" s="576"/>
      <c r="BL361" s="576"/>
      <c r="BM361" s="576"/>
      <c r="BN361" s="576"/>
      <c r="BO361" s="576"/>
      <c r="BP361" s="576"/>
      <c r="BQ361" s="576"/>
      <c r="BR361" s="576"/>
      <c r="BS361" s="576"/>
      <c r="BT361" s="576"/>
      <c r="BU361" s="576"/>
      <c r="BV361" s="576"/>
      <c r="BW361" s="576"/>
      <c r="BX361" s="576"/>
      <c r="BY361" s="576"/>
      <c r="BZ361" s="576"/>
      <c r="CA361" s="576"/>
      <c r="CB361" s="576"/>
      <c r="CC361" s="576"/>
      <c r="CD361" s="576"/>
      <c r="CE361" s="576"/>
      <c r="CF361" s="576"/>
      <c r="CG361" s="576"/>
      <c r="CH361" s="576"/>
      <c r="CI361" s="576"/>
      <c r="CJ361" s="576"/>
      <c r="CK361" s="576"/>
      <c r="CL361" s="576"/>
      <c r="CM361" s="576"/>
      <c r="CN361" s="576"/>
      <c r="CO361" s="576"/>
      <c r="CP361" s="576"/>
      <c r="CQ361" s="576"/>
      <c r="CR361" s="576"/>
      <c r="CS361" s="576"/>
      <c r="CT361" s="576"/>
      <c r="CU361" s="576"/>
      <c r="CV361" s="576"/>
      <c r="CW361" s="576"/>
      <c r="CX361" s="576"/>
      <c r="CY361" s="576"/>
      <c r="CZ361" s="576"/>
      <c r="DA361" s="576"/>
      <c r="DB361" s="576"/>
      <c r="DC361" s="576"/>
      <c r="DD361" s="576"/>
      <c r="DE361" s="576"/>
      <c r="DF361" s="576"/>
      <c r="DG361" s="576"/>
      <c r="DH361" s="576"/>
      <c r="DI361" s="576"/>
      <c r="DJ361" s="576"/>
      <c r="DK361" s="576"/>
      <c r="DL361" s="576"/>
      <c r="DM361" s="576"/>
      <c r="DN361" s="576"/>
      <c r="DO361" s="576"/>
      <c r="DP361" s="576"/>
      <c r="DQ361" s="576"/>
      <c r="DR361" s="576"/>
      <c r="DS361" s="576"/>
      <c r="DT361" s="576"/>
      <c r="DU361" s="576"/>
      <c r="DV361" s="576"/>
      <c r="DW361" s="576"/>
      <c r="DX361" s="576"/>
      <c r="DY361" s="576"/>
      <c r="DZ361" s="576"/>
      <c r="EA361" s="576"/>
      <c r="EB361" s="576"/>
      <c r="EC361" s="576"/>
      <c r="ED361" s="576"/>
      <c r="EE361" s="576"/>
      <c r="EF361" s="576"/>
      <c r="EG361" s="576"/>
      <c r="EH361" s="576"/>
      <c r="EI361" s="576"/>
      <c r="EJ361" s="576"/>
      <c r="EK361" s="576"/>
      <c r="EL361" s="576"/>
      <c r="EM361" s="576"/>
      <c r="EN361" s="576"/>
      <c r="EO361" s="576"/>
      <c r="EP361" s="576"/>
      <c r="EQ361" s="576"/>
      <c r="ER361" s="576"/>
      <c r="ES361" s="576"/>
      <c r="ET361" s="576"/>
      <c r="EU361" s="576"/>
      <c r="EV361" s="576"/>
      <c r="EW361" s="576"/>
      <c r="EX361" s="576"/>
      <c r="EY361" s="576"/>
      <c r="EZ361" s="576"/>
      <c r="FA361" s="576"/>
      <c r="FB361" s="576"/>
      <c r="FC361" s="576"/>
      <c r="FD361" s="576"/>
      <c r="FE361" s="576"/>
      <c r="FF361" s="576"/>
      <c r="FG361" s="576"/>
      <c r="FH361" s="576"/>
      <c r="FI361" s="576"/>
      <c r="FJ361" s="576"/>
      <c r="FK361" s="576"/>
      <c r="FL361" s="576"/>
      <c r="FM361" s="576"/>
      <c r="FN361" s="576"/>
      <c r="FO361" s="576"/>
      <c r="FP361" s="576"/>
      <c r="FQ361" s="576"/>
      <c r="FR361" s="576"/>
      <c r="FS361" s="576"/>
      <c r="FT361" s="576"/>
      <c r="FU361" s="576"/>
      <c r="FV361" s="576"/>
      <c r="FW361" s="576"/>
      <c r="FX361" s="576"/>
      <c r="FY361" s="576"/>
      <c r="FZ361" s="576"/>
      <c r="GA361" s="576"/>
      <c r="GB361" s="576"/>
      <c r="GC361" s="576"/>
      <c r="GD361" s="576"/>
      <c r="GE361" s="576"/>
      <c r="GF361" s="576"/>
      <c r="GG361" s="576"/>
      <c r="GH361" s="576"/>
      <c r="GI361" s="576"/>
      <c r="GJ361" s="576"/>
      <c r="GK361" s="576"/>
      <c r="GL361" s="576"/>
      <c r="GM361" s="576"/>
      <c r="GN361" s="576"/>
      <c r="GO361" s="576"/>
      <c r="GP361" s="576"/>
      <c r="GQ361" s="576"/>
      <c r="GR361" s="576"/>
      <c r="GS361" s="576"/>
      <c r="GT361" s="576"/>
      <c r="GU361" s="576"/>
      <c r="GV361" s="576"/>
      <c r="GW361" s="576"/>
      <c r="GX361" s="576"/>
      <c r="GY361" s="576"/>
      <c r="GZ361" s="576"/>
      <c r="HA361" s="576"/>
      <c r="HB361" s="576"/>
      <c r="HC361" s="576"/>
      <c r="HD361" s="576"/>
      <c r="HE361" s="576"/>
      <c r="HF361" s="576"/>
      <c r="HG361" s="576"/>
      <c r="HH361" s="576"/>
      <c r="HI361" s="576"/>
      <c r="HJ361" s="576"/>
      <c r="HK361" s="576"/>
      <c r="HL361" s="576"/>
      <c r="HM361" s="576"/>
      <c r="HN361" s="576"/>
      <c r="HO361" s="576"/>
      <c r="HP361" s="576"/>
      <c r="HQ361" s="576"/>
      <c r="HR361" s="576"/>
      <c r="HS361" s="576"/>
      <c r="HT361" s="576"/>
      <c r="HU361" s="576"/>
      <c r="HV361" s="576"/>
      <c r="HW361" s="576"/>
      <c r="HX361" s="576"/>
      <c r="HY361" s="576"/>
      <c r="HZ361" s="576"/>
      <c r="IA361" s="576"/>
      <c r="IB361" s="576"/>
      <c r="IC361" s="576"/>
      <c r="ID361" s="576"/>
      <c r="IE361" s="576"/>
      <c r="IF361" s="576"/>
      <c r="IG361" s="576"/>
      <c r="IH361" s="577"/>
      <c r="II361" s="578"/>
      <c r="IJ361" s="577"/>
      <c r="IK361" s="578"/>
      <c r="IL361" s="577"/>
      <c r="IM361" s="578"/>
      <c r="IN361" s="577"/>
      <c r="IO361" s="578"/>
      <c r="IP361" s="577"/>
      <c r="IQ361" s="578"/>
      <c r="IR361" s="803"/>
      <c r="IS361" s="576"/>
      <c r="IT361" s="804"/>
    </row>
    <row r="362" spans="1:259" s="367" customFormat="1" ht="16.5" customHeight="1" x14ac:dyDescent="0.3">
      <c r="A362" s="526" t="s">
        <v>2739</v>
      </c>
      <c r="B362" s="682" t="s">
        <v>3065</v>
      </c>
      <c r="C362" s="661" t="s">
        <v>1828</v>
      </c>
      <c r="D362" s="662">
        <v>1899</v>
      </c>
      <c r="E362" s="516">
        <v>142</v>
      </c>
      <c r="F362" s="516">
        <v>16</v>
      </c>
      <c r="G362" s="516">
        <v>414</v>
      </c>
      <c r="H362" s="663">
        <v>0</v>
      </c>
      <c r="I362" s="841">
        <v>2057</v>
      </c>
      <c r="J362" s="835">
        <v>414</v>
      </c>
      <c r="K362" s="827"/>
      <c r="L362" s="842">
        <f>((2057-1823)/30.5)*15+2057</f>
        <v>2172.0819672131147</v>
      </c>
      <c r="M362" s="842">
        <f>((414-171)/30.5)*15+414</f>
        <v>533.50819672131149</v>
      </c>
      <c r="N362" s="827"/>
      <c r="O362" s="835">
        <v>1823</v>
      </c>
      <c r="P362" s="835">
        <v>171</v>
      </c>
      <c r="Q362" s="943"/>
      <c r="R362" s="835">
        <v>1823</v>
      </c>
      <c r="S362" s="835">
        <v>171</v>
      </c>
      <c r="T362" s="943"/>
      <c r="U362" s="835">
        <v>1823</v>
      </c>
      <c r="V362" s="835">
        <v>171</v>
      </c>
      <c r="W362" s="943"/>
      <c r="X362" s="835">
        <v>1823</v>
      </c>
      <c r="Y362" s="835">
        <v>171</v>
      </c>
      <c r="Z362" s="943"/>
      <c r="AA362" s="835">
        <v>1823</v>
      </c>
      <c r="AB362" s="835">
        <v>171</v>
      </c>
      <c r="AC362" s="943"/>
      <c r="AD362" s="835">
        <v>1823</v>
      </c>
      <c r="AE362" s="835">
        <v>171</v>
      </c>
      <c r="AF362" s="943"/>
      <c r="AG362" s="835">
        <v>1823</v>
      </c>
      <c r="AH362" s="835">
        <v>171</v>
      </c>
      <c r="AI362" s="943"/>
      <c r="AJ362" s="835">
        <v>1823</v>
      </c>
      <c r="AK362" s="835">
        <v>171</v>
      </c>
      <c r="AL362" s="943"/>
      <c r="AM362" s="838">
        <f>((1823/30.5)*12+1823)</f>
        <v>2540.2459016393441</v>
      </c>
      <c r="AN362" s="838">
        <f>((171/30.5)*12)+171</f>
        <v>238.27868852459017</v>
      </c>
      <c r="AO362" s="944"/>
      <c r="AP362" s="945"/>
      <c r="AQ362" s="945"/>
      <c r="AR362" s="945"/>
      <c r="AS362" s="945"/>
      <c r="AT362" s="945"/>
      <c r="AU362" s="945"/>
      <c r="AV362" s="942"/>
      <c r="AW362" s="942"/>
      <c r="AX362" s="942"/>
      <c r="AY362" s="942"/>
      <c r="AZ362" s="942"/>
      <c r="BA362" s="576"/>
      <c r="BB362" s="576"/>
      <c r="BC362" s="576"/>
      <c r="BD362" s="576"/>
      <c r="BE362" s="576"/>
      <c r="BF362" s="576"/>
      <c r="BG362" s="576"/>
      <c r="BH362" s="576"/>
      <c r="BI362" s="576"/>
      <c r="BJ362" s="576"/>
      <c r="BK362" s="576"/>
      <c r="BL362" s="576"/>
      <c r="BM362" s="576"/>
      <c r="BN362" s="576"/>
      <c r="BO362" s="576"/>
      <c r="BP362" s="576"/>
      <c r="BQ362" s="576"/>
      <c r="BR362" s="576"/>
      <c r="BS362" s="576"/>
      <c r="BT362" s="576"/>
      <c r="BU362" s="576"/>
      <c r="BV362" s="576"/>
      <c r="BW362" s="576"/>
      <c r="BX362" s="576"/>
      <c r="BY362" s="576"/>
      <c r="BZ362" s="576"/>
      <c r="CA362" s="576"/>
      <c r="CB362" s="576"/>
      <c r="CC362" s="576"/>
      <c r="CD362" s="576"/>
      <c r="CE362" s="576"/>
      <c r="CF362" s="576"/>
      <c r="CG362" s="576"/>
      <c r="CH362" s="576"/>
      <c r="CI362" s="576"/>
      <c r="CJ362" s="576"/>
      <c r="CK362" s="576"/>
      <c r="CL362" s="576"/>
      <c r="CM362" s="576"/>
      <c r="CN362" s="576"/>
      <c r="CO362" s="576"/>
      <c r="CP362" s="576"/>
      <c r="CQ362" s="576"/>
      <c r="CR362" s="576"/>
      <c r="CS362" s="576"/>
      <c r="CT362" s="576"/>
      <c r="CU362" s="576"/>
      <c r="CV362" s="576"/>
      <c r="CW362" s="576"/>
      <c r="CX362" s="576"/>
      <c r="CY362" s="576"/>
      <c r="CZ362" s="576"/>
      <c r="DA362" s="576"/>
      <c r="DB362" s="576"/>
      <c r="DC362" s="576"/>
      <c r="DD362" s="576"/>
      <c r="DE362" s="576"/>
      <c r="DF362" s="576"/>
      <c r="DG362" s="576"/>
      <c r="DH362" s="576"/>
      <c r="DI362" s="576"/>
      <c r="DJ362" s="576"/>
      <c r="DK362" s="576"/>
      <c r="DL362" s="576"/>
      <c r="DM362" s="576"/>
      <c r="DN362" s="576"/>
      <c r="DO362" s="576"/>
      <c r="DP362" s="576"/>
      <c r="DQ362" s="576"/>
      <c r="DR362" s="576"/>
      <c r="DS362" s="576"/>
      <c r="DT362" s="576"/>
      <c r="DU362" s="576"/>
      <c r="DV362" s="576"/>
      <c r="DW362" s="576"/>
      <c r="DX362" s="576"/>
      <c r="DY362" s="576"/>
      <c r="DZ362" s="576"/>
      <c r="EA362" s="576"/>
      <c r="EB362" s="576"/>
      <c r="EC362" s="576"/>
      <c r="ED362" s="576"/>
      <c r="EE362" s="576"/>
      <c r="EF362" s="576"/>
      <c r="EG362" s="576"/>
      <c r="EH362" s="576"/>
      <c r="EI362" s="576"/>
      <c r="EJ362" s="576"/>
      <c r="EK362" s="576"/>
      <c r="EL362" s="576"/>
      <c r="EM362" s="576"/>
      <c r="EN362" s="576"/>
      <c r="EO362" s="576"/>
      <c r="EP362" s="576"/>
      <c r="EQ362" s="576"/>
      <c r="ER362" s="576"/>
      <c r="ES362" s="576"/>
      <c r="ET362" s="576"/>
      <c r="EU362" s="576"/>
      <c r="EV362" s="576"/>
      <c r="EW362" s="576"/>
      <c r="EX362" s="576"/>
      <c r="EY362" s="576"/>
      <c r="EZ362" s="576"/>
      <c r="FA362" s="576"/>
      <c r="FB362" s="576"/>
      <c r="FC362" s="576"/>
      <c r="FD362" s="576"/>
      <c r="FE362" s="576"/>
      <c r="FF362" s="576"/>
      <c r="FG362" s="576"/>
      <c r="FH362" s="576"/>
      <c r="FI362" s="576"/>
      <c r="FJ362" s="576"/>
      <c r="FK362" s="576"/>
      <c r="FL362" s="576"/>
      <c r="FM362" s="576"/>
      <c r="FN362" s="576"/>
      <c r="FO362" s="576"/>
      <c r="FP362" s="576"/>
      <c r="FQ362" s="576"/>
      <c r="FR362" s="576"/>
      <c r="FS362" s="576"/>
      <c r="FT362" s="576"/>
      <c r="FU362" s="576"/>
      <c r="FV362" s="576"/>
      <c r="FW362" s="576"/>
      <c r="FX362" s="576"/>
      <c r="FY362" s="576"/>
      <c r="FZ362" s="576"/>
      <c r="GA362" s="576"/>
      <c r="GB362" s="576"/>
      <c r="GC362" s="576"/>
      <c r="GD362" s="576"/>
      <c r="GE362" s="576"/>
      <c r="GF362" s="576"/>
      <c r="GG362" s="576"/>
      <c r="GH362" s="576"/>
      <c r="GI362" s="576"/>
      <c r="GJ362" s="576"/>
      <c r="GK362" s="576"/>
      <c r="GL362" s="576"/>
      <c r="GM362" s="576"/>
      <c r="GN362" s="576"/>
      <c r="GO362" s="576"/>
      <c r="GP362" s="576"/>
      <c r="GQ362" s="576"/>
      <c r="GR362" s="576"/>
      <c r="GS362" s="576"/>
      <c r="GT362" s="576"/>
      <c r="GU362" s="576"/>
      <c r="GV362" s="576"/>
      <c r="GW362" s="576"/>
      <c r="GX362" s="576"/>
      <c r="GY362" s="576"/>
      <c r="GZ362" s="576"/>
      <c r="HA362" s="576"/>
      <c r="HB362" s="576"/>
      <c r="HC362" s="576"/>
      <c r="HD362" s="576"/>
      <c r="HE362" s="576"/>
      <c r="HF362" s="576"/>
      <c r="HG362" s="576"/>
      <c r="HH362" s="576"/>
      <c r="HI362" s="576"/>
      <c r="HJ362" s="576"/>
      <c r="HK362" s="576"/>
      <c r="HL362" s="576"/>
      <c r="HM362" s="576"/>
      <c r="HN362" s="576"/>
      <c r="HO362" s="576"/>
      <c r="HP362" s="576"/>
      <c r="HQ362" s="576"/>
      <c r="HR362" s="576"/>
      <c r="HS362" s="576"/>
      <c r="HT362" s="576"/>
      <c r="HU362" s="576"/>
      <c r="HV362" s="576"/>
      <c r="HW362" s="576"/>
      <c r="HX362" s="576"/>
      <c r="HY362" s="576"/>
      <c r="HZ362" s="576"/>
      <c r="IA362" s="576"/>
      <c r="IB362" s="576"/>
      <c r="IC362" s="576"/>
      <c r="ID362" s="576"/>
      <c r="IE362" s="576"/>
      <c r="IF362" s="576"/>
      <c r="IG362" s="576"/>
      <c r="IH362" s="577"/>
      <c r="II362" s="578"/>
      <c r="IJ362" s="577"/>
      <c r="IK362" s="578"/>
      <c r="IL362" s="577"/>
      <c r="IM362" s="578"/>
      <c r="IN362" s="577"/>
      <c r="IO362" s="578"/>
      <c r="IP362" s="577"/>
      <c r="IQ362" s="578"/>
      <c r="IR362" s="803"/>
      <c r="IS362" s="576"/>
      <c r="IT362" s="804"/>
    </row>
    <row r="363" spans="1:259" s="367" customFormat="1" ht="16.5" customHeight="1" x14ac:dyDescent="0.3">
      <c r="A363" s="526" t="s">
        <v>2739</v>
      </c>
      <c r="B363" s="682" t="s">
        <v>3065</v>
      </c>
      <c r="C363" s="805" t="s">
        <v>1837</v>
      </c>
      <c r="D363" s="806">
        <v>1899</v>
      </c>
      <c r="E363" s="807">
        <v>142</v>
      </c>
      <c r="F363" s="807">
        <v>16</v>
      </c>
      <c r="G363" s="807">
        <v>414</v>
      </c>
      <c r="H363" s="808">
        <v>0</v>
      </c>
      <c r="I363" s="946">
        <f>(2057+336)</f>
        <v>2393</v>
      </c>
      <c r="J363" s="842">
        <v>414</v>
      </c>
      <c r="K363" s="516"/>
      <c r="L363" s="912">
        <v>2009</v>
      </c>
      <c r="M363" s="842">
        <v>414</v>
      </c>
      <c r="N363" s="516"/>
      <c r="O363" s="912">
        <v>2009</v>
      </c>
      <c r="P363" s="912">
        <v>414</v>
      </c>
      <c r="Q363" s="516"/>
      <c r="R363" s="912">
        <v>2009</v>
      </c>
      <c r="S363" s="912">
        <v>414</v>
      </c>
      <c r="T363" s="516"/>
      <c r="U363" s="912">
        <v>2009</v>
      </c>
      <c r="V363" s="912">
        <v>414</v>
      </c>
      <c r="W363" s="516"/>
      <c r="X363" s="912">
        <v>2009</v>
      </c>
      <c r="Y363" s="912">
        <v>414</v>
      </c>
      <c r="Z363" s="516"/>
      <c r="AA363" s="912">
        <v>2009</v>
      </c>
      <c r="AB363" s="912">
        <v>414</v>
      </c>
      <c r="AC363" s="516"/>
      <c r="AD363" s="750">
        <f>((2009-1786)/30.5)*6+2009</f>
        <v>2052.8688524590166</v>
      </c>
      <c r="AE363" s="750">
        <f>((414-108)/30.5)*6+414</f>
        <v>474.19672131147541</v>
      </c>
      <c r="AF363" s="516"/>
      <c r="AG363" s="847">
        <v>1786</v>
      </c>
      <c r="AH363" s="837">
        <v>108</v>
      </c>
      <c r="AI363" s="516"/>
      <c r="AJ363" s="837">
        <v>1786</v>
      </c>
      <c r="AK363" s="837">
        <v>108</v>
      </c>
      <c r="AL363" s="516"/>
      <c r="AM363" s="838">
        <f>((1786/30.5)*12+1786)</f>
        <v>2488.688524590164</v>
      </c>
      <c r="AN363" s="838">
        <f>((108/30.5)*12)+108</f>
        <v>150.49180327868851</v>
      </c>
      <c r="AO363" s="517"/>
      <c r="AP363" s="942"/>
      <c r="AQ363" s="942"/>
      <c r="AR363" s="942"/>
      <c r="AS363" s="942"/>
      <c r="AT363" s="942"/>
      <c r="AU363" s="942"/>
      <c r="AV363" s="942"/>
      <c r="AW363" s="942"/>
      <c r="AX363" s="942"/>
      <c r="AY363" s="942"/>
      <c r="AZ363" s="942"/>
      <c r="BA363" s="576"/>
      <c r="BB363" s="576"/>
      <c r="BC363" s="576"/>
      <c r="BD363" s="576"/>
      <c r="BE363" s="576"/>
      <c r="BF363" s="576"/>
      <c r="BG363" s="576"/>
      <c r="BH363" s="576"/>
      <c r="BI363" s="576"/>
      <c r="BJ363" s="576"/>
      <c r="BK363" s="576"/>
      <c r="BL363" s="576"/>
      <c r="BM363" s="576"/>
      <c r="BN363" s="576"/>
      <c r="BO363" s="576"/>
      <c r="BP363" s="576"/>
      <c r="BQ363" s="576"/>
      <c r="BR363" s="576"/>
      <c r="BS363" s="576"/>
      <c r="BT363" s="576"/>
      <c r="BU363" s="576"/>
      <c r="BV363" s="576"/>
      <c r="BW363" s="576"/>
      <c r="BX363" s="576"/>
      <c r="BY363" s="576"/>
      <c r="BZ363" s="576"/>
      <c r="CA363" s="576"/>
      <c r="CB363" s="576"/>
      <c r="CC363" s="576"/>
      <c r="CD363" s="576"/>
      <c r="CE363" s="576"/>
      <c r="CF363" s="576"/>
      <c r="CG363" s="576"/>
      <c r="CH363" s="576"/>
      <c r="CI363" s="576"/>
      <c r="CJ363" s="576"/>
      <c r="CK363" s="576"/>
      <c r="CL363" s="576"/>
      <c r="CM363" s="576"/>
      <c r="CN363" s="576"/>
      <c r="CO363" s="576"/>
      <c r="CP363" s="576"/>
      <c r="CQ363" s="576"/>
      <c r="CR363" s="576"/>
      <c r="CS363" s="576"/>
      <c r="CT363" s="576"/>
      <c r="CU363" s="576"/>
      <c r="CV363" s="576"/>
      <c r="CW363" s="576"/>
      <c r="CX363" s="576"/>
      <c r="CY363" s="576"/>
      <c r="CZ363" s="576"/>
      <c r="DA363" s="576"/>
      <c r="DB363" s="576"/>
      <c r="DC363" s="576"/>
      <c r="DD363" s="576"/>
      <c r="DE363" s="576"/>
      <c r="DF363" s="576"/>
      <c r="DG363" s="576"/>
      <c r="DH363" s="576"/>
      <c r="DI363" s="576"/>
      <c r="DJ363" s="576"/>
      <c r="DK363" s="576"/>
      <c r="DL363" s="576"/>
      <c r="DM363" s="576"/>
      <c r="DN363" s="576"/>
      <c r="DO363" s="576"/>
      <c r="DP363" s="576"/>
      <c r="DQ363" s="576"/>
      <c r="DR363" s="576"/>
      <c r="DS363" s="576"/>
      <c r="DT363" s="576"/>
      <c r="DU363" s="576"/>
      <c r="DV363" s="576"/>
      <c r="DW363" s="576"/>
      <c r="DX363" s="576"/>
      <c r="DY363" s="576"/>
      <c r="DZ363" s="576"/>
      <c r="EA363" s="576"/>
      <c r="EB363" s="576"/>
      <c r="EC363" s="576"/>
      <c r="ED363" s="576"/>
      <c r="EE363" s="576"/>
      <c r="EF363" s="576"/>
      <c r="EG363" s="576"/>
      <c r="EH363" s="576"/>
      <c r="EI363" s="576"/>
      <c r="EJ363" s="576"/>
      <c r="EK363" s="576"/>
      <c r="EL363" s="576"/>
      <c r="EM363" s="576"/>
      <c r="EN363" s="576"/>
      <c r="EO363" s="576"/>
      <c r="EP363" s="576"/>
      <c r="EQ363" s="576"/>
      <c r="ER363" s="576"/>
      <c r="ES363" s="576"/>
      <c r="ET363" s="576"/>
      <c r="EU363" s="576"/>
      <c r="EV363" s="576"/>
      <c r="EW363" s="576"/>
      <c r="EX363" s="576"/>
      <c r="EY363" s="576"/>
      <c r="EZ363" s="576"/>
      <c r="FA363" s="576"/>
      <c r="FB363" s="576"/>
      <c r="FC363" s="576"/>
      <c r="FD363" s="576"/>
      <c r="FE363" s="576"/>
      <c r="FF363" s="576"/>
      <c r="FG363" s="576"/>
      <c r="FH363" s="576"/>
      <c r="FI363" s="576"/>
      <c r="FJ363" s="576"/>
      <c r="FK363" s="576"/>
      <c r="FL363" s="576"/>
      <c r="FM363" s="576"/>
      <c r="FN363" s="576"/>
      <c r="FO363" s="576"/>
      <c r="FP363" s="576"/>
      <c r="FQ363" s="576"/>
      <c r="FR363" s="576"/>
      <c r="FS363" s="576"/>
      <c r="FT363" s="576"/>
      <c r="FU363" s="576"/>
      <c r="FV363" s="576"/>
      <c r="FW363" s="576"/>
      <c r="FX363" s="576"/>
      <c r="FY363" s="576"/>
      <c r="FZ363" s="576"/>
      <c r="GA363" s="576"/>
      <c r="GB363" s="576"/>
      <c r="GC363" s="576"/>
      <c r="GD363" s="576"/>
      <c r="GE363" s="576"/>
      <c r="GF363" s="576"/>
      <c r="GG363" s="576"/>
      <c r="GH363" s="576"/>
      <c r="GI363" s="576"/>
      <c r="GJ363" s="576"/>
      <c r="GK363" s="576"/>
      <c r="GL363" s="576"/>
      <c r="GM363" s="576"/>
      <c r="GN363" s="576"/>
      <c r="GO363" s="576"/>
      <c r="GP363" s="576"/>
      <c r="GQ363" s="576"/>
      <c r="GR363" s="576"/>
      <c r="GS363" s="576"/>
      <c r="GT363" s="576"/>
      <c r="GU363" s="576"/>
      <c r="GV363" s="576"/>
      <c r="GW363" s="576"/>
      <c r="GX363" s="576"/>
      <c r="GY363" s="576"/>
      <c r="GZ363" s="576"/>
      <c r="HA363" s="576"/>
      <c r="HB363" s="576"/>
      <c r="HC363" s="576"/>
      <c r="HD363" s="576"/>
      <c r="HE363" s="576"/>
      <c r="HF363" s="576"/>
      <c r="HG363" s="576"/>
      <c r="HH363" s="576"/>
      <c r="HI363" s="576"/>
      <c r="HJ363" s="576"/>
      <c r="HK363" s="576"/>
      <c r="HL363" s="576"/>
      <c r="HM363" s="576"/>
      <c r="HN363" s="576"/>
      <c r="HO363" s="576"/>
      <c r="HP363" s="576"/>
      <c r="HQ363" s="576"/>
      <c r="HR363" s="576"/>
      <c r="HS363" s="576"/>
      <c r="HT363" s="576"/>
      <c r="HU363" s="576"/>
      <c r="HV363" s="576"/>
      <c r="HW363" s="576"/>
      <c r="HX363" s="576"/>
      <c r="HY363" s="576"/>
      <c r="HZ363" s="576"/>
      <c r="IA363" s="576"/>
      <c r="IB363" s="576"/>
      <c r="IC363" s="576"/>
      <c r="ID363" s="576"/>
      <c r="IE363" s="576"/>
      <c r="IF363" s="576"/>
      <c r="IG363" s="576"/>
      <c r="IH363" s="577"/>
      <c r="II363" s="578"/>
      <c r="IJ363" s="577"/>
      <c r="IK363" s="578"/>
      <c r="IL363" s="577"/>
      <c r="IM363" s="578"/>
      <c r="IN363" s="577"/>
      <c r="IO363" s="578"/>
      <c r="IP363" s="577"/>
      <c r="IQ363" s="578"/>
      <c r="IR363" s="803"/>
      <c r="IS363" s="576"/>
      <c r="IT363" s="804"/>
    </row>
    <row r="364" spans="1:259" s="367" customFormat="1" ht="16.5" customHeight="1" x14ac:dyDescent="0.3">
      <c r="A364" s="526" t="s">
        <v>2739</v>
      </c>
      <c r="B364" s="682" t="s">
        <v>2791</v>
      </c>
      <c r="C364" s="661" t="s">
        <v>1844</v>
      </c>
      <c r="D364" s="662">
        <v>1454</v>
      </c>
      <c r="E364" s="516">
        <v>142</v>
      </c>
      <c r="F364" s="516">
        <v>16</v>
      </c>
      <c r="G364" s="516">
        <v>36</v>
      </c>
      <c r="H364" s="663">
        <v>0</v>
      </c>
      <c r="I364" s="841">
        <v>1612</v>
      </c>
      <c r="J364" s="842">
        <v>36</v>
      </c>
      <c r="K364" s="947"/>
      <c r="L364" s="835">
        <v>1612</v>
      </c>
      <c r="M364" s="842">
        <v>36</v>
      </c>
      <c r="N364" s="947"/>
      <c r="O364" s="835">
        <v>1612</v>
      </c>
      <c r="P364" s="835">
        <v>36</v>
      </c>
      <c r="Q364" s="947"/>
      <c r="R364" s="835">
        <v>1612</v>
      </c>
      <c r="S364" s="835">
        <v>36</v>
      </c>
      <c r="T364" s="947"/>
      <c r="U364" s="835">
        <v>1612</v>
      </c>
      <c r="V364" s="835">
        <v>36</v>
      </c>
      <c r="W364" s="947"/>
      <c r="X364" s="835">
        <v>1612</v>
      </c>
      <c r="Y364" s="835">
        <v>36</v>
      </c>
      <c r="Z364" s="947"/>
      <c r="AA364" s="835">
        <v>1612</v>
      </c>
      <c r="AB364" s="835">
        <v>36</v>
      </c>
      <c r="AC364" s="947"/>
      <c r="AD364" s="835">
        <v>1612</v>
      </c>
      <c r="AE364" s="835">
        <v>36</v>
      </c>
      <c r="AF364" s="947"/>
      <c r="AG364" s="837">
        <v>1612</v>
      </c>
      <c r="AH364" s="837">
        <v>36</v>
      </c>
      <c r="AI364" s="848"/>
      <c r="AJ364" s="837">
        <v>1612</v>
      </c>
      <c r="AK364" s="837">
        <v>36</v>
      </c>
      <c r="AL364" s="848"/>
      <c r="AM364" s="838">
        <f>((1612/30.5)*12+1612)</f>
        <v>2246.2295081967213</v>
      </c>
      <c r="AN364" s="838">
        <f>((36/30.5)*12)+36</f>
        <v>50.16393442622951</v>
      </c>
      <c r="AO364" s="905"/>
      <c r="AP364" s="948"/>
      <c r="AQ364" s="948"/>
      <c r="AR364" s="948"/>
      <c r="AS364" s="948"/>
      <c r="AT364" s="948"/>
      <c r="AU364" s="948"/>
      <c r="AV364" s="942"/>
      <c r="AW364" s="942"/>
      <c r="AX364" s="942"/>
      <c r="AY364" s="942"/>
      <c r="AZ364" s="942"/>
      <c r="BA364" s="576"/>
      <c r="BB364" s="576"/>
      <c r="BC364" s="576"/>
      <c r="BD364" s="576"/>
      <c r="BE364" s="576"/>
      <c r="BF364" s="576"/>
      <c r="BG364" s="576"/>
      <c r="BH364" s="576"/>
      <c r="BI364" s="576"/>
      <c r="BJ364" s="576"/>
      <c r="BK364" s="576"/>
      <c r="BL364" s="576"/>
      <c r="BM364" s="576"/>
      <c r="BN364" s="576"/>
      <c r="BO364" s="576"/>
      <c r="BP364" s="576"/>
      <c r="BQ364" s="576"/>
      <c r="BR364" s="576"/>
      <c r="BS364" s="576"/>
      <c r="BT364" s="576"/>
      <c r="BU364" s="576"/>
      <c r="BV364" s="576"/>
      <c r="BW364" s="576"/>
      <c r="BX364" s="576"/>
      <c r="BY364" s="576"/>
      <c r="BZ364" s="576"/>
      <c r="CA364" s="576"/>
      <c r="CB364" s="576"/>
      <c r="CC364" s="576"/>
      <c r="CD364" s="576"/>
      <c r="CE364" s="576"/>
      <c r="CF364" s="576"/>
      <c r="CG364" s="576"/>
      <c r="CH364" s="576"/>
      <c r="CI364" s="576"/>
      <c r="CJ364" s="576"/>
      <c r="CK364" s="576"/>
      <c r="CL364" s="576"/>
      <c r="CM364" s="576"/>
      <c r="CN364" s="576"/>
      <c r="CO364" s="576"/>
      <c r="CP364" s="576"/>
      <c r="CQ364" s="576"/>
      <c r="CR364" s="576"/>
      <c r="CS364" s="576"/>
      <c r="CT364" s="576"/>
      <c r="CU364" s="576"/>
      <c r="CV364" s="576"/>
      <c r="CW364" s="576"/>
      <c r="CX364" s="576"/>
      <c r="CY364" s="576"/>
      <c r="CZ364" s="576"/>
      <c r="DA364" s="576"/>
      <c r="DB364" s="576"/>
      <c r="DC364" s="576"/>
      <c r="DD364" s="576"/>
      <c r="DE364" s="576"/>
      <c r="DF364" s="576"/>
      <c r="DG364" s="576"/>
      <c r="DH364" s="576"/>
      <c r="DI364" s="576"/>
      <c r="DJ364" s="576"/>
      <c r="DK364" s="576"/>
      <c r="DL364" s="576"/>
      <c r="DM364" s="576"/>
      <c r="DN364" s="576"/>
      <c r="DO364" s="576"/>
      <c r="DP364" s="576"/>
      <c r="DQ364" s="576"/>
      <c r="DR364" s="576"/>
      <c r="DS364" s="576"/>
      <c r="DT364" s="576"/>
      <c r="DU364" s="576"/>
      <c r="DV364" s="576"/>
      <c r="DW364" s="576"/>
      <c r="DX364" s="576"/>
      <c r="DY364" s="576"/>
      <c r="DZ364" s="576"/>
      <c r="EA364" s="576"/>
      <c r="EB364" s="576"/>
      <c r="EC364" s="576"/>
      <c r="ED364" s="576"/>
      <c r="EE364" s="576"/>
      <c r="EF364" s="576"/>
      <c r="EG364" s="576"/>
      <c r="EH364" s="576"/>
      <c r="EI364" s="576"/>
      <c r="EJ364" s="576"/>
      <c r="EK364" s="576"/>
      <c r="EL364" s="576"/>
      <c r="EM364" s="576"/>
      <c r="EN364" s="576"/>
      <c r="EO364" s="576"/>
      <c r="EP364" s="576"/>
      <c r="EQ364" s="576"/>
      <c r="ER364" s="576"/>
      <c r="ES364" s="576"/>
      <c r="ET364" s="576"/>
      <c r="EU364" s="576"/>
      <c r="EV364" s="576"/>
      <c r="EW364" s="576"/>
      <c r="EX364" s="576"/>
      <c r="EY364" s="576"/>
      <c r="EZ364" s="576"/>
      <c r="FA364" s="576"/>
      <c r="FB364" s="576"/>
      <c r="FC364" s="576"/>
      <c r="FD364" s="576"/>
      <c r="FE364" s="576"/>
      <c r="FF364" s="576"/>
      <c r="FG364" s="576"/>
      <c r="FH364" s="576"/>
      <c r="FI364" s="576"/>
      <c r="FJ364" s="576"/>
      <c r="FK364" s="576"/>
      <c r="FL364" s="576"/>
      <c r="FM364" s="576"/>
      <c r="FN364" s="576"/>
      <c r="FO364" s="576"/>
      <c r="FP364" s="576"/>
      <c r="FQ364" s="576"/>
      <c r="FR364" s="576"/>
      <c r="FS364" s="576"/>
      <c r="FT364" s="576"/>
      <c r="FU364" s="576"/>
      <c r="FV364" s="576"/>
      <c r="FW364" s="576"/>
      <c r="FX364" s="576"/>
      <c r="FY364" s="576"/>
      <c r="FZ364" s="576"/>
      <c r="GA364" s="576"/>
      <c r="GB364" s="576"/>
      <c r="GC364" s="576"/>
      <c r="GD364" s="576"/>
      <c r="GE364" s="576"/>
      <c r="GF364" s="576"/>
      <c r="GG364" s="576"/>
      <c r="GH364" s="576"/>
      <c r="GI364" s="576"/>
      <c r="GJ364" s="576"/>
      <c r="GK364" s="576"/>
      <c r="GL364" s="576"/>
      <c r="GM364" s="576"/>
      <c r="GN364" s="576"/>
      <c r="GO364" s="576"/>
      <c r="GP364" s="576"/>
      <c r="GQ364" s="576"/>
      <c r="GR364" s="576"/>
      <c r="GS364" s="576"/>
      <c r="GT364" s="576"/>
      <c r="GU364" s="576"/>
      <c r="GV364" s="576"/>
      <c r="GW364" s="576"/>
      <c r="GX364" s="576"/>
      <c r="GY364" s="576"/>
      <c r="GZ364" s="576"/>
      <c r="HA364" s="576"/>
      <c r="HB364" s="576"/>
      <c r="HC364" s="576"/>
      <c r="HD364" s="576"/>
      <c r="HE364" s="576"/>
      <c r="HF364" s="576"/>
      <c r="HG364" s="576"/>
      <c r="HH364" s="576"/>
      <c r="HI364" s="576"/>
      <c r="HJ364" s="576"/>
      <c r="HK364" s="576"/>
      <c r="HL364" s="576"/>
      <c r="HM364" s="576"/>
      <c r="HN364" s="576"/>
      <c r="HO364" s="576"/>
      <c r="HP364" s="576"/>
      <c r="HQ364" s="576"/>
      <c r="HR364" s="576"/>
      <c r="HS364" s="576"/>
      <c r="HT364" s="576"/>
      <c r="HU364" s="576"/>
      <c r="HV364" s="576"/>
      <c r="HW364" s="576"/>
      <c r="HX364" s="576"/>
      <c r="HY364" s="576"/>
      <c r="HZ364" s="576"/>
      <c r="IA364" s="576"/>
      <c r="IB364" s="576"/>
      <c r="IC364" s="576"/>
      <c r="ID364" s="576"/>
      <c r="IE364" s="576"/>
      <c r="IF364" s="576"/>
      <c r="IG364" s="576"/>
      <c r="IH364" s="577"/>
      <c r="II364" s="578"/>
      <c r="IJ364" s="577"/>
      <c r="IK364" s="578"/>
      <c r="IL364" s="577"/>
      <c r="IM364" s="578"/>
      <c r="IN364" s="577"/>
      <c r="IO364" s="578"/>
      <c r="IP364" s="577"/>
      <c r="IQ364" s="578"/>
      <c r="IR364" s="803"/>
      <c r="IS364" s="576"/>
      <c r="IT364" s="804"/>
    </row>
    <row r="365" spans="1:259" s="367" customFormat="1" ht="16.5" customHeight="1" x14ac:dyDescent="0.3">
      <c r="A365" s="526" t="s">
        <v>2739</v>
      </c>
      <c r="B365" s="682" t="s">
        <v>2742</v>
      </c>
      <c r="C365" s="661" t="s">
        <v>1868</v>
      </c>
      <c r="D365" s="662">
        <v>1842</v>
      </c>
      <c r="E365" s="516">
        <v>142</v>
      </c>
      <c r="F365" s="516">
        <v>0</v>
      </c>
      <c r="G365" s="516">
        <v>252</v>
      </c>
      <c r="H365" s="663">
        <v>0</v>
      </c>
      <c r="I365" s="949">
        <v>1984</v>
      </c>
      <c r="J365" s="842">
        <v>252</v>
      </c>
      <c r="K365" s="950"/>
      <c r="L365" s="951">
        <v>1984</v>
      </c>
      <c r="M365" s="842">
        <v>252</v>
      </c>
      <c r="N365" s="950"/>
      <c r="O365" s="951">
        <v>1984</v>
      </c>
      <c r="P365" s="951">
        <v>252</v>
      </c>
      <c r="Q365" s="950"/>
      <c r="R365" s="951">
        <v>1984</v>
      </c>
      <c r="S365" s="951">
        <v>252</v>
      </c>
      <c r="T365" s="950"/>
      <c r="U365" s="951">
        <v>1984</v>
      </c>
      <c r="V365" s="951">
        <v>252</v>
      </c>
      <c r="W365" s="950"/>
      <c r="X365" s="951">
        <v>1984</v>
      </c>
      <c r="Y365" s="951">
        <v>252</v>
      </c>
      <c r="Z365" s="950"/>
      <c r="AA365" s="951">
        <v>1984</v>
      </c>
      <c r="AB365" s="951">
        <v>252</v>
      </c>
      <c r="AC365" s="950"/>
      <c r="AD365" s="951">
        <v>1984</v>
      </c>
      <c r="AE365" s="951">
        <v>252</v>
      </c>
      <c r="AF365" s="950"/>
      <c r="AG365" s="951">
        <v>1984</v>
      </c>
      <c r="AH365" s="951">
        <v>252</v>
      </c>
      <c r="AI365" s="950"/>
      <c r="AJ365" s="951">
        <v>1984</v>
      </c>
      <c r="AK365" s="951">
        <v>252</v>
      </c>
      <c r="AL365" s="950"/>
      <c r="AM365" s="838">
        <f>((1984/30.5)*7+1984)</f>
        <v>2439.344262295082</v>
      </c>
      <c r="AN365" s="838">
        <f>((252/30.5)*7)+252</f>
        <v>309.8360655737705</v>
      </c>
      <c r="AO365" s="905"/>
      <c r="AP365" s="948"/>
      <c r="AQ365" s="948"/>
      <c r="AR365" s="948"/>
      <c r="AS365" s="948"/>
      <c r="AT365" s="948"/>
      <c r="AU365" s="948"/>
      <c r="AV365" s="942"/>
      <c r="AW365" s="942"/>
      <c r="AX365" s="942"/>
      <c r="AY365" s="942"/>
      <c r="AZ365" s="942"/>
      <c r="BA365" s="576"/>
      <c r="BB365" s="576"/>
      <c r="BC365" s="576"/>
      <c r="BD365" s="576"/>
      <c r="BE365" s="576"/>
      <c r="BF365" s="576"/>
      <c r="BG365" s="576"/>
      <c r="BH365" s="576"/>
      <c r="BI365" s="576"/>
      <c r="BJ365" s="576"/>
      <c r="BK365" s="576"/>
      <c r="BL365" s="576"/>
      <c r="BM365" s="576"/>
      <c r="BN365" s="576"/>
      <c r="BO365" s="576"/>
      <c r="BP365" s="576"/>
      <c r="BQ365" s="576"/>
      <c r="BR365" s="576"/>
      <c r="BS365" s="576"/>
      <c r="BT365" s="576"/>
      <c r="BU365" s="576"/>
      <c r="BV365" s="576"/>
      <c r="BW365" s="576"/>
      <c r="BX365" s="576"/>
      <c r="BY365" s="576"/>
      <c r="BZ365" s="576"/>
      <c r="CA365" s="576"/>
      <c r="CB365" s="576"/>
      <c r="CC365" s="576"/>
      <c r="CD365" s="576"/>
      <c r="CE365" s="576"/>
      <c r="CF365" s="576"/>
      <c r="CG365" s="576"/>
      <c r="CH365" s="576"/>
      <c r="CI365" s="576"/>
      <c r="CJ365" s="576"/>
      <c r="CK365" s="576"/>
      <c r="CL365" s="576"/>
      <c r="CM365" s="576"/>
      <c r="CN365" s="576"/>
      <c r="CO365" s="576"/>
      <c r="CP365" s="576"/>
      <c r="CQ365" s="576"/>
      <c r="CR365" s="576"/>
      <c r="CS365" s="576"/>
      <c r="CT365" s="576"/>
      <c r="CU365" s="576"/>
      <c r="CV365" s="576"/>
      <c r="CW365" s="576"/>
      <c r="CX365" s="576"/>
      <c r="CY365" s="576"/>
      <c r="CZ365" s="576"/>
      <c r="DA365" s="576"/>
      <c r="DB365" s="576"/>
      <c r="DC365" s="576"/>
      <c r="DD365" s="576"/>
      <c r="DE365" s="576"/>
      <c r="DF365" s="576"/>
      <c r="DG365" s="576"/>
      <c r="DH365" s="576"/>
      <c r="DI365" s="576"/>
      <c r="DJ365" s="576"/>
      <c r="DK365" s="576"/>
      <c r="DL365" s="576"/>
      <c r="DM365" s="576"/>
      <c r="DN365" s="576"/>
      <c r="DO365" s="576"/>
      <c r="DP365" s="576"/>
      <c r="DQ365" s="576"/>
      <c r="DR365" s="576"/>
      <c r="DS365" s="576"/>
      <c r="DT365" s="576"/>
      <c r="DU365" s="576"/>
      <c r="DV365" s="576"/>
      <c r="DW365" s="576"/>
      <c r="DX365" s="576"/>
      <c r="DY365" s="576"/>
      <c r="DZ365" s="576"/>
      <c r="EA365" s="576"/>
      <c r="EB365" s="576"/>
      <c r="EC365" s="576"/>
      <c r="ED365" s="576"/>
      <c r="EE365" s="576"/>
      <c r="EF365" s="576"/>
      <c r="EG365" s="576"/>
      <c r="EH365" s="576"/>
      <c r="EI365" s="576"/>
      <c r="EJ365" s="576"/>
      <c r="EK365" s="576"/>
      <c r="EL365" s="576"/>
      <c r="EM365" s="576"/>
      <c r="EN365" s="576"/>
      <c r="EO365" s="576"/>
      <c r="EP365" s="576"/>
      <c r="EQ365" s="576"/>
      <c r="ER365" s="576"/>
      <c r="ES365" s="576"/>
      <c r="ET365" s="576"/>
      <c r="EU365" s="576"/>
      <c r="EV365" s="576"/>
      <c r="EW365" s="576"/>
      <c r="EX365" s="576"/>
      <c r="EY365" s="576"/>
      <c r="EZ365" s="576"/>
      <c r="FA365" s="576"/>
      <c r="FB365" s="576"/>
      <c r="FC365" s="576"/>
      <c r="FD365" s="576"/>
      <c r="FE365" s="576"/>
      <c r="FF365" s="576"/>
      <c r="FG365" s="576"/>
      <c r="FH365" s="576"/>
      <c r="FI365" s="576"/>
      <c r="FJ365" s="576"/>
      <c r="FK365" s="576"/>
      <c r="FL365" s="576"/>
      <c r="FM365" s="576"/>
      <c r="FN365" s="576"/>
      <c r="FO365" s="576"/>
      <c r="FP365" s="576"/>
      <c r="FQ365" s="576"/>
      <c r="FR365" s="576"/>
      <c r="FS365" s="576"/>
      <c r="FT365" s="576"/>
      <c r="FU365" s="576"/>
      <c r="FV365" s="576"/>
      <c r="FW365" s="576"/>
      <c r="FX365" s="576"/>
      <c r="FY365" s="576"/>
      <c r="FZ365" s="576"/>
      <c r="GA365" s="576"/>
      <c r="GB365" s="576"/>
      <c r="GC365" s="576"/>
      <c r="GD365" s="576"/>
      <c r="GE365" s="576"/>
      <c r="GF365" s="576"/>
      <c r="GG365" s="576"/>
      <c r="GH365" s="576"/>
      <c r="GI365" s="576"/>
      <c r="GJ365" s="576"/>
      <c r="GK365" s="576"/>
      <c r="GL365" s="576"/>
      <c r="GM365" s="576"/>
      <c r="GN365" s="576"/>
      <c r="GO365" s="576"/>
      <c r="GP365" s="576"/>
      <c r="GQ365" s="576"/>
      <c r="GR365" s="576"/>
      <c r="GS365" s="576"/>
      <c r="GT365" s="576"/>
      <c r="GU365" s="576"/>
      <c r="GV365" s="576"/>
      <c r="GW365" s="576"/>
      <c r="GX365" s="576"/>
      <c r="GY365" s="576"/>
      <c r="GZ365" s="576"/>
      <c r="HA365" s="576"/>
      <c r="HB365" s="576"/>
      <c r="HC365" s="576"/>
      <c r="HD365" s="576"/>
      <c r="HE365" s="576"/>
      <c r="HF365" s="576"/>
      <c r="HG365" s="576"/>
      <c r="HH365" s="576"/>
      <c r="HI365" s="576"/>
      <c r="HJ365" s="576"/>
      <c r="HK365" s="576"/>
      <c r="HL365" s="576"/>
      <c r="HM365" s="576"/>
      <c r="HN365" s="576"/>
      <c r="HO365" s="576"/>
      <c r="HP365" s="576"/>
      <c r="HQ365" s="576"/>
      <c r="HR365" s="576"/>
      <c r="HS365" s="576"/>
      <c r="HT365" s="576"/>
      <c r="HU365" s="576"/>
      <c r="HV365" s="576"/>
      <c r="HW365" s="576"/>
      <c r="HX365" s="576"/>
      <c r="HY365" s="576"/>
      <c r="HZ365" s="576"/>
      <c r="IA365" s="576"/>
      <c r="IB365" s="576"/>
      <c r="IC365" s="576"/>
      <c r="ID365" s="576"/>
      <c r="IE365" s="576"/>
      <c r="IF365" s="576"/>
      <c r="IG365" s="576"/>
      <c r="IH365" s="577"/>
      <c r="II365" s="578"/>
      <c r="IJ365" s="577"/>
      <c r="IK365" s="578"/>
      <c r="IL365" s="577"/>
      <c r="IM365" s="578"/>
      <c r="IN365" s="577"/>
      <c r="IO365" s="578"/>
      <c r="IP365" s="577"/>
      <c r="IQ365" s="578"/>
      <c r="IR365" s="803"/>
      <c r="IS365" s="576"/>
      <c r="IT365" s="804"/>
    </row>
    <row r="366" spans="1:259" s="367" customFormat="1" ht="16.5" customHeight="1" x14ac:dyDescent="0.3">
      <c r="A366" s="526" t="s">
        <v>2739</v>
      </c>
      <c r="B366" s="682" t="s">
        <v>2784</v>
      </c>
      <c r="C366" s="661" t="s">
        <v>1819</v>
      </c>
      <c r="D366" s="662">
        <v>1454</v>
      </c>
      <c r="E366" s="516">
        <v>142</v>
      </c>
      <c r="F366" s="516">
        <v>16</v>
      </c>
      <c r="G366" s="516">
        <v>36</v>
      </c>
      <c r="H366" s="663">
        <v>0</v>
      </c>
      <c r="I366" s="664">
        <v>1612</v>
      </c>
      <c r="J366" s="842">
        <v>36</v>
      </c>
      <c r="K366" s="848"/>
      <c r="L366" s="516">
        <v>1612</v>
      </c>
      <c r="M366" s="842">
        <v>36</v>
      </c>
      <c r="N366" s="848"/>
      <c r="O366" s="516">
        <v>1612</v>
      </c>
      <c r="P366" s="516">
        <v>36</v>
      </c>
      <c r="Q366" s="848"/>
      <c r="R366" s="516">
        <v>1612</v>
      </c>
      <c r="S366" s="516">
        <v>36</v>
      </c>
      <c r="T366" s="848"/>
      <c r="U366" s="516">
        <v>1612</v>
      </c>
      <c r="V366" s="516">
        <v>36</v>
      </c>
      <c r="W366" s="848"/>
      <c r="X366" s="516">
        <v>1612</v>
      </c>
      <c r="Y366" s="516">
        <v>36</v>
      </c>
      <c r="Z366" s="848"/>
      <c r="AA366" s="516">
        <v>1612</v>
      </c>
      <c r="AB366" s="516">
        <v>36</v>
      </c>
      <c r="AC366" s="848"/>
      <c r="AD366" s="516">
        <v>1612</v>
      </c>
      <c r="AE366" s="516">
        <v>36</v>
      </c>
      <c r="AF366" s="848"/>
      <c r="AG366" s="516">
        <v>1612</v>
      </c>
      <c r="AH366" s="516">
        <v>36</v>
      </c>
      <c r="AI366" s="848"/>
      <c r="AJ366" s="517">
        <f>((1612/30.5)*2+1612)</f>
        <v>1717.704918032787</v>
      </c>
      <c r="AK366" s="517">
        <f>((36/30.5)*2+36)</f>
        <v>38.360655737704917</v>
      </c>
      <c r="AL366" s="905"/>
      <c r="AM366" s="948"/>
      <c r="AN366" s="948"/>
      <c r="AO366" s="948"/>
      <c r="AP366" s="948"/>
      <c r="AQ366" s="948"/>
      <c r="AR366" s="948"/>
      <c r="AS366" s="948"/>
      <c r="AT366" s="948"/>
      <c r="AU366" s="948"/>
      <c r="AV366" s="942"/>
      <c r="AW366" s="942"/>
      <c r="AX366" s="942"/>
      <c r="AY366" s="942"/>
      <c r="AZ366" s="942"/>
      <c r="BA366" s="576"/>
      <c r="BB366" s="576"/>
      <c r="BC366" s="576"/>
      <c r="BD366" s="576"/>
      <c r="BE366" s="576"/>
      <c r="BF366" s="576"/>
      <c r="BG366" s="576"/>
      <c r="BH366" s="576"/>
      <c r="BI366" s="576"/>
      <c r="BJ366" s="576"/>
      <c r="BK366" s="576"/>
      <c r="BL366" s="576"/>
      <c r="BM366" s="576"/>
      <c r="BN366" s="576"/>
      <c r="BO366" s="576"/>
      <c r="BP366" s="576"/>
      <c r="BQ366" s="576"/>
      <c r="BR366" s="576"/>
      <c r="BS366" s="576"/>
      <c r="BT366" s="576"/>
      <c r="BU366" s="576"/>
      <c r="BV366" s="576"/>
      <c r="BW366" s="576"/>
      <c r="BX366" s="576"/>
      <c r="BY366" s="576"/>
      <c r="BZ366" s="576"/>
      <c r="CA366" s="576"/>
      <c r="CB366" s="576"/>
      <c r="CC366" s="576"/>
      <c r="CD366" s="576"/>
      <c r="CE366" s="576"/>
      <c r="CF366" s="576"/>
      <c r="CG366" s="576"/>
      <c r="CH366" s="576"/>
      <c r="CI366" s="576"/>
      <c r="CJ366" s="576"/>
      <c r="CK366" s="576"/>
      <c r="CL366" s="576"/>
      <c r="CM366" s="576"/>
      <c r="CN366" s="576"/>
      <c r="CO366" s="576"/>
      <c r="CP366" s="576"/>
      <c r="CQ366" s="576"/>
      <c r="CR366" s="576"/>
      <c r="CS366" s="576"/>
      <c r="CT366" s="576"/>
      <c r="CU366" s="576"/>
      <c r="CV366" s="576"/>
      <c r="CW366" s="576"/>
      <c r="CX366" s="576"/>
      <c r="CY366" s="576"/>
      <c r="CZ366" s="576"/>
      <c r="DA366" s="576"/>
      <c r="DB366" s="576"/>
      <c r="DC366" s="576"/>
      <c r="DD366" s="576"/>
      <c r="DE366" s="576"/>
      <c r="DF366" s="576"/>
      <c r="DG366" s="576"/>
      <c r="DH366" s="576"/>
      <c r="DI366" s="576"/>
      <c r="DJ366" s="576"/>
      <c r="DK366" s="576"/>
      <c r="DL366" s="576"/>
      <c r="DM366" s="576"/>
      <c r="DN366" s="576"/>
      <c r="DO366" s="576"/>
      <c r="DP366" s="576"/>
      <c r="DQ366" s="576"/>
      <c r="DR366" s="576"/>
      <c r="DS366" s="576"/>
      <c r="DT366" s="576"/>
      <c r="DU366" s="576"/>
      <c r="DV366" s="576"/>
      <c r="DW366" s="576"/>
      <c r="DX366" s="576"/>
      <c r="DY366" s="576"/>
      <c r="DZ366" s="576"/>
      <c r="EA366" s="576"/>
      <c r="EB366" s="576"/>
      <c r="EC366" s="576"/>
      <c r="ED366" s="576"/>
      <c r="EE366" s="576"/>
      <c r="EF366" s="576"/>
      <c r="EG366" s="576"/>
      <c r="EH366" s="576"/>
      <c r="EI366" s="576"/>
      <c r="EJ366" s="576"/>
      <c r="EK366" s="576"/>
      <c r="EL366" s="576"/>
      <c r="EM366" s="576"/>
      <c r="EN366" s="576"/>
      <c r="EO366" s="576"/>
      <c r="EP366" s="576"/>
      <c r="EQ366" s="576"/>
      <c r="ER366" s="576"/>
      <c r="ES366" s="576"/>
      <c r="ET366" s="576"/>
      <c r="EU366" s="576"/>
      <c r="EV366" s="576"/>
      <c r="EW366" s="576"/>
      <c r="EX366" s="576"/>
      <c r="EY366" s="576"/>
      <c r="EZ366" s="576"/>
      <c r="FA366" s="576"/>
      <c r="FB366" s="576"/>
      <c r="FC366" s="576"/>
      <c r="FD366" s="576"/>
      <c r="FE366" s="576"/>
      <c r="FF366" s="576"/>
      <c r="FG366" s="576"/>
      <c r="FH366" s="576"/>
      <c r="FI366" s="576"/>
      <c r="FJ366" s="576"/>
      <c r="FK366" s="576"/>
      <c r="FL366" s="576"/>
      <c r="FM366" s="576"/>
      <c r="FN366" s="576"/>
      <c r="FO366" s="576"/>
      <c r="FP366" s="576"/>
      <c r="FQ366" s="576"/>
      <c r="FR366" s="576"/>
      <c r="FS366" s="576"/>
      <c r="FT366" s="576"/>
      <c r="FU366" s="576"/>
      <c r="FV366" s="576"/>
      <c r="FW366" s="576"/>
      <c r="FX366" s="576"/>
      <c r="FY366" s="576"/>
      <c r="FZ366" s="576"/>
      <c r="GA366" s="576"/>
      <c r="GB366" s="576"/>
      <c r="GC366" s="576"/>
      <c r="GD366" s="576"/>
      <c r="GE366" s="576"/>
      <c r="GF366" s="576"/>
      <c r="GG366" s="576"/>
      <c r="GH366" s="576"/>
      <c r="GI366" s="576"/>
      <c r="GJ366" s="576"/>
      <c r="GK366" s="576"/>
      <c r="GL366" s="576"/>
      <c r="GM366" s="576"/>
      <c r="GN366" s="576"/>
      <c r="GO366" s="576"/>
      <c r="GP366" s="576"/>
      <c r="GQ366" s="576"/>
      <c r="GR366" s="576"/>
      <c r="GS366" s="576"/>
      <c r="GT366" s="576"/>
      <c r="GU366" s="576"/>
      <c r="GV366" s="576"/>
      <c r="GW366" s="576"/>
      <c r="GX366" s="576"/>
      <c r="GY366" s="576"/>
      <c r="GZ366" s="576"/>
      <c r="HA366" s="576"/>
      <c r="HB366" s="576"/>
      <c r="HC366" s="576"/>
      <c r="HD366" s="576"/>
      <c r="HE366" s="576"/>
      <c r="HF366" s="576"/>
      <c r="HG366" s="576"/>
      <c r="HH366" s="576"/>
      <c r="HI366" s="576"/>
      <c r="HJ366" s="576"/>
      <c r="HK366" s="576"/>
      <c r="HL366" s="576"/>
      <c r="HM366" s="576"/>
      <c r="HN366" s="576"/>
      <c r="HO366" s="576"/>
      <c r="HP366" s="576"/>
      <c r="HQ366" s="576"/>
      <c r="HR366" s="576"/>
      <c r="HS366" s="576"/>
      <c r="HT366" s="576"/>
      <c r="HU366" s="576"/>
      <c r="HV366" s="576"/>
      <c r="HW366" s="576"/>
      <c r="HX366" s="576"/>
      <c r="HY366" s="576"/>
      <c r="HZ366" s="576"/>
      <c r="IA366" s="576"/>
      <c r="IB366" s="576"/>
      <c r="IC366" s="576"/>
      <c r="ID366" s="576"/>
      <c r="IE366" s="576"/>
      <c r="IF366" s="576"/>
      <c r="IG366" s="576"/>
      <c r="IH366" s="577"/>
      <c r="II366" s="578"/>
      <c r="IJ366" s="577"/>
      <c r="IK366" s="578"/>
      <c r="IL366" s="577"/>
      <c r="IM366" s="578"/>
      <c r="IN366" s="577"/>
      <c r="IO366" s="578"/>
      <c r="IP366" s="577"/>
      <c r="IQ366" s="578"/>
      <c r="IR366" s="803"/>
      <c r="IS366" s="576"/>
      <c r="IT366" s="804"/>
    </row>
    <row r="367" spans="1:259" s="367" customFormat="1" ht="16.5" customHeight="1" x14ac:dyDescent="0.3">
      <c r="A367" s="526" t="s">
        <v>2739</v>
      </c>
      <c r="B367" s="682" t="s">
        <v>3841</v>
      </c>
      <c r="C367" s="661" t="s">
        <v>1876</v>
      </c>
      <c r="D367" s="662">
        <v>1149</v>
      </c>
      <c r="E367" s="516">
        <v>84</v>
      </c>
      <c r="F367" s="516">
        <v>0</v>
      </c>
      <c r="G367" s="516">
        <v>5</v>
      </c>
      <c r="H367" s="663">
        <v>0</v>
      </c>
      <c r="I367" s="664">
        <v>1233</v>
      </c>
      <c r="J367" s="842">
        <v>5</v>
      </c>
      <c r="K367" s="848"/>
      <c r="L367" s="516">
        <v>1233</v>
      </c>
      <c r="M367" s="842">
        <v>5</v>
      </c>
      <c r="N367" s="848"/>
      <c r="O367" s="516">
        <v>1233</v>
      </c>
      <c r="P367" s="516">
        <v>5</v>
      </c>
      <c r="Q367" s="848"/>
      <c r="R367" s="516">
        <v>1233</v>
      </c>
      <c r="S367" s="516">
        <v>5</v>
      </c>
      <c r="T367" s="848"/>
      <c r="U367" s="516">
        <v>1233</v>
      </c>
      <c r="V367" s="516">
        <v>5</v>
      </c>
      <c r="W367" s="848"/>
      <c r="X367" s="516">
        <v>1233</v>
      </c>
      <c r="Y367" s="516">
        <v>5</v>
      </c>
      <c r="Z367" s="848"/>
      <c r="AA367" s="516">
        <v>1233</v>
      </c>
      <c r="AB367" s="516">
        <v>5</v>
      </c>
      <c r="AC367" s="848"/>
      <c r="AD367" s="516">
        <v>1233</v>
      </c>
      <c r="AE367" s="516">
        <v>5</v>
      </c>
      <c r="AF367" s="848"/>
      <c r="AG367" s="516">
        <v>1233</v>
      </c>
      <c r="AH367" s="516">
        <v>5</v>
      </c>
      <c r="AI367" s="848"/>
      <c r="AJ367" s="517">
        <f>((1233/30.5)*2+1233)</f>
        <v>1313.8524590163934</v>
      </c>
      <c r="AK367" s="517">
        <f>((5/30.5)*2+5)</f>
        <v>5.3278688524590168</v>
      </c>
      <c r="AL367" s="905"/>
      <c r="AM367" s="948"/>
      <c r="AN367" s="948"/>
      <c r="AO367" s="948"/>
      <c r="AP367" s="948"/>
      <c r="AQ367" s="948"/>
      <c r="AR367" s="948"/>
      <c r="AS367" s="948"/>
      <c r="AT367" s="948"/>
      <c r="AU367" s="948"/>
      <c r="AV367" s="942"/>
      <c r="AW367" s="942"/>
      <c r="AX367" s="942"/>
      <c r="AY367" s="942"/>
      <c r="AZ367" s="942"/>
      <c r="BA367" s="576"/>
      <c r="BB367" s="576"/>
      <c r="BC367" s="576"/>
      <c r="BD367" s="576"/>
      <c r="BE367" s="576"/>
      <c r="BF367" s="576"/>
      <c r="BG367" s="576"/>
      <c r="BH367" s="576"/>
      <c r="BI367" s="576"/>
      <c r="BJ367" s="576"/>
      <c r="BK367" s="576"/>
      <c r="BL367" s="576"/>
      <c r="BM367" s="576"/>
      <c r="BN367" s="576"/>
      <c r="BO367" s="576"/>
      <c r="BP367" s="576"/>
      <c r="BQ367" s="576"/>
      <c r="BR367" s="576"/>
      <c r="BS367" s="576"/>
      <c r="BT367" s="576"/>
      <c r="BU367" s="576"/>
      <c r="BV367" s="576"/>
      <c r="BW367" s="576"/>
      <c r="BX367" s="576"/>
      <c r="BY367" s="576"/>
      <c r="BZ367" s="576"/>
      <c r="CA367" s="576"/>
      <c r="CB367" s="576"/>
      <c r="CC367" s="576"/>
      <c r="CD367" s="576"/>
      <c r="CE367" s="576"/>
      <c r="CF367" s="576"/>
      <c r="CG367" s="576"/>
      <c r="CH367" s="576"/>
      <c r="CI367" s="576"/>
      <c r="CJ367" s="576"/>
      <c r="CK367" s="576"/>
      <c r="CL367" s="576"/>
      <c r="CM367" s="576"/>
      <c r="CN367" s="576"/>
      <c r="CO367" s="576"/>
      <c r="CP367" s="576"/>
      <c r="CQ367" s="576"/>
      <c r="CR367" s="576"/>
      <c r="CS367" s="576"/>
      <c r="CT367" s="576"/>
      <c r="CU367" s="576"/>
      <c r="CV367" s="576"/>
      <c r="CW367" s="576"/>
      <c r="CX367" s="576"/>
      <c r="CY367" s="576"/>
      <c r="CZ367" s="576"/>
      <c r="DA367" s="576"/>
      <c r="DB367" s="576"/>
      <c r="DC367" s="576"/>
      <c r="DD367" s="576"/>
      <c r="DE367" s="576"/>
      <c r="DF367" s="576"/>
      <c r="DG367" s="576"/>
      <c r="DH367" s="576"/>
      <c r="DI367" s="576"/>
      <c r="DJ367" s="576"/>
      <c r="DK367" s="576"/>
      <c r="DL367" s="576"/>
      <c r="DM367" s="576"/>
      <c r="DN367" s="576"/>
      <c r="DO367" s="576"/>
      <c r="DP367" s="576"/>
      <c r="DQ367" s="576"/>
      <c r="DR367" s="576"/>
      <c r="DS367" s="576"/>
      <c r="DT367" s="576"/>
      <c r="DU367" s="576"/>
      <c r="DV367" s="576"/>
      <c r="DW367" s="576"/>
      <c r="DX367" s="576"/>
      <c r="DY367" s="576"/>
      <c r="DZ367" s="576"/>
      <c r="EA367" s="576"/>
      <c r="EB367" s="576"/>
      <c r="EC367" s="576"/>
      <c r="ED367" s="576"/>
      <c r="EE367" s="576"/>
      <c r="EF367" s="576"/>
      <c r="EG367" s="576"/>
      <c r="EH367" s="576"/>
      <c r="EI367" s="576"/>
      <c r="EJ367" s="576"/>
      <c r="EK367" s="576"/>
      <c r="EL367" s="576"/>
      <c r="EM367" s="576"/>
      <c r="EN367" s="576"/>
      <c r="EO367" s="576"/>
      <c r="EP367" s="576"/>
      <c r="EQ367" s="576"/>
      <c r="ER367" s="576"/>
      <c r="ES367" s="576"/>
      <c r="ET367" s="576"/>
      <c r="EU367" s="576"/>
      <c r="EV367" s="576"/>
      <c r="EW367" s="576"/>
      <c r="EX367" s="576"/>
      <c r="EY367" s="576"/>
      <c r="EZ367" s="576"/>
      <c r="FA367" s="576"/>
      <c r="FB367" s="576"/>
      <c r="FC367" s="576"/>
      <c r="FD367" s="576"/>
      <c r="FE367" s="576"/>
      <c r="FF367" s="576"/>
      <c r="FG367" s="576"/>
      <c r="FH367" s="576"/>
      <c r="FI367" s="576"/>
      <c r="FJ367" s="576"/>
      <c r="FK367" s="576"/>
      <c r="FL367" s="576"/>
      <c r="FM367" s="576"/>
      <c r="FN367" s="576"/>
      <c r="FO367" s="576"/>
      <c r="FP367" s="576"/>
      <c r="FQ367" s="576"/>
      <c r="FR367" s="576"/>
      <c r="FS367" s="576"/>
      <c r="FT367" s="576"/>
      <c r="FU367" s="576"/>
      <c r="FV367" s="576"/>
      <c r="FW367" s="576"/>
      <c r="FX367" s="576"/>
      <c r="FY367" s="576"/>
      <c r="FZ367" s="576"/>
      <c r="GA367" s="576"/>
      <c r="GB367" s="576"/>
      <c r="GC367" s="576"/>
      <c r="GD367" s="576"/>
      <c r="GE367" s="576"/>
      <c r="GF367" s="576"/>
      <c r="GG367" s="576"/>
      <c r="GH367" s="576"/>
      <c r="GI367" s="576"/>
      <c r="GJ367" s="576"/>
      <c r="GK367" s="576"/>
      <c r="GL367" s="576"/>
      <c r="GM367" s="576"/>
      <c r="GN367" s="576"/>
      <c r="GO367" s="576"/>
      <c r="GP367" s="576"/>
      <c r="GQ367" s="576"/>
      <c r="GR367" s="576"/>
      <c r="GS367" s="576"/>
      <c r="GT367" s="576"/>
      <c r="GU367" s="576"/>
      <c r="GV367" s="576"/>
      <c r="GW367" s="576"/>
      <c r="GX367" s="576"/>
      <c r="GY367" s="576"/>
      <c r="GZ367" s="576"/>
      <c r="HA367" s="576"/>
      <c r="HB367" s="576"/>
      <c r="HC367" s="576"/>
      <c r="HD367" s="576"/>
      <c r="HE367" s="576"/>
      <c r="HF367" s="576"/>
      <c r="HG367" s="576"/>
      <c r="HH367" s="576"/>
      <c r="HI367" s="576"/>
      <c r="HJ367" s="576"/>
      <c r="HK367" s="576"/>
      <c r="HL367" s="576"/>
      <c r="HM367" s="576"/>
      <c r="HN367" s="576"/>
      <c r="HO367" s="576"/>
      <c r="HP367" s="576"/>
      <c r="HQ367" s="576"/>
      <c r="HR367" s="576"/>
      <c r="HS367" s="576"/>
      <c r="HT367" s="576"/>
      <c r="HU367" s="576"/>
      <c r="HV367" s="576"/>
      <c r="HW367" s="576"/>
      <c r="HX367" s="576"/>
      <c r="HY367" s="576"/>
      <c r="HZ367" s="576"/>
      <c r="IA367" s="576"/>
      <c r="IB367" s="576"/>
      <c r="IC367" s="576"/>
      <c r="ID367" s="576"/>
      <c r="IE367" s="576"/>
      <c r="IF367" s="576"/>
      <c r="IG367" s="576"/>
      <c r="IH367" s="577"/>
      <c r="II367" s="578"/>
      <c r="IJ367" s="577"/>
      <c r="IK367" s="578"/>
      <c r="IL367" s="577"/>
      <c r="IM367" s="578"/>
      <c r="IN367" s="577"/>
      <c r="IO367" s="578"/>
      <c r="IP367" s="577"/>
      <c r="IQ367" s="578"/>
      <c r="IR367" s="803"/>
      <c r="IS367" s="576"/>
      <c r="IT367" s="804"/>
    </row>
    <row r="368" spans="1:259" s="367" customFormat="1" ht="16.5" customHeight="1" x14ac:dyDescent="0.3">
      <c r="A368" s="526" t="s">
        <v>2739</v>
      </c>
      <c r="B368" s="682" t="s">
        <v>2742</v>
      </c>
      <c r="C368" s="661" t="s">
        <v>1812</v>
      </c>
      <c r="D368" s="662">
        <v>1842</v>
      </c>
      <c r="E368" s="516">
        <v>142</v>
      </c>
      <c r="F368" s="516">
        <v>16</v>
      </c>
      <c r="G368" s="516">
        <v>252</v>
      </c>
      <c r="H368" s="663">
        <v>0</v>
      </c>
      <c r="I368" s="664">
        <v>2000</v>
      </c>
      <c r="J368" s="842">
        <v>252</v>
      </c>
      <c r="K368" s="952"/>
      <c r="L368" s="516">
        <v>2000</v>
      </c>
      <c r="M368" s="842">
        <v>252</v>
      </c>
      <c r="N368" s="952"/>
      <c r="O368" s="516">
        <v>2000</v>
      </c>
      <c r="P368" s="516">
        <v>252</v>
      </c>
      <c r="Q368" s="952"/>
      <c r="R368" s="516">
        <v>2000</v>
      </c>
      <c r="S368" s="516">
        <v>252</v>
      </c>
      <c r="T368" s="952"/>
      <c r="U368" s="516">
        <v>2000</v>
      </c>
      <c r="V368" s="516">
        <v>252</v>
      </c>
      <c r="W368" s="952"/>
      <c r="X368" s="516">
        <v>2000</v>
      </c>
      <c r="Y368" s="516">
        <v>252</v>
      </c>
      <c r="Z368" s="952"/>
      <c r="AA368" s="516">
        <v>2000</v>
      </c>
      <c r="AB368" s="516">
        <v>252</v>
      </c>
      <c r="AC368" s="952"/>
      <c r="AD368" s="516">
        <v>2000</v>
      </c>
      <c r="AE368" s="516">
        <v>252</v>
      </c>
      <c r="AF368" s="952"/>
      <c r="AG368" s="953">
        <f>((2000/30.5)*15)+2000</f>
        <v>2983.6065573770493</v>
      </c>
      <c r="AH368" s="953">
        <f>((252/30.5)*15)+252</f>
        <v>375.93442622950818</v>
      </c>
      <c r="AI368" s="953"/>
      <c r="AJ368" s="942"/>
      <c r="AK368" s="942"/>
      <c r="AL368" s="942"/>
      <c r="AM368" s="942"/>
      <c r="AN368" s="942"/>
      <c r="AO368" s="942"/>
      <c r="AP368" s="942"/>
      <c r="AQ368" s="942"/>
      <c r="AR368" s="942"/>
      <c r="AS368" s="942"/>
      <c r="AT368" s="942"/>
      <c r="AU368" s="942"/>
      <c r="AV368" s="942"/>
      <c r="AW368" s="942"/>
      <c r="AX368" s="942"/>
      <c r="AY368" s="942"/>
      <c r="AZ368" s="942"/>
      <c r="BA368" s="576"/>
      <c r="BB368" s="576"/>
      <c r="BC368" s="576"/>
      <c r="BD368" s="576"/>
      <c r="BE368" s="576"/>
      <c r="BF368" s="576"/>
      <c r="BG368" s="576"/>
      <c r="BH368" s="576"/>
      <c r="BI368" s="576"/>
      <c r="BJ368" s="576"/>
      <c r="BK368" s="576"/>
      <c r="BL368" s="576"/>
      <c r="BM368" s="576"/>
      <c r="BN368" s="576"/>
      <c r="BO368" s="576"/>
      <c r="BP368" s="576"/>
      <c r="BQ368" s="576"/>
      <c r="BR368" s="576"/>
      <c r="BS368" s="576"/>
      <c r="BT368" s="576"/>
      <c r="BU368" s="576"/>
      <c r="BV368" s="576"/>
      <c r="BW368" s="576"/>
      <c r="BX368" s="576"/>
      <c r="BY368" s="576"/>
      <c r="BZ368" s="576"/>
      <c r="CA368" s="576"/>
      <c r="CB368" s="576"/>
      <c r="CC368" s="576"/>
      <c r="CD368" s="576"/>
      <c r="CE368" s="576"/>
      <c r="CF368" s="576"/>
      <c r="CG368" s="576"/>
      <c r="CH368" s="576"/>
      <c r="CI368" s="576"/>
      <c r="CJ368" s="576"/>
      <c r="CK368" s="576"/>
      <c r="CL368" s="576"/>
      <c r="CM368" s="576"/>
      <c r="CN368" s="576"/>
      <c r="CO368" s="576"/>
      <c r="CP368" s="576"/>
      <c r="CQ368" s="576"/>
      <c r="CR368" s="576"/>
      <c r="CS368" s="576"/>
      <c r="CT368" s="576"/>
      <c r="CU368" s="576"/>
      <c r="CV368" s="576"/>
      <c r="CW368" s="576"/>
      <c r="CX368" s="576"/>
      <c r="CY368" s="576"/>
      <c r="CZ368" s="576"/>
      <c r="DA368" s="576"/>
      <c r="DB368" s="576"/>
      <c r="DC368" s="576"/>
      <c r="DD368" s="576"/>
      <c r="DE368" s="576"/>
      <c r="DF368" s="576"/>
      <c r="DG368" s="576"/>
      <c r="DH368" s="576"/>
      <c r="DI368" s="576"/>
      <c r="DJ368" s="576"/>
      <c r="DK368" s="576"/>
      <c r="DL368" s="576"/>
      <c r="DM368" s="576"/>
      <c r="DN368" s="576"/>
      <c r="DO368" s="576"/>
      <c r="DP368" s="576"/>
      <c r="DQ368" s="576"/>
      <c r="DR368" s="576"/>
      <c r="DS368" s="576"/>
      <c r="DT368" s="576"/>
      <c r="DU368" s="576"/>
      <c r="DV368" s="576"/>
      <c r="DW368" s="576"/>
      <c r="DX368" s="576"/>
      <c r="DY368" s="576"/>
      <c r="DZ368" s="576"/>
      <c r="EA368" s="576"/>
      <c r="EB368" s="576"/>
      <c r="EC368" s="576"/>
      <c r="ED368" s="576"/>
      <c r="EE368" s="576"/>
      <c r="EF368" s="576"/>
      <c r="EG368" s="576"/>
      <c r="EH368" s="576"/>
      <c r="EI368" s="576"/>
      <c r="EJ368" s="576"/>
      <c r="EK368" s="576"/>
      <c r="EL368" s="576"/>
      <c r="EM368" s="576"/>
      <c r="EN368" s="576"/>
      <c r="EO368" s="576"/>
      <c r="EP368" s="576"/>
      <c r="EQ368" s="576"/>
      <c r="ER368" s="576"/>
      <c r="ES368" s="576"/>
      <c r="ET368" s="576"/>
      <c r="EU368" s="576"/>
      <c r="EV368" s="576"/>
      <c r="EW368" s="576"/>
      <c r="EX368" s="576"/>
      <c r="EY368" s="576"/>
      <c r="EZ368" s="576"/>
      <c r="FA368" s="576"/>
      <c r="FB368" s="576"/>
      <c r="FC368" s="576"/>
      <c r="FD368" s="576"/>
      <c r="FE368" s="576"/>
      <c r="FF368" s="576"/>
      <c r="FG368" s="576"/>
      <c r="FH368" s="576"/>
      <c r="FI368" s="576"/>
      <c r="FJ368" s="576"/>
      <c r="FK368" s="576"/>
      <c r="FL368" s="576"/>
      <c r="FM368" s="576"/>
      <c r="FN368" s="576"/>
      <c r="FO368" s="576"/>
      <c r="FP368" s="576"/>
      <c r="FQ368" s="576"/>
      <c r="FR368" s="576"/>
      <c r="FS368" s="576"/>
      <c r="FT368" s="576"/>
      <c r="FU368" s="576"/>
      <c r="FV368" s="576"/>
      <c r="FW368" s="576"/>
      <c r="FX368" s="576"/>
      <c r="FY368" s="576"/>
      <c r="FZ368" s="576"/>
      <c r="GA368" s="576"/>
      <c r="GB368" s="576"/>
      <c r="GC368" s="576"/>
      <c r="GD368" s="576"/>
      <c r="GE368" s="576"/>
      <c r="GF368" s="576"/>
      <c r="GG368" s="576"/>
      <c r="GH368" s="576"/>
      <c r="GI368" s="576"/>
      <c r="GJ368" s="576"/>
      <c r="GK368" s="576"/>
      <c r="GL368" s="576"/>
      <c r="GM368" s="576"/>
      <c r="GN368" s="576"/>
      <c r="GO368" s="576"/>
      <c r="GP368" s="576"/>
      <c r="GQ368" s="576"/>
      <c r="GR368" s="576"/>
      <c r="GS368" s="576"/>
      <c r="GT368" s="576"/>
      <c r="GU368" s="576"/>
      <c r="GV368" s="576"/>
      <c r="GW368" s="576"/>
      <c r="GX368" s="576"/>
      <c r="GY368" s="576"/>
      <c r="GZ368" s="576"/>
      <c r="HA368" s="576"/>
      <c r="HB368" s="576"/>
      <c r="HC368" s="576"/>
      <c r="HD368" s="576"/>
      <c r="HE368" s="576"/>
      <c r="HF368" s="576"/>
      <c r="HG368" s="576"/>
      <c r="HH368" s="576"/>
      <c r="HI368" s="576"/>
      <c r="HJ368" s="576"/>
      <c r="HK368" s="576"/>
      <c r="HL368" s="576"/>
      <c r="HM368" s="576"/>
      <c r="HN368" s="576"/>
      <c r="HO368" s="576"/>
      <c r="HP368" s="576"/>
      <c r="HQ368" s="576"/>
      <c r="HR368" s="576"/>
      <c r="HS368" s="576"/>
      <c r="HT368" s="576"/>
      <c r="HU368" s="576"/>
      <c r="HV368" s="576"/>
      <c r="HW368" s="576"/>
      <c r="HX368" s="576"/>
      <c r="HY368" s="576"/>
      <c r="HZ368" s="576"/>
      <c r="IA368" s="576"/>
      <c r="IB368" s="576"/>
      <c r="IC368" s="576"/>
      <c r="ID368" s="576"/>
      <c r="IE368" s="576"/>
      <c r="IF368" s="576"/>
      <c r="IG368" s="576"/>
      <c r="IH368" s="577"/>
      <c r="II368" s="578"/>
      <c r="IJ368" s="577"/>
      <c r="IK368" s="578"/>
      <c r="IL368" s="577"/>
      <c r="IM368" s="578"/>
      <c r="IN368" s="577"/>
      <c r="IO368" s="578"/>
      <c r="IP368" s="577"/>
      <c r="IQ368" s="578"/>
      <c r="IR368" s="803"/>
      <c r="IS368" s="576"/>
      <c r="IT368" s="804"/>
    </row>
    <row r="369" spans="1:254" s="367" customFormat="1" ht="16.5" customHeight="1" x14ac:dyDescent="0.3">
      <c r="A369" s="401" t="s">
        <v>3315</v>
      </c>
      <c r="B369" s="402" t="s">
        <v>3315</v>
      </c>
      <c r="C369" s="699" t="s">
        <v>3515</v>
      </c>
      <c r="D369" s="925"/>
      <c r="E369" s="660"/>
      <c r="F369" s="660"/>
      <c r="G369" s="660"/>
      <c r="H369" s="926"/>
      <c r="I369" s="853">
        <v>0</v>
      </c>
      <c r="J369" s="899">
        <v>0</v>
      </c>
      <c r="K369" s="899">
        <v>0</v>
      </c>
      <c r="L369" s="899">
        <v>0</v>
      </c>
      <c r="M369" s="833">
        <v>0</v>
      </c>
      <c r="N369" s="833">
        <v>0</v>
      </c>
      <c r="O369" s="833">
        <v>0</v>
      </c>
      <c r="P369" s="833">
        <v>0</v>
      </c>
      <c r="Q369" s="833">
        <v>0</v>
      </c>
      <c r="R369" s="833">
        <v>0</v>
      </c>
      <c r="S369" s="833">
        <v>0</v>
      </c>
      <c r="T369" s="833">
        <v>0</v>
      </c>
      <c r="U369" s="833">
        <v>0</v>
      </c>
      <c r="V369" s="833">
        <v>0</v>
      </c>
      <c r="W369" s="833">
        <v>0</v>
      </c>
      <c r="X369" s="660">
        <v>392.5</v>
      </c>
      <c r="Y369" s="660">
        <v>18</v>
      </c>
      <c r="Z369" s="954"/>
      <c r="AA369" s="664">
        <v>785</v>
      </c>
      <c r="AB369" s="516">
        <v>36</v>
      </c>
      <c r="AC369" s="952"/>
      <c r="AD369" s="516">
        <v>785</v>
      </c>
      <c r="AE369" s="516">
        <v>36</v>
      </c>
      <c r="AF369" s="952"/>
      <c r="AG369" s="953">
        <f>((785/30.5)*8)+785</f>
        <v>990.90163934426232</v>
      </c>
      <c r="AH369" s="842">
        <f>(36/30.5)*8+36</f>
        <v>45.442622950819668</v>
      </c>
      <c r="AI369" s="953"/>
      <c r="AJ369" s="942"/>
      <c r="AK369" s="955"/>
      <c r="AL369" s="955"/>
      <c r="AM369" s="942"/>
      <c r="AN369" s="955"/>
      <c r="AO369" s="955"/>
      <c r="AP369" s="955"/>
      <c r="AQ369" s="955"/>
      <c r="AR369" s="955"/>
      <c r="AS369" s="955"/>
      <c r="AT369" s="955"/>
      <c r="AU369" s="955"/>
      <c r="AV369" s="956"/>
      <c r="AW369" s="956"/>
      <c r="AX369" s="956"/>
      <c r="AY369" s="956"/>
      <c r="AZ369" s="956"/>
      <c r="BA369" s="809"/>
      <c r="BB369" s="809"/>
      <c r="BC369" s="809"/>
      <c r="BD369" s="809"/>
      <c r="BE369" s="809"/>
      <c r="BF369" s="809"/>
      <c r="BG369" s="809"/>
      <c r="BH369" s="809"/>
      <c r="BI369" s="809"/>
      <c r="BJ369" s="809"/>
      <c r="BK369" s="809"/>
      <c r="BL369" s="809"/>
      <c r="BM369" s="809"/>
      <c r="BN369" s="576"/>
      <c r="BO369" s="809"/>
      <c r="BP369" s="809"/>
      <c r="BQ369" s="809"/>
      <c r="BR369" s="576"/>
      <c r="BS369" s="576"/>
      <c r="BT369" s="576"/>
      <c r="BU369" s="576"/>
      <c r="BV369" s="576"/>
      <c r="BW369" s="576"/>
      <c r="BX369" s="576"/>
      <c r="BY369" s="576"/>
      <c r="BZ369" s="576"/>
      <c r="CA369" s="576"/>
      <c r="CB369" s="576"/>
      <c r="CC369" s="576"/>
      <c r="CD369" s="576"/>
      <c r="CE369" s="576"/>
      <c r="CF369" s="576"/>
      <c r="CG369" s="576"/>
      <c r="CH369" s="576"/>
      <c r="CI369" s="576"/>
      <c r="CJ369" s="576"/>
      <c r="CK369" s="576"/>
      <c r="CL369" s="576"/>
      <c r="CM369" s="576"/>
      <c r="CN369" s="576"/>
      <c r="CO369" s="576"/>
      <c r="CP369" s="576"/>
      <c r="CQ369" s="576"/>
      <c r="CR369" s="576"/>
      <c r="CS369" s="576"/>
      <c r="CT369" s="576"/>
      <c r="CU369" s="576"/>
      <c r="CV369" s="576"/>
      <c r="CW369" s="576"/>
      <c r="CX369" s="576"/>
      <c r="CY369" s="576"/>
      <c r="CZ369" s="576"/>
      <c r="DA369" s="576"/>
      <c r="DB369" s="576"/>
      <c r="DC369" s="576"/>
      <c r="DD369" s="576"/>
      <c r="DE369" s="576"/>
      <c r="DF369" s="576"/>
      <c r="DG369" s="576"/>
      <c r="DH369" s="576"/>
      <c r="DI369" s="576"/>
      <c r="DJ369" s="576"/>
      <c r="DK369" s="576"/>
      <c r="DL369" s="576"/>
      <c r="DM369" s="576"/>
      <c r="DN369" s="576"/>
      <c r="DO369" s="576"/>
      <c r="DP369" s="576"/>
      <c r="DQ369" s="576"/>
      <c r="DR369" s="576"/>
      <c r="DS369" s="576"/>
      <c r="DT369" s="576"/>
      <c r="DU369" s="576"/>
      <c r="DV369" s="576"/>
      <c r="DW369" s="576"/>
      <c r="DX369" s="576"/>
      <c r="DY369" s="576"/>
      <c r="DZ369" s="576"/>
      <c r="EA369" s="576"/>
      <c r="EB369" s="576"/>
      <c r="EC369" s="576"/>
      <c r="ED369" s="576"/>
      <c r="EE369" s="576"/>
      <c r="EF369" s="576"/>
      <c r="EG369" s="576"/>
      <c r="EH369" s="576"/>
      <c r="EI369" s="576"/>
      <c r="EJ369" s="576"/>
      <c r="EK369" s="576"/>
      <c r="EL369" s="576"/>
      <c r="EM369" s="576"/>
      <c r="EN369" s="576"/>
      <c r="EO369" s="576"/>
      <c r="EP369" s="576"/>
      <c r="EQ369" s="576"/>
      <c r="ER369" s="576"/>
      <c r="ES369" s="576"/>
      <c r="ET369" s="576"/>
      <c r="EU369" s="576"/>
      <c r="EV369" s="576"/>
      <c r="EW369" s="576"/>
      <c r="EX369" s="576"/>
      <c r="EY369" s="576"/>
      <c r="EZ369" s="576"/>
      <c r="FA369" s="576"/>
      <c r="FB369" s="576"/>
      <c r="FC369" s="576"/>
      <c r="FD369" s="576"/>
      <c r="FE369" s="576"/>
      <c r="FF369" s="576"/>
      <c r="FG369" s="576"/>
      <c r="FH369" s="576"/>
      <c r="FI369" s="576"/>
      <c r="FJ369" s="576"/>
      <c r="FK369" s="576"/>
      <c r="FL369" s="576"/>
      <c r="FM369" s="576"/>
      <c r="FN369" s="576"/>
      <c r="FO369" s="576"/>
      <c r="FP369" s="576"/>
      <c r="FQ369" s="576"/>
      <c r="FR369" s="576"/>
      <c r="FS369" s="576"/>
      <c r="FT369" s="576"/>
      <c r="FU369" s="576"/>
      <c r="FV369" s="576"/>
      <c r="FW369" s="576"/>
      <c r="FX369" s="576"/>
      <c r="FY369" s="576"/>
      <c r="FZ369" s="576"/>
      <c r="GA369" s="576"/>
      <c r="GB369" s="576"/>
      <c r="GC369" s="576"/>
      <c r="GD369" s="576"/>
      <c r="GE369" s="576"/>
      <c r="GF369" s="576"/>
      <c r="GG369" s="576"/>
      <c r="GH369" s="576"/>
      <c r="GI369" s="576"/>
      <c r="GJ369" s="576"/>
      <c r="GK369" s="576"/>
      <c r="GL369" s="576"/>
      <c r="GM369" s="576"/>
      <c r="GN369" s="576"/>
      <c r="GO369" s="576"/>
      <c r="GP369" s="576"/>
      <c r="GQ369" s="576"/>
      <c r="GR369" s="576"/>
      <c r="GS369" s="576"/>
      <c r="GT369" s="576"/>
      <c r="GU369" s="576"/>
      <c r="GV369" s="576"/>
      <c r="GW369" s="576"/>
      <c r="GX369" s="576"/>
      <c r="GY369" s="576"/>
      <c r="GZ369" s="576"/>
      <c r="HA369" s="576"/>
      <c r="HB369" s="576"/>
      <c r="HC369" s="576"/>
      <c r="HD369" s="576"/>
      <c r="HE369" s="576"/>
      <c r="HF369" s="576"/>
      <c r="HG369" s="576"/>
      <c r="HH369" s="576"/>
      <c r="HI369" s="576"/>
      <c r="HJ369" s="576"/>
      <c r="HK369" s="576"/>
      <c r="HL369" s="576"/>
      <c r="HM369" s="576"/>
      <c r="HN369" s="576"/>
      <c r="HO369" s="576"/>
      <c r="HP369" s="576"/>
      <c r="HQ369" s="576"/>
      <c r="HR369" s="576"/>
      <c r="HS369" s="576"/>
      <c r="HT369" s="576"/>
      <c r="HU369" s="576"/>
      <c r="HV369" s="576"/>
      <c r="HW369" s="576"/>
      <c r="HX369" s="576"/>
      <c r="HY369" s="576"/>
      <c r="HZ369" s="576"/>
      <c r="IA369" s="576"/>
      <c r="IB369" s="576"/>
      <c r="IC369" s="576"/>
      <c r="ID369" s="576"/>
      <c r="IE369" s="576"/>
      <c r="IF369" s="576"/>
      <c r="IG369" s="576"/>
      <c r="IH369" s="577"/>
      <c r="II369" s="578"/>
      <c r="IJ369" s="577"/>
      <c r="IK369" s="578"/>
      <c r="IL369" s="577"/>
      <c r="IM369" s="578"/>
      <c r="IN369" s="577"/>
      <c r="IO369" s="578"/>
      <c r="IP369" s="577"/>
      <c r="IQ369" s="578"/>
      <c r="IR369" s="803"/>
      <c r="IS369" s="576"/>
      <c r="IT369" s="804"/>
    </row>
    <row r="370" spans="1:254" s="367" customFormat="1" ht="16.5" customHeight="1" x14ac:dyDescent="0.3">
      <c r="A370" s="526" t="s">
        <v>2739</v>
      </c>
      <c r="B370" s="603" t="s">
        <v>3102</v>
      </c>
      <c r="C370" s="805" t="s">
        <v>1885</v>
      </c>
      <c r="D370" s="806">
        <v>1716</v>
      </c>
      <c r="E370" s="807">
        <v>42</v>
      </c>
      <c r="F370" s="807">
        <v>0</v>
      </c>
      <c r="G370" s="807">
        <v>36</v>
      </c>
      <c r="H370" s="808">
        <v>0</v>
      </c>
      <c r="I370" s="869">
        <v>1758</v>
      </c>
      <c r="J370" s="838">
        <v>36</v>
      </c>
      <c r="K370" s="952"/>
      <c r="L370" s="912">
        <v>1758</v>
      </c>
      <c r="M370" s="842">
        <v>36</v>
      </c>
      <c r="N370" s="957"/>
      <c r="O370" s="870">
        <v>1758</v>
      </c>
      <c r="P370" s="870">
        <v>36</v>
      </c>
      <c r="Q370" s="957"/>
      <c r="R370" s="870">
        <v>1758</v>
      </c>
      <c r="S370" s="870">
        <v>36</v>
      </c>
      <c r="T370" s="957"/>
      <c r="U370" s="870">
        <v>1758</v>
      </c>
      <c r="V370" s="870">
        <v>36</v>
      </c>
      <c r="W370" s="957"/>
      <c r="X370" s="870">
        <v>1758</v>
      </c>
      <c r="Y370" s="870">
        <v>36</v>
      </c>
      <c r="Z370" s="957"/>
      <c r="AA370" s="912">
        <v>1758</v>
      </c>
      <c r="AB370" s="912">
        <v>36</v>
      </c>
      <c r="AC370" s="952"/>
      <c r="AD370" s="750">
        <f>((1758/30.5)*26)+1758</f>
        <v>3256.622950819672</v>
      </c>
      <c r="AE370" s="750">
        <f>(36/30.5)*26+36</f>
        <v>66.688524590163937</v>
      </c>
      <c r="AF370" s="952"/>
      <c r="AG370" s="958"/>
      <c r="AH370" s="958"/>
      <c r="AI370" s="958"/>
      <c r="AJ370" s="942"/>
      <c r="AK370" s="948"/>
      <c r="AL370" s="948"/>
      <c r="AM370" s="942"/>
      <c r="AN370" s="948"/>
      <c r="AO370" s="948"/>
      <c r="AP370" s="948"/>
      <c r="AQ370" s="948"/>
      <c r="AR370" s="948"/>
      <c r="AS370" s="948"/>
      <c r="AT370" s="948"/>
      <c r="AU370" s="948"/>
      <c r="AV370" s="942"/>
      <c r="AW370" s="942"/>
      <c r="AX370" s="942"/>
      <c r="AY370" s="942"/>
      <c r="AZ370" s="942"/>
      <c r="BA370" s="576"/>
      <c r="BB370" s="576"/>
      <c r="BC370" s="576"/>
      <c r="BD370" s="576"/>
      <c r="BE370" s="576"/>
      <c r="BF370" s="576"/>
      <c r="BG370" s="576"/>
      <c r="BH370" s="576"/>
      <c r="BI370" s="576"/>
      <c r="BJ370" s="576"/>
      <c r="BK370" s="576"/>
      <c r="BL370" s="576"/>
      <c r="BM370" s="576"/>
      <c r="BN370" s="576"/>
      <c r="BO370" s="576"/>
      <c r="BP370" s="576"/>
      <c r="BQ370" s="576"/>
      <c r="BR370" s="576"/>
      <c r="BS370" s="576"/>
      <c r="BT370" s="576"/>
      <c r="BU370" s="576"/>
      <c r="BV370" s="576"/>
      <c r="BW370" s="576"/>
      <c r="BX370" s="576"/>
      <c r="BY370" s="576"/>
      <c r="BZ370" s="576"/>
      <c r="CA370" s="576"/>
      <c r="CB370" s="576"/>
      <c r="CC370" s="576"/>
      <c r="CD370" s="576"/>
      <c r="CE370" s="576"/>
      <c r="CF370" s="576"/>
      <c r="CG370" s="576"/>
      <c r="CH370" s="576"/>
      <c r="CI370" s="576"/>
      <c r="CJ370" s="576"/>
      <c r="CK370" s="576"/>
      <c r="CL370" s="576"/>
      <c r="CM370" s="576"/>
      <c r="CN370" s="576"/>
      <c r="CO370" s="576"/>
      <c r="CP370" s="576"/>
      <c r="CQ370" s="576"/>
      <c r="CR370" s="576"/>
      <c r="CS370" s="576"/>
      <c r="CT370" s="576"/>
      <c r="CU370" s="576"/>
      <c r="CV370" s="576"/>
      <c r="CW370" s="576"/>
      <c r="CX370" s="576"/>
      <c r="CY370" s="576"/>
      <c r="CZ370" s="576"/>
      <c r="DA370" s="576"/>
      <c r="DB370" s="576"/>
      <c r="DC370" s="576"/>
      <c r="DD370" s="576"/>
      <c r="DE370" s="576"/>
      <c r="DF370" s="576"/>
      <c r="DG370" s="576"/>
      <c r="DH370" s="576"/>
      <c r="DI370" s="576"/>
      <c r="DJ370" s="576"/>
      <c r="DK370" s="576"/>
      <c r="DL370" s="576"/>
      <c r="DM370" s="576"/>
      <c r="DN370" s="576"/>
      <c r="DO370" s="576"/>
      <c r="DP370" s="576"/>
      <c r="DQ370" s="576"/>
      <c r="DR370" s="576"/>
      <c r="DS370" s="576"/>
      <c r="DT370" s="576"/>
      <c r="DU370" s="576"/>
      <c r="DV370" s="576"/>
      <c r="DW370" s="576"/>
      <c r="DX370" s="576"/>
      <c r="DY370" s="576"/>
      <c r="DZ370" s="576"/>
      <c r="EA370" s="576"/>
      <c r="EB370" s="576"/>
      <c r="EC370" s="576"/>
      <c r="ED370" s="576"/>
      <c r="EE370" s="576"/>
      <c r="EF370" s="576"/>
      <c r="EG370" s="576"/>
      <c r="EH370" s="576"/>
      <c r="EI370" s="576"/>
      <c r="EJ370" s="576"/>
      <c r="EK370" s="576"/>
      <c r="EL370" s="576"/>
      <c r="EM370" s="576"/>
      <c r="EN370" s="576"/>
      <c r="EO370" s="576"/>
      <c r="EP370" s="576"/>
      <c r="EQ370" s="576"/>
      <c r="ER370" s="576"/>
      <c r="ES370" s="576"/>
      <c r="ET370" s="576"/>
      <c r="EU370" s="576"/>
      <c r="EV370" s="576"/>
      <c r="EW370" s="576"/>
      <c r="EX370" s="576"/>
      <c r="EY370" s="576"/>
      <c r="EZ370" s="576"/>
      <c r="FA370" s="576"/>
      <c r="FB370" s="576"/>
      <c r="FC370" s="576"/>
      <c r="FD370" s="576"/>
      <c r="FE370" s="576"/>
      <c r="FF370" s="576"/>
      <c r="FG370" s="576"/>
      <c r="FH370" s="576"/>
      <c r="FI370" s="576"/>
      <c r="FJ370" s="576"/>
      <c r="FK370" s="576"/>
      <c r="FL370" s="576"/>
      <c r="FM370" s="576"/>
      <c r="FN370" s="576"/>
      <c r="FO370" s="576"/>
      <c r="FP370" s="576"/>
      <c r="FQ370" s="576"/>
      <c r="FR370" s="576"/>
      <c r="FS370" s="576"/>
      <c r="FT370" s="576"/>
      <c r="FU370" s="576"/>
      <c r="FV370" s="576"/>
      <c r="FW370" s="576"/>
      <c r="FX370" s="576"/>
      <c r="FY370" s="576"/>
      <c r="FZ370" s="576"/>
      <c r="GA370" s="576"/>
      <c r="GB370" s="576"/>
      <c r="GC370" s="576"/>
      <c r="GD370" s="576"/>
      <c r="GE370" s="576"/>
      <c r="GF370" s="576"/>
      <c r="GG370" s="576"/>
      <c r="GH370" s="576"/>
      <c r="GI370" s="576"/>
      <c r="GJ370" s="576"/>
      <c r="GK370" s="576"/>
      <c r="GL370" s="576"/>
      <c r="GM370" s="576"/>
      <c r="GN370" s="576"/>
      <c r="GO370" s="576"/>
      <c r="GP370" s="576"/>
      <c r="GQ370" s="576"/>
      <c r="GR370" s="576"/>
      <c r="GS370" s="576"/>
      <c r="GT370" s="576"/>
      <c r="GU370" s="576"/>
      <c r="GV370" s="576"/>
      <c r="GW370" s="576"/>
      <c r="GX370" s="576"/>
      <c r="GY370" s="576"/>
      <c r="GZ370" s="576"/>
      <c r="HA370" s="576"/>
      <c r="HB370" s="576"/>
      <c r="HC370" s="576"/>
      <c r="HD370" s="576"/>
      <c r="HE370" s="576"/>
      <c r="HF370" s="576"/>
      <c r="HG370" s="576"/>
      <c r="HH370" s="576"/>
      <c r="HI370" s="576"/>
      <c r="HJ370" s="576"/>
      <c r="HK370" s="576"/>
      <c r="HL370" s="576"/>
      <c r="HM370" s="576"/>
      <c r="HN370" s="576"/>
      <c r="HO370" s="576"/>
      <c r="HP370" s="576"/>
      <c r="HQ370" s="576"/>
      <c r="HR370" s="576"/>
      <c r="HS370" s="576"/>
      <c r="HT370" s="576"/>
      <c r="HU370" s="576"/>
      <c r="HV370" s="576"/>
      <c r="HW370" s="576"/>
      <c r="HX370" s="576"/>
      <c r="HY370" s="576"/>
      <c r="HZ370" s="576"/>
      <c r="IA370" s="576"/>
      <c r="IB370" s="576"/>
      <c r="IC370" s="576"/>
      <c r="ID370" s="576"/>
      <c r="IE370" s="576"/>
      <c r="IF370" s="576"/>
      <c r="IG370" s="576"/>
      <c r="IH370" s="577"/>
      <c r="II370" s="578"/>
      <c r="IJ370" s="577"/>
      <c r="IK370" s="578"/>
      <c r="IL370" s="577"/>
      <c r="IM370" s="578"/>
      <c r="IN370" s="577"/>
      <c r="IO370" s="578"/>
      <c r="IP370" s="577"/>
      <c r="IQ370" s="578"/>
      <c r="IR370" s="803"/>
      <c r="IS370" s="576"/>
      <c r="IT370" s="804"/>
    </row>
    <row r="371" spans="1:254" s="367" customFormat="1" ht="16.5" customHeight="1" x14ac:dyDescent="0.3">
      <c r="A371" s="526" t="s">
        <v>2739</v>
      </c>
      <c r="B371" s="395" t="s">
        <v>2751</v>
      </c>
      <c r="C371" s="661" t="s">
        <v>1893</v>
      </c>
      <c r="D371" s="662">
        <v>568</v>
      </c>
      <c r="E371" s="516">
        <v>42</v>
      </c>
      <c r="F371" s="516">
        <v>0</v>
      </c>
      <c r="G371" s="516">
        <v>5</v>
      </c>
      <c r="H371" s="663">
        <v>0</v>
      </c>
      <c r="I371" s="904">
        <v>610</v>
      </c>
      <c r="J371" s="838">
        <v>5</v>
      </c>
      <c r="K371" s="848"/>
      <c r="L371" s="848">
        <v>610</v>
      </c>
      <c r="M371" s="842">
        <v>5</v>
      </c>
      <c r="N371" s="848"/>
      <c r="O371" s="848">
        <v>610</v>
      </c>
      <c r="P371" s="606">
        <v>5</v>
      </c>
      <c r="Q371" s="848"/>
      <c r="R371" s="848">
        <v>610</v>
      </c>
      <c r="S371" s="606">
        <v>5</v>
      </c>
      <c r="T371" s="848"/>
      <c r="U371" s="848">
        <v>610</v>
      </c>
      <c r="V371" s="606">
        <v>5</v>
      </c>
      <c r="W371" s="848"/>
      <c r="X371" s="905">
        <f>((610/30.5)*4)+610</f>
        <v>690</v>
      </c>
      <c r="Y371" s="845">
        <f>((5/30.5)*9)+5</f>
        <v>6.4754098360655732</v>
      </c>
      <c r="Z371" s="848"/>
      <c r="AA371" s="958"/>
      <c r="AB371" s="958"/>
      <c r="AC371" s="958"/>
      <c r="AD371" s="958"/>
      <c r="AE371" s="958"/>
      <c r="AF371" s="958"/>
      <c r="AG371" s="958"/>
      <c r="AH371" s="958"/>
      <c r="AI371" s="958"/>
      <c r="AJ371" s="942"/>
      <c r="AK371" s="942"/>
      <c r="AL371" s="942"/>
      <c r="AM371" s="942"/>
      <c r="AN371" s="942"/>
      <c r="AO371" s="942"/>
      <c r="AP371" s="942"/>
      <c r="AQ371" s="942"/>
      <c r="AR371" s="942"/>
      <c r="AS371" s="942"/>
      <c r="AT371" s="942"/>
      <c r="AU371" s="942"/>
      <c r="AV371" s="942"/>
      <c r="AW371" s="942"/>
      <c r="AX371" s="942"/>
      <c r="AY371" s="942"/>
      <c r="AZ371" s="942"/>
      <c r="BA371" s="576"/>
      <c r="BB371" s="576"/>
      <c r="BC371" s="576"/>
      <c r="BD371" s="576"/>
      <c r="BE371" s="576"/>
      <c r="BF371" s="576"/>
      <c r="BG371" s="576"/>
      <c r="BH371" s="576"/>
      <c r="BI371" s="576"/>
      <c r="BJ371" s="576"/>
      <c r="BK371" s="576"/>
      <c r="BL371" s="576"/>
      <c r="BM371" s="576"/>
      <c r="BN371" s="576"/>
      <c r="BO371" s="576"/>
      <c r="BP371" s="576"/>
      <c r="BQ371" s="576"/>
      <c r="BR371" s="576"/>
      <c r="BS371" s="576"/>
      <c r="BT371" s="576"/>
      <c r="BU371" s="576"/>
      <c r="BV371" s="576"/>
      <c r="BW371" s="576"/>
      <c r="BX371" s="576"/>
      <c r="BY371" s="576"/>
      <c r="BZ371" s="576"/>
      <c r="CA371" s="576"/>
      <c r="CB371" s="576"/>
      <c r="CC371" s="576"/>
      <c r="CD371" s="576"/>
      <c r="CE371" s="576"/>
      <c r="CF371" s="576"/>
      <c r="CG371" s="576"/>
      <c r="CH371" s="576"/>
      <c r="CI371" s="576"/>
      <c r="CJ371" s="576"/>
      <c r="CK371" s="576"/>
      <c r="CL371" s="576"/>
      <c r="CM371" s="576"/>
      <c r="CN371" s="576"/>
      <c r="CO371" s="576"/>
      <c r="CP371" s="576"/>
      <c r="CQ371" s="576"/>
      <c r="CR371" s="576"/>
      <c r="CS371" s="576"/>
      <c r="CT371" s="576"/>
      <c r="CU371" s="576"/>
      <c r="CV371" s="576"/>
      <c r="CW371" s="576"/>
      <c r="CX371" s="576"/>
      <c r="CY371" s="576"/>
      <c r="CZ371" s="576"/>
      <c r="DA371" s="576"/>
      <c r="DB371" s="576"/>
      <c r="DC371" s="576"/>
      <c r="DD371" s="576"/>
      <c r="DE371" s="576"/>
      <c r="DF371" s="576"/>
      <c r="DG371" s="576"/>
      <c r="DH371" s="576"/>
      <c r="DI371" s="576"/>
      <c r="DJ371" s="576"/>
      <c r="DK371" s="576"/>
      <c r="DL371" s="576"/>
      <c r="DM371" s="576"/>
      <c r="DN371" s="576"/>
      <c r="DO371" s="576"/>
      <c r="DP371" s="576"/>
      <c r="DQ371" s="576"/>
      <c r="DR371" s="576"/>
      <c r="DS371" s="576"/>
      <c r="DT371" s="576"/>
      <c r="DU371" s="576"/>
      <c r="DV371" s="576"/>
      <c r="DW371" s="576"/>
      <c r="DX371" s="576"/>
      <c r="DY371" s="576"/>
      <c r="DZ371" s="576"/>
      <c r="EA371" s="576"/>
      <c r="EB371" s="576"/>
      <c r="EC371" s="576"/>
      <c r="ED371" s="576"/>
      <c r="EE371" s="576"/>
      <c r="EF371" s="576"/>
      <c r="EG371" s="576"/>
      <c r="EH371" s="576"/>
      <c r="EI371" s="576"/>
      <c r="EJ371" s="576"/>
      <c r="EK371" s="576"/>
      <c r="EL371" s="576"/>
      <c r="EM371" s="576"/>
      <c r="EN371" s="576"/>
      <c r="EO371" s="576"/>
      <c r="EP371" s="576"/>
      <c r="EQ371" s="576"/>
      <c r="ER371" s="576"/>
      <c r="ES371" s="576"/>
      <c r="ET371" s="576"/>
      <c r="EU371" s="576"/>
      <c r="EV371" s="576"/>
      <c r="EW371" s="576"/>
      <c r="EX371" s="576"/>
      <c r="EY371" s="576"/>
      <c r="EZ371" s="576"/>
      <c r="FA371" s="576"/>
      <c r="FB371" s="576"/>
      <c r="FC371" s="576"/>
      <c r="FD371" s="576"/>
      <c r="FE371" s="576"/>
      <c r="FF371" s="576"/>
      <c r="FG371" s="576"/>
      <c r="FH371" s="576"/>
      <c r="FI371" s="576"/>
      <c r="FJ371" s="576"/>
      <c r="FK371" s="576"/>
      <c r="FL371" s="576"/>
      <c r="FM371" s="576"/>
      <c r="FN371" s="576"/>
      <c r="FO371" s="576"/>
      <c r="FP371" s="576"/>
      <c r="FQ371" s="576"/>
      <c r="FR371" s="576"/>
      <c r="FS371" s="576"/>
      <c r="FT371" s="576"/>
      <c r="FU371" s="576"/>
      <c r="FV371" s="576"/>
      <c r="FW371" s="576"/>
      <c r="FX371" s="576"/>
      <c r="FY371" s="576"/>
      <c r="FZ371" s="576"/>
      <c r="GA371" s="576"/>
      <c r="GB371" s="576"/>
      <c r="GC371" s="576"/>
      <c r="GD371" s="576"/>
      <c r="GE371" s="576"/>
      <c r="GF371" s="576"/>
      <c r="GG371" s="576"/>
      <c r="GH371" s="576"/>
      <c r="GI371" s="576"/>
      <c r="GJ371" s="576"/>
      <c r="GK371" s="576"/>
      <c r="GL371" s="576"/>
      <c r="GM371" s="576"/>
      <c r="GN371" s="576"/>
      <c r="GO371" s="576"/>
      <c r="GP371" s="576"/>
      <c r="GQ371" s="576"/>
      <c r="GR371" s="576"/>
      <c r="GS371" s="576"/>
      <c r="GT371" s="576"/>
      <c r="GU371" s="576"/>
      <c r="GV371" s="576"/>
      <c r="GW371" s="576"/>
      <c r="GX371" s="576"/>
      <c r="GY371" s="576"/>
      <c r="GZ371" s="576"/>
      <c r="HA371" s="576"/>
      <c r="HB371" s="576"/>
      <c r="HC371" s="576"/>
      <c r="HD371" s="576"/>
      <c r="HE371" s="576"/>
      <c r="HF371" s="576"/>
      <c r="HG371" s="576"/>
      <c r="HH371" s="576"/>
      <c r="HI371" s="576"/>
      <c r="HJ371" s="576"/>
      <c r="HK371" s="576"/>
      <c r="HL371" s="576"/>
      <c r="HM371" s="576"/>
      <c r="HN371" s="576"/>
      <c r="HO371" s="576"/>
      <c r="HP371" s="576"/>
      <c r="HQ371" s="576"/>
      <c r="HR371" s="576"/>
      <c r="HS371" s="576"/>
      <c r="HT371" s="576"/>
      <c r="HU371" s="576"/>
      <c r="HV371" s="576"/>
      <c r="HW371" s="576"/>
      <c r="HX371" s="576"/>
      <c r="HY371" s="576"/>
      <c r="HZ371" s="576"/>
      <c r="IA371" s="576"/>
      <c r="IB371" s="576"/>
      <c r="IC371" s="576"/>
      <c r="ID371" s="576"/>
      <c r="IE371" s="576"/>
      <c r="IF371" s="576"/>
      <c r="IG371" s="576"/>
      <c r="IH371" s="577"/>
      <c r="II371" s="578"/>
      <c r="IJ371" s="577"/>
      <c r="IK371" s="578"/>
      <c r="IL371" s="577"/>
      <c r="IM371" s="578"/>
      <c r="IN371" s="577"/>
      <c r="IO371" s="578"/>
      <c r="IP371" s="577"/>
      <c r="IQ371" s="578"/>
      <c r="IR371" s="803"/>
      <c r="IS371" s="576"/>
      <c r="IT371" s="804"/>
    </row>
    <row r="372" spans="1:254" s="367" customFormat="1" ht="16.5" customHeight="1" x14ac:dyDescent="0.3">
      <c r="A372" s="526" t="s">
        <v>2739</v>
      </c>
      <c r="B372" s="395" t="s">
        <v>3068</v>
      </c>
      <c r="C372" s="661" t="s">
        <v>1860</v>
      </c>
      <c r="D372" s="662">
        <v>469</v>
      </c>
      <c r="E372" s="516">
        <v>42</v>
      </c>
      <c r="F372" s="516">
        <v>0</v>
      </c>
      <c r="G372" s="516">
        <v>35.6</v>
      </c>
      <c r="H372" s="663">
        <v>0</v>
      </c>
      <c r="I372" s="664">
        <v>511</v>
      </c>
      <c r="J372" s="838">
        <v>36</v>
      </c>
      <c r="K372" s="516"/>
      <c r="L372" s="516">
        <v>511</v>
      </c>
      <c r="M372" s="842">
        <v>36</v>
      </c>
      <c r="N372" s="516"/>
      <c r="O372" s="516">
        <v>511</v>
      </c>
      <c r="P372" s="606">
        <v>36</v>
      </c>
      <c r="Q372" s="516"/>
      <c r="R372" s="516">
        <v>511</v>
      </c>
      <c r="S372" s="606">
        <v>36</v>
      </c>
      <c r="T372" s="516"/>
      <c r="U372" s="516">
        <v>511</v>
      </c>
      <c r="V372" s="606">
        <v>36</v>
      </c>
      <c r="W372" s="516"/>
      <c r="X372" s="517">
        <f>((511/30.5)*4)+511</f>
        <v>578.01639344262298</v>
      </c>
      <c r="Y372" s="845">
        <f>((36/30.5)*4)+36</f>
        <v>40.721311475409834</v>
      </c>
      <c r="Z372" s="516"/>
      <c r="AA372" s="942"/>
      <c r="AB372" s="942"/>
      <c r="AC372" s="942"/>
      <c r="AD372" s="942"/>
      <c r="AE372" s="942"/>
      <c r="AF372" s="942"/>
      <c r="AG372" s="942"/>
      <c r="AH372" s="942"/>
      <c r="AI372" s="942"/>
      <c r="AJ372" s="942"/>
      <c r="AK372" s="942"/>
      <c r="AL372" s="942"/>
      <c r="AM372" s="942"/>
      <c r="AN372" s="942"/>
      <c r="AO372" s="942"/>
      <c r="AP372" s="942"/>
      <c r="AQ372" s="942"/>
      <c r="AR372" s="942"/>
      <c r="AS372" s="942"/>
      <c r="AT372" s="942"/>
      <c r="AU372" s="942"/>
      <c r="AV372" s="942"/>
      <c r="AW372" s="942"/>
      <c r="AX372" s="942"/>
      <c r="AY372" s="942"/>
      <c r="AZ372" s="942"/>
      <c r="BA372" s="576"/>
      <c r="BB372" s="576"/>
      <c r="BC372" s="576"/>
      <c r="BD372" s="576"/>
      <c r="BE372" s="576"/>
      <c r="BF372" s="576"/>
      <c r="BG372" s="576"/>
      <c r="BH372" s="576"/>
      <c r="BI372" s="576"/>
      <c r="BJ372" s="576"/>
      <c r="BK372" s="576"/>
      <c r="BL372" s="576"/>
      <c r="BM372" s="576"/>
      <c r="BN372" s="576"/>
      <c r="BO372" s="576"/>
      <c r="BP372" s="576"/>
      <c r="BQ372" s="576"/>
      <c r="BR372" s="576"/>
      <c r="BS372" s="576"/>
      <c r="BT372" s="576"/>
      <c r="BU372" s="576"/>
      <c r="BV372" s="576"/>
      <c r="BW372" s="576"/>
      <c r="BX372" s="576"/>
      <c r="BY372" s="576"/>
      <c r="BZ372" s="576"/>
      <c r="CA372" s="576"/>
      <c r="CB372" s="576"/>
      <c r="CC372" s="576"/>
      <c r="CD372" s="576"/>
      <c r="CE372" s="576"/>
      <c r="CF372" s="576"/>
      <c r="CG372" s="576"/>
      <c r="CH372" s="576"/>
      <c r="CI372" s="576"/>
      <c r="CJ372" s="576"/>
      <c r="CK372" s="576"/>
      <c r="CL372" s="576"/>
      <c r="CM372" s="576"/>
      <c r="CN372" s="576"/>
      <c r="CO372" s="576"/>
      <c r="CP372" s="576"/>
      <c r="CQ372" s="576"/>
      <c r="CR372" s="576"/>
      <c r="CS372" s="576"/>
      <c r="CT372" s="576"/>
      <c r="CU372" s="576"/>
      <c r="CV372" s="576"/>
      <c r="CW372" s="576"/>
      <c r="CX372" s="576"/>
      <c r="CY372" s="576"/>
      <c r="CZ372" s="576"/>
      <c r="DA372" s="576"/>
      <c r="DB372" s="576"/>
      <c r="DC372" s="576"/>
      <c r="DD372" s="576"/>
      <c r="DE372" s="576"/>
      <c r="DF372" s="576"/>
      <c r="DG372" s="576"/>
      <c r="DH372" s="576"/>
      <c r="DI372" s="576"/>
      <c r="DJ372" s="576"/>
      <c r="DK372" s="576"/>
      <c r="DL372" s="576"/>
      <c r="DM372" s="576"/>
      <c r="DN372" s="576"/>
      <c r="DO372" s="576"/>
      <c r="DP372" s="576"/>
      <c r="DQ372" s="576"/>
      <c r="DR372" s="576"/>
      <c r="DS372" s="576"/>
      <c r="DT372" s="576"/>
      <c r="DU372" s="576"/>
      <c r="DV372" s="576"/>
      <c r="DW372" s="576"/>
      <c r="DX372" s="576"/>
      <c r="DY372" s="576"/>
      <c r="DZ372" s="576"/>
      <c r="EA372" s="576"/>
      <c r="EB372" s="576"/>
      <c r="EC372" s="576"/>
      <c r="ED372" s="576"/>
      <c r="EE372" s="576"/>
      <c r="EF372" s="576"/>
      <c r="EG372" s="576"/>
      <c r="EH372" s="576"/>
      <c r="EI372" s="576"/>
      <c r="EJ372" s="576"/>
      <c r="EK372" s="576"/>
      <c r="EL372" s="576"/>
      <c r="EM372" s="576"/>
      <c r="EN372" s="576"/>
      <c r="EO372" s="576"/>
      <c r="EP372" s="576"/>
      <c r="EQ372" s="576"/>
      <c r="ER372" s="576"/>
      <c r="ES372" s="576"/>
      <c r="ET372" s="576"/>
      <c r="EU372" s="576"/>
      <c r="EV372" s="576"/>
      <c r="EW372" s="576"/>
      <c r="EX372" s="576"/>
      <c r="EY372" s="576"/>
      <c r="EZ372" s="576"/>
      <c r="FA372" s="576"/>
      <c r="FB372" s="576"/>
      <c r="FC372" s="576"/>
      <c r="FD372" s="576"/>
      <c r="FE372" s="576"/>
      <c r="FF372" s="576"/>
      <c r="FG372" s="576"/>
      <c r="FH372" s="576"/>
      <c r="FI372" s="576"/>
      <c r="FJ372" s="576"/>
      <c r="FK372" s="576"/>
      <c r="FL372" s="576"/>
      <c r="FM372" s="576"/>
      <c r="FN372" s="576"/>
      <c r="FO372" s="576"/>
      <c r="FP372" s="576"/>
      <c r="FQ372" s="576"/>
      <c r="FR372" s="576"/>
      <c r="FS372" s="576"/>
      <c r="FT372" s="576"/>
      <c r="FU372" s="576"/>
      <c r="FV372" s="576"/>
      <c r="FW372" s="576"/>
      <c r="FX372" s="576"/>
      <c r="FY372" s="576"/>
      <c r="FZ372" s="576"/>
      <c r="GA372" s="576"/>
      <c r="GB372" s="576"/>
      <c r="GC372" s="576"/>
      <c r="GD372" s="576"/>
      <c r="GE372" s="576"/>
      <c r="GF372" s="576"/>
      <c r="GG372" s="576"/>
      <c r="GH372" s="576"/>
      <c r="GI372" s="576"/>
      <c r="GJ372" s="576"/>
      <c r="GK372" s="576"/>
      <c r="GL372" s="576"/>
      <c r="GM372" s="576"/>
      <c r="GN372" s="576"/>
      <c r="GO372" s="576"/>
      <c r="GP372" s="576"/>
      <c r="GQ372" s="576"/>
      <c r="GR372" s="576"/>
      <c r="GS372" s="576"/>
      <c r="GT372" s="576"/>
      <c r="GU372" s="576"/>
      <c r="GV372" s="576"/>
      <c r="GW372" s="576"/>
      <c r="GX372" s="576"/>
      <c r="GY372" s="576"/>
      <c r="GZ372" s="576"/>
      <c r="HA372" s="576"/>
      <c r="HB372" s="576"/>
      <c r="HC372" s="576"/>
      <c r="HD372" s="576"/>
      <c r="HE372" s="576"/>
      <c r="HF372" s="576"/>
      <c r="HG372" s="576"/>
      <c r="HH372" s="576"/>
      <c r="HI372" s="576"/>
      <c r="HJ372" s="576"/>
      <c r="HK372" s="576"/>
      <c r="HL372" s="576"/>
      <c r="HM372" s="576"/>
      <c r="HN372" s="576"/>
      <c r="HO372" s="576"/>
      <c r="HP372" s="576"/>
      <c r="HQ372" s="576"/>
      <c r="HR372" s="576"/>
      <c r="HS372" s="576"/>
      <c r="HT372" s="576"/>
      <c r="HU372" s="576"/>
      <c r="HV372" s="576"/>
      <c r="HW372" s="576"/>
      <c r="HX372" s="576"/>
      <c r="HY372" s="576"/>
      <c r="HZ372" s="576"/>
      <c r="IA372" s="576"/>
      <c r="IB372" s="576"/>
      <c r="IC372" s="576"/>
      <c r="ID372" s="576"/>
      <c r="IE372" s="576"/>
      <c r="IF372" s="576"/>
      <c r="IG372" s="576"/>
      <c r="IH372" s="577"/>
      <c r="II372" s="578"/>
      <c r="IJ372" s="577"/>
      <c r="IK372" s="578"/>
      <c r="IL372" s="577"/>
      <c r="IM372" s="578"/>
      <c r="IN372" s="577"/>
      <c r="IO372" s="578"/>
      <c r="IP372" s="577"/>
      <c r="IQ372" s="578"/>
      <c r="IR372" s="803"/>
      <c r="IS372" s="576"/>
      <c r="IT372" s="804"/>
    </row>
    <row r="373" spans="1:254" s="367" customFormat="1" ht="16.5" customHeight="1" x14ac:dyDescent="0.3">
      <c r="A373" s="526" t="s">
        <v>2739</v>
      </c>
      <c r="B373" s="495" t="s">
        <v>2745</v>
      </c>
      <c r="C373" s="685" t="s">
        <v>1851</v>
      </c>
      <c r="D373" s="686">
        <v>1628</v>
      </c>
      <c r="E373" s="656">
        <v>84</v>
      </c>
      <c r="F373" s="656">
        <v>0</v>
      </c>
      <c r="G373" s="656">
        <v>108</v>
      </c>
      <c r="H373" s="687">
        <v>0</v>
      </c>
      <c r="I373" s="904">
        <v>1712</v>
      </c>
      <c r="J373" s="838">
        <v>108</v>
      </c>
      <c r="K373" s="848">
        <v>0</v>
      </c>
      <c r="L373" s="848">
        <v>1712</v>
      </c>
      <c r="M373" s="842">
        <v>108</v>
      </c>
      <c r="N373" s="848">
        <v>0</v>
      </c>
      <c r="O373" s="848">
        <v>1712</v>
      </c>
      <c r="P373" s="848">
        <v>108</v>
      </c>
      <c r="Q373" s="848">
        <v>0</v>
      </c>
      <c r="R373" s="848">
        <v>1712</v>
      </c>
      <c r="S373" s="848">
        <v>108</v>
      </c>
      <c r="T373" s="848">
        <v>0</v>
      </c>
      <c r="U373" s="905">
        <f>(1712/30.5)*21</f>
        <v>1178.7540983606557</v>
      </c>
      <c r="V373" s="905">
        <f>(108/30.5)*21</f>
        <v>74.360655737704917</v>
      </c>
      <c r="W373" s="905">
        <v>0</v>
      </c>
      <c r="X373" s="942"/>
      <c r="Y373" s="942"/>
      <c r="Z373" s="942"/>
      <c r="AA373" s="942"/>
      <c r="AB373" s="942"/>
      <c r="AC373" s="942"/>
      <c r="AD373" s="942"/>
      <c r="AE373" s="942"/>
      <c r="AF373" s="942"/>
      <c r="AG373" s="942"/>
      <c r="AH373" s="942"/>
      <c r="AI373" s="942"/>
      <c r="AJ373" s="942"/>
      <c r="AK373" s="942"/>
      <c r="AL373" s="942"/>
      <c r="AM373" s="942"/>
      <c r="AN373" s="942"/>
      <c r="AO373" s="942"/>
      <c r="AP373" s="942"/>
      <c r="AQ373" s="942"/>
      <c r="AR373" s="942"/>
      <c r="AS373" s="942"/>
      <c r="AT373" s="942"/>
      <c r="AU373" s="942"/>
      <c r="AV373" s="942"/>
      <c r="AW373" s="942"/>
      <c r="AX373" s="942"/>
      <c r="AY373" s="942"/>
      <c r="AZ373" s="942"/>
      <c r="BA373" s="576"/>
      <c r="BB373" s="576"/>
      <c r="BC373" s="576"/>
      <c r="BD373" s="576"/>
      <c r="BE373" s="576"/>
      <c r="BF373" s="576"/>
      <c r="BG373" s="576"/>
      <c r="BH373" s="576"/>
      <c r="BI373" s="576"/>
      <c r="BJ373" s="576"/>
      <c r="BK373" s="576"/>
      <c r="BL373" s="576"/>
      <c r="BM373" s="576"/>
      <c r="BN373" s="576"/>
      <c r="BO373" s="576"/>
      <c r="BP373" s="576"/>
      <c r="BQ373" s="576"/>
      <c r="BR373" s="576"/>
      <c r="BS373" s="576"/>
      <c r="BT373" s="576"/>
      <c r="BU373" s="576"/>
      <c r="BV373" s="576"/>
      <c r="BW373" s="576"/>
      <c r="BX373" s="576"/>
      <c r="BY373" s="576"/>
      <c r="BZ373" s="576"/>
      <c r="CA373" s="576"/>
      <c r="CB373" s="576"/>
      <c r="CC373" s="576"/>
      <c r="CD373" s="576"/>
      <c r="CE373" s="576"/>
      <c r="CF373" s="576"/>
      <c r="CG373" s="576"/>
      <c r="CH373" s="576"/>
      <c r="CI373" s="576"/>
      <c r="CJ373" s="576"/>
      <c r="CK373" s="576"/>
      <c r="CL373" s="576"/>
      <c r="CM373" s="576"/>
      <c r="CN373" s="576"/>
      <c r="CO373" s="576"/>
      <c r="CP373" s="576"/>
      <c r="CQ373" s="576"/>
      <c r="CR373" s="576"/>
      <c r="CS373" s="576"/>
      <c r="CT373" s="576"/>
      <c r="CU373" s="576"/>
      <c r="CV373" s="576"/>
      <c r="CW373" s="576"/>
      <c r="CX373" s="576"/>
      <c r="CY373" s="576"/>
      <c r="CZ373" s="576"/>
      <c r="DA373" s="576"/>
      <c r="DB373" s="576"/>
      <c r="DC373" s="576"/>
      <c r="DD373" s="576"/>
      <c r="DE373" s="576"/>
      <c r="DF373" s="576"/>
      <c r="DG373" s="576"/>
      <c r="DH373" s="576"/>
      <c r="DI373" s="576"/>
      <c r="DJ373" s="576"/>
      <c r="DK373" s="576"/>
      <c r="DL373" s="576"/>
      <c r="DM373" s="576"/>
      <c r="DN373" s="576"/>
      <c r="DO373" s="576"/>
      <c r="DP373" s="576"/>
      <c r="DQ373" s="576"/>
      <c r="DR373" s="576"/>
      <c r="DS373" s="576"/>
      <c r="DT373" s="576"/>
      <c r="DU373" s="576"/>
      <c r="DV373" s="576"/>
      <c r="DW373" s="576"/>
      <c r="DX373" s="576"/>
      <c r="DY373" s="576"/>
      <c r="DZ373" s="576"/>
      <c r="EA373" s="576"/>
      <c r="EB373" s="576"/>
      <c r="EC373" s="576"/>
      <c r="ED373" s="576"/>
      <c r="EE373" s="576"/>
      <c r="EF373" s="576"/>
      <c r="EG373" s="576"/>
      <c r="EH373" s="576"/>
      <c r="EI373" s="576"/>
      <c r="EJ373" s="576"/>
      <c r="EK373" s="576"/>
      <c r="EL373" s="576"/>
      <c r="EM373" s="576"/>
      <c r="EN373" s="576"/>
      <c r="EO373" s="576"/>
      <c r="EP373" s="576"/>
      <c r="EQ373" s="576"/>
      <c r="ER373" s="576"/>
      <c r="ES373" s="576"/>
      <c r="ET373" s="576"/>
      <c r="EU373" s="576"/>
      <c r="EV373" s="576"/>
      <c r="EW373" s="576"/>
      <c r="EX373" s="576"/>
      <c r="EY373" s="576"/>
      <c r="EZ373" s="576"/>
      <c r="FA373" s="576"/>
      <c r="FB373" s="576"/>
      <c r="FC373" s="576"/>
      <c r="FD373" s="576"/>
      <c r="FE373" s="576"/>
      <c r="FF373" s="576"/>
      <c r="FG373" s="576"/>
      <c r="FH373" s="576"/>
      <c r="FI373" s="576"/>
      <c r="FJ373" s="576"/>
      <c r="FK373" s="576"/>
      <c r="FL373" s="576"/>
      <c r="FM373" s="576"/>
      <c r="FN373" s="576"/>
      <c r="FO373" s="576"/>
      <c r="FP373" s="576"/>
      <c r="FQ373" s="576"/>
      <c r="FR373" s="576"/>
      <c r="FS373" s="576"/>
      <c r="FT373" s="576"/>
      <c r="FU373" s="576"/>
      <c r="FV373" s="576"/>
      <c r="FW373" s="576"/>
      <c r="FX373" s="576"/>
      <c r="FY373" s="576"/>
      <c r="FZ373" s="576"/>
      <c r="GA373" s="576"/>
      <c r="GB373" s="576"/>
      <c r="GC373" s="576"/>
      <c r="GD373" s="576"/>
      <c r="GE373" s="576"/>
      <c r="GF373" s="576"/>
      <c r="GG373" s="576"/>
      <c r="GH373" s="576"/>
      <c r="GI373" s="576"/>
      <c r="GJ373" s="576"/>
      <c r="GK373" s="576"/>
      <c r="GL373" s="576"/>
      <c r="GM373" s="576"/>
      <c r="GN373" s="576"/>
      <c r="GO373" s="576"/>
      <c r="GP373" s="576"/>
      <c r="GQ373" s="576"/>
      <c r="GR373" s="576"/>
      <c r="GS373" s="576"/>
      <c r="GT373" s="576"/>
      <c r="GU373" s="576"/>
      <c r="GV373" s="576"/>
      <c r="GW373" s="576"/>
      <c r="GX373" s="576"/>
      <c r="GY373" s="576"/>
      <c r="GZ373" s="576"/>
      <c r="HA373" s="576"/>
      <c r="HB373" s="576"/>
      <c r="HC373" s="576"/>
      <c r="HD373" s="576"/>
      <c r="HE373" s="576"/>
      <c r="HF373" s="576"/>
      <c r="HG373" s="576"/>
      <c r="HH373" s="576"/>
      <c r="HI373" s="576"/>
      <c r="HJ373" s="576"/>
      <c r="HK373" s="576"/>
      <c r="HL373" s="576"/>
      <c r="HM373" s="576"/>
      <c r="HN373" s="576"/>
      <c r="HO373" s="576"/>
      <c r="HP373" s="576"/>
      <c r="HQ373" s="576"/>
      <c r="HR373" s="576"/>
      <c r="HS373" s="576"/>
      <c r="HT373" s="576"/>
      <c r="HU373" s="576"/>
      <c r="HV373" s="576"/>
      <c r="HW373" s="576"/>
      <c r="HX373" s="576"/>
      <c r="HY373" s="576"/>
      <c r="HZ373" s="576"/>
      <c r="IA373" s="576"/>
      <c r="IB373" s="576"/>
      <c r="IC373" s="576"/>
      <c r="ID373" s="576"/>
      <c r="IE373" s="576"/>
      <c r="IF373" s="576"/>
      <c r="IG373" s="576"/>
      <c r="IH373" s="577"/>
      <c r="II373" s="578"/>
      <c r="IJ373" s="577"/>
      <c r="IK373" s="578"/>
      <c r="IL373" s="577"/>
      <c r="IM373" s="578"/>
      <c r="IN373" s="577"/>
      <c r="IO373" s="578"/>
      <c r="IP373" s="577"/>
      <c r="IQ373" s="578"/>
      <c r="IR373" s="803"/>
      <c r="IS373" s="576"/>
      <c r="IT373" s="804"/>
    </row>
    <row r="374" spans="1:254" s="367" customFormat="1" ht="16.5" customHeight="1" x14ac:dyDescent="0.3">
      <c r="A374" s="526" t="s">
        <v>2739</v>
      </c>
      <c r="B374" s="377" t="s">
        <v>2813</v>
      </c>
      <c r="C374" s="378" t="s">
        <v>1783</v>
      </c>
      <c r="D374" s="792">
        <f>(468*12)+1649</f>
        <v>7265</v>
      </c>
      <c r="E374" s="846">
        <v>142</v>
      </c>
      <c r="F374" s="846">
        <v>16</v>
      </c>
      <c r="G374" s="516">
        <v>5</v>
      </c>
      <c r="H374" s="792">
        <f>(66*12)</f>
        <v>792</v>
      </c>
      <c r="I374" s="830">
        <v>1339</v>
      </c>
      <c r="J374" s="838">
        <v>5</v>
      </c>
      <c r="K374" s="848"/>
      <c r="L374" s="849">
        <v>1339</v>
      </c>
      <c r="M374" s="842">
        <v>5</v>
      </c>
      <c r="N374" s="848"/>
      <c r="O374" s="831">
        <v>1339</v>
      </c>
      <c r="P374" s="831">
        <v>5</v>
      </c>
      <c r="Q374" s="848"/>
      <c r="R374" s="831">
        <v>1339</v>
      </c>
      <c r="S374" s="831">
        <f>(5/30.5)*20</f>
        <v>3.2786885245901636</v>
      </c>
      <c r="T374" s="848"/>
      <c r="U374" s="905">
        <f>(1339/30.5)*20</f>
        <v>878.03278688524586</v>
      </c>
      <c r="V374" s="905">
        <v>5</v>
      </c>
      <c r="W374" s="905"/>
      <c r="X374" s="942"/>
      <c r="Y374" s="942"/>
      <c r="Z374" s="942"/>
      <c r="AA374" s="942"/>
      <c r="AB374" s="942"/>
      <c r="AC374" s="942"/>
      <c r="AD374" s="942"/>
      <c r="AE374" s="942"/>
      <c r="AF374" s="942"/>
      <c r="AG374" s="942"/>
      <c r="AH374" s="942"/>
      <c r="AI374" s="942"/>
      <c r="AJ374" s="942"/>
      <c r="AK374" s="942"/>
      <c r="AL374" s="942"/>
      <c r="AM374" s="942"/>
      <c r="AN374" s="942"/>
      <c r="AO374" s="942"/>
      <c r="AP374" s="942"/>
      <c r="AQ374" s="942"/>
      <c r="AR374" s="942"/>
      <c r="AS374" s="942"/>
      <c r="AT374" s="942"/>
      <c r="AU374" s="942"/>
      <c r="AV374" s="942"/>
      <c r="AW374" s="942"/>
      <c r="AX374" s="942"/>
      <c r="AY374" s="942"/>
      <c r="AZ374" s="942"/>
      <c r="BA374" s="576"/>
      <c r="BB374" s="576"/>
      <c r="BC374" s="576"/>
      <c r="BD374" s="576"/>
      <c r="BE374" s="576"/>
      <c r="BF374" s="576"/>
      <c r="BG374" s="576"/>
      <c r="BH374" s="576"/>
      <c r="BI374" s="576"/>
      <c r="BJ374" s="576"/>
      <c r="BK374" s="576"/>
      <c r="BL374" s="576"/>
      <c r="BM374" s="576"/>
      <c r="BN374" s="576"/>
      <c r="BO374" s="576"/>
      <c r="BP374" s="576"/>
      <c r="BQ374" s="576"/>
      <c r="BR374" s="576"/>
      <c r="BS374" s="576"/>
      <c r="BT374" s="576"/>
      <c r="BU374" s="576"/>
      <c r="BV374" s="576"/>
      <c r="BW374" s="576"/>
      <c r="BX374" s="576"/>
      <c r="BY374" s="576"/>
      <c r="BZ374" s="576"/>
      <c r="CA374" s="576"/>
      <c r="CB374" s="576"/>
      <c r="CC374" s="576"/>
      <c r="CD374" s="576"/>
      <c r="CE374" s="576"/>
      <c r="CF374" s="576"/>
      <c r="CG374" s="576"/>
      <c r="CH374" s="576"/>
      <c r="CI374" s="576"/>
      <c r="CJ374" s="576"/>
      <c r="CK374" s="576"/>
      <c r="CL374" s="576"/>
      <c r="CM374" s="576"/>
      <c r="CN374" s="576"/>
      <c r="CO374" s="576"/>
      <c r="CP374" s="576"/>
      <c r="CQ374" s="576"/>
      <c r="CR374" s="576"/>
      <c r="CS374" s="576"/>
      <c r="CT374" s="576"/>
      <c r="CU374" s="576"/>
      <c r="CV374" s="576"/>
      <c r="CW374" s="576"/>
      <c r="CX374" s="576"/>
      <c r="CY374" s="576"/>
      <c r="CZ374" s="576"/>
      <c r="DA374" s="576"/>
      <c r="DB374" s="576"/>
      <c r="DC374" s="576"/>
      <c r="DD374" s="576"/>
      <c r="DE374" s="576"/>
      <c r="DF374" s="576"/>
      <c r="DG374" s="576"/>
      <c r="DH374" s="576"/>
      <c r="DI374" s="576"/>
      <c r="DJ374" s="576"/>
      <c r="DK374" s="576"/>
      <c r="DL374" s="576"/>
      <c r="DM374" s="576"/>
      <c r="DN374" s="576"/>
      <c r="DO374" s="576"/>
      <c r="DP374" s="576"/>
      <c r="DQ374" s="576"/>
      <c r="DR374" s="576"/>
      <c r="DS374" s="576"/>
      <c r="DT374" s="576"/>
      <c r="DU374" s="576"/>
      <c r="DV374" s="576"/>
      <c r="DW374" s="576"/>
      <c r="DX374" s="576"/>
      <c r="DY374" s="576"/>
      <c r="DZ374" s="576"/>
      <c r="EA374" s="576"/>
      <c r="EB374" s="576"/>
      <c r="EC374" s="576"/>
      <c r="ED374" s="576"/>
      <c r="EE374" s="576"/>
      <c r="EF374" s="576"/>
      <c r="EG374" s="576"/>
      <c r="EH374" s="576"/>
      <c r="EI374" s="576"/>
      <c r="EJ374" s="576"/>
      <c r="EK374" s="576"/>
      <c r="EL374" s="576"/>
      <c r="EM374" s="576"/>
      <c r="EN374" s="576"/>
      <c r="EO374" s="576"/>
      <c r="EP374" s="576"/>
      <c r="EQ374" s="576"/>
      <c r="ER374" s="576"/>
      <c r="ES374" s="576"/>
      <c r="ET374" s="576"/>
      <c r="EU374" s="576"/>
      <c r="EV374" s="576"/>
      <c r="EW374" s="576"/>
      <c r="EX374" s="576"/>
      <c r="EY374" s="576"/>
      <c r="EZ374" s="576"/>
      <c r="FA374" s="576"/>
      <c r="FB374" s="576"/>
      <c r="FC374" s="576"/>
      <c r="FD374" s="576"/>
      <c r="FE374" s="576"/>
      <c r="FF374" s="576"/>
      <c r="FG374" s="576"/>
      <c r="FH374" s="576"/>
      <c r="FI374" s="576"/>
      <c r="FJ374" s="576"/>
      <c r="FK374" s="576"/>
      <c r="FL374" s="576"/>
      <c r="FM374" s="576"/>
      <c r="FN374" s="576"/>
      <c r="FO374" s="576"/>
      <c r="FP374" s="576"/>
      <c r="FQ374" s="576"/>
      <c r="FR374" s="576"/>
      <c r="FS374" s="576"/>
      <c r="FT374" s="576"/>
      <c r="FU374" s="576"/>
      <c r="FV374" s="576"/>
      <c r="FW374" s="576"/>
      <c r="FX374" s="576"/>
      <c r="FY374" s="576"/>
      <c r="FZ374" s="576"/>
      <c r="GA374" s="576"/>
      <c r="GB374" s="576"/>
      <c r="GC374" s="576"/>
      <c r="GD374" s="576"/>
      <c r="GE374" s="576"/>
      <c r="GF374" s="576"/>
      <c r="GG374" s="576"/>
      <c r="GH374" s="576"/>
      <c r="GI374" s="576"/>
      <c r="GJ374" s="576"/>
      <c r="GK374" s="576"/>
      <c r="GL374" s="576"/>
      <c r="GM374" s="576"/>
      <c r="GN374" s="576"/>
      <c r="GO374" s="576"/>
      <c r="GP374" s="576"/>
      <c r="GQ374" s="576"/>
      <c r="GR374" s="576"/>
      <c r="GS374" s="576"/>
      <c r="GT374" s="576"/>
      <c r="GU374" s="576"/>
      <c r="GV374" s="576"/>
      <c r="GW374" s="576"/>
      <c r="GX374" s="576"/>
      <c r="GY374" s="576"/>
      <c r="GZ374" s="576"/>
      <c r="HA374" s="576"/>
      <c r="HB374" s="576"/>
      <c r="HC374" s="576"/>
      <c r="HD374" s="576"/>
      <c r="HE374" s="576"/>
      <c r="HF374" s="576"/>
      <c r="HG374" s="576"/>
      <c r="HH374" s="576"/>
      <c r="HI374" s="576"/>
      <c r="HJ374" s="576"/>
      <c r="HK374" s="576"/>
      <c r="HL374" s="576"/>
      <c r="HM374" s="576"/>
      <c r="HN374" s="576"/>
      <c r="HO374" s="576"/>
      <c r="HP374" s="576"/>
      <c r="HQ374" s="576"/>
      <c r="HR374" s="576"/>
      <c r="HS374" s="576"/>
      <c r="HT374" s="576"/>
      <c r="HU374" s="576"/>
      <c r="HV374" s="576"/>
      <c r="HW374" s="576"/>
      <c r="HX374" s="576"/>
      <c r="HY374" s="576"/>
      <c r="HZ374" s="576"/>
      <c r="IA374" s="576"/>
      <c r="IB374" s="576"/>
      <c r="IC374" s="576"/>
      <c r="ID374" s="576"/>
      <c r="IE374" s="576"/>
      <c r="IF374" s="576"/>
      <c r="IG374" s="576"/>
      <c r="IH374" s="577"/>
      <c r="II374" s="578"/>
      <c r="IJ374" s="577"/>
      <c r="IK374" s="578"/>
      <c r="IL374" s="577"/>
      <c r="IM374" s="578"/>
      <c r="IN374" s="577"/>
      <c r="IO374" s="578"/>
      <c r="IP374" s="577"/>
      <c r="IQ374" s="578"/>
      <c r="IR374" s="803"/>
      <c r="IS374" s="576"/>
      <c r="IT374" s="804"/>
    </row>
    <row r="375" spans="1:254" s="367" customFormat="1" ht="16.5" customHeight="1" thickBot="1" x14ac:dyDescent="0.35">
      <c r="A375" s="526" t="s">
        <v>2739</v>
      </c>
      <c r="B375" s="603" t="s">
        <v>3102</v>
      </c>
      <c r="C375" s="396" t="s">
        <v>1902</v>
      </c>
      <c r="D375" s="766">
        <v>861</v>
      </c>
      <c r="E375" s="767">
        <v>42</v>
      </c>
      <c r="F375" s="767">
        <v>0</v>
      </c>
      <c r="G375" s="767">
        <v>36</v>
      </c>
      <c r="H375" s="768">
        <v>0</v>
      </c>
      <c r="I375" s="844">
        <v>903</v>
      </c>
      <c r="J375" s="838">
        <v>36</v>
      </c>
      <c r="K375" s="959"/>
      <c r="L375" s="606">
        <v>903</v>
      </c>
      <c r="M375" s="842">
        <v>36</v>
      </c>
      <c r="N375" s="960"/>
      <c r="O375" s="606">
        <v>903</v>
      </c>
      <c r="P375" s="606">
        <v>36</v>
      </c>
      <c r="Q375" s="960"/>
      <c r="R375" s="845">
        <f>((903/30.5)*18+903)</f>
        <v>1435.9180327868853</v>
      </c>
      <c r="S375" s="845">
        <f>((36/30.5)*18+36)</f>
        <v>57.245901639344261</v>
      </c>
      <c r="T375" s="960"/>
      <c r="U375" s="516"/>
      <c r="V375" s="961"/>
      <c r="W375" s="960"/>
      <c r="X375" s="880"/>
      <c r="Y375" s="959"/>
      <c r="Z375" s="880"/>
      <c r="AA375" s="880"/>
      <c r="AB375" s="959"/>
      <c r="AC375" s="962"/>
      <c r="AD375" s="942"/>
      <c r="AE375" s="942"/>
      <c r="AF375" s="942"/>
      <c r="AG375" s="942"/>
      <c r="AH375" s="942"/>
      <c r="AI375" s="942"/>
      <c r="AJ375" s="942"/>
      <c r="AK375" s="942"/>
      <c r="AL375" s="942"/>
      <c r="AM375" s="942"/>
      <c r="AN375" s="942"/>
      <c r="AO375" s="942"/>
      <c r="AP375" s="942"/>
      <c r="AQ375" s="942"/>
      <c r="AR375" s="942"/>
      <c r="AS375" s="942"/>
      <c r="AT375" s="942"/>
      <c r="AU375" s="942"/>
      <c r="AV375" s="942"/>
      <c r="AW375" s="942"/>
      <c r="AX375" s="942"/>
      <c r="AY375" s="942"/>
      <c r="AZ375" s="942"/>
      <c r="BA375" s="576"/>
      <c r="BB375" s="576"/>
      <c r="BC375" s="576"/>
      <c r="BD375" s="576"/>
      <c r="BE375" s="576"/>
      <c r="BF375" s="576"/>
      <c r="BG375" s="576"/>
      <c r="BH375" s="576"/>
      <c r="BI375" s="576"/>
      <c r="BJ375" s="576"/>
      <c r="BK375" s="576"/>
      <c r="BL375" s="576"/>
      <c r="BM375" s="576"/>
      <c r="BN375" s="576"/>
      <c r="BO375" s="576"/>
      <c r="BP375" s="576"/>
      <c r="BQ375" s="576"/>
      <c r="BR375" s="576"/>
      <c r="BS375" s="576"/>
      <c r="BT375" s="576"/>
      <c r="BU375" s="576"/>
      <c r="BV375" s="576"/>
      <c r="BW375" s="576"/>
      <c r="BX375" s="576"/>
      <c r="BY375" s="576"/>
      <c r="BZ375" s="576"/>
      <c r="CA375" s="576"/>
      <c r="CB375" s="576"/>
      <c r="CC375" s="576"/>
      <c r="CD375" s="576"/>
      <c r="CE375" s="576"/>
      <c r="CF375" s="576"/>
      <c r="CG375" s="576"/>
      <c r="CH375" s="576"/>
      <c r="CI375" s="576"/>
      <c r="CJ375" s="576"/>
      <c r="CK375" s="576"/>
      <c r="CL375" s="576"/>
      <c r="CM375" s="576"/>
      <c r="CN375" s="576"/>
      <c r="CO375" s="576"/>
      <c r="CP375" s="576"/>
      <c r="CQ375" s="576"/>
      <c r="CR375" s="576"/>
      <c r="CS375" s="576"/>
      <c r="CT375" s="576"/>
      <c r="CU375" s="576"/>
      <c r="CV375" s="576"/>
      <c r="CW375" s="576"/>
      <c r="CX375" s="576"/>
      <c r="CY375" s="576"/>
      <c r="CZ375" s="576"/>
      <c r="DA375" s="576"/>
      <c r="DB375" s="576"/>
      <c r="DC375" s="576"/>
      <c r="DD375" s="576"/>
      <c r="DE375" s="576"/>
      <c r="DF375" s="576"/>
      <c r="DG375" s="576"/>
      <c r="DH375" s="576"/>
      <c r="DI375" s="576"/>
      <c r="DJ375" s="576"/>
      <c r="DK375" s="576"/>
      <c r="DL375" s="576"/>
      <c r="DM375" s="576"/>
      <c r="DN375" s="576"/>
      <c r="DO375" s="576"/>
      <c r="DP375" s="576"/>
      <c r="DQ375" s="576"/>
      <c r="DR375" s="576"/>
      <c r="DS375" s="576"/>
      <c r="DT375" s="576"/>
      <c r="DU375" s="576"/>
      <c r="DV375" s="576"/>
      <c r="DW375" s="576"/>
      <c r="DX375" s="576"/>
      <c r="DY375" s="576"/>
      <c r="DZ375" s="576"/>
      <c r="EA375" s="576"/>
      <c r="EB375" s="576"/>
      <c r="EC375" s="576"/>
      <c r="ED375" s="576"/>
      <c r="EE375" s="576"/>
      <c r="EF375" s="576"/>
      <c r="EG375" s="576"/>
      <c r="EH375" s="576"/>
      <c r="EI375" s="576"/>
      <c r="EJ375" s="576"/>
      <c r="EK375" s="576"/>
      <c r="EL375" s="576"/>
      <c r="EM375" s="576"/>
      <c r="EN375" s="576"/>
      <c r="EO375" s="576"/>
      <c r="EP375" s="576"/>
      <c r="EQ375" s="576"/>
      <c r="ER375" s="576"/>
      <c r="ES375" s="576"/>
      <c r="ET375" s="576"/>
      <c r="EU375" s="576"/>
      <c r="EV375" s="576"/>
      <c r="EW375" s="576"/>
      <c r="EX375" s="576"/>
      <c r="EY375" s="576"/>
      <c r="EZ375" s="576"/>
      <c r="FA375" s="576"/>
      <c r="FB375" s="576"/>
      <c r="FC375" s="576"/>
      <c r="FD375" s="576"/>
      <c r="FE375" s="576"/>
      <c r="FF375" s="576"/>
      <c r="FG375" s="576"/>
      <c r="FH375" s="576"/>
      <c r="FI375" s="576"/>
      <c r="FJ375" s="576"/>
      <c r="FK375" s="576"/>
      <c r="FL375" s="576"/>
      <c r="FM375" s="576"/>
      <c r="FN375" s="576"/>
      <c r="FO375" s="576"/>
      <c r="FP375" s="576"/>
      <c r="FQ375" s="576"/>
      <c r="FR375" s="576"/>
      <c r="FS375" s="576"/>
      <c r="FT375" s="576"/>
      <c r="FU375" s="576"/>
      <c r="FV375" s="576"/>
      <c r="FW375" s="576"/>
      <c r="FX375" s="576"/>
      <c r="FY375" s="576"/>
      <c r="FZ375" s="576"/>
      <c r="GA375" s="576"/>
      <c r="GB375" s="576"/>
      <c r="GC375" s="576"/>
      <c r="GD375" s="576"/>
      <c r="GE375" s="576"/>
      <c r="GF375" s="576"/>
      <c r="GG375" s="576"/>
      <c r="GH375" s="576"/>
      <c r="GI375" s="576"/>
      <c r="GJ375" s="576"/>
      <c r="GK375" s="576"/>
      <c r="GL375" s="576"/>
      <c r="GM375" s="576"/>
      <c r="GN375" s="576"/>
      <c r="GO375" s="576"/>
      <c r="GP375" s="576"/>
      <c r="GQ375" s="576"/>
      <c r="GR375" s="576"/>
      <c r="GS375" s="576"/>
      <c r="GT375" s="576"/>
      <c r="GU375" s="576"/>
      <c r="GV375" s="576"/>
      <c r="GW375" s="576"/>
      <c r="GX375" s="576"/>
      <c r="GY375" s="576"/>
      <c r="GZ375" s="576"/>
      <c r="HA375" s="576"/>
      <c r="HB375" s="576"/>
      <c r="HC375" s="576"/>
      <c r="HD375" s="576"/>
      <c r="HE375" s="576"/>
      <c r="HF375" s="576"/>
      <c r="HG375" s="576"/>
      <c r="HH375" s="576"/>
      <c r="HI375" s="576"/>
      <c r="HJ375" s="576"/>
      <c r="HK375" s="576"/>
      <c r="HL375" s="576"/>
      <c r="HM375" s="576"/>
      <c r="HN375" s="576"/>
      <c r="HO375" s="576"/>
      <c r="HP375" s="576"/>
      <c r="HQ375" s="576"/>
      <c r="HR375" s="576"/>
      <c r="HS375" s="576"/>
      <c r="HT375" s="576"/>
      <c r="HU375" s="576"/>
      <c r="HV375" s="576"/>
      <c r="HW375" s="576"/>
      <c r="HX375" s="576"/>
      <c r="HY375" s="576"/>
      <c r="HZ375" s="576"/>
      <c r="IA375" s="576"/>
      <c r="IB375" s="576"/>
      <c r="IC375" s="576"/>
      <c r="ID375" s="576"/>
      <c r="IE375" s="576"/>
      <c r="IF375" s="576"/>
      <c r="IG375" s="576"/>
      <c r="IH375" s="577"/>
      <c r="II375" s="578"/>
      <c r="IJ375" s="577"/>
      <c r="IK375" s="578"/>
      <c r="IL375" s="577"/>
      <c r="IM375" s="578"/>
      <c r="IN375" s="577"/>
      <c r="IO375" s="578"/>
      <c r="IP375" s="577"/>
      <c r="IQ375" s="578"/>
      <c r="IR375" s="803"/>
      <c r="IS375" s="576"/>
      <c r="IT375" s="804"/>
    </row>
    <row r="376" spans="1:254" s="367" customFormat="1" ht="16.5" customHeight="1" thickBot="1" x14ac:dyDescent="0.35">
      <c r="A376" s="526" t="s">
        <v>2739</v>
      </c>
      <c r="B376" s="603" t="s">
        <v>3842</v>
      </c>
      <c r="C376" s="661" t="s">
        <v>1731</v>
      </c>
      <c r="D376" s="810">
        <v>1149</v>
      </c>
      <c r="E376" s="811">
        <v>44</v>
      </c>
      <c r="F376" s="811">
        <v>40</v>
      </c>
      <c r="G376" s="811">
        <v>5</v>
      </c>
      <c r="H376" s="812">
        <v>0</v>
      </c>
      <c r="I376" s="847">
        <v>1233</v>
      </c>
      <c r="J376" s="837">
        <v>5</v>
      </c>
      <c r="K376" s="516"/>
      <c r="L376" s="838">
        <f>((1233/30.5)*2)+(1233*18)+1233</f>
        <v>23507.852459016394</v>
      </c>
      <c r="M376" s="838">
        <f>((5/30.5)*2)+(5*18)+5</f>
        <v>95.327868852459019</v>
      </c>
      <c r="N376" s="942"/>
      <c r="O376" s="942"/>
      <c r="P376" s="942"/>
      <c r="Q376" s="942"/>
      <c r="R376" s="942"/>
      <c r="S376" s="942"/>
      <c r="T376" s="942"/>
      <c r="U376" s="942"/>
      <c r="V376" s="942"/>
      <c r="W376" s="942"/>
      <c r="X376" s="942"/>
      <c r="Y376" s="942"/>
      <c r="Z376" s="942"/>
      <c r="AA376" s="942"/>
      <c r="AB376" s="942"/>
      <c r="AC376" s="942"/>
      <c r="AD376" s="942"/>
      <c r="AE376" s="942"/>
      <c r="AF376" s="942"/>
      <c r="AG376" s="942"/>
      <c r="AH376" s="942"/>
      <c r="AI376" s="942"/>
      <c r="AJ376" s="942"/>
      <c r="AK376" s="942"/>
      <c r="AL376" s="942"/>
      <c r="AM376" s="942"/>
      <c r="AN376" s="942"/>
      <c r="AO376" s="942"/>
      <c r="AP376" s="942"/>
      <c r="AQ376" s="942"/>
      <c r="AR376" s="942"/>
      <c r="AS376" s="942"/>
      <c r="AT376" s="942"/>
      <c r="AU376" s="942"/>
      <c r="AV376" s="942"/>
      <c r="AW376" s="942"/>
      <c r="AX376" s="942"/>
      <c r="AY376" s="942"/>
      <c r="AZ376" s="942"/>
      <c r="BA376" s="576"/>
      <c r="BB376" s="576"/>
      <c r="BC376" s="576"/>
      <c r="BD376" s="576"/>
      <c r="BE376" s="576"/>
      <c r="BF376" s="576"/>
      <c r="BG376" s="576"/>
      <c r="BH376" s="576"/>
      <c r="BI376" s="576"/>
      <c r="BJ376" s="576"/>
      <c r="BK376" s="576"/>
      <c r="BL376" s="576"/>
      <c r="BM376" s="576"/>
      <c r="BN376" s="576"/>
      <c r="BO376" s="576"/>
      <c r="BP376" s="576"/>
      <c r="BQ376" s="576"/>
      <c r="BR376" s="576"/>
      <c r="BS376" s="576"/>
      <c r="BT376" s="576"/>
      <c r="BU376" s="576"/>
      <c r="BV376" s="576"/>
      <c r="BW376" s="576"/>
      <c r="BX376" s="576"/>
      <c r="BY376" s="576"/>
      <c r="BZ376" s="576"/>
      <c r="CA376" s="576"/>
      <c r="CB376" s="576"/>
      <c r="CC376" s="576"/>
      <c r="CD376" s="576"/>
      <c r="CE376" s="576"/>
      <c r="CF376" s="576"/>
      <c r="CG376" s="576"/>
      <c r="CH376" s="576"/>
      <c r="CI376" s="576"/>
      <c r="CJ376" s="576"/>
      <c r="CK376" s="576"/>
      <c r="CL376" s="576"/>
      <c r="CM376" s="576"/>
      <c r="CN376" s="576"/>
      <c r="CO376" s="576"/>
      <c r="CP376" s="576"/>
      <c r="CQ376" s="576"/>
      <c r="CR376" s="576"/>
      <c r="CS376" s="576"/>
      <c r="CT376" s="576"/>
      <c r="CU376" s="576"/>
      <c r="CV376" s="576"/>
      <c r="CW376" s="576"/>
      <c r="CX376" s="576"/>
      <c r="CY376" s="576"/>
      <c r="CZ376" s="576"/>
      <c r="DA376" s="576"/>
      <c r="DB376" s="576"/>
      <c r="DC376" s="576"/>
      <c r="DD376" s="576"/>
      <c r="DE376" s="576"/>
      <c r="DF376" s="576"/>
      <c r="DG376" s="576"/>
      <c r="DH376" s="576"/>
      <c r="DI376" s="576"/>
      <c r="DJ376" s="576"/>
      <c r="DK376" s="576"/>
      <c r="DL376" s="576"/>
      <c r="DM376" s="576"/>
      <c r="DN376" s="576"/>
      <c r="DO376" s="576"/>
      <c r="DP376" s="576"/>
      <c r="DQ376" s="576"/>
      <c r="DR376" s="576"/>
      <c r="DS376" s="576"/>
      <c r="DT376" s="576"/>
      <c r="DU376" s="576"/>
      <c r="DV376" s="576"/>
      <c r="DW376" s="576"/>
      <c r="DX376" s="576"/>
      <c r="DY376" s="576"/>
      <c r="DZ376" s="576"/>
      <c r="EA376" s="576"/>
      <c r="EB376" s="576"/>
      <c r="EC376" s="576"/>
      <c r="ED376" s="576"/>
      <c r="EE376" s="576"/>
      <c r="EF376" s="576"/>
      <c r="EG376" s="576"/>
      <c r="EH376" s="576"/>
      <c r="EI376" s="576"/>
      <c r="EJ376" s="576"/>
      <c r="EK376" s="576"/>
      <c r="EL376" s="576"/>
      <c r="EM376" s="576"/>
      <c r="EN376" s="576"/>
      <c r="EO376" s="576"/>
      <c r="EP376" s="576"/>
      <c r="EQ376" s="576"/>
      <c r="ER376" s="576"/>
      <c r="ES376" s="576"/>
      <c r="ET376" s="576"/>
      <c r="EU376" s="576"/>
      <c r="EV376" s="576"/>
      <c r="EW376" s="576"/>
      <c r="EX376" s="576"/>
      <c r="EY376" s="576"/>
      <c r="EZ376" s="576"/>
      <c r="FA376" s="576"/>
      <c r="FB376" s="576"/>
      <c r="FC376" s="576"/>
      <c r="FD376" s="576"/>
      <c r="FE376" s="576"/>
      <c r="FF376" s="576"/>
      <c r="FG376" s="576"/>
      <c r="FH376" s="576"/>
      <c r="FI376" s="576"/>
      <c r="FJ376" s="576"/>
      <c r="FK376" s="576"/>
      <c r="FL376" s="576"/>
      <c r="FM376" s="576"/>
      <c r="FN376" s="576"/>
      <c r="FO376" s="576"/>
      <c r="FP376" s="576"/>
      <c r="FQ376" s="576"/>
      <c r="FR376" s="576"/>
      <c r="FS376" s="576"/>
      <c r="FT376" s="576"/>
      <c r="FU376" s="576"/>
      <c r="FV376" s="576"/>
      <c r="FW376" s="576"/>
      <c r="FX376" s="576"/>
      <c r="FY376" s="576"/>
      <c r="FZ376" s="576"/>
      <c r="GA376" s="576"/>
      <c r="GB376" s="576"/>
      <c r="GC376" s="576"/>
      <c r="GD376" s="576"/>
      <c r="GE376" s="576"/>
      <c r="GF376" s="576"/>
      <c r="GG376" s="576"/>
      <c r="GH376" s="576"/>
      <c r="GI376" s="576"/>
      <c r="GJ376" s="576"/>
      <c r="GK376" s="576"/>
      <c r="GL376" s="576"/>
      <c r="GM376" s="576"/>
      <c r="GN376" s="576"/>
      <c r="GO376" s="576"/>
      <c r="GP376" s="576"/>
      <c r="GQ376" s="576"/>
      <c r="GR376" s="576"/>
      <c r="GS376" s="576"/>
      <c r="GT376" s="576"/>
      <c r="GU376" s="576"/>
      <c r="GV376" s="576"/>
      <c r="GW376" s="576"/>
      <c r="GX376" s="576"/>
      <c r="GY376" s="576"/>
      <c r="GZ376" s="576"/>
      <c r="HA376" s="576"/>
      <c r="HB376" s="576"/>
      <c r="HC376" s="576"/>
      <c r="HD376" s="576"/>
      <c r="HE376" s="576"/>
      <c r="HF376" s="576"/>
      <c r="HG376" s="576"/>
      <c r="HH376" s="576"/>
      <c r="HI376" s="576"/>
      <c r="HJ376" s="576"/>
      <c r="HK376" s="576"/>
      <c r="HL376" s="576"/>
      <c r="HM376" s="576"/>
      <c r="HN376" s="576"/>
      <c r="HO376" s="576"/>
      <c r="HP376" s="576"/>
      <c r="HQ376" s="576"/>
      <c r="HR376" s="576"/>
      <c r="HS376" s="576"/>
      <c r="HT376" s="576"/>
      <c r="HU376" s="576"/>
      <c r="HV376" s="576"/>
      <c r="HW376" s="576"/>
      <c r="HX376" s="576"/>
      <c r="HY376" s="576"/>
      <c r="HZ376" s="576"/>
      <c r="IA376" s="576"/>
      <c r="IB376" s="576"/>
      <c r="IC376" s="576"/>
      <c r="ID376" s="576"/>
      <c r="IE376" s="576"/>
      <c r="IF376" s="576"/>
      <c r="IG376" s="576"/>
      <c r="IH376" s="577"/>
      <c r="II376" s="578"/>
      <c r="IJ376" s="577"/>
      <c r="IK376" s="578"/>
      <c r="IL376" s="577"/>
      <c r="IM376" s="578"/>
      <c r="IN376" s="577"/>
      <c r="IO376" s="578"/>
      <c r="IP376" s="577"/>
      <c r="IQ376" s="578"/>
      <c r="IR376" s="803"/>
      <c r="IS376" s="576"/>
      <c r="IT376" s="804"/>
    </row>
    <row r="377" spans="1:254" x14ac:dyDescent="0.3">
      <c r="B377" s="813"/>
      <c r="C377" s="814"/>
      <c r="D377" s="963"/>
      <c r="E377" s="963"/>
      <c r="F377" s="963"/>
      <c r="G377" s="963"/>
      <c r="H377" s="963"/>
      <c r="I377" s="963"/>
      <c r="Q377" s="965"/>
      <c r="R377" s="821"/>
      <c r="S377" s="965"/>
    </row>
  </sheetData>
  <sheetProtection selectLockedCells="1" selectUnlockedCells="1"/>
  <autoFilter ref="A13:IW376" xr:uid="{00000000-0001-0000-0800-000000000000}"/>
  <dataConsolidate/>
  <mergeCells count="76">
    <mergeCell ref="IN11:IO11"/>
    <mergeCell ref="IP11:IQ11"/>
    <mergeCell ref="HZ11:IA11"/>
    <mergeCell ref="IB11:IC11"/>
    <mergeCell ref="IH11:II11"/>
    <mergeCell ref="IJ11:IK11"/>
    <mergeCell ref="IL11:IM11"/>
    <mergeCell ref="ID11:IE11"/>
    <mergeCell ref="IF11:IG11"/>
    <mergeCell ref="HP11:HQ11"/>
    <mergeCell ref="HR11:HS11"/>
    <mergeCell ref="HT11:HU11"/>
    <mergeCell ref="HV11:HW11"/>
    <mergeCell ref="HX11:HY11"/>
    <mergeCell ref="HE11:HG11"/>
    <mergeCell ref="HH11:HI11"/>
    <mergeCell ref="HJ11:HK11"/>
    <mergeCell ref="HL11:HM11"/>
    <mergeCell ref="HN11:HO11"/>
    <mergeCell ref="FO11:FQ11"/>
    <mergeCell ref="FR11:FT11"/>
    <mergeCell ref="FU11:FW11"/>
    <mergeCell ref="FX11:FZ11"/>
    <mergeCell ref="GA11:GC11"/>
    <mergeCell ref="GD11:GF11"/>
    <mergeCell ref="GG11:GI11"/>
    <mergeCell ref="GJ11:GL11"/>
    <mergeCell ref="GM11:GO11"/>
    <mergeCell ref="GP11:GR11"/>
    <mergeCell ref="GS11:GU11"/>
    <mergeCell ref="GV11:GX11"/>
    <mergeCell ref="GY11:HA11"/>
    <mergeCell ref="HB11:HD11"/>
    <mergeCell ref="BN11:BP11"/>
    <mergeCell ref="BT11:BV11"/>
    <mergeCell ref="BW11:BY11"/>
    <mergeCell ref="BZ11:CB11"/>
    <mergeCell ref="CC11:CE11"/>
    <mergeCell ref="CF11:CH11"/>
    <mergeCell ref="CI11:CK11"/>
    <mergeCell ref="CL11:CN11"/>
    <mergeCell ref="CO11:CQ11"/>
    <mergeCell ref="DY11:EA11"/>
    <mergeCell ref="EB11:ED11"/>
    <mergeCell ref="DV11:DX11"/>
    <mergeCell ref="AP11:AR11"/>
    <mergeCell ref="AS11:AU11"/>
    <mergeCell ref="AV11:AX11"/>
    <mergeCell ref="BQ11:BS11"/>
    <mergeCell ref="AY11:BA11"/>
    <mergeCell ref="BB11:BD11"/>
    <mergeCell ref="BE11:BG11"/>
    <mergeCell ref="BH11:BJ11"/>
    <mergeCell ref="BK11:BM11"/>
    <mergeCell ref="CR11:CT11"/>
    <mergeCell ref="CU11:CW11"/>
    <mergeCell ref="CX11:CZ11"/>
    <mergeCell ref="DA11:DC11"/>
    <mergeCell ref="DD11:DF11"/>
    <mergeCell ref="DG11:DI11"/>
    <mergeCell ref="DJ11:DL11"/>
    <mergeCell ref="DM11:DO11"/>
    <mergeCell ref="DP11:DR11"/>
    <mergeCell ref="DS11:DU11"/>
    <mergeCell ref="EE11:EG11"/>
    <mergeCell ref="EH11:EJ11"/>
    <mergeCell ref="EK11:EM11"/>
    <mergeCell ref="EN11:EP11"/>
    <mergeCell ref="EQ11:ES11"/>
    <mergeCell ref="FI11:FK11"/>
    <mergeCell ref="FL11:FN11"/>
    <mergeCell ref="ET11:EV11"/>
    <mergeCell ref="EW11:EY11"/>
    <mergeCell ref="EZ11:FB11"/>
    <mergeCell ref="FC11:FE11"/>
    <mergeCell ref="FF11:FH11"/>
  </mergeCells>
  <pageMargins left="0.78740157499999996" right="0.78740157499999996" top="0.984251969" bottom="0.984251969" header="0.4921259845" footer="0.4921259845"/>
  <pageSetup paperSize="9" orientation="portrait" r:id="rId1"/>
  <headerFooter alignWithMargins="0">
    <oddFooter>&amp;C_x000D_&amp;1#&amp;"Helvetica 75 Bold"&amp;8&amp;KED7D31 Orange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ynchroniserCouleurs_SansBug">
                <anchor moveWithCells="1" sizeWithCells="1">
                  <from>
                    <xdr:col>0</xdr:col>
                    <xdr:colOff>83820</xdr:colOff>
                    <xdr:row>3</xdr:row>
                    <xdr:rowOff>68580</xdr:rowOff>
                  </from>
                  <to>
                    <xdr:col>1</xdr:col>
                    <xdr:colOff>609600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9142C-4E43-468D-8165-ADACCBC724F7}">
  <sheetPr codeName="Sheet1"/>
  <dimension ref="A1:Z33"/>
  <sheetViews>
    <sheetView workbookViewId="0">
      <selection activeCell="D1" sqref="D1"/>
    </sheetView>
  </sheetViews>
  <sheetFormatPr defaultColWidth="11.44140625" defaultRowHeight="14.4" x14ac:dyDescent="0.3"/>
  <cols>
    <col min="1" max="1" width="41.5546875" bestFit="1" customWidth="1"/>
    <col min="2" max="2" width="23" customWidth="1"/>
    <col min="3" max="3" width="68.109375" bestFit="1" customWidth="1"/>
    <col min="4" max="4" width="30.109375" bestFit="1" customWidth="1"/>
    <col min="5" max="5" width="22.5546875" customWidth="1"/>
    <col min="6" max="7" width="19.109375" bestFit="1" customWidth="1"/>
    <col min="8" max="8" width="10.109375" bestFit="1" customWidth="1"/>
    <col min="9" max="9" width="24" bestFit="1" customWidth="1"/>
    <col min="10" max="10" width="15.33203125" bestFit="1" customWidth="1"/>
    <col min="11" max="11" width="11.6640625" bestFit="1" customWidth="1"/>
    <col min="12" max="12" width="10.44140625" bestFit="1" customWidth="1"/>
    <col min="13" max="13" width="8.44140625" bestFit="1" customWidth="1"/>
    <col min="14" max="14" width="9" bestFit="1" customWidth="1"/>
    <col min="15" max="15" width="11.33203125" bestFit="1" customWidth="1"/>
    <col min="16" max="17" width="8.109375" bestFit="1" customWidth="1"/>
    <col min="18" max="18" width="11.109375" bestFit="1" customWidth="1"/>
    <col min="19" max="20" width="10.88671875" bestFit="1" customWidth="1"/>
    <col min="21" max="21" width="11.109375" bestFit="1" customWidth="1"/>
    <col min="22" max="22" width="11.33203125" bestFit="1" customWidth="1"/>
    <col min="23" max="23" width="12.33203125" bestFit="1" customWidth="1"/>
    <col min="24" max="24" width="18.33203125" bestFit="1" customWidth="1"/>
    <col min="25" max="25" width="9.6640625" bestFit="1" customWidth="1"/>
    <col min="26" max="26" width="13.5546875" bestFit="1" customWidth="1"/>
  </cols>
  <sheetData>
    <row r="1" spans="1:26" s="38" customFormat="1" ht="57.6" x14ac:dyDescent="0.3">
      <c r="A1" s="309" t="s">
        <v>3196</v>
      </c>
      <c r="B1" s="310" t="s">
        <v>3738</v>
      </c>
      <c r="C1" s="310" t="s">
        <v>3739</v>
      </c>
      <c r="D1" s="311" t="s">
        <v>2703</v>
      </c>
      <c r="E1" s="311" t="s">
        <v>2704</v>
      </c>
      <c r="F1" s="311" t="s">
        <v>2705</v>
      </c>
      <c r="G1" s="311" t="s">
        <v>2706</v>
      </c>
      <c r="H1" s="311" t="s">
        <v>2707</v>
      </c>
      <c r="I1" s="311" t="s">
        <v>2708</v>
      </c>
      <c r="J1" s="311" t="s">
        <v>2709</v>
      </c>
      <c r="K1" s="311" t="s">
        <v>2710</v>
      </c>
      <c r="L1" s="311" t="s">
        <v>2711</v>
      </c>
      <c r="M1" s="311" t="s">
        <v>2712</v>
      </c>
      <c r="N1" s="311" t="s">
        <v>2713</v>
      </c>
      <c r="O1" s="312" t="s">
        <v>2714</v>
      </c>
      <c r="P1" s="313" t="s">
        <v>2715</v>
      </c>
      <c r="Q1" s="313" t="s">
        <v>2716</v>
      </c>
      <c r="R1" s="314" t="s">
        <v>2717</v>
      </c>
      <c r="S1" s="313" t="s">
        <v>2718</v>
      </c>
      <c r="T1" s="313" t="s">
        <v>2719</v>
      </c>
      <c r="U1" s="313" t="s">
        <v>2720</v>
      </c>
      <c r="V1" s="313" t="s">
        <v>2721</v>
      </c>
      <c r="W1" s="314" t="s">
        <v>2722</v>
      </c>
      <c r="X1" s="315" t="s">
        <v>2723</v>
      </c>
      <c r="Y1" s="316" t="s">
        <v>3197</v>
      </c>
      <c r="Z1" s="316" t="s">
        <v>3198</v>
      </c>
    </row>
    <row r="2" spans="1:26" s="38" customFormat="1" ht="15" customHeight="1" x14ac:dyDescent="0.3">
      <c r="A2" s="60" t="s">
        <v>771</v>
      </c>
      <c r="B2" s="124">
        <v>45637</v>
      </c>
      <c r="C2" s="124"/>
      <c r="D2" s="47" t="s">
        <v>3199</v>
      </c>
      <c r="E2" s="193" t="s">
        <v>1773</v>
      </c>
      <c r="F2" s="47" t="s">
        <v>3011</v>
      </c>
      <c r="G2" s="47" t="s">
        <v>3011</v>
      </c>
      <c r="H2" s="48" t="s">
        <v>78</v>
      </c>
      <c r="I2" s="47" t="s">
        <v>2901</v>
      </c>
      <c r="J2" s="47" t="s">
        <v>2901</v>
      </c>
      <c r="K2" s="47">
        <v>1000</v>
      </c>
      <c r="L2" s="47">
        <v>6000</v>
      </c>
      <c r="M2" s="47">
        <v>1</v>
      </c>
      <c r="N2" s="47" t="s">
        <v>76</v>
      </c>
      <c r="O2" s="49">
        <v>3201.5384615384614</v>
      </c>
      <c r="P2" s="49">
        <v>702</v>
      </c>
      <c r="Q2" s="49"/>
      <c r="R2" s="49">
        <v>3903.5384615384614</v>
      </c>
      <c r="S2" s="50">
        <v>2323.0564263010347</v>
      </c>
      <c r="T2" s="50">
        <v>142</v>
      </c>
      <c r="U2" s="50">
        <v>16</v>
      </c>
      <c r="V2" s="50">
        <v>540</v>
      </c>
      <c r="W2" s="51">
        <v>3021.0564263010347</v>
      </c>
      <c r="X2" s="51">
        <v>66</v>
      </c>
      <c r="Y2" s="52">
        <f t="shared" ref="Y2:Y13" si="0">R2</f>
        <v>3903.5384615384614</v>
      </c>
      <c r="Z2" s="52">
        <f>S2+T2+U2</f>
        <v>2481.0564263010347</v>
      </c>
    </row>
    <row r="3" spans="1:26" s="38" customFormat="1" ht="15" customHeight="1" x14ac:dyDescent="0.3">
      <c r="A3" s="60" t="s">
        <v>771</v>
      </c>
      <c r="B3" s="124">
        <v>45853</v>
      </c>
      <c r="C3" s="124"/>
      <c r="D3" s="47" t="s">
        <v>3200</v>
      </c>
      <c r="E3" s="193" t="s">
        <v>3201</v>
      </c>
      <c r="F3" s="47" t="s">
        <v>2768</v>
      </c>
      <c r="G3" s="47" t="s">
        <v>2909</v>
      </c>
      <c r="H3" s="48" t="s">
        <v>165</v>
      </c>
      <c r="I3" s="47" t="s">
        <v>2820</v>
      </c>
      <c r="J3" s="47" t="s">
        <v>2814</v>
      </c>
      <c r="K3" s="47">
        <v>120</v>
      </c>
      <c r="L3" s="47">
        <v>60</v>
      </c>
      <c r="M3" s="47">
        <v>1</v>
      </c>
      <c r="N3" s="47" t="s">
        <v>76</v>
      </c>
      <c r="O3" s="49">
        <v>652</v>
      </c>
      <c r="P3" s="49"/>
      <c r="Q3" s="49"/>
      <c r="R3" s="49">
        <v>652</v>
      </c>
      <c r="S3" s="50">
        <v>1228.6564263010346</v>
      </c>
      <c r="T3" s="50">
        <v>84</v>
      </c>
      <c r="U3" s="50"/>
      <c r="V3" s="50">
        <v>5.3999999999999995</v>
      </c>
      <c r="W3" s="51">
        <v>1318.0564263010347</v>
      </c>
      <c r="X3" s="51">
        <v>66</v>
      </c>
      <c r="Y3" s="52">
        <f t="shared" si="0"/>
        <v>652</v>
      </c>
      <c r="Z3" s="52">
        <f>S3+T3+U3</f>
        <v>1312.6564263010346</v>
      </c>
    </row>
    <row r="4" spans="1:26" s="38" customFormat="1" ht="15" customHeight="1" x14ac:dyDescent="0.3">
      <c r="A4" s="60" t="s">
        <v>771</v>
      </c>
      <c r="B4" s="124">
        <v>45915</v>
      </c>
      <c r="C4" s="124"/>
      <c r="D4" s="47" t="s">
        <v>3202</v>
      </c>
      <c r="E4" s="193" t="s">
        <v>1919</v>
      </c>
      <c r="F4" s="47" t="s">
        <v>2777</v>
      </c>
      <c r="G4" s="47" t="s">
        <v>2777</v>
      </c>
      <c r="H4" s="48" t="s">
        <v>165</v>
      </c>
      <c r="I4" s="47"/>
      <c r="J4" s="47"/>
      <c r="K4" s="47">
        <v>300</v>
      </c>
      <c r="L4" s="47">
        <v>50</v>
      </c>
      <c r="M4" s="47">
        <v>1</v>
      </c>
      <c r="N4" s="47" t="s">
        <v>74</v>
      </c>
      <c r="O4" s="49"/>
      <c r="P4" s="49">
        <v>601.99999999999989</v>
      </c>
      <c r="Q4" s="49"/>
      <c r="R4" s="49">
        <v>601.99999999999989</v>
      </c>
      <c r="S4" s="50">
        <v>467</v>
      </c>
      <c r="T4" s="50">
        <v>42</v>
      </c>
      <c r="U4" s="50">
        <v>2</v>
      </c>
      <c r="V4" s="50">
        <v>4.5</v>
      </c>
      <c r="W4" s="51">
        <v>515.5</v>
      </c>
      <c r="X4" s="51">
        <v>0</v>
      </c>
      <c r="Y4" s="52">
        <f t="shared" si="0"/>
        <v>601.99999999999989</v>
      </c>
      <c r="Z4" s="52">
        <f t="shared" ref="Z4:Z13" si="1">S4+T4+U4</f>
        <v>511</v>
      </c>
    </row>
    <row r="5" spans="1:26" s="38" customFormat="1" ht="15" customHeight="1" x14ac:dyDescent="0.3">
      <c r="A5" s="60" t="s">
        <v>771</v>
      </c>
      <c r="B5" s="124">
        <v>45915</v>
      </c>
      <c r="C5" s="124"/>
      <c r="D5" s="47" t="s">
        <v>3203</v>
      </c>
      <c r="E5" s="193" t="s">
        <v>1928</v>
      </c>
      <c r="F5" s="47" t="s">
        <v>2777</v>
      </c>
      <c r="G5" s="47" t="s">
        <v>2777</v>
      </c>
      <c r="H5" s="48" t="s">
        <v>165</v>
      </c>
      <c r="I5" s="47"/>
      <c r="J5" s="47"/>
      <c r="K5" s="47">
        <v>300</v>
      </c>
      <c r="L5" s="47">
        <v>50</v>
      </c>
      <c r="M5" s="47">
        <v>1</v>
      </c>
      <c r="N5" s="47" t="s">
        <v>74</v>
      </c>
      <c r="O5" s="49"/>
      <c r="P5" s="49">
        <v>601.99999999999989</v>
      </c>
      <c r="Q5" s="49"/>
      <c r="R5" s="49">
        <v>601.99999999999989</v>
      </c>
      <c r="S5" s="50">
        <v>467</v>
      </c>
      <c r="T5" s="50">
        <v>42</v>
      </c>
      <c r="U5" s="50">
        <v>2</v>
      </c>
      <c r="V5" s="50">
        <v>4.5</v>
      </c>
      <c r="W5" s="51">
        <v>515.5</v>
      </c>
      <c r="X5" s="51">
        <v>0</v>
      </c>
      <c r="Y5" s="52">
        <f t="shared" si="0"/>
        <v>601.99999999999989</v>
      </c>
      <c r="Z5" s="52">
        <f t="shared" si="1"/>
        <v>511</v>
      </c>
    </row>
    <row r="6" spans="1:26" s="38" customFormat="1" ht="15" customHeight="1" x14ac:dyDescent="0.3">
      <c r="A6" s="60" t="s">
        <v>771</v>
      </c>
      <c r="B6" s="124">
        <v>45915</v>
      </c>
      <c r="C6" s="124"/>
      <c r="D6" s="47" t="s">
        <v>3204</v>
      </c>
      <c r="E6" s="193" t="s">
        <v>1937</v>
      </c>
      <c r="F6" s="47" t="s">
        <v>2838</v>
      </c>
      <c r="G6" s="47" t="s">
        <v>2838</v>
      </c>
      <c r="H6" s="47" t="s">
        <v>78</v>
      </c>
      <c r="I6" s="47"/>
      <c r="J6" s="47"/>
      <c r="K6" s="47">
        <v>1200</v>
      </c>
      <c r="L6" s="47">
        <v>7800</v>
      </c>
      <c r="M6" s="47">
        <v>1</v>
      </c>
      <c r="N6" s="47" t="s">
        <v>74</v>
      </c>
      <c r="O6" s="49">
        <v>6731.25</v>
      </c>
      <c r="P6" s="49">
        <v>702</v>
      </c>
      <c r="Q6" s="49"/>
      <c r="R6" s="49">
        <v>7433.25</v>
      </c>
      <c r="S6" s="50">
        <v>2388.0564263010347</v>
      </c>
      <c r="T6" s="50">
        <v>142</v>
      </c>
      <c r="U6" s="50">
        <v>16</v>
      </c>
      <c r="V6" s="50">
        <v>702</v>
      </c>
      <c r="W6" s="51">
        <v>3248.0564263010347</v>
      </c>
      <c r="X6" s="51"/>
      <c r="Y6" s="52">
        <f t="shared" si="0"/>
        <v>7433.25</v>
      </c>
      <c r="Z6" s="52">
        <f t="shared" si="1"/>
        <v>2546.0564263010347</v>
      </c>
    </row>
    <row r="7" spans="1:26" s="38" customFormat="1" ht="15" customHeight="1" x14ac:dyDescent="0.3">
      <c r="A7" s="61" t="s">
        <v>3205</v>
      </c>
      <c r="B7" s="124">
        <v>45956</v>
      </c>
      <c r="C7" s="124"/>
      <c r="D7" s="47" t="s">
        <v>2981</v>
      </c>
      <c r="E7" s="193" t="s">
        <v>1180</v>
      </c>
      <c r="F7" s="47" t="s">
        <v>3102</v>
      </c>
      <c r="G7" s="47" t="s">
        <v>3102</v>
      </c>
      <c r="H7" s="47" t="s">
        <v>2817</v>
      </c>
      <c r="I7" s="48" t="s">
        <v>3206</v>
      </c>
      <c r="J7" s="48"/>
      <c r="K7" s="47">
        <v>500</v>
      </c>
      <c r="L7" s="47">
        <v>400</v>
      </c>
      <c r="M7" s="47">
        <v>1</v>
      </c>
      <c r="N7" s="47" t="s">
        <v>74</v>
      </c>
      <c r="O7" s="49"/>
      <c r="P7" s="49">
        <v>361.19999999999993</v>
      </c>
      <c r="Q7" s="49"/>
      <c r="R7" s="49">
        <v>361.19999999999993</v>
      </c>
      <c r="S7" s="50">
        <v>568</v>
      </c>
      <c r="T7" s="50">
        <v>71</v>
      </c>
      <c r="U7" s="50">
        <v>2</v>
      </c>
      <c r="V7" s="50">
        <v>36</v>
      </c>
      <c r="W7" s="51">
        <v>677</v>
      </c>
      <c r="X7" s="51"/>
      <c r="Y7" s="52">
        <f t="shared" si="0"/>
        <v>361.19999999999993</v>
      </c>
      <c r="Z7" s="52">
        <f t="shared" si="1"/>
        <v>641</v>
      </c>
    </row>
    <row r="8" spans="1:26" s="204" customFormat="1" ht="15" customHeight="1" x14ac:dyDescent="0.3">
      <c r="A8" s="270" t="s">
        <v>65</v>
      </c>
      <c r="B8" s="271">
        <v>46045</v>
      </c>
      <c r="C8" s="271">
        <v>46070</v>
      </c>
      <c r="D8" s="279" t="s">
        <v>3079</v>
      </c>
      <c r="E8" s="270" t="s">
        <v>213</v>
      </c>
      <c r="F8" s="272" t="s">
        <v>3207</v>
      </c>
      <c r="G8" s="279" t="s">
        <v>3207</v>
      </c>
      <c r="H8" s="279" t="s">
        <v>2817</v>
      </c>
      <c r="I8" s="279" t="s">
        <v>3080</v>
      </c>
      <c r="J8" s="279"/>
      <c r="K8" s="279">
        <v>600</v>
      </c>
      <c r="L8" s="279">
        <v>1200</v>
      </c>
      <c r="M8" s="279">
        <v>1</v>
      </c>
      <c r="N8" s="279" t="s">
        <v>74</v>
      </c>
      <c r="O8" s="280"/>
      <c r="P8" s="280"/>
      <c r="Q8" s="280"/>
      <c r="R8" s="280">
        <v>0</v>
      </c>
      <c r="S8" s="277">
        <v>650</v>
      </c>
      <c r="T8" s="277">
        <v>42</v>
      </c>
      <c r="U8" s="277">
        <v>2</v>
      </c>
      <c r="V8" s="277">
        <v>108</v>
      </c>
      <c r="W8" s="277">
        <v>802</v>
      </c>
      <c r="X8" s="277">
        <v>0</v>
      </c>
      <c r="Y8" s="278">
        <f t="shared" si="0"/>
        <v>0</v>
      </c>
      <c r="Z8" s="278">
        <f t="shared" si="1"/>
        <v>694</v>
      </c>
    </row>
    <row r="9" spans="1:26" s="38" customFormat="1" ht="15" customHeight="1" x14ac:dyDescent="0.3">
      <c r="A9" s="62" t="s">
        <v>65</v>
      </c>
      <c r="B9" s="124">
        <v>45919</v>
      </c>
      <c r="C9" s="124"/>
      <c r="D9" s="46" t="s">
        <v>2865</v>
      </c>
      <c r="E9" s="62" t="s">
        <v>751</v>
      </c>
      <c r="F9" s="54" t="s">
        <v>3207</v>
      </c>
      <c r="G9" s="46" t="s">
        <v>3207</v>
      </c>
      <c r="H9" s="46" t="s">
        <v>2817</v>
      </c>
      <c r="I9" s="46" t="s">
        <v>3206</v>
      </c>
      <c r="J9" s="46"/>
      <c r="K9" s="46">
        <v>600</v>
      </c>
      <c r="L9" s="46">
        <v>1200</v>
      </c>
      <c r="M9" s="46">
        <v>1</v>
      </c>
      <c r="N9" s="46" t="s">
        <v>74</v>
      </c>
      <c r="O9" s="55"/>
      <c r="P9" s="55">
        <v>361.19999999999993</v>
      </c>
      <c r="Q9" s="55"/>
      <c r="R9" s="55">
        <v>361.19999999999993</v>
      </c>
      <c r="S9" s="56">
        <v>650</v>
      </c>
      <c r="T9" s="56">
        <v>71</v>
      </c>
      <c r="U9" s="56">
        <v>2</v>
      </c>
      <c r="V9" s="56">
        <v>108</v>
      </c>
      <c r="W9" s="56">
        <v>831</v>
      </c>
      <c r="X9" s="56"/>
      <c r="Y9" s="52">
        <f t="shared" si="0"/>
        <v>361.19999999999993</v>
      </c>
      <c r="Z9" s="52">
        <f t="shared" si="1"/>
        <v>723</v>
      </c>
    </row>
    <row r="10" spans="1:26" s="38" customFormat="1" ht="15" customHeight="1" x14ac:dyDescent="0.3">
      <c r="A10" s="62" t="s">
        <v>65</v>
      </c>
      <c r="B10" s="124">
        <v>45926</v>
      </c>
      <c r="C10" s="124"/>
      <c r="D10" s="46" t="s">
        <v>2843</v>
      </c>
      <c r="E10" s="62" t="s">
        <v>731</v>
      </c>
      <c r="F10" s="54" t="s">
        <v>3207</v>
      </c>
      <c r="G10" s="46" t="s">
        <v>3207</v>
      </c>
      <c r="H10" s="46" t="s">
        <v>2817</v>
      </c>
      <c r="I10" s="46" t="s">
        <v>3206</v>
      </c>
      <c r="J10" s="46"/>
      <c r="K10" s="46">
        <v>600</v>
      </c>
      <c r="L10" s="46">
        <v>1200</v>
      </c>
      <c r="M10" s="46">
        <v>1</v>
      </c>
      <c r="N10" s="46" t="s">
        <v>74</v>
      </c>
      <c r="O10" s="55"/>
      <c r="P10" s="55">
        <v>361</v>
      </c>
      <c r="Q10" s="55"/>
      <c r="R10" s="55">
        <v>361</v>
      </c>
      <c r="S10" s="56">
        <v>650</v>
      </c>
      <c r="T10" s="56">
        <v>71</v>
      </c>
      <c r="U10" s="56">
        <v>2</v>
      </c>
      <c r="V10" s="56">
        <v>108</v>
      </c>
      <c r="W10" s="56">
        <v>831</v>
      </c>
      <c r="X10" s="56"/>
      <c r="Y10" s="52">
        <f t="shared" si="0"/>
        <v>361</v>
      </c>
      <c r="Z10" s="52">
        <f t="shared" si="1"/>
        <v>723</v>
      </c>
    </row>
    <row r="11" spans="1:26" s="204" customFormat="1" ht="15" customHeight="1" x14ac:dyDescent="0.3">
      <c r="A11" s="270" t="s">
        <v>65</v>
      </c>
      <c r="B11" s="271">
        <v>46044</v>
      </c>
      <c r="C11" s="271">
        <v>46077</v>
      </c>
      <c r="D11" s="281" t="s">
        <v>2961</v>
      </c>
      <c r="E11" s="282" t="s">
        <v>1209</v>
      </c>
      <c r="F11" s="281" t="s">
        <v>2784</v>
      </c>
      <c r="G11" s="281" t="s">
        <v>2784</v>
      </c>
      <c r="H11" s="281" t="s">
        <v>78</v>
      </c>
      <c r="I11" s="281"/>
      <c r="J11" s="281"/>
      <c r="K11" s="281">
        <v>500</v>
      </c>
      <c r="L11" s="281">
        <v>400</v>
      </c>
      <c r="M11" s="281">
        <v>1</v>
      </c>
      <c r="N11" s="281" t="s">
        <v>74</v>
      </c>
      <c r="O11" s="283"/>
      <c r="P11" s="283">
        <v>228.19999999999993</v>
      </c>
      <c r="Q11" s="283"/>
      <c r="R11" s="283">
        <v>228.19999999999993</v>
      </c>
      <c r="S11" s="284">
        <v>1453.8564263010346</v>
      </c>
      <c r="T11" s="284">
        <v>84</v>
      </c>
      <c r="U11" s="284"/>
      <c r="V11" s="284">
        <v>36</v>
      </c>
      <c r="W11" s="285">
        <v>1573.8564263010346</v>
      </c>
      <c r="X11" s="285"/>
      <c r="Y11" s="278">
        <f t="shared" si="0"/>
        <v>228.19999999999993</v>
      </c>
      <c r="Z11" s="278">
        <f t="shared" si="1"/>
        <v>1537.8564263010346</v>
      </c>
    </row>
    <row r="12" spans="1:26" s="38" customFormat="1" ht="15" customHeight="1" x14ac:dyDescent="0.3">
      <c r="A12" s="62" t="s">
        <v>65</v>
      </c>
      <c r="B12" s="124">
        <v>45956</v>
      </c>
      <c r="C12" s="124"/>
      <c r="D12" s="47" t="s">
        <v>2936</v>
      </c>
      <c r="E12" s="194" t="s">
        <v>1607</v>
      </c>
      <c r="F12" s="47" t="s">
        <v>3002</v>
      </c>
      <c r="G12" s="47" t="s">
        <v>3002</v>
      </c>
      <c r="H12" s="47" t="s">
        <v>78</v>
      </c>
      <c r="I12" s="47" t="s">
        <v>2829</v>
      </c>
      <c r="J12" s="47" t="s">
        <v>2829</v>
      </c>
      <c r="K12" s="47">
        <v>1200</v>
      </c>
      <c r="L12" s="47">
        <v>18800</v>
      </c>
      <c r="M12" s="47">
        <v>2</v>
      </c>
      <c r="N12" s="47" t="s">
        <v>74</v>
      </c>
      <c r="O12" s="49"/>
      <c r="P12" s="49">
        <v>245.7</v>
      </c>
      <c r="Q12" s="49"/>
      <c r="R12" s="57">
        <v>245.7</v>
      </c>
      <c r="S12" s="50">
        <v>3671.0564263010347</v>
      </c>
      <c r="T12" s="50">
        <v>748</v>
      </c>
      <c r="U12" s="50">
        <v>222</v>
      </c>
      <c r="V12" s="50">
        <v>1692</v>
      </c>
      <c r="W12" s="51">
        <v>6333.0564263010347</v>
      </c>
      <c r="X12" s="51">
        <v>0</v>
      </c>
      <c r="Y12" s="52">
        <f t="shared" si="0"/>
        <v>245.7</v>
      </c>
      <c r="Z12" s="52">
        <f t="shared" si="1"/>
        <v>4641.0564263010347</v>
      </c>
    </row>
    <row r="13" spans="1:26" s="38" customFormat="1" ht="15" customHeight="1" x14ac:dyDescent="0.3">
      <c r="A13" s="62" t="s">
        <v>65</v>
      </c>
      <c r="B13" s="124">
        <v>46044</v>
      </c>
      <c r="C13" s="124"/>
      <c r="D13" s="54" t="s">
        <v>3172</v>
      </c>
      <c r="E13" s="195" t="s">
        <v>2512</v>
      </c>
      <c r="F13" s="54" t="s">
        <v>3208</v>
      </c>
      <c r="G13" s="54" t="s">
        <v>3208</v>
      </c>
      <c r="H13" s="54" t="s">
        <v>2817</v>
      </c>
      <c r="I13" s="54"/>
      <c r="J13" s="54"/>
      <c r="K13" s="54">
        <v>500</v>
      </c>
      <c r="L13" s="54">
        <v>400</v>
      </c>
      <c r="M13" s="54">
        <v>1</v>
      </c>
      <c r="N13" s="54" t="s">
        <v>76</v>
      </c>
      <c r="O13" s="53"/>
      <c r="P13" s="53">
        <v>260.78499999999997</v>
      </c>
      <c r="Q13" s="53"/>
      <c r="R13" s="53">
        <v>260.78499999999997</v>
      </c>
      <c r="S13" s="58">
        <v>1715.6119818565901</v>
      </c>
      <c r="T13" s="58">
        <v>42</v>
      </c>
      <c r="U13" s="58"/>
      <c r="V13" s="59">
        <v>36</v>
      </c>
      <c r="W13" s="56">
        <v>1793.6119818565901</v>
      </c>
      <c r="X13" s="58">
        <v>36</v>
      </c>
      <c r="Y13" s="52">
        <f t="shared" si="0"/>
        <v>260.78499999999997</v>
      </c>
      <c r="Z13" s="56">
        <f t="shared" si="1"/>
        <v>1757.6119818565901</v>
      </c>
    </row>
    <row r="14" spans="1:26" s="38" customFormat="1" ht="15" customHeight="1" x14ac:dyDescent="0.3">
      <c r="A14" s="62" t="s">
        <v>65</v>
      </c>
      <c r="B14" s="124">
        <v>46045</v>
      </c>
      <c r="C14" s="124"/>
      <c r="D14" s="54" t="s">
        <v>3013</v>
      </c>
      <c r="E14" s="195" t="s">
        <v>3209</v>
      </c>
      <c r="F14" s="54" t="s">
        <v>2784</v>
      </c>
      <c r="G14" s="54" t="s">
        <v>2784</v>
      </c>
      <c r="H14" s="54" t="s">
        <v>78</v>
      </c>
      <c r="I14" s="54"/>
      <c r="J14" s="54"/>
      <c r="K14" s="54">
        <v>500</v>
      </c>
      <c r="L14" s="54">
        <v>400</v>
      </c>
      <c r="M14" s="54">
        <v>1</v>
      </c>
      <c r="N14" s="54" t="s">
        <v>74</v>
      </c>
      <c r="O14" s="53"/>
      <c r="P14" s="53">
        <v>228.19999999999993</v>
      </c>
      <c r="Q14" s="53"/>
      <c r="R14" s="53">
        <v>228.19999999999993</v>
      </c>
      <c r="S14" s="58">
        <v>1453.8564263010346</v>
      </c>
      <c r="T14" s="58">
        <v>142</v>
      </c>
      <c r="U14" s="58">
        <v>16</v>
      </c>
      <c r="V14" s="59">
        <v>36</v>
      </c>
      <c r="W14" s="56">
        <v>1647.8564263010346</v>
      </c>
      <c r="X14" s="58">
        <v>0</v>
      </c>
      <c r="Y14" s="52">
        <f t="shared" ref="Y14:Y33" si="2">R14</f>
        <v>228.19999999999993</v>
      </c>
      <c r="Z14" s="56">
        <f t="shared" ref="Z14:Z33" si="3">S14+T14+U14</f>
        <v>1611.8564263010346</v>
      </c>
    </row>
    <row r="15" spans="1:26" s="38" customFormat="1" ht="15" customHeight="1" x14ac:dyDescent="0.3">
      <c r="A15" s="60" t="s">
        <v>3210</v>
      </c>
      <c r="B15" s="124">
        <v>46032</v>
      </c>
      <c r="C15" s="124"/>
      <c r="D15" s="54" t="s">
        <v>2935</v>
      </c>
      <c r="E15" s="195" t="s">
        <v>3211</v>
      </c>
      <c r="F15" s="54" t="s">
        <v>2757</v>
      </c>
      <c r="G15" s="54" t="s">
        <v>2757</v>
      </c>
      <c r="H15" s="54" t="s">
        <v>165</v>
      </c>
      <c r="I15" s="54" t="s">
        <v>2814</v>
      </c>
      <c r="J15" s="54"/>
      <c r="K15" s="54">
        <v>40</v>
      </c>
      <c r="L15" s="54">
        <v>30</v>
      </c>
      <c r="M15" s="54">
        <v>1</v>
      </c>
      <c r="N15" s="54" t="s">
        <v>74</v>
      </c>
      <c r="O15" s="53"/>
      <c r="P15" s="53">
        <v>601.99999999999989</v>
      </c>
      <c r="Q15" s="53"/>
      <c r="R15" s="53">
        <v>601.99999999999989</v>
      </c>
      <c r="S15" s="58">
        <v>356</v>
      </c>
      <c r="T15" s="58">
        <v>42</v>
      </c>
      <c r="U15" s="58"/>
      <c r="V15" s="59">
        <v>26.7</v>
      </c>
      <c r="W15" s="56">
        <v>424.7</v>
      </c>
      <c r="X15" s="58">
        <v>0</v>
      </c>
      <c r="Y15" s="52">
        <f t="shared" si="2"/>
        <v>601.99999999999989</v>
      </c>
      <c r="Z15" s="56">
        <f t="shared" si="3"/>
        <v>398</v>
      </c>
    </row>
    <row r="16" spans="1:26" s="38" customFormat="1" ht="15" customHeight="1" x14ac:dyDescent="0.3">
      <c r="A16" s="270" t="s">
        <v>65</v>
      </c>
      <c r="B16" s="271">
        <v>46032</v>
      </c>
      <c r="C16" s="271" t="s">
        <v>3754</v>
      </c>
      <c r="D16" s="272" t="s">
        <v>2944</v>
      </c>
      <c r="E16" s="273" t="s">
        <v>502</v>
      </c>
      <c r="F16" s="272" t="s">
        <v>2784</v>
      </c>
      <c r="G16" s="272" t="s">
        <v>2784</v>
      </c>
      <c r="H16" s="272" t="s">
        <v>78</v>
      </c>
      <c r="I16" s="272"/>
      <c r="J16" s="272"/>
      <c r="K16" s="272">
        <v>500</v>
      </c>
      <c r="L16" s="272">
        <v>400</v>
      </c>
      <c r="M16" s="272">
        <v>1</v>
      </c>
      <c r="N16" s="272" t="s">
        <v>74</v>
      </c>
      <c r="O16" s="274"/>
      <c r="P16" s="274">
        <v>500</v>
      </c>
      <c r="Q16" s="274"/>
      <c r="R16" s="274">
        <v>500</v>
      </c>
      <c r="S16" s="275">
        <v>1453.8564263010346</v>
      </c>
      <c r="T16" s="275">
        <v>70.599999999999994</v>
      </c>
      <c r="U16" s="275">
        <v>72</v>
      </c>
      <c r="V16" s="276">
        <v>36</v>
      </c>
      <c r="W16" s="277">
        <v>1632.4564263010345</v>
      </c>
      <c r="X16" s="275"/>
      <c r="Y16" s="278">
        <f t="shared" si="2"/>
        <v>500</v>
      </c>
      <c r="Z16" s="277">
        <f t="shared" si="3"/>
        <v>1596.4564263010345</v>
      </c>
    </row>
    <row r="17" spans="1:26" s="204" customFormat="1" ht="15" customHeight="1" x14ac:dyDescent="0.3">
      <c r="A17" s="270" t="s">
        <v>3736</v>
      </c>
      <c r="B17" s="271">
        <v>46069</v>
      </c>
      <c r="C17" s="292">
        <v>46081</v>
      </c>
      <c r="D17" s="272" t="s">
        <v>2912</v>
      </c>
      <c r="E17" s="273" t="s">
        <v>635</v>
      </c>
      <c r="F17" s="272" t="s">
        <v>2841</v>
      </c>
      <c r="G17" s="272" t="s">
        <v>2841</v>
      </c>
      <c r="H17" s="272" t="s">
        <v>165</v>
      </c>
      <c r="I17" s="272" t="str">
        <f>_xlfn.XLOOKUP(Tableau1[[#This Row],[Code PAS]],'[13]Parc Satin'!$L:$L,'[13]Parc Satin'!$CK:$CK,0,0)</f>
        <v>Nominal HYBRID Offnet</v>
      </c>
      <c r="J17" s="272"/>
      <c r="K17" s="272">
        <v>600</v>
      </c>
      <c r="L17" s="272">
        <v>1200</v>
      </c>
      <c r="M17" s="272">
        <v>1</v>
      </c>
      <c r="N17" s="272" t="s">
        <v>76</v>
      </c>
      <c r="O17" s="274">
        <v>0</v>
      </c>
      <c r="P17" s="274">
        <v>0</v>
      </c>
      <c r="Q17" s="274">
        <v>0</v>
      </c>
      <c r="R17" s="274">
        <v>0</v>
      </c>
      <c r="S17" s="275">
        <v>5101</v>
      </c>
      <c r="T17" s="275">
        <v>95</v>
      </c>
      <c r="U17" s="275">
        <v>36</v>
      </c>
      <c r="V17" s="276">
        <v>108</v>
      </c>
      <c r="W17" s="277">
        <f>Tableau1[[#This Row],[Coût Abonnement offre]]+Tableau1[[#This Row],[Coût Abonnement Chassis]]+Tableau1[[#This Row],[Cout Cartes interface ]]+Tableau1[[#This Row],[Cout canaux voix supplémentaire]]</f>
        <v>745</v>
      </c>
      <c r="X17" s="275">
        <v>36</v>
      </c>
      <c r="Y17" s="278">
        <f t="shared" ref="Y17" si="4">R17</f>
        <v>0</v>
      </c>
      <c r="Z17" s="277">
        <f t="shared" ref="Z17" si="5">S17+T17+U17</f>
        <v>5232</v>
      </c>
    </row>
    <row r="18" spans="1:26" s="204" customFormat="1" ht="15" customHeight="1" x14ac:dyDescent="0.3">
      <c r="A18" s="270" t="s">
        <v>3736</v>
      </c>
      <c r="B18" s="271">
        <v>46070</v>
      </c>
      <c r="C18" s="292">
        <v>46081</v>
      </c>
      <c r="D18" s="272" t="s">
        <v>3045</v>
      </c>
      <c r="E18" s="273" t="s">
        <v>857</v>
      </c>
      <c r="F18" s="272" t="s">
        <v>2800</v>
      </c>
      <c r="G18" s="272" t="s">
        <v>2874</v>
      </c>
      <c r="H18" s="272"/>
      <c r="I18" s="272" t="s">
        <v>738</v>
      </c>
      <c r="J18" s="272"/>
      <c r="K18" s="272"/>
      <c r="L18" s="272"/>
      <c r="M18" s="272"/>
      <c r="N18" s="272"/>
      <c r="O18" s="274">
        <v>0</v>
      </c>
      <c r="P18" s="274">
        <v>0</v>
      </c>
      <c r="Q18" s="274">
        <v>0</v>
      </c>
      <c r="R18" s="274">
        <v>0</v>
      </c>
      <c r="S18" s="275">
        <v>285</v>
      </c>
      <c r="T18" s="275">
        <v>27</v>
      </c>
      <c r="U18" s="275">
        <v>0</v>
      </c>
      <c r="V18" s="276">
        <v>0</v>
      </c>
      <c r="W18" s="277">
        <v>312</v>
      </c>
      <c r="X18" s="275">
        <v>0</v>
      </c>
      <c r="Y18" s="278">
        <f t="shared" ref="Y18" si="6">R18</f>
        <v>0</v>
      </c>
      <c r="Z18" s="277">
        <f t="shared" ref="Z18" si="7">S18+T18+U18</f>
        <v>312</v>
      </c>
    </row>
    <row r="19" spans="1:26" s="38" customFormat="1" ht="15" customHeight="1" x14ac:dyDescent="0.3">
      <c r="A19" s="62" t="s">
        <v>65</v>
      </c>
      <c r="B19" s="124">
        <v>46079</v>
      </c>
      <c r="C19" s="124" t="s">
        <v>3740</v>
      </c>
      <c r="D19" s="54" t="s">
        <v>3174</v>
      </c>
      <c r="E19" s="195" t="s">
        <v>2340</v>
      </c>
      <c r="F19" s="54" t="s">
        <v>3580</v>
      </c>
      <c r="G19" s="54" t="s">
        <v>3580</v>
      </c>
      <c r="H19" s="54" t="s">
        <v>165</v>
      </c>
      <c r="I19" s="54"/>
      <c r="J19" s="54"/>
      <c r="K19" s="54">
        <v>500</v>
      </c>
      <c r="L19" s="54">
        <v>400</v>
      </c>
      <c r="M19" s="54">
        <v>1</v>
      </c>
      <c r="N19" s="54" t="s">
        <v>74</v>
      </c>
      <c r="O19" s="53"/>
      <c r="P19" s="53">
        <v>260.75</v>
      </c>
      <c r="Q19" s="53"/>
      <c r="R19" s="53">
        <v>260.75</v>
      </c>
      <c r="S19" s="58">
        <v>860.61198185659009</v>
      </c>
      <c r="T19" s="58">
        <v>42</v>
      </c>
      <c r="U19" s="58"/>
      <c r="V19" s="59">
        <v>36</v>
      </c>
      <c r="W19" s="56">
        <v>938.61198185659009</v>
      </c>
      <c r="X19" s="58"/>
      <c r="Y19" s="52">
        <f t="shared" si="2"/>
        <v>260.75</v>
      </c>
      <c r="Z19" s="56">
        <f t="shared" si="3"/>
        <v>902.61198185659009</v>
      </c>
    </row>
    <row r="20" spans="1:26" s="38" customFormat="1" ht="15" customHeight="1" x14ac:dyDescent="0.3">
      <c r="A20" s="62" t="s">
        <v>65</v>
      </c>
      <c r="B20" s="124">
        <v>46079</v>
      </c>
      <c r="C20" s="124" t="s">
        <v>3741</v>
      </c>
      <c r="D20" s="54" t="s">
        <v>3109</v>
      </c>
      <c r="E20" s="195" t="s">
        <v>2520</v>
      </c>
      <c r="F20" s="54" t="s">
        <v>3580</v>
      </c>
      <c r="G20" s="54" t="s">
        <v>3580</v>
      </c>
      <c r="H20" s="54" t="s">
        <v>2817</v>
      </c>
      <c r="I20" s="54"/>
      <c r="J20" s="54"/>
      <c r="K20" s="54">
        <v>500</v>
      </c>
      <c r="L20" s="54">
        <v>400</v>
      </c>
      <c r="M20" s="54">
        <v>1</v>
      </c>
      <c r="N20" s="54" t="s">
        <v>74</v>
      </c>
      <c r="O20" s="53"/>
      <c r="P20" s="53">
        <v>260.75</v>
      </c>
      <c r="Q20" s="53"/>
      <c r="R20" s="53">
        <v>260.75</v>
      </c>
      <c r="S20" s="58">
        <v>1715.6119818565901</v>
      </c>
      <c r="T20" s="58">
        <v>42</v>
      </c>
      <c r="U20" s="58"/>
      <c r="V20" s="59">
        <v>36</v>
      </c>
      <c r="W20" s="56">
        <v>1793.6119818565901</v>
      </c>
      <c r="X20" s="58"/>
      <c r="Y20" s="52">
        <f t="shared" ref="Y20" si="8">R20</f>
        <v>260.75</v>
      </c>
      <c r="Z20" s="56">
        <f t="shared" ref="Z20" si="9">S20+T20+U20</f>
        <v>1757.6119818565901</v>
      </c>
    </row>
    <row r="21" spans="1:26" s="38" customFormat="1" ht="15" customHeight="1" x14ac:dyDescent="0.3">
      <c r="A21" s="62" t="s">
        <v>65</v>
      </c>
      <c r="B21" s="124">
        <v>46079</v>
      </c>
      <c r="C21" s="124" t="s">
        <v>3742</v>
      </c>
      <c r="D21" s="54" t="s">
        <v>3021</v>
      </c>
      <c r="E21" s="195" t="s">
        <v>2299</v>
      </c>
      <c r="F21" s="54" t="s">
        <v>2784</v>
      </c>
      <c r="G21" s="54" t="s">
        <v>2784</v>
      </c>
      <c r="H21" s="54" t="s">
        <v>165</v>
      </c>
      <c r="I21" s="54"/>
      <c r="J21" s="54"/>
      <c r="K21" s="54">
        <v>500</v>
      </c>
      <c r="L21" s="54">
        <v>400</v>
      </c>
      <c r="M21" s="54">
        <v>1</v>
      </c>
      <c r="N21" s="54" t="s">
        <v>74</v>
      </c>
      <c r="O21" s="53"/>
      <c r="P21" s="53">
        <v>228.2</v>
      </c>
      <c r="Q21" s="53"/>
      <c r="R21" s="53">
        <v>228.2</v>
      </c>
      <c r="S21" s="58">
        <v>1453.8564263010346</v>
      </c>
      <c r="T21" s="58">
        <v>84</v>
      </c>
      <c r="U21" s="58"/>
      <c r="V21" s="59">
        <v>36</v>
      </c>
      <c r="W21" s="56">
        <v>1573.8564263010346</v>
      </c>
      <c r="X21" s="58"/>
      <c r="Y21" s="52">
        <f t="shared" ref="Y21:Y23" si="10">R21</f>
        <v>228.2</v>
      </c>
      <c r="Z21" s="56">
        <f t="shared" ref="Z21:Z23" si="11">S21+T21+U21</f>
        <v>1537.8564263010346</v>
      </c>
    </row>
    <row r="22" spans="1:26" s="38" customFormat="1" ht="15" customHeight="1" x14ac:dyDescent="0.3">
      <c r="A22" s="62" t="s">
        <v>65</v>
      </c>
      <c r="B22" s="124">
        <v>46079</v>
      </c>
      <c r="C22" s="124" t="s">
        <v>3743</v>
      </c>
      <c r="D22" s="54" t="s">
        <v>2895</v>
      </c>
      <c r="E22" s="195" t="s">
        <v>2270</v>
      </c>
      <c r="F22" s="54" t="s">
        <v>2748</v>
      </c>
      <c r="G22" s="54" t="s">
        <v>2748</v>
      </c>
      <c r="H22" s="54" t="s">
        <v>165</v>
      </c>
      <c r="I22" s="54" t="s">
        <v>2814</v>
      </c>
      <c r="J22" s="54" t="s">
        <v>2814</v>
      </c>
      <c r="K22" s="54">
        <v>300</v>
      </c>
      <c r="L22" s="54">
        <v>50</v>
      </c>
      <c r="M22" s="54">
        <v>1</v>
      </c>
      <c r="N22" s="54" t="s">
        <v>74</v>
      </c>
      <c r="O22" s="53"/>
      <c r="P22" s="53">
        <v>210.7</v>
      </c>
      <c r="Q22" s="53"/>
      <c r="R22" s="53">
        <v>210.7</v>
      </c>
      <c r="S22" s="58">
        <v>1148.8564263010346</v>
      </c>
      <c r="T22" s="58">
        <v>142</v>
      </c>
      <c r="U22" s="58">
        <v>16</v>
      </c>
      <c r="V22" s="59">
        <v>4.5</v>
      </c>
      <c r="W22" s="56">
        <v>1311.3564263010346</v>
      </c>
      <c r="X22" s="58"/>
      <c r="Y22" s="52">
        <f t="shared" si="10"/>
        <v>210.7</v>
      </c>
      <c r="Z22" s="56">
        <f t="shared" si="11"/>
        <v>1306.8564263010346</v>
      </c>
    </row>
    <row r="23" spans="1:26" s="38" customFormat="1" ht="15" customHeight="1" x14ac:dyDescent="0.3">
      <c r="A23" s="62" t="s">
        <v>65</v>
      </c>
      <c r="B23" s="124">
        <v>46079</v>
      </c>
      <c r="C23" s="124" t="s">
        <v>3743</v>
      </c>
      <c r="D23" s="54" t="s">
        <v>2927</v>
      </c>
      <c r="E23" s="195" t="s">
        <v>2275</v>
      </c>
      <c r="F23" s="54" t="s">
        <v>2813</v>
      </c>
      <c r="G23" s="54" t="s">
        <v>2813</v>
      </c>
      <c r="H23" s="54" t="s">
        <v>3744</v>
      </c>
      <c r="I23" s="54" t="s">
        <v>2814</v>
      </c>
      <c r="J23" s="54" t="s">
        <v>2814</v>
      </c>
      <c r="K23" s="54">
        <v>300</v>
      </c>
      <c r="L23" s="54">
        <v>50</v>
      </c>
      <c r="M23" s="54">
        <v>1</v>
      </c>
      <c r="N23" s="54" t="s">
        <v>76</v>
      </c>
      <c r="O23" s="53"/>
      <c r="P23" s="53">
        <v>221.2</v>
      </c>
      <c r="Q23" s="53"/>
      <c r="R23" s="53">
        <v>221.2</v>
      </c>
      <c r="S23" s="58">
        <v>1648.8564263010346</v>
      </c>
      <c r="T23" s="58">
        <v>142</v>
      </c>
      <c r="U23" s="58">
        <v>106</v>
      </c>
      <c r="V23" s="59">
        <v>4.5</v>
      </c>
      <c r="W23" s="56">
        <v>1901.3564263010346</v>
      </c>
      <c r="X23" s="58">
        <v>66</v>
      </c>
      <c r="Y23" s="52">
        <f t="shared" si="10"/>
        <v>221.2</v>
      </c>
      <c r="Z23" s="56">
        <f t="shared" si="11"/>
        <v>1896.8564263010346</v>
      </c>
    </row>
    <row r="24" spans="1:26" x14ac:dyDescent="0.3">
      <c r="Y24" s="52">
        <f t="shared" si="2"/>
        <v>0</v>
      </c>
      <c r="Z24" s="56">
        <f t="shared" si="3"/>
        <v>0</v>
      </c>
    </row>
    <row r="25" spans="1:26" x14ac:dyDescent="0.3">
      <c r="Y25" s="52">
        <f t="shared" si="2"/>
        <v>0</v>
      </c>
      <c r="Z25" s="56">
        <f t="shared" si="3"/>
        <v>0</v>
      </c>
    </row>
    <row r="26" spans="1:26" x14ac:dyDescent="0.3">
      <c r="Y26" s="52">
        <f t="shared" si="2"/>
        <v>0</v>
      </c>
      <c r="Z26" s="56">
        <f t="shared" si="3"/>
        <v>0</v>
      </c>
    </row>
    <row r="27" spans="1:26" x14ac:dyDescent="0.3">
      <c r="Y27" s="52">
        <f t="shared" si="2"/>
        <v>0</v>
      </c>
      <c r="Z27" s="56">
        <f t="shared" si="3"/>
        <v>0</v>
      </c>
    </row>
    <row r="28" spans="1:26" x14ac:dyDescent="0.3">
      <c r="Y28" s="52">
        <f t="shared" si="2"/>
        <v>0</v>
      </c>
      <c r="Z28" s="56">
        <f t="shared" si="3"/>
        <v>0</v>
      </c>
    </row>
    <row r="29" spans="1:26" x14ac:dyDescent="0.3">
      <c r="Y29" s="52">
        <f t="shared" si="2"/>
        <v>0</v>
      </c>
      <c r="Z29" s="56">
        <f t="shared" si="3"/>
        <v>0</v>
      </c>
    </row>
    <row r="30" spans="1:26" x14ac:dyDescent="0.3">
      <c r="Y30" s="52">
        <f t="shared" si="2"/>
        <v>0</v>
      </c>
      <c r="Z30" s="56">
        <f t="shared" si="3"/>
        <v>0</v>
      </c>
    </row>
    <row r="31" spans="1:26" x14ac:dyDescent="0.3">
      <c r="Y31" s="52">
        <f t="shared" si="2"/>
        <v>0</v>
      </c>
      <c r="Z31" s="56">
        <f t="shared" si="3"/>
        <v>0</v>
      </c>
    </row>
    <row r="32" spans="1:26" x14ac:dyDescent="0.3">
      <c r="Y32" s="52">
        <f t="shared" si="2"/>
        <v>0</v>
      </c>
      <c r="Z32" s="56">
        <f t="shared" si="3"/>
        <v>0</v>
      </c>
    </row>
    <row r="33" spans="25:26" x14ac:dyDescent="0.3">
      <c r="Y33" s="52">
        <f t="shared" si="2"/>
        <v>0</v>
      </c>
      <c r="Z33" s="56">
        <f t="shared" si="3"/>
        <v>0</v>
      </c>
    </row>
  </sheetData>
  <autoFilter ref="A1:Z33" xr:uid="{8489142C-4E43-468D-8165-ADACCBC724F7}"/>
  <conditionalFormatting sqref="E1">
    <cfRule type="duplicateValues" dxfId="65" priority="10"/>
  </conditionalFormatting>
  <conditionalFormatting sqref="E2">
    <cfRule type="duplicateValues" dxfId="64" priority="12"/>
  </conditionalFormatting>
  <conditionalFormatting sqref="E3:E6">
    <cfRule type="duplicateValues" dxfId="63" priority="14"/>
  </conditionalFormatting>
  <conditionalFormatting sqref="E7">
    <cfRule type="duplicateValues" dxfId="62" priority="15"/>
  </conditionalFormatting>
  <conditionalFormatting sqref="E8:E23">
    <cfRule type="duplicateValues" dxfId="61" priority="17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AACD5-E48B-4360-9B97-3B6F60403225}">
  <sheetPr codeName="Sheet2"/>
  <dimension ref="A1:AA7"/>
  <sheetViews>
    <sheetView workbookViewId="0"/>
  </sheetViews>
  <sheetFormatPr defaultColWidth="31.109375" defaultRowHeight="14.4" x14ac:dyDescent="0.3"/>
  <cols>
    <col min="1" max="1" width="10.6640625" style="38" bestFit="1" customWidth="1"/>
    <col min="2" max="2" width="15.33203125" style="38" bestFit="1" customWidth="1"/>
    <col min="3" max="3" width="22.109375" style="38" bestFit="1" customWidth="1"/>
    <col min="4" max="5" width="23.109375" style="38" bestFit="1" customWidth="1"/>
    <col min="6" max="6" width="17.6640625" style="38" bestFit="1" customWidth="1"/>
    <col min="7" max="7" width="21.33203125" style="38" bestFit="1" customWidth="1"/>
    <col min="8" max="8" width="12.6640625" style="38" bestFit="1" customWidth="1"/>
    <col min="9" max="9" width="21.44140625" style="38" bestFit="1" customWidth="1"/>
    <col min="10" max="10" width="23.5546875" style="38" bestFit="1" customWidth="1"/>
    <col min="11" max="11" width="13.88671875" style="38" bestFit="1" customWidth="1"/>
    <col min="12" max="12" width="15.109375" style="38" bestFit="1" customWidth="1"/>
    <col min="13" max="13" width="19.109375" style="38" bestFit="1" customWidth="1"/>
    <col min="14" max="14" width="17.44140625" style="38" bestFit="1" customWidth="1"/>
    <col min="15" max="15" width="30.6640625" style="38" bestFit="1" customWidth="1"/>
    <col min="16" max="16" width="14.109375" style="38" bestFit="1" customWidth="1"/>
    <col min="17" max="17" width="9" style="38" bestFit="1" customWidth="1"/>
    <col min="18" max="18" width="22" style="38" bestFit="1" customWidth="1"/>
    <col min="19" max="19" width="30" style="38" bestFit="1" customWidth="1"/>
    <col min="20" max="20" width="20" style="38" bestFit="1" customWidth="1"/>
    <col min="21" max="21" width="25.6640625" style="38" bestFit="1" customWidth="1"/>
    <col min="22" max="22" width="22.44140625" style="38" bestFit="1" customWidth="1"/>
    <col min="23" max="23" width="24.44140625" style="38" bestFit="1" customWidth="1"/>
    <col min="24" max="24" width="19.6640625" style="38" bestFit="1" customWidth="1"/>
    <col min="25" max="25" width="30.88671875" style="38" bestFit="1" customWidth="1"/>
    <col min="26" max="26" width="29.44140625" style="38" bestFit="1" customWidth="1"/>
    <col min="27" max="16384" width="31.109375" style="38"/>
  </cols>
  <sheetData>
    <row r="1" spans="1:27" s="318" customFormat="1" ht="28.8" x14ac:dyDescent="0.3">
      <c r="A1" s="317" t="s">
        <v>3516</v>
      </c>
      <c r="B1" s="317" t="s">
        <v>3517</v>
      </c>
      <c r="C1" s="317" t="s">
        <v>3518</v>
      </c>
      <c r="D1" s="317" t="s">
        <v>3519</v>
      </c>
      <c r="E1" s="317" t="s">
        <v>3520</v>
      </c>
      <c r="F1" s="317" t="s">
        <v>3521</v>
      </c>
      <c r="G1" s="320" t="s">
        <v>3522</v>
      </c>
      <c r="H1" s="320" t="s">
        <v>3523</v>
      </c>
      <c r="I1" s="320" t="s">
        <v>2705</v>
      </c>
      <c r="J1" s="320" t="s">
        <v>3524</v>
      </c>
      <c r="K1" s="320" t="s">
        <v>2707</v>
      </c>
      <c r="L1" s="320" t="s">
        <v>2708</v>
      </c>
      <c r="M1" s="320" t="s">
        <v>2709</v>
      </c>
      <c r="N1" s="320" t="s">
        <v>2710</v>
      </c>
      <c r="O1" s="320" t="s">
        <v>2711</v>
      </c>
      <c r="P1" s="320" t="s">
        <v>2712</v>
      </c>
      <c r="Q1" s="320" t="s">
        <v>2713</v>
      </c>
      <c r="R1" s="320" t="s">
        <v>2714</v>
      </c>
      <c r="S1" s="320" t="s">
        <v>2715</v>
      </c>
      <c r="T1" s="320" t="s">
        <v>2716</v>
      </c>
      <c r="U1" s="319" t="s">
        <v>2717</v>
      </c>
      <c r="V1" s="320" t="s">
        <v>2718</v>
      </c>
      <c r="W1" s="320" t="s">
        <v>2719</v>
      </c>
      <c r="X1" s="320" t="s">
        <v>2720</v>
      </c>
      <c r="Y1" s="320" t="s">
        <v>2721</v>
      </c>
      <c r="Z1" s="319" t="s">
        <v>2722</v>
      </c>
      <c r="AA1" s="320" t="s">
        <v>3525</v>
      </c>
    </row>
    <row r="2" spans="1:27" ht="28.8" x14ac:dyDescent="0.3">
      <c r="A2" s="287">
        <v>46043</v>
      </c>
      <c r="B2" s="272" t="s">
        <v>934</v>
      </c>
      <c r="C2" s="279" t="s">
        <v>3526</v>
      </c>
      <c r="D2" s="272">
        <v>10</v>
      </c>
      <c r="E2" s="272">
        <v>30</v>
      </c>
      <c r="F2" s="287">
        <v>46055</v>
      </c>
      <c r="G2" s="288" t="s">
        <v>2876</v>
      </c>
      <c r="H2" s="288" t="s">
        <v>934</v>
      </c>
      <c r="I2" s="288" t="s">
        <v>2877</v>
      </c>
      <c r="J2" s="288" t="s">
        <v>2877</v>
      </c>
      <c r="K2" s="289" t="s">
        <v>165</v>
      </c>
      <c r="L2" s="288"/>
      <c r="M2" s="288"/>
      <c r="N2" s="288">
        <v>400</v>
      </c>
      <c r="O2" s="288">
        <v>150</v>
      </c>
      <c r="P2" s="288">
        <v>1</v>
      </c>
      <c r="Q2" s="290" t="s">
        <v>74</v>
      </c>
      <c r="R2" s="290"/>
      <c r="S2" s="290"/>
      <c r="T2" s="290"/>
      <c r="U2" s="290">
        <v>0</v>
      </c>
      <c r="V2" s="290">
        <v>738</v>
      </c>
      <c r="W2" s="290">
        <v>30.2</v>
      </c>
      <c r="X2" s="290">
        <v>8</v>
      </c>
      <c r="Y2" s="290">
        <v>13.5</v>
      </c>
      <c r="Z2" s="291">
        <v>789.7</v>
      </c>
      <c r="AA2" s="291">
        <v>0</v>
      </c>
    </row>
    <row r="3" spans="1:27" ht="43.2" x14ac:dyDescent="0.3">
      <c r="A3" s="287">
        <v>46043</v>
      </c>
      <c r="B3" s="287" t="s">
        <v>1378</v>
      </c>
      <c r="C3" s="271" t="s">
        <v>3527</v>
      </c>
      <c r="D3" s="286">
        <v>30</v>
      </c>
      <c r="E3" s="286">
        <v>50</v>
      </c>
      <c r="F3" s="287">
        <v>46050</v>
      </c>
      <c r="G3" s="288" t="s">
        <v>2891</v>
      </c>
      <c r="H3" s="288" t="s">
        <v>1378</v>
      </c>
      <c r="I3" s="288" t="s">
        <v>2784</v>
      </c>
      <c r="J3" s="288" t="s">
        <v>2784</v>
      </c>
      <c r="K3" s="289" t="s">
        <v>78</v>
      </c>
      <c r="L3" s="288"/>
      <c r="M3" s="288"/>
      <c r="N3" s="288">
        <v>500</v>
      </c>
      <c r="O3" s="288">
        <v>400</v>
      </c>
      <c r="P3" s="288">
        <v>1</v>
      </c>
      <c r="Q3" s="290" t="s">
        <v>74</v>
      </c>
      <c r="R3" s="290"/>
      <c r="S3" s="290"/>
      <c r="T3" s="290"/>
      <c r="U3" s="290">
        <v>0</v>
      </c>
      <c r="V3" s="290">
        <v>1453.8564263010346</v>
      </c>
      <c r="W3" s="290">
        <v>70.599999999999994</v>
      </c>
      <c r="X3" s="290">
        <v>32</v>
      </c>
      <c r="Y3" s="290">
        <v>36</v>
      </c>
      <c r="Z3" s="291">
        <v>1592.4564263010345</v>
      </c>
      <c r="AA3" s="291">
        <v>0</v>
      </c>
    </row>
    <row r="4" spans="1:27" ht="57.6" x14ac:dyDescent="0.3">
      <c r="A4" s="287">
        <v>46043</v>
      </c>
      <c r="B4" s="287" t="s">
        <v>566</v>
      </c>
      <c r="C4" s="279" t="s">
        <v>3528</v>
      </c>
      <c r="D4" s="272">
        <v>50</v>
      </c>
      <c r="E4" s="272">
        <v>100</v>
      </c>
      <c r="F4" s="287">
        <v>46045</v>
      </c>
      <c r="G4" s="288" t="s">
        <v>2889</v>
      </c>
      <c r="H4" s="288" t="s">
        <v>566</v>
      </c>
      <c r="I4" s="288" t="s">
        <v>2745</v>
      </c>
      <c r="J4" s="288" t="s">
        <v>2745</v>
      </c>
      <c r="K4" s="289" t="s">
        <v>78</v>
      </c>
      <c r="L4" s="288"/>
      <c r="M4" s="288"/>
      <c r="N4" s="288">
        <v>600</v>
      </c>
      <c r="O4" s="288">
        <v>1200</v>
      </c>
      <c r="P4" s="288">
        <v>1</v>
      </c>
      <c r="Q4" s="290" t="s">
        <v>74</v>
      </c>
      <c r="R4" s="290"/>
      <c r="S4" s="290"/>
      <c r="T4" s="290"/>
      <c r="U4" s="290">
        <v>0</v>
      </c>
      <c r="V4" s="290">
        <v>1627.8564263010346</v>
      </c>
      <c r="W4" s="290">
        <v>165</v>
      </c>
      <c r="X4" s="290">
        <v>56</v>
      </c>
      <c r="Y4" s="290">
        <v>108</v>
      </c>
      <c r="Z4" s="291">
        <v>1956.8564263010346</v>
      </c>
      <c r="AA4" s="291">
        <v>0</v>
      </c>
    </row>
    <row r="5" spans="1:27" ht="28.8" x14ac:dyDescent="0.3">
      <c r="A5" s="287">
        <v>46077</v>
      </c>
      <c r="B5" s="287" t="s">
        <v>825</v>
      </c>
      <c r="C5" s="271" t="s">
        <v>3529</v>
      </c>
      <c r="D5" s="286">
        <v>10</v>
      </c>
      <c r="E5" s="286">
        <v>30</v>
      </c>
      <c r="F5" s="287">
        <v>46078</v>
      </c>
      <c r="G5" s="288" t="s">
        <v>2846</v>
      </c>
      <c r="H5" s="288" t="s">
        <v>825</v>
      </c>
      <c r="I5" s="288" t="s">
        <v>2877</v>
      </c>
      <c r="J5" s="288" t="s">
        <v>2877</v>
      </c>
      <c r="K5" s="289" t="s">
        <v>165</v>
      </c>
      <c r="L5" s="288"/>
      <c r="M5" s="288"/>
      <c r="N5" s="288">
        <v>400</v>
      </c>
      <c r="O5" s="288">
        <v>150</v>
      </c>
      <c r="P5" s="288">
        <v>1</v>
      </c>
      <c r="Q5" s="290" t="s">
        <v>74</v>
      </c>
      <c r="R5" s="290"/>
      <c r="S5" s="290"/>
      <c r="T5" s="290"/>
      <c r="U5" s="290">
        <v>0</v>
      </c>
      <c r="V5" s="290">
        <v>738</v>
      </c>
      <c r="W5" s="290">
        <v>22</v>
      </c>
      <c r="X5" s="290">
        <v>20</v>
      </c>
      <c r="Y5" s="290">
        <v>14</v>
      </c>
      <c r="Z5" s="291">
        <v>794</v>
      </c>
      <c r="AA5" s="291"/>
    </row>
    <row r="6" spans="1:27" ht="28.8" x14ac:dyDescent="0.3">
      <c r="A6" s="287">
        <v>46077</v>
      </c>
      <c r="B6" s="287" t="s">
        <v>1467</v>
      </c>
      <c r="C6" s="271" t="s">
        <v>3530</v>
      </c>
      <c r="D6" s="286">
        <v>6</v>
      </c>
      <c r="E6" s="286">
        <v>4</v>
      </c>
      <c r="F6" s="287">
        <v>46076</v>
      </c>
      <c r="G6" s="288" t="s">
        <v>3133</v>
      </c>
      <c r="H6" s="288" t="s">
        <v>1467</v>
      </c>
      <c r="I6" s="288" t="s">
        <v>2757</v>
      </c>
      <c r="J6" s="288" t="s">
        <v>2757</v>
      </c>
      <c r="K6" s="289" t="s">
        <v>78</v>
      </c>
      <c r="L6" s="288"/>
      <c r="M6" s="288"/>
      <c r="N6" s="288">
        <v>40</v>
      </c>
      <c r="O6" s="288">
        <v>30</v>
      </c>
      <c r="P6" s="288">
        <v>1</v>
      </c>
      <c r="Q6" s="290" t="s">
        <v>74</v>
      </c>
      <c r="R6" s="290"/>
      <c r="S6" s="290"/>
      <c r="T6" s="290"/>
      <c r="U6" s="290">
        <v>0</v>
      </c>
      <c r="V6" s="290">
        <v>356</v>
      </c>
      <c r="W6" s="290">
        <v>35</v>
      </c>
      <c r="X6" s="290">
        <v>16</v>
      </c>
      <c r="Y6" s="290">
        <v>27</v>
      </c>
      <c r="Z6" s="291">
        <v>434</v>
      </c>
      <c r="AA6" s="291"/>
    </row>
    <row r="7" spans="1:27" ht="28.8" x14ac:dyDescent="0.3">
      <c r="A7" s="210">
        <v>46077</v>
      </c>
      <c r="B7" s="210" t="s">
        <v>2203</v>
      </c>
      <c r="C7" s="209" t="s">
        <v>3531</v>
      </c>
      <c r="D7" s="215">
        <v>10</v>
      </c>
      <c r="E7" s="215">
        <v>20</v>
      </c>
      <c r="F7" s="196"/>
      <c r="G7" s="212" t="s">
        <v>2964</v>
      </c>
      <c r="H7" s="212" t="s">
        <v>2203</v>
      </c>
      <c r="I7" s="212" t="s">
        <v>3755</v>
      </c>
      <c r="J7" s="212" t="s">
        <v>3755</v>
      </c>
      <c r="K7" s="231" t="s">
        <v>165</v>
      </c>
      <c r="L7" s="212"/>
      <c r="M7" s="212"/>
      <c r="N7" s="212">
        <v>300</v>
      </c>
      <c r="O7" s="212">
        <v>50</v>
      </c>
      <c r="P7" s="212">
        <v>1</v>
      </c>
      <c r="Q7" s="213" t="s">
        <v>74</v>
      </c>
      <c r="R7" s="213"/>
      <c r="S7" s="213"/>
      <c r="T7" s="213"/>
      <c r="U7" s="213">
        <v>0</v>
      </c>
      <c r="V7" s="232">
        <v>674.61198185659009</v>
      </c>
      <c r="W7" s="213">
        <v>42</v>
      </c>
      <c r="X7" s="232"/>
      <c r="Y7" s="213">
        <v>4.5</v>
      </c>
      <c r="Z7" s="214">
        <v>721.11198185659009</v>
      </c>
      <c r="AA7" s="2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7497-E75F-45C8-8F16-017FF56B3CCA}">
  <sheetPr codeName="Sheet3"/>
  <dimension ref="A1:Z24"/>
  <sheetViews>
    <sheetView workbookViewId="0">
      <selection activeCell="E14" sqref="E14"/>
    </sheetView>
  </sheetViews>
  <sheetFormatPr defaultColWidth="11.44140625" defaultRowHeight="14.4" x14ac:dyDescent="0.3"/>
  <cols>
    <col min="3" max="3" width="19.5546875" bestFit="1" customWidth="1"/>
    <col min="5" max="5" width="37.6640625" bestFit="1" customWidth="1"/>
    <col min="6" max="6" width="15.5546875" bestFit="1" customWidth="1"/>
    <col min="27" max="16384" width="11.44140625" style="247"/>
  </cols>
  <sheetData>
    <row r="1" spans="1:26" ht="15.75" customHeight="1" x14ac:dyDescent="0.3">
      <c r="P1" s="1000" t="s">
        <v>2696</v>
      </c>
      <c r="Q1" s="1000"/>
      <c r="R1" s="1000"/>
      <c r="S1" s="1000"/>
      <c r="T1" s="1000"/>
      <c r="U1" s="1000"/>
      <c r="V1" s="1000"/>
      <c r="W1" s="1000"/>
      <c r="X1" s="1000"/>
      <c r="Y1" s="1000"/>
      <c r="Z1" s="163" t="s">
        <v>2697</v>
      </c>
    </row>
    <row r="2" spans="1:26" s="293" customFormat="1" ht="72" x14ac:dyDescent="0.3">
      <c r="A2" s="205" t="s">
        <v>2699</v>
      </c>
      <c r="B2" s="205" t="s">
        <v>2700</v>
      </c>
      <c r="C2" s="205" t="s">
        <v>2701</v>
      </c>
      <c r="D2" s="205" t="s">
        <v>2702</v>
      </c>
      <c r="E2" s="205" t="s">
        <v>2703</v>
      </c>
      <c r="F2" s="205" t="s">
        <v>2704</v>
      </c>
      <c r="G2" s="205" t="s">
        <v>2705</v>
      </c>
      <c r="H2" s="205" t="s">
        <v>2706</v>
      </c>
      <c r="I2" s="205" t="s">
        <v>2707</v>
      </c>
      <c r="J2" s="205" t="s">
        <v>2708</v>
      </c>
      <c r="K2" s="205" t="s">
        <v>2709</v>
      </c>
      <c r="L2" s="205" t="s">
        <v>2710</v>
      </c>
      <c r="M2" s="205" t="s">
        <v>2711</v>
      </c>
      <c r="N2" s="205" t="s">
        <v>2712</v>
      </c>
      <c r="O2" s="205" t="s">
        <v>2713</v>
      </c>
      <c r="P2" s="206" t="s">
        <v>2714</v>
      </c>
      <c r="Q2" s="207" t="s">
        <v>2715</v>
      </c>
      <c r="R2" s="207" t="s">
        <v>2716</v>
      </c>
      <c r="S2" s="208" t="s">
        <v>2717</v>
      </c>
      <c r="T2" s="207" t="s">
        <v>2718</v>
      </c>
      <c r="U2" s="207" t="s">
        <v>2719</v>
      </c>
      <c r="V2" s="207" t="s">
        <v>2720</v>
      </c>
      <c r="W2" s="207" t="s">
        <v>2721</v>
      </c>
      <c r="X2" s="208" t="s">
        <v>2722</v>
      </c>
      <c r="Y2" s="207" t="s">
        <v>2723</v>
      </c>
      <c r="Z2" s="294" t="s">
        <v>2724</v>
      </c>
    </row>
    <row r="3" spans="1:26" s="238" customFormat="1" ht="15" customHeight="1" x14ac:dyDescent="0.3">
      <c r="A3" s="295" t="s">
        <v>2735</v>
      </c>
      <c r="B3" s="295"/>
      <c r="C3" s="295"/>
      <c r="D3" s="295"/>
      <c r="E3" s="296" t="s">
        <v>2736</v>
      </c>
      <c r="F3" s="296" t="s">
        <v>2737</v>
      </c>
      <c r="G3" s="296"/>
      <c r="H3" s="295" t="s">
        <v>2738</v>
      </c>
      <c r="I3" s="295"/>
      <c r="J3" s="295"/>
      <c r="K3" s="295"/>
      <c r="L3" s="295"/>
      <c r="M3" s="295"/>
      <c r="N3" s="295"/>
      <c r="O3" s="295"/>
      <c r="P3" s="297">
        <v>0</v>
      </c>
      <c r="Q3" s="297">
        <v>0</v>
      </c>
      <c r="R3" s="297">
        <v>0</v>
      </c>
      <c r="S3" s="297">
        <v>0</v>
      </c>
      <c r="T3" s="298">
        <v>2000</v>
      </c>
      <c r="U3" s="298">
        <v>165</v>
      </c>
      <c r="V3" s="298">
        <v>32</v>
      </c>
      <c r="W3" s="298">
        <v>36</v>
      </c>
      <c r="X3" s="298">
        <f>Tableau1[[#This Row],[Coût Abonnement offre]]+Tableau1[[#This Row],[Coût Abonnement Chassis]]+Tableau1[[#This Row],[Cout Cartes interface ]]+Tableau1[[#This Row],[Cout canaux voix supplémentaire]]</f>
        <v>1390</v>
      </c>
      <c r="Y3" s="299">
        <v>66</v>
      </c>
      <c r="Z3" s="298">
        <f>Tableau1[[#This Row],[Cout Cartes interface ]]+Tableau1[[#This Row],[Coût Abonnement Chassis]]+Tableau1[[#This Row],[Coût Abonnement offre]]</f>
        <v>1376</v>
      </c>
    </row>
    <row r="4" spans="1:26" s="238" customFormat="1" ht="15" customHeight="1" x14ac:dyDescent="0.3">
      <c r="A4" s="295" t="s">
        <v>2739</v>
      </c>
      <c r="B4" s="295"/>
      <c r="C4" s="295"/>
      <c r="D4" s="295"/>
      <c r="E4" s="296" t="s">
        <v>2740</v>
      </c>
      <c r="F4" s="296" t="s">
        <v>2741</v>
      </c>
      <c r="G4" s="296"/>
      <c r="H4" s="295" t="s">
        <v>2742</v>
      </c>
      <c r="I4" s="295"/>
      <c r="J4" s="295"/>
      <c r="K4" s="295"/>
      <c r="L4" s="295"/>
      <c r="M4" s="295"/>
      <c r="N4" s="295"/>
      <c r="O4" s="295"/>
      <c r="P4" s="297">
        <v>0</v>
      </c>
      <c r="Q4" s="297">
        <v>0</v>
      </c>
      <c r="R4" s="297">
        <v>0</v>
      </c>
      <c r="S4" s="297">
        <v>0</v>
      </c>
      <c r="T4" s="298">
        <v>1842</v>
      </c>
      <c r="U4" s="298">
        <v>299</v>
      </c>
      <c r="V4" s="298">
        <v>40</v>
      </c>
      <c r="W4" s="298">
        <v>252</v>
      </c>
      <c r="X4" s="298">
        <f>Tableau1[[#This Row],[Coût Abonnement offre]]+Tableau1[[#This Row],[Coût Abonnement Chassis]]+Tableau1[[#This Row],[Cout Cartes interface ]]+Tableau1[[#This Row],[Cout canaux voix supplémentaire]]</f>
        <v>1390</v>
      </c>
      <c r="Y4" s="299">
        <v>66</v>
      </c>
      <c r="Z4" s="298">
        <f>Tableau1[[#This Row],[Cout Cartes interface ]]+Tableau1[[#This Row],[Coût Abonnement Chassis]]+Tableau1[[#This Row],[Coût Abonnement offre]]</f>
        <v>1376</v>
      </c>
    </row>
    <row r="5" spans="1:26" s="238" customFormat="1" ht="15" customHeight="1" x14ac:dyDescent="0.3">
      <c r="A5" s="295" t="s">
        <v>2743</v>
      </c>
      <c r="B5" s="295"/>
      <c r="C5" s="295"/>
      <c r="D5" s="295"/>
      <c r="E5" s="296" t="s">
        <v>2744</v>
      </c>
      <c r="F5" s="296" t="s">
        <v>1257</v>
      </c>
      <c r="G5" s="296"/>
      <c r="H5" s="295" t="s">
        <v>2745</v>
      </c>
      <c r="I5" s="295"/>
      <c r="J5" s="295"/>
      <c r="K5" s="295"/>
      <c r="L5" s="295"/>
      <c r="M5" s="295"/>
      <c r="N5" s="295"/>
      <c r="O5" s="295"/>
      <c r="P5" s="297">
        <v>0</v>
      </c>
      <c r="Q5" s="297">
        <v>0</v>
      </c>
      <c r="R5" s="297">
        <v>0</v>
      </c>
      <c r="S5" s="297">
        <v>0</v>
      </c>
      <c r="T5" s="298">
        <v>1628</v>
      </c>
      <c r="U5" s="298">
        <v>239</v>
      </c>
      <c r="V5" s="298">
        <v>0</v>
      </c>
      <c r="W5" s="298">
        <v>108</v>
      </c>
      <c r="X5" s="298">
        <f>Tableau1[[#This Row],[Coût Abonnement offre]]+Tableau1[[#This Row],[Coût Abonnement Chassis]]+Tableau1[[#This Row],[Cout Cartes interface ]]+Tableau1[[#This Row],[Cout canaux voix supplémentaire]]</f>
        <v>386</v>
      </c>
      <c r="Y5" s="299">
        <v>66</v>
      </c>
      <c r="Z5" s="298">
        <f>Tableau1[[#This Row],[Cout Cartes interface ]]+Tableau1[[#This Row],[Coût Abonnement Chassis]]+Tableau1[[#This Row],[Coût Abonnement offre]]</f>
        <v>383</v>
      </c>
    </row>
    <row r="6" spans="1:26" s="238" customFormat="1" ht="15" customHeight="1" x14ac:dyDescent="0.3">
      <c r="A6" s="295" t="s">
        <v>2743</v>
      </c>
      <c r="B6" s="295"/>
      <c r="C6" s="295"/>
      <c r="D6" s="295"/>
      <c r="E6" s="296" t="s">
        <v>2746</v>
      </c>
      <c r="F6" s="296" t="s">
        <v>2747</v>
      </c>
      <c r="G6" s="296"/>
      <c r="H6" s="295" t="s">
        <v>2748</v>
      </c>
      <c r="I6" s="295"/>
      <c r="J6" s="295"/>
      <c r="K6" s="295"/>
      <c r="L6" s="295"/>
      <c r="M6" s="295"/>
      <c r="N6" s="295"/>
      <c r="O6" s="295"/>
      <c r="P6" s="297">
        <v>0</v>
      </c>
      <c r="Q6" s="297">
        <v>0</v>
      </c>
      <c r="R6" s="297">
        <v>0</v>
      </c>
      <c r="S6" s="297">
        <v>0</v>
      </c>
      <c r="T6" s="298">
        <v>1149</v>
      </c>
      <c r="U6" s="298">
        <v>44</v>
      </c>
      <c r="V6" s="298">
        <v>32</v>
      </c>
      <c r="W6" s="298">
        <v>5</v>
      </c>
      <c r="X6" s="298">
        <f>Tableau1[[#This Row],[Coût Abonnement offre]]+Tableau1[[#This Row],[Coût Abonnement Chassis]]+Tableau1[[#This Row],[Cout Cartes interface ]]+Tableau1[[#This Row],[Cout canaux voix supplémentaire]]</f>
        <v>8186</v>
      </c>
      <c r="Y6" s="299">
        <v>0</v>
      </c>
      <c r="Z6" s="298">
        <f>Tableau1[[#This Row],[Cout Cartes interface ]]+Tableau1[[#This Row],[Coût Abonnement Chassis]]+Tableau1[[#This Row],[Coût Abonnement offre]]</f>
        <v>7772</v>
      </c>
    </row>
    <row r="7" spans="1:26" s="238" customFormat="1" ht="15" customHeight="1" x14ac:dyDescent="0.3">
      <c r="A7" s="295" t="s">
        <v>2743</v>
      </c>
      <c r="B7" s="295"/>
      <c r="C7" s="295"/>
      <c r="D7" s="295"/>
      <c r="E7" s="296" t="s">
        <v>2749</v>
      </c>
      <c r="F7" s="296" t="s">
        <v>2750</v>
      </c>
      <c r="G7" s="296"/>
      <c r="H7" s="295" t="s">
        <v>2751</v>
      </c>
      <c r="I7" s="295"/>
      <c r="J7" s="295"/>
      <c r="K7" s="295"/>
      <c r="L7" s="295"/>
      <c r="M7" s="295"/>
      <c r="N7" s="295"/>
      <c r="O7" s="295"/>
      <c r="P7" s="297">
        <v>0</v>
      </c>
      <c r="Q7" s="297">
        <v>0</v>
      </c>
      <c r="R7" s="297">
        <v>0</v>
      </c>
      <c r="S7" s="297">
        <v>0</v>
      </c>
      <c r="T7" s="298">
        <v>568</v>
      </c>
      <c r="U7" s="298">
        <v>22</v>
      </c>
      <c r="V7" s="298">
        <v>8</v>
      </c>
      <c r="W7" s="298">
        <v>0</v>
      </c>
      <c r="X7" s="298">
        <f>Tableau1[[#This Row],[Coût Abonnement offre]]+Tableau1[[#This Row],[Coût Abonnement Chassis]]+Tableau1[[#This Row],[Cout Cartes interface ]]+Tableau1[[#This Row],[Cout canaux voix supplémentaire]]</f>
        <v>4260</v>
      </c>
      <c r="Y7" s="299">
        <v>0</v>
      </c>
      <c r="Z7" s="298">
        <f>Tableau1[[#This Row],[Cout Cartes interface ]]+Tableau1[[#This Row],[Coût Abonnement Chassis]]+Tableau1[[#This Row],[Coût Abonnement offre]]</f>
        <v>3918</v>
      </c>
    </row>
    <row r="8" spans="1:26" s="238" customFormat="1" ht="15" customHeight="1" x14ac:dyDescent="0.3">
      <c r="A8" s="295" t="s">
        <v>2752</v>
      </c>
      <c r="B8" s="295"/>
      <c r="C8" s="295"/>
      <c r="D8" s="295"/>
      <c r="E8" s="296" t="s">
        <v>2753</v>
      </c>
      <c r="F8" s="296" t="s">
        <v>2754</v>
      </c>
      <c r="G8" s="296"/>
      <c r="H8" s="295" t="s">
        <v>2748</v>
      </c>
      <c r="I8" s="295"/>
      <c r="J8" s="295"/>
      <c r="K8" s="295"/>
      <c r="L8" s="295"/>
      <c r="M8" s="295"/>
      <c r="N8" s="295"/>
      <c r="O8" s="295"/>
      <c r="P8" s="297">
        <v>0</v>
      </c>
      <c r="Q8" s="297">
        <v>0</v>
      </c>
      <c r="R8" s="297">
        <v>0</v>
      </c>
      <c r="S8" s="297">
        <v>0</v>
      </c>
      <c r="T8" s="298">
        <v>1149</v>
      </c>
      <c r="U8" s="298">
        <v>44</v>
      </c>
      <c r="V8" s="298">
        <v>32</v>
      </c>
      <c r="W8" s="298">
        <v>0</v>
      </c>
      <c r="X8" s="298">
        <f>Tableau1[[#This Row],[Coût Abonnement offre]]+Tableau1[[#This Row],[Coût Abonnement Chassis]]+Tableau1[[#This Row],[Cout Cartes interface ]]+Tableau1[[#This Row],[Cout canaux voix supplémentaire]]</f>
        <v>4260</v>
      </c>
      <c r="Y8" s="299">
        <v>0</v>
      </c>
      <c r="Z8" s="298">
        <f>Tableau1[[#This Row],[Cout Cartes interface ]]+Tableau1[[#This Row],[Coût Abonnement Chassis]]+Tableau1[[#This Row],[Coût Abonnement offre]]</f>
        <v>3918</v>
      </c>
    </row>
    <row r="9" spans="1:26" s="238" customFormat="1" ht="15" customHeight="1" x14ac:dyDescent="0.3">
      <c r="A9" s="295" t="s">
        <v>2743</v>
      </c>
      <c r="B9" s="295"/>
      <c r="C9" s="295"/>
      <c r="D9" s="295"/>
      <c r="E9" s="296" t="s">
        <v>2755</v>
      </c>
      <c r="F9" s="296" t="s">
        <v>2756</v>
      </c>
      <c r="G9" s="296"/>
      <c r="H9" s="295" t="s">
        <v>2757</v>
      </c>
      <c r="I9" s="295"/>
      <c r="J9" s="295"/>
      <c r="K9" s="295"/>
      <c r="L9" s="295"/>
      <c r="M9" s="295"/>
      <c r="N9" s="295"/>
      <c r="O9" s="295"/>
      <c r="P9" s="297">
        <v>0</v>
      </c>
      <c r="Q9" s="297">
        <v>0</v>
      </c>
      <c r="R9" s="297">
        <v>0</v>
      </c>
      <c r="S9" s="297">
        <v>0</v>
      </c>
      <c r="T9" s="298">
        <v>356</v>
      </c>
      <c r="U9" s="298">
        <v>12</v>
      </c>
      <c r="V9" s="298">
        <v>0</v>
      </c>
      <c r="W9" s="298">
        <v>0</v>
      </c>
      <c r="X9" s="298">
        <f>Tableau1[[#This Row],[Coût Abonnement offre]]+Tableau1[[#This Row],[Coût Abonnement Chassis]]+Tableau1[[#This Row],[Cout Cartes interface ]]+Tableau1[[#This Row],[Cout canaux voix supplémentaire]]</f>
        <v>1616.4564263010345</v>
      </c>
      <c r="Y9" s="299">
        <v>0</v>
      </c>
      <c r="Z9" s="298">
        <f>Tableau1[[#This Row],[Cout Cartes interface ]]+Tableau1[[#This Row],[Coût Abonnement Chassis]]+Tableau1[[#This Row],[Coût Abonnement offre]]</f>
        <v>1580.4564263010345</v>
      </c>
    </row>
    <row r="10" spans="1:26" s="238" customFormat="1" ht="15" customHeight="1" x14ac:dyDescent="0.3">
      <c r="A10" s="295" t="s">
        <v>2758</v>
      </c>
      <c r="B10" s="295"/>
      <c r="C10" s="295"/>
      <c r="D10" s="295"/>
      <c r="E10" s="296" t="s">
        <v>2759</v>
      </c>
      <c r="F10" s="296" t="s">
        <v>2760</v>
      </c>
      <c r="G10" s="296"/>
      <c r="H10" s="295" t="s">
        <v>2748</v>
      </c>
      <c r="I10" s="295"/>
      <c r="J10" s="295"/>
      <c r="K10" s="295"/>
      <c r="L10" s="295"/>
      <c r="M10" s="295"/>
      <c r="N10" s="295"/>
      <c r="O10" s="295"/>
      <c r="P10" s="297">
        <v>0</v>
      </c>
      <c r="Q10" s="297">
        <v>0</v>
      </c>
      <c r="R10" s="297">
        <v>0</v>
      </c>
      <c r="S10" s="297">
        <v>0</v>
      </c>
      <c r="T10" s="298">
        <v>1149</v>
      </c>
      <c r="U10" s="298">
        <v>44</v>
      </c>
      <c r="V10" s="298">
        <v>40</v>
      </c>
      <c r="W10" s="298">
        <v>5</v>
      </c>
      <c r="X10" s="298">
        <f>Tableau1[[#This Row],[Coût Abonnement offre]]+Tableau1[[#This Row],[Coût Abonnement Chassis]]+Tableau1[[#This Row],[Cout Cartes interface ]]+Tableau1[[#This Row],[Cout canaux voix supplémentaire]]</f>
        <v>1116.6564263010346</v>
      </c>
      <c r="Y10" s="299">
        <v>0</v>
      </c>
      <c r="Z10" s="298">
        <f>Tableau1[[#This Row],[Cout Cartes interface ]]+Tableau1[[#This Row],[Coût Abonnement Chassis]]+Tableau1[[#This Row],[Coût Abonnement offre]]</f>
        <v>1111.2564263010345</v>
      </c>
    </row>
    <row r="11" spans="1:26" s="238" customFormat="1" ht="15" customHeight="1" x14ac:dyDescent="0.3">
      <c r="A11" s="295" t="s">
        <v>2752</v>
      </c>
      <c r="B11" s="295"/>
      <c r="C11" s="295"/>
      <c r="D11" s="295"/>
      <c r="E11" s="296" t="s">
        <v>2761</v>
      </c>
      <c r="F11" s="296" t="s">
        <v>2762</v>
      </c>
      <c r="G11" s="296"/>
      <c r="H11" s="295" t="s">
        <v>2763</v>
      </c>
      <c r="I11" s="295"/>
      <c r="J11" s="295"/>
      <c r="K11" s="295"/>
      <c r="L11" s="295"/>
      <c r="M11" s="295"/>
      <c r="N11" s="295"/>
      <c r="O11" s="295"/>
      <c r="P11" s="297">
        <v>0</v>
      </c>
      <c r="Q11" s="297">
        <v>0</v>
      </c>
      <c r="R11" s="297">
        <v>0</v>
      </c>
      <c r="S11" s="297">
        <v>0</v>
      </c>
      <c r="T11" s="298">
        <v>1665</v>
      </c>
      <c r="U11" s="298">
        <v>239</v>
      </c>
      <c r="V11" s="298">
        <v>104</v>
      </c>
      <c r="W11" s="298">
        <v>171</v>
      </c>
      <c r="X11" s="298">
        <f>Tableau1[[#This Row],[Coût Abonnement offre]]+Tableau1[[#This Row],[Coût Abonnement Chassis]]+Tableau1[[#This Row],[Cout Cartes interface ]]+Tableau1[[#This Row],[Cout canaux voix supplémentaire]]</f>
        <v>585</v>
      </c>
      <c r="Y11" s="299">
        <v>0</v>
      </c>
      <c r="Z11" s="298">
        <f>Tableau1[[#This Row],[Cout Cartes interface ]]+Tableau1[[#This Row],[Coût Abonnement Chassis]]+Tableau1[[#This Row],[Coût Abonnement offre]]</f>
        <v>580</v>
      </c>
    </row>
    <row r="12" spans="1:26" s="238" customFormat="1" ht="15" customHeight="1" x14ac:dyDescent="0.3">
      <c r="A12" s="295" t="s">
        <v>2758</v>
      </c>
      <c r="B12" s="295"/>
      <c r="C12" s="295"/>
      <c r="D12" s="295"/>
      <c r="E12" s="296" t="s">
        <v>2764</v>
      </c>
      <c r="F12" s="296" t="s">
        <v>1446</v>
      </c>
      <c r="G12" s="296"/>
      <c r="H12" s="295" t="s">
        <v>2765</v>
      </c>
      <c r="I12" s="295"/>
      <c r="J12" s="295"/>
      <c r="K12" s="295"/>
      <c r="L12" s="295"/>
      <c r="M12" s="295"/>
      <c r="N12" s="295"/>
      <c r="O12" s="295"/>
      <c r="P12" s="297">
        <v>0</v>
      </c>
      <c r="Q12" s="297"/>
      <c r="R12" s="297">
        <v>0</v>
      </c>
      <c r="S12" s="297">
        <v>0</v>
      </c>
      <c r="T12" s="298">
        <v>1249</v>
      </c>
      <c r="U12" s="298">
        <v>71</v>
      </c>
      <c r="V12" s="298">
        <v>16</v>
      </c>
      <c r="W12" s="298">
        <v>0</v>
      </c>
      <c r="X12" s="298">
        <f>Tableau1[[#This Row],[Coût Abonnement offre]]+Tableau1[[#This Row],[Coût Abonnement Chassis]]+Tableau1[[#This Row],[Cout Cartes interface ]]+Tableau1[[#This Row],[Cout canaux voix supplémentaire]]</f>
        <v>1956.8564263010346</v>
      </c>
      <c r="Y12" s="299">
        <v>0</v>
      </c>
      <c r="Z12" s="298">
        <f>Tableau1[[#This Row],[Cout Cartes interface ]]+Tableau1[[#This Row],[Coût Abonnement Chassis]]+Tableau1[[#This Row],[Coût Abonnement offre]]</f>
        <v>1848.8564263010346</v>
      </c>
    </row>
    <row r="13" spans="1:26" s="238" customFormat="1" ht="15" customHeight="1" x14ac:dyDescent="0.3">
      <c r="A13" s="295" t="s">
        <v>2735</v>
      </c>
      <c r="B13" s="295"/>
      <c r="C13" s="295"/>
      <c r="D13" s="295"/>
      <c r="E13" s="296" t="s">
        <v>2766</v>
      </c>
      <c r="F13" s="296" t="s">
        <v>2767</v>
      </c>
      <c r="G13" s="296"/>
      <c r="H13" s="295" t="s">
        <v>2768</v>
      </c>
      <c r="I13" s="295"/>
      <c r="J13" s="295"/>
      <c r="K13" s="295"/>
      <c r="L13" s="295"/>
      <c r="M13" s="295"/>
      <c r="N13" s="295"/>
      <c r="O13" s="295"/>
      <c r="P13" s="297">
        <v>0</v>
      </c>
      <c r="Q13" s="297">
        <v>0</v>
      </c>
      <c r="R13" s="297">
        <v>0</v>
      </c>
      <c r="S13" s="297">
        <v>0</v>
      </c>
      <c r="T13" s="298">
        <v>979</v>
      </c>
      <c r="U13" s="298">
        <v>44</v>
      </c>
      <c r="V13" s="298">
        <v>32</v>
      </c>
      <c r="W13" s="298">
        <v>5</v>
      </c>
      <c r="X13" s="298">
        <f>Tableau1[[#This Row],[Coût Abonnement offre]]+Tableau1[[#This Row],[Coût Abonnement Chassis]]+Tableau1[[#This Row],[Cout Cartes interface ]]+Tableau1[[#This Row],[Cout canaux voix supplémentaire]]</f>
        <v>1592.4564263010345</v>
      </c>
      <c r="Y13" s="299">
        <v>0</v>
      </c>
      <c r="Z13" s="298">
        <f>Tableau1[[#This Row],[Cout Cartes interface ]]+Tableau1[[#This Row],[Coût Abonnement Chassis]]+Tableau1[[#This Row],[Coût Abonnement offre]]</f>
        <v>1556.4564263010345</v>
      </c>
    </row>
    <row r="14" spans="1:26" s="238" customFormat="1" ht="15" customHeight="1" x14ac:dyDescent="0.3">
      <c r="A14" s="295" t="s">
        <v>2735</v>
      </c>
      <c r="B14" s="295"/>
      <c r="C14" s="295"/>
      <c r="D14" s="295"/>
      <c r="E14" s="296" t="s">
        <v>2769</v>
      </c>
      <c r="F14" s="296" t="s">
        <v>2770</v>
      </c>
      <c r="G14" s="296"/>
      <c r="H14" s="295" t="s">
        <v>2771</v>
      </c>
      <c r="I14" s="295"/>
      <c r="J14" s="295"/>
      <c r="K14" s="295"/>
      <c r="L14" s="295"/>
      <c r="M14" s="295"/>
      <c r="N14" s="295"/>
      <c r="O14" s="295"/>
      <c r="P14" s="297">
        <v>0</v>
      </c>
      <c r="Q14" s="297">
        <v>0</v>
      </c>
      <c r="R14" s="297">
        <v>0</v>
      </c>
      <c r="S14" s="297">
        <v>0</v>
      </c>
      <c r="T14" s="298">
        <v>1995</v>
      </c>
      <c r="U14" s="298">
        <v>239</v>
      </c>
      <c r="V14" s="298">
        <v>32</v>
      </c>
      <c r="W14" s="298">
        <v>108</v>
      </c>
      <c r="X14" s="298">
        <f>Tableau1[[#This Row],[Coût Abonnement offre]]+Tableau1[[#This Row],[Coût Abonnement Chassis]]+Tableau1[[#This Row],[Cout Cartes interface ]]+Tableau1[[#This Row],[Cout canaux voix supplémentaire]]</f>
        <v>1601</v>
      </c>
      <c r="Y14" s="299">
        <v>66</v>
      </c>
      <c r="Z14" s="298">
        <f>Tableau1[[#This Row],[Cout Cartes interface ]]+Tableau1[[#This Row],[Coût Abonnement Chassis]]+Tableau1[[#This Row],[Coût Abonnement offre]]</f>
        <v>1565</v>
      </c>
    </row>
    <row r="15" spans="1:26" s="238" customFormat="1" ht="15" customHeight="1" x14ac:dyDescent="0.3">
      <c r="A15" s="295" t="s">
        <v>2758</v>
      </c>
      <c r="B15" s="295"/>
      <c r="C15" s="295"/>
      <c r="D15" s="295"/>
      <c r="E15" s="296" t="s">
        <v>2772</v>
      </c>
      <c r="F15" s="296" t="s">
        <v>2773</v>
      </c>
      <c r="G15" s="296"/>
      <c r="H15" s="295" t="s">
        <v>2757</v>
      </c>
      <c r="I15" s="295"/>
      <c r="J15" s="295"/>
      <c r="K15" s="295"/>
      <c r="L15" s="295"/>
      <c r="M15" s="295"/>
      <c r="N15" s="295"/>
      <c r="O15" s="295"/>
      <c r="P15" s="297">
        <v>0</v>
      </c>
      <c r="Q15" s="297">
        <v>0</v>
      </c>
      <c r="R15" s="297">
        <v>0</v>
      </c>
      <c r="S15" s="297">
        <v>0</v>
      </c>
      <c r="T15" s="298">
        <v>356</v>
      </c>
      <c r="U15" s="298">
        <v>12</v>
      </c>
      <c r="V15" s="298">
        <v>0</v>
      </c>
      <c r="W15" s="298">
        <v>27</v>
      </c>
      <c r="X15" s="298">
        <f>Tableau1[[#This Row],[Coût Abonnement offre]]+Tableau1[[#This Row],[Coût Abonnement Chassis]]+Tableau1[[#This Row],[Cout Cartes interface ]]+Tableau1[[#This Row],[Cout canaux voix supplémentaire]]</f>
        <v>1573.8564263010346</v>
      </c>
      <c r="Y15" s="299">
        <v>0</v>
      </c>
      <c r="Z15" s="298">
        <f>Tableau1[[#This Row],[Cout Cartes interface ]]+Tableau1[[#This Row],[Coût Abonnement Chassis]]+Tableau1[[#This Row],[Coût Abonnement offre]]</f>
        <v>1537.8564263010346</v>
      </c>
    </row>
    <row r="16" spans="1:26" s="238" customFormat="1" ht="15" customHeight="1" x14ac:dyDescent="0.3">
      <c r="A16" s="295" t="s">
        <v>2743</v>
      </c>
      <c r="B16" s="295"/>
      <c r="C16" s="295"/>
      <c r="D16" s="295"/>
      <c r="E16" s="296" t="s">
        <v>2774</v>
      </c>
      <c r="F16" s="296" t="s">
        <v>1281</v>
      </c>
      <c r="G16" s="296"/>
      <c r="H16" s="295" t="s">
        <v>2745</v>
      </c>
      <c r="I16" s="295"/>
      <c r="J16" s="295"/>
      <c r="K16" s="295"/>
      <c r="L16" s="295"/>
      <c r="M16" s="295"/>
      <c r="N16" s="295"/>
      <c r="O16" s="295"/>
      <c r="P16" s="297">
        <v>0</v>
      </c>
      <c r="Q16" s="297">
        <v>0</v>
      </c>
      <c r="R16" s="297">
        <v>0</v>
      </c>
      <c r="S16" s="297">
        <v>0</v>
      </c>
      <c r="T16" s="298">
        <v>1628</v>
      </c>
      <c r="U16" s="298">
        <v>239</v>
      </c>
      <c r="V16" s="298">
        <v>0</v>
      </c>
      <c r="W16" s="298">
        <v>108</v>
      </c>
      <c r="X16" s="298">
        <f>Tableau1[[#This Row],[Coût Abonnement offre]]+Tableau1[[#This Row],[Coût Abonnement Chassis]]+Tableau1[[#This Row],[Cout Cartes interface ]]+Tableau1[[#This Row],[Cout canaux voix supplémentaire]]</f>
        <v>1238</v>
      </c>
      <c r="Y16" s="299">
        <v>66</v>
      </c>
      <c r="Z16" s="298">
        <f>Tableau1[[#This Row],[Cout Cartes interface ]]+Tableau1[[#This Row],[Coût Abonnement Chassis]]+Tableau1[[#This Row],[Coût Abonnement offre]]</f>
        <v>1233</v>
      </c>
    </row>
    <row r="17" spans="1:26" s="238" customFormat="1" ht="15" customHeight="1" x14ac:dyDescent="0.3">
      <c r="A17" s="295" t="s">
        <v>2743</v>
      </c>
      <c r="B17" s="295"/>
      <c r="C17" s="295"/>
      <c r="D17" s="295"/>
      <c r="E17" s="296" t="s">
        <v>2775</v>
      </c>
      <c r="F17" s="296" t="s">
        <v>2776</v>
      </c>
      <c r="G17" s="296"/>
      <c r="H17" s="295" t="s">
        <v>2777</v>
      </c>
      <c r="I17" s="295"/>
      <c r="J17" s="295"/>
      <c r="K17" s="295"/>
      <c r="L17" s="295"/>
      <c r="M17" s="295"/>
      <c r="N17" s="295"/>
      <c r="O17" s="295"/>
      <c r="P17" s="297">
        <v>0</v>
      </c>
      <c r="Q17" s="297">
        <v>0</v>
      </c>
      <c r="R17" s="297">
        <v>0</v>
      </c>
      <c r="S17" s="297">
        <v>0</v>
      </c>
      <c r="T17" s="298">
        <v>675</v>
      </c>
      <c r="U17" s="298">
        <v>22</v>
      </c>
      <c r="V17" s="298">
        <v>16</v>
      </c>
      <c r="W17" s="298">
        <v>0</v>
      </c>
      <c r="X17" s="298">
        <f>Tableau1[[#This Row],[Coût Abonnement offre]]+Tableau1[[#This Row],[Coût Abonnement Chassis]]+Tableau1[[#This Row],[Cout Cartes interface ]]+Tableau1[[#This Row],[Cout canaux voix supplémentaire]]</f>
        <v>745</v>
      </c>
      <c r="Y17" s="299">
        <v>0</v>
      </c>
      <c r="Z17" s="298">
        <f>Tableau1[[#This Row],[Cout Cartes interface ]]+Tableau1[[#This Row],[Coût Abonnement Chassis]]+Tableau1[[#This Row],[Coût Abonnement offre]]</f>
        <v>745</v>
      </c>
    </row>
    <row r="18" spans="1:26" s="238" customFormat="1" ht="15" customHeight="1" x14ac:dyDescent="0.3">
      <c r="A18" s="295" t="s">
        <v>2739</v>
      </c>
      <c r="B18" s="295"/>
      <c r="C18" s="295"/>
      <c r="D18" s="295"/>
      <c r="E18" s="296" t="s">
        <v>2778</v>
      </c>
      <c r="F18" s="296" t="s">
        <v>2779</v>
      </c>
      <c r="G18" s="296"/>
      <c r="H18" s="295" t="s">
        <v>2751</v>
      </c>
      <c r="I18" s="295"/>
      <c r="J18" s="295"/>
      <c r="K18" s="295"/>
      <c r="L18" s="295"/>
      <c r="M18" s="295"/>
      <c r="N18" s="295"/>
      <c r="O18" s="295"/>
      <c r="P18" s="297">
        <v>0</v>
      </c>
      <c r="Q18" s="297">
        <v>0</v>
      </c>
      <c r="R18" s="297">
        <v>0</v>
      </c>
      <c r="S18" s="297">
        <v>0</v>
      </c>
      <c r="T18" s="298">
        <v>568</v>
      </c>
      <c r="U18" s="298">
        <v>22</v>
      </c>
      <c r="V18" s="298">
        <v>20</v>
      </c>
      <c r="W18" s="298">
        <v>6</v>
      </c>
      <c r="X18" s="298">
        <f>Tableau1[[#This Row],[Coût Abonnement offre]]+Tableau1[[#This Row],[Coût Abonnement Chassis]]+Tableau1[[#This Row],[Cout Cartes interface ]]+Tableau1[[#This Row],[Cout canaux voix supplémentaire]]</f>
        <v>1318</v>
      </c>
      <c r="Y18" s="299">
        <v>0</v>
      </c>
      <c r="Z18" s="298">
        <f>Tableau1[[#This Row],[Cout Cartes interface ]]+Tableau1[[#This Row],[Coût Abonnement Chassis]]+Tableau1[[#This Row],[Coût Abonnement offre]]</f>
        <v>1313</v>
      </c>
    </row>
    <row r="19" spans="1:26" s="238" customFormat="1" ht="15" customHeight="1" x14ac:dyDescent="0.3">
      <c r="A19" s="295" t="s">
        <v>2743</v>
      </c>
      <c r="B19" s="295"/>
      <c r="C19" s="295"/>
      <c r="D19" s="295"/>
      <c r="E19" s="296" t="s">
        <v>2780</v>
      </c>
      <c r="F19" s="296" t="s">
        <v>2781</v>
      </c>
      <c r="G19" s="296"/>
      <c r="H19" s="295" t="s">
        <v>2748</v>
      </c>
      <c r="I19" s="295"/>
      <c r="J19" s="295"/>
      <c r="K19" s="295"/>
      <c r="L19" s="295"/>
      <c r="M19" s="295"/>
      <c r="N19" s="295"/>
      <c r="O19" s="295"/>
      <c r="P19" s="297">
        <v>0</v>
      </c>
      <c r="Q19" s="297">
        <v>0</v>
      </c>
      <c r="R19" s="297">
        <v>0</v>
      </c>
      <c r="S19" s="297">
        <v>0</v>
      </c>
      <c r="T19" s="298">
        <v>1149</v>
      </c>
      <c r="U19" s="298">
        <v>44</v>
      </c>
      <c r="V19" s="298">
        <v>32</v>
      </c>
      <c r="W19" s="298">
        <v>0</v>
      </c>
      <c r="X19" s="298">
        <f>Tableau1[[#This Row],[Coût Abonnement offre]]+Tableau1[[#This Row],[Coût Abonnement Chassis]]+Tableau1[[#This Row],[Cout Cartes interface ]]+Tableau1[[#This Row],[Cout canaux voix supplémentaire]]</f>
        <v>959</v>
      </c>
      <c r="Y19" s="299">
        <v>0</v>
      </c>
      <c r="Z19" s="298">
        <f>Tableau1[[#This Row],[Cout Cartes interface ]]+Tableau1[[#This Row],[Coût Abonnement Chassis]]+Tableau1[[#This Row],[Coût Abonnement offre]]</f>
        <v>923</v>
      </c>
    </row>
    <row r="20" spans="1:26" s="238" customFormat="1" ht="15" customHeight="1" x14ac:dyDescent="0.3">
      <c r="A20" s="295" t="s">
        <v>2758</v>
      </c>
      <c r="B20" s="295"/>
      <c r="C20" s="295"/>
      <c r="D20" s="295"/>
      <c r="E20" s="296" t="s">
        <v>2782</v>
      </c>
      <c r="F20" s="296" t="s">
        <v>2783</v>
      </c>
      <c r="G20" s="296"/>
      <c r="H20" s="295" t="s">
        <v>2784</v>
      </c>
      <c r="I20" s="295"/>
      <c r="J20" s="295"/>
      <c r="K20" s="295"/>
      <c r="L20" s="295"/>
      <c r="M20" s="295"/>
      <c r="N20" s="295"/>
      <c r="O20" s="295"/>
      <c r="P20" s="297">
        <v>0</v>
      </c>
      <c r="Q20" s="297">
        <v>0</v>
      </c>
      <c r="R20" s="297">
        <v>0</v>
      </c>
      <c r="S20" s="297">
        <v>0</v>
      </c>
      <c r="T20" s="298">
        <v>1454</v>
      </c>
      <c r="U20" s="298">
        <v>95</v>
      </c>
      <c r="V20" s="298">
        <v>72</v>
      </c>
      <c r="W20" s="298">
        <v>36</v>
      </c>
      <c r="X20" s="298">
        <f>Tableau1[[#This Row],[Coût Abonnement offre]]+Tableau1[[#This Row],[Coût Abonnement Chassis]]+Tableau1[[#This Row],[Cout Cartes interface ]]+Tableau1[[#This Row],[Cout canaux voix supplémentaire]]</f>
        <v>1431</v>
      </c>
      <c r="Y20" s="299">
        <v>66</v>
      </c>
      <c r="Z20" s="298">
        <f>Tableau1[[#This Row],[Cout Cartes interface ]]+Tableau1[[#This Row],[Coût Abonnement Chassis]]+Tableau1[[#This Row],[Coût Abonnement offre]]</f>
        <v>1426</v>
      </c>
    </row>
    <row r="21" spans="1:26" s="238" customFormat="1" ht="15" customHeight="1" x14ac:dyDescent="0.3">
      <c r="A21" s="295" t="s">
        <v>2785</v>
      </c>
      <c r="B21" s="295"/>
      <c r="C21" s="295"/>
      <c r="D21" s="295"/>
      <c r="E21" s="296" t="s">
        <v>2786</v>
      </c>
      <c r="F21" s="296" t="s">
        <v>2787</v>
      </c>
      <c r="G21" s="296"/>
      <c r="H21" s="295" t="s">
        <v>2788</v>
      </c>
      <c r="I21" s="295"/>
      <c r="J21" s="295"/>
      <c r="K21" s="295"/>
      <c r="L21" s="295"/>
      <c r="M21" s="295"/>
      <c r="N21" s="295"/>
      <c r="O21" s="295"/>
      <c r="P21" s="297">
        <v>0</v>
      </c>
      <c r="Q21" s="297">
        <v>0</v>
      </c>
      <c r="R21" s="297">
        <v>0</v>
      </c>
      <c r="S21" s="297">
        <v>0</v>
      </c>
      <c r="T21" s="298">
        <v>344</v>
      </c>
      <c r="U21" s="298">
        <v>12</v>
      </c>
      <c r="V21" s="298">
        <v>18</v>
      </c>
      <c r="W21" s="298">
        <v>0</v>
      </c>
      <c r="X21" s="298">
        <f>Tableau1[[#This Row],[Coût Abonnement offre]]+Tableau1[[#This Row],[Coût Abonnement Chassis]]+Tableau1[[#This Row],[Cout Cartes interface ]]+Tableau1[[#This Row],[Cout canaux voix supplémentaire]]</f>
        <v>1377</v>
      </c>
      <c r="Y21" s="299">
        <v>0</v>
      </c>
      <c r="Z21" s="298">
        <f>Tableau1[[#This Row],[Cout Cartes interface ]]+Tableau1[[#This Row],[Coût Abonnement Chassis]]+Tableau1[[#This Row],[Coût Abonnement offre]]</f>
        <v>1372</v>
      </c>
    </row>
    <row r="22" spans="1:26" s="238" customFormat="1" ht="15" customHeight="1" x14ac:dyDescent="0.3">
      <c r="A22" s="295" t="s">
        <v>2739</v>
      </c>
      <c r="B22" s="295"/>
      <c r="C22" s="295"/>
      <c r="D22" s="295"/>
      <c r="E22" s="296" t="s">
        <v>2789</v>
      </c>
      <c r="F22" s="296" t="s">
        <v>2790</v>
      </c>
      <c r="G22" s="296"/>
      <c r="H22" s="295" t="s">
        <v>2791</v>
      </c>
      <c r="I22" s="295"/>
      <c r="J22" s="295"/>
      <c r="K22" s="295"/>
      <c r="L22" s="295"/>
      <c r="M22" s="295"/>
      <c r="N22" s="295"/>
      <c r="O22" s="295"/>
      <c r="P22" s="297">
        <v>2944</v>
      </c>
      <c r="Q22" s="297">
        <v>0</v>
      </c>
      <c r="R22" s="297">
        <v>0</v>
      </c>
      <c r="S22" s="297">
        <v>0</v>
      </c>
      <c r="T22" s="298">
        <v>3152</v>
      </c>
      <c r="U22" s="298">
        <v>95</v>
      </c>
      <c r="V22" s="298">
        <v>40</v>
      </c>
      <c r="W22" s="298">
        <v>36</v>
      </c>
      <c r="X22" s="298">
        <f>Tableau1[[#This Row],[Coût Abonnement offre]]+Tableau1[[#This Row],[Coût Abonnement Chassis]]+Tableau1[[#This Row],[Cout Cartes interface ]]+Tableau1[[#This Row],[Cout canaux voix supplémentaire]]</f>
        <v>503</v>
      </c>
      <c r="Y22" s="299">
        <v>66</v>
      </c>
      <c r="Z22" s="298">
        <f>Tableau1[[#This Row],[Cout Cartes interface ]]+Tableau1[[#This Row],[Coût Abonnement Chassis]]+Tableau1[[#This Row],[Coût Abonnement offre]]</f>
        <v>503</v>
      </c>
    </row>
    <row r="23" spans="1:26" s="238" customFormat="1" ht="15" customHeight="1" x14ac:dyDescent="0.3">
      <c r="A23" s="295" t="s">
        <v>2735</v>
      </c>
      <c r="B23" s="295"/>
      <c r="C23" s="295"/>
      <c r="D23" s="295"/>
      <c r="E23" s="296" t="s">
        <v>2912</v>
      </c>
      <c r="F23" s="296" t="s">
        <v>635</v>
      </c>
      <c r="G23" s="296" t="s">
        <v>2841</v>
      </c>
      <c r="H23" s="295" t="s">
        <v>2841</v>
      </c>
      <c r="I23" s="295" t="s">
        <v>165</v>
      </c>
      <c r="J23" s="295" t="s">
        <v>481</v>
      </c>
      <c r="K23" s="295"/>
      <c r="L23" s="295">
        <v>600</v>
      </c>
      <c r="M23" s="295">
        <v>1200</v>
      </c>
      <c r="N23" s="295">
        <v>1</v>
      </c>
      <c r="O23" s="295" t="s">
        <v>76</v>
      </c>
      <c r="P23" s="297">
        <v>0</v>
      </c>
      <c r="Q23" s="297">
        <v>0</v>
      </c>
      <c r="R23" s="297">
        <v>0</v>
      </c>
      <c r="S23" s="297">
        <v>0</v>
      </c>
      <c r="T23" s="298">
        <v>5101</v>
      </c>
      <c r="U23" s="298">
        <v>95</v>
      </c>
      <c r="V23" s="298">
        <v>36</v>
      </c>
      <c r="W23" s="298">
        <v>108</v>
      </c>
      <c r="X23" s="298">
        <v>5340</v>
      </c>
      <c r="Y23" s="299">
        <v>36</v>
      </c>
      <c r="Z23" s="298">
        <v>36</v>
      </c>
    </row>
    <row r="24" spans="1:26" s="250" customFormat="1" ht="15" customHeight="1" x14ac:dyDescent="0.3">
      <c r="A24" s="300" t="s">
        <v>2735</v>
      </c>
      <c r="B24" s="300"/>
      <c r="C24" s="300"/>
      <c r="D24" s="300"/>
      <c r="E24" s="300" t="s">
        <v>3045</v>
      </c>
      <c r="F24" s="300" t="s">
        <v>857</v>
      </c>
      <c r="G24" s="301" t="s">
        <v>2800</v>
      </c>
      <c r="H24" s="300" t="s">
        <v>2874</v>
      </c>
      <c r="I24" s="300"/>
      <c r="J24" s="300" t="str">
        <f>_xlfn.XLOOKUP(Tableau1[[#This Row],[Code PAS]],'[13]Parc Satin'!$L:$L,'[13]Parc Satin'!$CK:$CK,0,0)</f>
        <v>Nominal C2E Fibre Secours C2E Fibre</v>
      </c>
      <c r="K24" s="300"/>
      <c r="L24" s="300"/>
      <c r="M24" s="300"/>
      <c r="N24" s="300"/>
      <c r="O24" s="300"/>
      <c r="P24" s="302">
        <v>0</v>
      </c>
      <c r="Q24" s="302">
        <v>0</v>
      </c>
      <c r="R24" s="302">
        <v>0</v>
      </c>
      <c r="S24" s="302">
        <v>0</v>
      </c>
      <c r="T24" s="303">
        <v>285</v>
      </c>
      <c r="U24" s="304">
        <v>27</v>
      </c>
      <c r="V24" s="304">
        <v>0</v>
      </c>
      <c r="W24" s="304">
        <v>0</v>
      </c>
      <c r="X24" s="304">
        <f>Tableau1[[#This Row],[Coût Abonnement offre]]+Tableau1[[#This Row],[Coût Abonnement Chassis]]+Tableau1[[#This Row],[Cout Cartes interface ]]+Tableau1[[#This Row],[Cout canaux voix supplémentaire]]</f>
        <v>1318</v>
      </c>
      <c r="Y24" s="305">
        <v>0</v>
      </c>
      <c r="Z24" s="304">
        <f>Tableau1[[#This Row],[Cout Cartes interface ]]+Tableau1[[#This Row],[Coût Abonnement Chassis]]+Tableau1[[#This Row],[Coût Abonnement offre]]</f>
        <v>1313</v>
      </c>
    </row>
  </sheetData>
  <mergeCells count="1">
    <mergeCell ref="P1:Y1"/>
  </mergeCells>
  <conditionalFormatting sqref="F1:F2">
    <cfRule type="duplicateValues" dxfId="60" priority="7"/>
  </conditionalFormatting>
  <conditionalFormatting sqref="F3:F23">
    <cfRule type="duplicateValues" dxfId="59" priority="21"/>
  </conditionalFormatting>
  <conditionalFormatting sqref="F24">
    <cfRule type="duplicateValues" dxfId="58" priority="1"/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1F066-B7E2-42F6-94CB-AE1D91A68298}">
  <sheetPr codeName="Feuil1"/>
  <dimension ref="A1:BA304"/>
  <sheetViews>
    <sheetView topLeftCell="G1" workbookViewId="0">
      <selection activeCell="K3" sqref="K3"/>
    </sheetView>
  </sheetViews>
  <sheetFormatPr defaultColWidth="9.109375" defaultRowHeight="14.4" x14ac:dyDescent="0.3"/>
  <cols>
    <col min="1" max="7" width="14.6640625" style="238" customWidth="1"/>
    <col min="8" max="8" width="24.44140625" style="238" customWidth="1"/>
    <col min="9" max="10" width="14.6640625" style="238" customWidth="1"/>
    <col min="11" max="11" width="22.88671875" style="238" customWidth="1"/>
    <col min="12" max="12" width="33.44140625" style="306" bestFit="1" customWidth="1"/>
    <col min="13" max="13" width="25.5546875" style="306" bestFit="1" customWidth="1"/>
    <col min="14" max="14" width="29.33203125" style="306" bestFit="1" customWidth="1"/>
    <col min="15" max="15" width="29.6640625" style="306" bestFit="1" customWidth="1"/>
    <col min="16" max="16" width="31.33203125" style="307" customWidth="1"/>
    <col min="17" max="17" width="22.44140625" style="307" bestFit="1" customWidth="1"/>
    <col min="18" max="18" width="30" style="307" bestFit="1" customWidth="1"/>
    <col min="19" max="19" width="30" style="307" customWidth="1"/>
    <col min="20" max="20" width="22.6640625" style="306" bestFit="1" customWidth="1"/>
    <col min="21" max="21" width="34.5546875" style="306" bestFit="1" customWidth="1"/>
    <col min="22" max="22" width="18.5546875" style="306" bestFit="1" customWidth="1"/>
    <col min="23" max="23" width="26.88671875" style="306" bestFit="1" customWidth="1"/>
    <col min="24" max="24" width="12.6640625" style="306" bestFit="1" customWidth="1"/>
    <col min="25" max="25" width="24.44140625" style="306" customWidth="1"/>
    <col min="26" max="26" width="24.6640625" style="306" bestFit="1" customWidth="1"/>
    <col min="27" max="27" width="39.6640625" style="306" bestFit="1" customWidth="1"/>
    <col min="28" max="28" width="26.44140625" style="306" bestFit="1" customWidth="1"/>
    <col min="29" max="29" width="14.5546875" style="306" bestFit="1" customWidth="1"/>
    <col min="30" max="30" width="20.5546875" style="306" bestFit="1" customWidth="1"/>
    <col min="31" max="31" width="16.109375" style="306" bestFit="1" customWidth="1"/>
    <col min="32" max="32" width="14.109375" style="306" bestFit="1" customWidth="1"/>
    <col min="33" max="33" width="12.88671875" style="306" bestFit="1" customWidth="1"/>
    <col min="34" max="34" width="14.44140625" style="306" bestFit="1" customWidth="1"/>
    <col min="35" max="35" width="22.44140625" style="306" bestFit="1" customWidth="1"/>
    <col min="36" max="36" width="24.109375" style="306" bestFit="1" customWidth="1"/>
    <col min="37" max="37" width="40.44140625" style="306" bestFit="1" customWidth="1"/>
    <col min="38" max="38" width="12.88671875" style="306" bestFit="1" customWidth="1"/>
    <col min="39" max="39" width="10.5546875" style="306" bestFit="1" customWidth="1"/>
    <col min="40" max="40" width="22.44140625" style="306" bestFit="1" customWidth="1"/>
    <col min="41" max="41" width="11" style="306" bestFit="1" customWidth="1"/>
    <col min="42" max="42" width="14.109375" style="306" bestFit="1" customWidth="1"/>
    <col min="43" max="43" width="15.109375" style="306" bestFit="1" customWidth="1"/>
    <col min="44" max="44" width="15.33203125" style="306" bestFit="1" customWidth="1"/>
    <col min="45" max="45" width="21" style="306" bestFit="1" customWidth="1"/>
    <col min="46" max="46" width="10.88671875" style="306" bestFit="1" customWidth="1"/>
    <col min="47" max="47" width="21.5546875" style="306" bestFit="1" customWidth="1"/>
    <col min="48" max="48" width="57" style="306" bestFit="1" customWidth="1"/>
    <col min="49" max="49" width="15.44140625" style="306" bestFit="1" customWidth="1"/>
    <col min="50" max="50" width="15.44140625" style="321" customWidth="1"/>
    <col min="51" max="51" width="35.5546875" style="306" bestFit="1" customWidth="1"/>
    <col min="52" max="52" width="33.5546875" style="306" customWidth="1"/>
    <col min="53" max="53" width="255.6640625" style="306" bestFit="1" customWidth="1"/>
    <col min="54" max="16384" width="9.109375" style="308"/>
  </cols>
  <sheetData>
    <row r="1" spans="1:53" ht="15" thickBot="1" x14ac:dyDescent="0.35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M1" s="327" t="s">
        <v>3757</v>
      </c>
      <c r="N1" s="327" t="s">
        <v>3758</v>
      </c>
      <c r="O1" s="327" t="s">
        <v>3759</v>
      </c>
      <c r="P1" s="328" t="s">
        <v>3760</v>
      </c>
      <c r="Q1" s="329" t="s">
        <v>3761</v>
      </c>
      <c r="T1" s="330" t="s">
        <v>3762</v>
      </c>
      <c r="U1" s="331"/>
      <c r="V1" s="331"/>
      <c r="W1" s="331"/>
      <c r="X1" s="331"/>
      <c r="Y1" s="331"/>
      <c r="Z1" s="331"/>
      <c r="AA1" s="331"/>
      <c r="AB1" s="331"/>
      <c r="AC1" s="331"/>
      <c r="AD1" s="331"/>
      <c r="AE1" s="331"/>
      <c r="AF1" s="331"/>
      <c r="AG1" s="331"/>
      <c r="AH1" s="331"/>
      <c r="AI1" s="331"/>
      <c r="AJ1" s="331"/>
      <c r="AK1" s="331"/>
      <c r="AL1" s="331"/>
      <c r="AM1" s="331"/>
      <c r="AN1" s="331"/>
      <c r="AO1" s="331"/>
      <c r="AP1" s="331"/>
      <c r="AQ1" s="332" t="s">
        <v>3791</v>
      </c>
      <c r="AR1" s="333" t="s">
        <v>3790</v>
      </c>
      <c r="AS1" s="334"/>
      <c r="AT1" s="334"/>
      <c r="AU1" s="334"/>
      <c r="AV1" s="334"/>
      <c r="AW1" s="335" t="s">
        <v>3792</v>
      </c>
      <c r="AY1" s="336" t="s">
        <v>3793</v>
      </c>
      <c r="AZ1" s="337"/>
      <c r="BA1" s="337"/>
    </row>
    <row r="2" spans="1:53" s="326" customFormat="1" ht="12" x14ac:dyDescent="0.3">
      <c r="A2" s="323" t="s">
        <v>0</v>
      </c>
      <c r="B2" s="323" t="s">
        <v>1</v>
      </c>
      <c r="C2" s="323" t="s">
        <v>2</v>
      </c>
      <c r="D2" s="323" t="s">
        <v>3</v>
      </c>
      <c r="E2" s="323" t="s">
        <v>4</v>
      </c>
      <c r="F2" s="323" t="s">
        <v>5</v>
      </c>
      <c r="G2" s="323" t="s">
        <v>6</v>
      </c>
      <c r="H2" s="323" t="s">
        <v>7</v>
      </c>
      <c r="I2" s="323" t="s">
        <v>8</v>
      </c>
      <c r="J2" s="323" t="s">
        <v>9</v>
      </c>
      <c r="K2" s="324" t="s">
        <v>10</v>
      </c>
      <c r="L2" s="37" t="s">
        <v>11</v>
      </c>
      <c r="M2" s="323" t="s">
        <v>12</v>
      </c>
      <c r="N2" s="323" t="s">
        <v>13</v>
      </c>
      <c r="O2" s="323" t="s">
        <v>14</v>
      </c>
      <c r="P2" s="324" t="s">
        <v>15</v>
      </c>
      <c r="Q2" s="324" t="s">
        <v>16</v>
      </c>
      <c r="R2" s="37" t="s">
        <v>17</v>
      </c>
      <c r="S2" s="37" t="s">
        <v>18</v>
      </c>
      <c r="T2" s="325" t="s">
        <v>19</v>
      </c>
      <c r="U2" s="325" t="s">
        <v>20</v>
      </c>
      <c r="V2" s="325" t="s">
        <v>21</v>
      </c>
      <c r="W2" s="325" t="s">
        <v>22</v>
      </c>
      <c r="X2" s="325" t="s">
        <v>23</v>
      </c>
      <c r="Y2" s="325" t="s">
        <v>24</v>
      </c>
      <c r="Z2" s="325" t="s">
        <v>25</v>
      </c>
      <c r="AA2" s="325" t="s">
        <v>26</v>
      </c>
      <c r="AB2" s="325" t="s">
        <v>27</v>
      </c>
      <c r="AC2" s="325" t="s">
        <v>28</v>
      </c>
      <c r="AD2" s="325" t="s">
        <v>29</v>
      </c>
      <c r="AE2" s="325" t="s">
        <v>30</v>
      </c>
      <c r="AF2" s="325" t="s">
        <v>31</v>
      </c>
      <c r="AG2" s="325" t="s">
        <v>32</v>
      </c>
      <c r="AH2" s="325" t="s">
        <v>33</v>
      </c>
      <c r="AI2" s="325" t="s">
        <v>34</v>
      </c>
      <c r="AJ2" s="325" t="s">
        <v>35</v>
      </c>
      <c r="AK2" s="325" t="s">
        <v>36</v>
      </c>
      <c r="AL2" s="325" t="s">
        <v>37</v>
      </c>
      <c r="AM2" s="325" t="s">
        <v>38</v>
      </c>
      <c r="AN2" s="325" t="s">
        <v>39</v>
      </c>
      <c r="AO2" s="325" t="s">
        <v>40</v>
      </c>
      <c r="AP2" s="325" t="s">
        <v>41</v>
      </c>
      <c r="AQ2" s="325" t="s">
        <v>42</v>
      </c>
      <c r="AR2" s="324" t="s">
        <v>43</v>
      </c>
      <c r="AS2" s="324" t="s">
        <v>44</v>
      </c>
      <c r="AT2" s="324" t="s">
        <v>45</v>
      </c>
      <c r="AU2" s="324" t="s">
        <v>46</v>
      </c>
      <c r="AV2" s="324" t="s">
        <v>47</v>
      </c>
      <c r="AW2" s="324" t="s">
        <v>48</v>
      </c>
      <c r="AX2" s="322" t="s">
        <v>49</v>
      </c>
      <c r="AY2" s="324" t="s">
        <v>50</v>
      </c>
      <c r="AZ2" s="324" t="s">
        <v>51</v>
      </c>
      <c r="BA2" s="324" t="s">
        <v>52</v>
      </c>
    </row>
    <row r="3" spans="1:53" s="326" customFormat="1" ht="18.149999999999999" customHeight="1" x14ac:dyDescent="0.3">
      <c r="A3" s="340" t="s">
        <v>53</v>
      </c>
      <c r="B3" s="340" t="s">
        <v>54</v>
      </c>
      <c r="C3" s="340" t="s">
        <v>55</v>
      </c>
      <c r="D3" s="340" t="s">
        <v>56</v>
      </c>
      <c r="E3" s="340" t="s">
        <v>57</v>
      </c>
      <c r="F3" s="340" t="s">
        <v>58</v>
      </c>
      <c r="G3" s="340" t="s">
        <v>59</v>
      </c>
      <c r="H3" s="340" t="s">
        <v>60</v>
      </c>
      <c r="I3" s="340" t="s">
        <v>61</v>
      </c>
      <c r="J3" s="340" t="s">
        <v>62</v>
      </c>
      <c r="K3" s="342" t="s">
        <v>63</v>
      </c>
      <c r="L3" s="345" t="str">
        <f>VLOOKUP(K3,'20260309 suivi sites'!F:F,1,0)</f>
        <v>92COLO011AOG</v>
      </c>
      <c r="M3" s="340" t="s">
        <v>64</v>
      </c>
      <c r="N3" s="340" t="s">
        <v>65</v>
      </c>
      <c r="O3" s="340" t="s">
        <v>64</v>
      </c>
      <c r="P3" s="341">
        <v>43318</v>
      </c>
      <c r="Q3" s="341">
        <v>45677</v>
      </c>
      <c r="R3" s="347" t="b">
        <f>Q3=P3</f>
        <v>0</v>
      </c>
      <c r="S3" s="347" t="str">
        <f t="shared" ref="S3:S66" si="0">IF(R3=FALSE,"change","création")</f>
        <v>change</v>
      </c>
      <c r="T3" s="342" t="s">
        <v>56</v>
      </c>
      <c r="U3" s="342" t="s">
        <v>66</v>
      </c>
      <c r="V3" s="342" t="s">
        <v>67</v>
      </c>
      <c r="W3" s="342" t="s">
        <v>68</v>
      </c>
      <c r="X3" s="342" t="s">
        <v>69</v>
      </c>
      <c r="Y3" s="349" t="s">
        <v>70</v>
      </c>
      <c r="Z3" s="342" t="s">
        <v>71</v>
      </c>
      <c r="AA3" s="342" t="s">
        <v>72</v>
      </c>
      <c r="AB3" s="342" t="s">
        <v>73</v>
      </c>
      <c r="AC3" s="342" t="s">
        <v>74</v>
      </c>
      <c r="AD3" s="342"/>
      <c r="AE3" s="342" t="s">
        <v>75</v>
      </c>
      <c r="AF3" s="349" t="s">
        <v>3763</v>
      </c>
      <c r="AG3" s="342" t="s">
        <v>74</v>
      </c>
      <c r="AH3" s="342" t="s">
        <v>76</v>
      </c>
      <c r="AI3" s="342" t="s">
        <v>74</v>
      </c>
      <c r="AJ3" s="342" t="s">
        <v>77</v>
      </c>
      <c r="AK3" s="342" t="s">
        <v>78</v>
      </c>
      <c r="AL3" s="342" t="s">
        <v>79</v>
      </c>
      <c r="AM3" s="342" t="s">
        <v>74</v>
      </c>
      <c r="AN3" s="342"/>
      <c r="AO3" s="342" t="s">
        <v>80</v>
      </c>
      <c r="AP3" s="342" t="s">
        <v>81</v>
      </c>
      <c r="AQ3" s="349" t="s">
        <v>82</v>
      </c>
      <c r="AR3" s="342" t="s">
        <v>83</v>
      </c>
      <c r="AS3" s="342" t="s">
        <v>84</v>
      </c>
      <c r="AT3" s="342" t="s">
        <v>45</v>
      </c>
      <c r="AU3" s="342" t="s">
        <v>85</v>
      </c>
      <c r="AV3" s="342"/>
      <c r="AW3" s="342"/>
      <c r="AX3" s="343" t="str">
        <f>IF(OR(Tableau3[[#This Row],[Option GTR]]&lt;&gt;"",Tableau3[[#This Row],[GTR spécifique]]&lt;&gt;""),"GTRS1","GTRS2")</f>
        <v>GTRS2</v>
      </c>
      <c r="AY3" s="342" t="s">
        <v>86</v>
      </c>
      <c r="AZ3" s="342"/>
      <c r="BA3" s="344" t="s">
        <v>87</v>
      </c>
    </row>
    <row r="4" spans="1:53" s="326" customFormat="1" ht="18.149999999999999" customHeight="1" x14ac:dyDescent="0.3">
      <c r="A4" s="340" t="s">
        <v>53</v>
      </c>
      <c r="B4" s="340" t="s">
        <v>54</v>
      </c>
      <c r="C4" s="340" t="s">
        <v>55</v>
      </c>
      <c r="D4" s="340" t="s">
        <v>56</v>
      </c>
      <c r="E4" s="340" t="s">
        <v>57</v>
      </c>
      <c r="F4" s="340" t="s">
        <v>58</v>
      </c>
      <c r="G4" s="340" t="s">
        <v>59</v>
      </c>
      <c r="H4" s="340" t="s">
        <v>60</v>
      </c>
      <c r="I4" s="340" t="s">
        <v>61</v>
      </c>
      <c r="J4" s="340" t="s">
        <v>90</v>
      </c>
      <c r="K4" s="340" t="s">
        <v>91</v>
      </c>
      <c r="L4" s="345" t="str">
        <f>VLOOKUP(K4,'20260309 suivi sites'!F:F,1,0)</f>
        <v>20AJAC011AOG</v>
      </c>
      <c r="M4" s="340" t="s">
        <v>64</v>
      </c>
      <c r="N4" s="340" t="s">
        <v>65</v>
      </c>
      <c r="O4" s="340" t="s">
        <v>64</v>
      </c>
      <c r="P4" s="341">
        <v>43356</v>
      </c>
      <c r="Q4" s="341">
        <v>45448</v>
      </c>
      <c r="R4" s="347" t="b">
        <f t="shared" ref="R4:R67" si="1">Q4=P4</f>
        <v>0</v>
      </c>
      <c r="S4" s="347" t="str">
        <f t="shared" si="0"/>
        <v>change</v>
      </c>
      <c r="T4" s="342" t="s">
        <v>56</v>
      </c>
      <c r="U4" s="342" t="s">
        <v>92</v>
      </c>
      <c r="V4" s="342" t="s">
        <v>93</v>
      </c>
      <c r="W4" s="342" t="s">
        <v>94</v>
      </c>
      <c r="X4" s="342" t="s">
        <v>69</v>
      </c>
      <c r="Y4" s="349" t="s">
        <v>95</v>
      </c>
      <c r="Z4" s="342" t="s">
        <v>71</v>
      </c>
      <c r="AA4" s="342" t="s">
        <v>72</v>
      </c>
      <c r="AB4" s="342" t="s">
        <v>73</v>
      </c>
      <c r="AC4" s="342" t="s">
        <v>74</v>
      </c>
      <c r="AD4" s="342"/>
      <c r="AE4" s="342" t="s">
        <v>96</v>
      </c>
      <c r="AF4" s="349" t="s">
        <v>3764</v>
      </c>
      <c r="AG4" s="342" t="s">
        <v>74</v>
      </c>
      <c r="AH4" s="342" t="s">
        <v>76</v>
      </c>
      <c r="AI4" s="342" t="s">
        <v>74</v>
      </c>
      <c r="AJ4" s="342" t="s">
        <v>77</v>
      </c>
      <c r="AK4" s="342" t="s">
        <v>97</v>
      </c>
      <c r="AL4" s="342" t="s">
        <v>79</v>
      </c>
      <c r="AM4" s="342" t="s">
        <v>74</v>
      </c>
      <c r="AN4" s="342"/>
      <c r="AO4" s="342" t="s">
        <v>98</v>
      </c>
      <c r="AP4" s="342" t="s">
        <v>81</v>
      </c>
      <c r="AQ4" s="349" t="s">
        <v>99</v>
      </c>
      <c r="AR4" s="342" t="s">
        <v>83</v>
      </c>
      <c r="AS4" s="342" t="s">
        <v>84</v>
      </c>
      <c r="AT4" s="342" t="s">
        <v>45</v>
      </c>
      <c r="AU4" s="342" t="s">
        <v>85</v>
      </c>
      <c r="AV4" s="342"/>
      <c r="AW4" s="342"/>
      <c r="AX4" s="343" t="str">
        <f>IF(OR(Tableau3[[#This Row],[Option GTR]]&lt;&gt;"",Tableau3[[#This Row],[GTR spécifique]]&lt;&gt;""),"GTRS1","GTRS2")</f>
        <v>GTRS2</v>
      </c>
      <c r="AY4" s="342" t="s">
        <v>100</v>
      </c>
      <c r="AZ4" s="342"/>
      <c r="BA4" s="342" t="s">
        <v>101</v>
      </c>
    </row>
    <row r="5" spans="1:53" s="326" customFormat="1" ht="18.149999999999999" customHeight="1" x14ac:dyDescent="0.3">
      <c r="A5" s="340" t="s">
        <v>53</v>
      </c>
      <c r="B5" s="340" t="s">
        <v>54</v>
      </c>
      <c r="C5" s="340" t="s">
        <v>55</v>
      </c>
      <c r="D5" s="340" t="s">
        <v>56</v>
      </c>
      <c r="E5" s="340" t="s">
        <v>57</v>
      </c>
      <c r="F5" s="340" t="s">
        <v>58</v>
      </c>
      <c r="G5" s="340" t="s">
        <v>59</v>
      </c>
      <c r="H5" s="340" t="s">
        <v>60</v>
      </c>
      <c r="I5" s="340" t="s">
        <v>61</v>
      </c>
      <c r="J5" s="340" t="s">
        <v>102</v>
      </c>
      <c r="K5" s="340" t="s">
        <v>103</v>
      </c>
      <c r="L5" s="345" t="str">
        <f>VLOOKUP(K5,'20260309 suivi sites'!F:F,1,0)</f>
        <v>75PARI011AOG</v>
      </c>
      <c r="M5" s="340" t="s">
        <v>64</v>
      </c>
      <c r="N5" s="340" t="s">
        <v>65</v>
      </c>
      <c r="O5" s="340" t="s">
        <v>104</v>
      </c>
      <c r="P5" s="341">
        <v>43363</v>
      </c>
      <c r="Q5" s="341"/>
      <c r="R5" s="347" t="b">
        <f t="shared" si="1"/>
        <v>0</v>
      </c>
      <c r="S5" s="347" t="str">
        <f t="shared" si="0"/>
        <v>change</v>
      </c>
      <c r="T5" s="342" t="s">
        <v>56</v>
      </c>
      <c r="U5" s="342" t="s">
        <v>105</v>
      </c>
      <c r="V5" s="342" t="s">
        <v>106</v>
      </c>
      <c r="W5" s="342" t="s">
        <v>107</v>
      </c>
      <c r="X5" s="342" t="s">
        <v>69</v>
      </c>
      <c r="Y5" s="349" t="s">
        <v>108</v>
      </c>
      <c r="Z5" s="342" t="s">
        <v>71</v>
      </c>
      <c r="AA5" s="342" t="s">
        <v>72</v>
      </c>
      <c r="AB5" s="342" t="s">
        <v>73</v>
      </c>
      <c r="AC5" s="342" t="s">
        <v>74</v>
      </c>
      <c r="AD5" s="342"/>
      <c r="AE5" s="342" t="s">
        <v>109</v>
      </c>
      <c r="AF5" s="349" t="s">
        <v>3764</v>
      </c>
      <c r="AG5" s="342" t="s">
        <v>74</v>
      </c>
      <c r="AH5" s="342" t="s">
        <v>76</v>
      </c>
      <c r="AI5" s="342" t="s">
        <v>74</v>
      </c>
      <c r="AJ5" s="342" t="s">
        <v>77</v>
      </c>
      <c r="AK5" s="342" t="s">
        <v>97</v>
      </c>
      <c r="AL5" s="342" t="s">
        <v>79</v>
      </c>
      <c r="AM5" s="342" t="s">
        <v>74</v>
      </c>
      <c r="AN5" s="342"/>
      <c r="AO5" s="342" t="s">
        <v>110</v>
      </c>
      <c r="AP5" s="342" t="s">
        <v>81</v>
      </c>
      <c r="AQ5" s="349" t="s">
        <v>99</v>
      </c>
      <c r="AR5" s="342" t="s">
        <v>83</v>
      </c>
      <c r="AS5" s="342" t="s">
        <v>84</v>
      </c>
      <c r="AT5" s="342" t="s">
        <v>45</v>
      </c>
      <c r="AU5" s="342" t="s">
        <v>85</v>
      </c>
      <c r="AV5" s="342"/>
      <c r="AW5" s="342"/>
      <c r="AX5" s="343" t="str">
        <f>IF(OR(Tableau3[[#This Row],[Option GTR]]&lt;&gt;"",Tableau3[[#This Row],[GTR spécifique]]&lt;&gt;""),"GTRS1","GTRS2")</f>
        <v>GTRS2</v>
      </c>
      <c r="AY5" s="342" t="s">
        <v>86</v>
      </c>
      <c r="AZ5" s="342"/>
      <c r="BA5" s="342" t="s">
        <v>3794</v>
      </c>
    </row>
    <row r="6" spans="1:53" s="326" customFormat="1" ht="18.149999999999999" customHeight="1" x14ac:dyDescent="0.3">
      <c r="A6" s="340" t="s">
        <v>53</v>
      </c>
      <c r="B6" s="340" t="s">
        <v>54</v>
      </c>
      <c r="C6" s="340" t="s">
        <v>55</v>
      </c>
      <c r="D6" s="340" t="s">
        <v>56</v>
      </c>
      <c r="E6" s="340" t="s">
        <v>57</v>
      </c>
      <c r="F6" s="340" t="s">
        <v>58</v>
      </c>
      <c r="G6" s="340" t="s">
        <v>59</v>
      </c>
      <c r="H6" s="340" t="s">
        <v>60</v>
      </c>
      <c r="I6" s="340" t="s">
        <v>61</v>
      </c>
      <c r="J6" s="340" t="s">
        <v>111</v>
      </c>
      <c r="K6" s="340" t="s">
        <v>112</v>
      </c>
      <c r="L6" s="345" t="str">
        <f>VLOOKUP(K6,'20260309 suivi sites'!F:F,1,0)</f>
        <v>54MAXE011AOG</v>
      </c>
      <c r="M6" s="340" t="s">
        <v>64</v>
      </c>
      <c r="N6" s="340" t="s">
        <v>65</v>
      </c>
      <c r="O6" s="340" t="s">
        <v>64</v>
      </c>
      <c r="P6" s="341">
        <v>43318</v>
      </c>
      <c r="Q6" s="341">
        <v>44953</v>
      </c>
      <c r="R6" s="347" t="b">
        <f t="shared" si="1"/>
        <v>0</v>
      </c>
      <c r="S6" s="347" t="str">
        <f t="shared" si="0"/>
        <v>change</v>
      </c>
      <c r="T6" s="342" t="s">
        <v>56</v>
      </c>
      <c r="U6" s="342" t="s">
        <v>113</v>
      </c>
      <c r="V6" s="342" t="s">
        <v>114</v>
      </c>
      <c r="W6" s="342" t="s">
        <v>115</v>
      </c>
      <c r="X6" s="342" t="s">
        <v>69</v>
      </c>
      <c r="Y6" s="349" t="s">
        <v>116</v>
      </c>
      <c r="Z6" s="342" t="s">
        <v>71</v>
      </c>
      <c r="AA6" s="342" t="s">
        <v>72</v>
      </c>
      <c r="AB6" s="342" t="s">
        <v>73</v>
      </c>
      <c r="AC6" s="342" t="s">
        <v>74</v>
      </c>
      <c r="AD6" s="342"/>
      <c r="AE6" s="342" t="s">
        <v>117</v>
      </c>
      <c r="AF6" s="349" t="s">
        <v>3765</v>
      </c>
      <c r="AG6" s="342" t="s">
        <v>74</v>
      </c>
      <c r="AH6" s="342" t="s">
        <v>76</v>
      </c>
      <c r="AI6" s="342" t="s">
        <v>74</v>
      </c>
      <c r="AJ6" s="342" t="s">
        <v>77</v>
      </c>
      <c r="AK6" s="342" t="s">
        <v>78</v>
      </c>
      <c r="AL6" s="342" t="s">
        <v>79</v>
      </c>
      <c r="AM6" s="342" t="s">
        <v>74</v>
      </c>
      <c r="AN6" s="342"/>
      <c r="AO6" s="342" t="s">
        <v>118</v>
      </c>
      <c r="AP6" s="342" t="s">
        <v>81</v>
      </c>
      <c r="AQ6" s="349" t="s">
        <v>119</v>
      </c>
      <c r="AR6" s="342" t="s">
        <v>83</v>
      </c>
      <c r="AS6" s="342" t="s">
        <v>84</v>
      </c>
      <c r="AT6" s="342" t="s">
        <v>45</v>
      </c>
      <c r="AU6" s="342" t="s">
        <v>85</v>
      </c>
      <c r="AV6" s="342" t="s">
        <v>120</v>
      </c>
      <c r="AW6" s="342"/>
      <c r="AX6" s="343" t="str">
        <f>IF(OR(Tableau3[[#This Row],[Option GTR]]&lt;&gt;"",Tableau3[[#This Row],[GTR spécifique]]&lt;&gt;""),"GTRS1","GTRS2")</f>
        <v>GTRS1</v>
      </c>
      <c r="AY6" s="342" t="s">
        <v>86</v>
      </c>
      <c r="AZ6" s="342"/>
      <c r="BA6" s="342" t="s">
        <v>121</v>
      </c>
    </row>
    <row r="7" spans="1:53" s="326" customFormat="1" ht="18.149999999999999" customHeight="1" x14ac:dyDescent="0.3">
      <c r="A7" s="340" t="s">
        <v>53</v>
      </c>
      <c r="B7" s="340" t="s">
        <v>54</v>
      </c>
      <c r="C7" s="340" t="s">
        <v>55</v>
      </c>
      <c r="D7" s="340" t="s">
        <v>56</v>
      </c>
      <c r="E7" s="340" t="s">
        <v>57</v>
      </c>
      <c r="F7" s="340" t="s">
        <v>58</v>
      </c>
      <c r="G7" s="340" t="s">
        <v>59</v>
      </c>
      <c r="H7" s="340" t="s">
        <v>60</v>
      </c>
      <c r="I7" s="340" t="s">
        <v>61</v>
      </c>
      <c r="J7" s="340" t="s">
        <v>122</v>
      </c>
      <c r="K7" s="340" t="s">
        <v>123</v>
      </c>
      <c r="L7" s="345" t="str">
        <f>VLOOKUP(K7,'20260309 suivi sites'!F:F,1,0)</f>
        <v>97LAME011AOG</v>
      </c>
      <c r="M7" s="340" t="s">
        <v>64</v>
      </c>
      <c r="N7" s="340" t="s">
        <v>65</v>
      </c>
      <c r="O7" s="340" t="s">
        <v>64</v>
      </c>
      <c r="P7" s="341">
        <v>43369</v>
      </c>
      <c r="Q7" s="341">
        <v>45449</v>
      </c>
      <c r="R7" s="347" t="b">
        <f t="shared" si="1"/>
        <v>0</v>
      </c>
      <c r="S7" s="347" t="str">
        <f t="shared" si="0"/>
        <v>change</v>
      </c>
      <c r="T7" s="342" t="s">
        <v>56</v>
      </c>
      <c r="U7" s="342" t="s">
        <v>124</v>
      </c>
      <c r="V7" s="342" t="s">
        <v>125</v>
      </c>
      <c r="W7" s="342" t="s">
        <v>126</v>
      </c>
      <c r="X7" s="342" t="s">
        <v>69</v>
      </c>
      <c r="Y7" s="349" t="s">
        <v>127</v>
      </c>
      <c r="Z7" s="342" t="s">
        <v>71</v>
      </c>
      <c r="AA7" s="342" t="s">
        <v>72</v>
      </c>
      <c r="AB7" s="342" t="s">
        <v>73</v>
      </c>
      <c r="AC7" s="342" t="s">
        <v>74</v>
      </c>
      <c r="AD7" s="342"/>
      <c r="AE7" s="342" t="s">
        <v>128</v>
      </c>
      <c r="AF7" s="349" t="s">
        <v>3766</v>
      </c>
      <c r="AG7" s="342" t="s">
        <v>74</v>
      </c>
      <c r="AH7" s="342" t="s">
        <v>76</v>
      </c>
      <c r="AI7" s="342" t="s">
        <v>74</v>
      </c>
      <c r="AJ7" s="342" t="s">
        <v>77</v>
      </c>
      <c r="AK7" s="342" t="s">
        <v>97</v>
      </c>
      <c r="AL7" s="342" t="s">
        <v>79</v>
      </c>
      <c r="AM7" s="342" t="s">
        <v>74</v>
      </c>
      <c r="AN7" s="342"/>
      <c r="AO7" s="342" t="s">
        <v>129</v>
      </c>
      <c r="AP7" s="342" t="s">
        <v>81</v>
      </c>
      <c r="AQ7" s="349" t="s">
        <v>130</v>
      </c>
      <c r="AR7" s="342" t="s">
        <v>83</v>
      </c>
      <c r="AS7" s="342" t="s">
        <v>84</v>
      </c>
      <c r="AT7" s="342" t="s">
        <v>45</v>
      </c>
      <c r="AU7" s="342" t="s">
        <v>85</v>
      </c>
      <c r="AV7" s="342"/>
      <c r="AW7" s="342" t="s">
        <v>131</v>
      </c>
      <c r="AX7" s="343" t="str">
        <f>IF(OR(Tableau3[[#This Row],[Option GTR]]&lt;&gt;"",Tableau3[[#This Row],[GTR spécifique]]&lt;&gt;""),"GTRS1","GTRS2")</f>
        <v>GTRS1</v>
      </c>
      <c r="AY7" s="342" t="s">
        <v>100</v>
      </c>
      <c r="AZ7" s="342"/>
      <c r="BA7" s="342" t="s">
        <v>132</v>
      </c>
    </row>
    <row r="8" spans="1:53" s="326" customFormat="1" ht="18.149999999999999" customHeight="1" x14ac:dyDescent="0.3">
      <c r="A8" s="340" t="s">
        <v>53</v>
      </c>
      <c r="B8" s="340" t="s">
        <v>54</v>
      </c>
      <c r="C8" s="340" t="s">
        <v>55</v>
      </c>
      <c r="D8" s="340" t="s">
        <v>56</v>
      </c>
      <c r="E8" s="340" t="s">
        <v>57</v>
      </c>
      <c r="F8" s="340" t="s">
        <v>58</v>
      </c>
      <c r="G8" s="340" t="s">
        <v>59</v>
      </c>
      <c r="H8" s="340" t="s">
        <v>60</v>
      </c>
      <c r="I8" s="340" t="s">
        <v>61</v>
      </c>
      <c r="J8" s="340" t="s">
        <v>133</v>
      </c>
      <c r="K8" s="340" t="s">
        <v>134</v>
      </c>
      <c r="L8" s="345" t="str">
        <f>VLOOKUP(K8,'20260309 suivi sites'!F:F,1,0)</f>
        <v>97MATO011AOG</v>
      </c>
      <c r="M8" s="340" t="s">
        <v>64</v>
      </c>
      <c r="N8" s="340" t="s">
        <v>65</v>
      </c>
      <c r="O8" s="340" t="s">
        <v>64</v>
      </c>
      <c r="P8" s="341">
        <v>43465</v>
      </c>
      <c r="Q8" s="341">
        <v>45604</v>
      </c>
      <c r="R8" s="347" t="b">
        <f t="shared" si="1"/>
        <v>0</v>
      </c>
      <c r="S8" s="347" t="str">
        <f t="shared" si="0"/>
        <v>change</v>
      </c>
      <c r="T8" s="342" t="s">
        <v>56</v>
      </c>
      <c r="U8" s="342" t="s">
        <v>135</v>
      </c>
      <c r="V8" s="342" t="s">
        <v>136</v>
      </c>
      <c r="W8" s="342" t="s">
        <v>137</v>
      </c>
      <c r="X8" s="342" t="s">
        <v>69</v>
      </c>
      <c r="Y8" s="349" t="s">
        <v>138</v>
      </c>
      <c r="Z8" s="342" t="s">
        <v>71</v>
      </c>
      <c r="AA8" s="342" t="s">
        <v>72</v>
      </c>
      <c r="AB8" s="342" t="s">
        <v>73</v>
      </c>
      <c r="AC8" s="342" t="s">
        <v>74</v>
      </c>
      <c r="AD8" s="342"/>
      <c r="AE8" s="342" t="s">
        <v>139</v>
      </c>
      <c r="AF8" s="349" t="s">
        <v>3766</v>
      </c>
      <c r="AG8" s="342" t="s">
        <v>74</v>
      </c>
      <c r="AH8" s="342" t="s">
        <v>76</v>
      </c>
      <c r="AI8" s="342" t="s">
        <v>74</v>
      </c>
      <c r="AJ8" s="342" t="s">
        <v>140</v>
      </c>
      <c r="AK8" s="342" t="s">
        <v>97</v>
      </c>
      <c r="AL8" s="342" t="s">
        <v>79</v>
      </c>
      <c r="AM8" s="342" t="s">
        <v>74</v>
      </c>
      <c r="AN8" s="342"/>
      <c r="AO8" s="342" t="s">
        <v>141</v>
      </c>
      <c r="AP8" s="342" t="s">
        <v>81</v>
      </c>
      <c r="AQ8" s="349" t="s">
        <v>142</v>
      </c>
      <c r="AR8" s="342" t="s">
        <v>83</v>
      </c>
      <c r="AS8" s="342" t="s">
        <v>84</v>
      </c>
      <c r="AT8" s="342" t="s">
        <v>45</v>
      </c>
      <c r="AU8" s="342" t="s">
        <v>85</v>
      </c>
      <c r="AV8" s="342" t="s">
        <v>120</v>
      </c>
      <c r="AW8" s="342" t="s">
        <v>131</v>
      </c>
      <c r="AX8" s="343" t="str">
        <f>IF(OR(Tableau3[[#This Row],[Option GTR]]&lt;&gt;"",Tableau3[[#This Row],[GTR spécifique]]&lt;&gt;""),"GTRS1","GTRS2")</f>
        <v>GTRS1</v>
      </c>
      <c r="AY8" s="342" t="s">
        <v>143</v>
      </c>
      <c r="AZ8" s="342"/>
      <c r="BA8" s="342" t="s">
        <v>144</v>
      </c>
    </row>
    <row r="9" spans="1:53" s="326" customFormat="1" ht="18.149999999999999" customHeight="1" x14ac:dyDescent="0.3">
      <c r="A9" s="340" t="s">
        <v>53</v>
      </c>
      <c r="B9" s="340" t="s">
        <v>54</v>
      </c>
      <c r="C9" s="340" t="s">
        <v>55</v>
      </c>
      <c r="D9" s="340" t="s">
        <v>56</v>
      </c>
      <c r="E9" s="340" t="s">
        <v>57</v>
      </c>
      <c r="F9" s="340" t="s">
        <v>58</v>
      </c>
      <c r="G9" s="340" t="s">
        <v>59</v>
      </c>
      <c r="H9" s="340" t="s">
        <v>60</v>
      </c>
      <c r="I9" s="340" t="s">
        <v>61</v>
      </c>
      <c r="J9" s="340" t="s">
        <v>145</v>
      </c>
      <c r="K9" s="340" t="s">
        <v>146</v>
      </c>
      <c r="L9" s="345" t="str">
        <f>VLOOKUP(K9,'20260309 suivi sites'!F:F,1,0)</f>
        <v>97MORN011AOG</v>
      </c>
      <c r="M9" s="340" t="s">
        <v>64</v>
      </c>
      <c r="N9" s="340" t="s">
        <v>65</v>
      </c>
      <c r="O9" s="340" t="s">
        <v>64</v>
      </c>
      <c r="P9" s="341">
        <v>43318</v>
      </c>
      <c r="Q9" s="341">
        <v>44859</v>
      </c>
      <c r="R9" s="347" t="b">
        <f t="shared" si="1"/>
        <v>0</v>
      </c>
      <c r="S9" s="347" t="str">
        <f t="shared" si="0"/>
        <v>change</v>
      </c>
      <c r="T9" s="342" t="s">
        <v>56</v>
      </c>
      <c r="U9" s="342" t="s">
        <v>147</v>
      </c>
      <c r="V9" s="342" t="s">
        <v>148</v>
      </c>
      <c r="W9" s="342" t="s">
        <v>149</v>
      </c>
      <c r="X9" s="342" t="s">
        <v>69</v>
      </c>
      <c r="Y9" s="349" t="s">
        <v>150</v>
      </c>
      <c r="Z9" s="342" t="s">
        <v>71</v>
      </c>
      <c r="AA9" s="342" t="s">
        <v>72</v>
      </c>
      <c r="AB9" s="342" t="s">
        <v>73</v>
      </c>
      <c r="AC9" s="342" t="s">
        <v>74</v>
      </c>
      <c r="AD9" s="342"/>
      <c r="AE9" s="342" t="s">
        <v>151</v>
      </c>
      <c r="AF9" s="349" t="s">
        <v>3767</v>
      </c>
      <c r="AG9" s="342" t="s">
        <v>74</v>
      </c>
      <c r="AH9" s="342" t="s">
        <v>76</v>
      </c>
      <c r="AI9" s="342" t="s">
        <v>76</v>
      </c>
      <c r="AJ9" s="342" t="s">
        <v>77</v>
      </c>
      <c r="AK9" s="342" t="s">
        <v>97</v>
      </c>
      <c r="AL9" s="342" t="s">
        <v>152</v>
      </c>
      <c r="AM9" s="342" t="s">
        <v>74</v>
      </c>
      <c r="AN9" s="342"/>
      <c r="AO9" s="342" t="s">
        <v>153</v>
      </c>
      <c r="AP9" s="342" t="s">
        <v>81</v>
      </c>
      <c r="AQ9" s="349" t="s">
        <v>154</v>
      </c>
      <c r="AR9" s="342" t="s">
        <v>83</v>
      </c>
      <c r="AS9" s="342" t="s">
        <v>84</v>
      </c>
      <c r="AT9" s="342" t="s">
        <v>45</v>
      </c>
      <c r="AU9" s="342" t="s">
        <v>85</v>
      </c>
      <c r="AV9" s="342"/>
      <c r="AW9" s="342" t="s">
        <v>131</v>
      </c>
      <c r="AX9" s="343" t="str">
        <f>IF(OR(Tableau3[[#This Row],[Option GTR]]&lt;&gt;"",Tableau3[[#This Row],[GTR spécifique]]&lt;&gt;""),"GTRS1","GTRS2")</f>
        <v>GTRS1</v>
      </c>
      <c r="AY9" s="342" t="s">
        <v>143</v>
      </c>
      <c r="AZ9" s="342"/>
      <c r="BA9" s="342" t="s">
        <v>155</v>
      </c>
    </row>
    <row r="10" spans="1:53" s="326" customFormat="1" ht="18.149999999999999" customHeight="1" x14ac:dyDescent="0.3">
      <c r="A10" s="340" t="s">
        <v>53</v>
      </c>
      <c r="B10" s="340" t="s">
        <v>54</v>
      </c>
      <c r="C10" s="340" t="s">
        <v>55</v>
      </c>
      <c r="D10" s="340" t="s">
        <v>56</v>
      </c>
      <c r="E10" s="340" t="s">
        <v>57</v>
      </c>
      <c r="F10" s="340" t="s">
        <v>58</v>
      </c>
      <c r="G10" s="340" t="s">
        <v>59</v>
      </c>
      <c r="H10" s="340" t="s">
        <v>60</v>
      </c>
      <c r="I10" s="340" t="s">
        <v>61</v>
      </c>
      <c r="J10" s="340" t="s">
        <v>156</v>
      </c>
      <c r="K10" s="340" t="s">
        <v>157</v>
      </c>
      <c r="L10" s="345" t="str">
        <f>VLOOKUP(K10,'20260309 suivi sites'!F:F,1,0)</f>
        <v>27VALD012AOP</v>
      </c>
      <c r="M10" s="340" t="s">
        <v>64</v>
      </c>
      <c r="N10" s="340" t="s">
        <v>65</v>
      </c>
      <c r="O10" s="340" t="s">
        <v>64</v>
      </c>
      <c r="P10" s="341">
        <v>43377</v>
      </c>
      <c r="Q10" s="341">
        <v>45559</v>
      </c>
      <c r="R10" s="347" t="b">
        <f t="shared" si="1"/>
        <v>0</v>
      </c>
      <c r="S10" s="347" t="str">
        <f t="shared" si="0"/>
        <v>change</v>
      </c>
      <c r="T10" s="342" t="s">
        <v>56</v>
      </c>
      <c r="U10" s="342" t="s">
        <v>158</v>
      </c>
      <c r="V10" s="342" t="s">
        <v>159</v>
      </c>
      <c r="W10" s="342" t="s">
        <v>160</v>
      </c>
      <c r="X10" s="342" t="s">
        <v>69</v>
      </c>
      <c r="Y10" s="349" t="s">
        <v>161</v>
      </c>
      <c r="Z10" s="342" t="s">
        <v>71</v>
      </c>
      <c r="AA10" s="342" t="s">
        <v>72</v>
      </c>
      <c r="AB10" s="342" t="s">
        <v>162</v>
      </c>
      <c r="AC10" s="342" t="s">
        <v>74</v>
      </c>
      <c r="AD10" s="342" t="s">
        <v>163</v>
      </c>
      <c r="AE10" s="342" t="s">
        <v>164</v>
      </c>
      <c r="AF10" s="349" t="s">
        <v>3768</v>
      </c>
      <c r="AG10" s="342" t="s">
        <v>74</v>
      </c>
      <c r="AH10" s="342" t="s">
        <v>76</v>
      </c>
      <c r="AI10" s="342" t="s">
        <v>74</v>
      </c>
      <c r="AJ10" s="342" t="s">
        <v>77</v>
      </c>
      <c r="AK10" s="342" t="s">
        <v>165</v>
      </c>
      <c r="AL10" s="342" t="s">
        <v>79</v>
      </c>
      <c r="AM10" s="342" t="s">
        <v>166</v>
      </c>
      <c r="AN10" s="342" t="s">
        <v>167</v>
      </c>
      <c r="AO10" s="342" t="s">
        <v>168</v>
      </c>
      <c r="AP10" s="342" t="s">
        <v>81</v>
      </c>
      <c r="AQ10" s="349" t="s">
        <v>169</v>
      </c>
      <c r="AR10" s="342" t="s">
        <v>83</v>
      </c>
      <c r="AS10" s="342" t="s">
        <v>84</v>
      </c>
      <c r="AT10" s="342" t="s">
        <v>45</v>
      </c>
      <c r="AU10" s="342" t="s">
        <v>85</v>
      </c>
      <c r="AV10" s="342" t="s">
        <v>170</v>
      </c>
      <c r="AW10" s="342"/>
      <c r="AX10" s="343" t="str">
        <f>IF(OR(Tableau3[[#This Row],[Option GTR]]&lt;&gt;"",Tableau3[[#This Row],[GTR spécifique]]&lt;&gt;""),"GTRS1","GTRS2")</f>
        <v>GTRS1</v>
      </c>
      <c r="AY10" s="342" t="s">
        <v>86</v>
      </c>
      <c r="AZ10" s="342"/>
      <c r="BA10" s="342" t="s">
        <v>171</v>
      </c>
    </row>
    <row r="11" spans="1:53" s="326" customFormat="1" ht="18.149999999999999" customHeight="1" x14ac:dyDescent="0.3">
      <c r="A11" s="340" t="s">
        <v>53</v>
      </c>
      <c r="B11" s="340" t="s">
        <v>54</v>
      </c>
      <c r="C11" s="340" t="s">
        <v>55</v>
      </c>
      <c r="D11" s="340" t="s">
        <v>56</v>
      </c>
      <c r="E11" s="340" t="s">
        <v>57</v>
      </c>
      <c r="F11" s="340" t="s">
        <v>58</v>
      </c>
      <c r="G11" s="340" t="s">
        <v>59</v>
      </c>
      <c r="H11" s="340" t="s">
        <v>60</v>
      </c>
      <c r="I11" s="340" t="s">
        <v>61</v>
      </c>
      <c r="J11" s="340" t="s">
        <v>172</v>
      </c>
      <c r="K11" s="340" t="s">
        <v>173</v>
      </c>
      <c r="L11" s="345" t="str">
        <f>VLOOKUP(K11,'20260309 suivi sites'!F:F,1,0)</f>
        <v>27PACY012AOP</v>
      </c>
      <c r="M11" s="340" t="s">
        <v>64</v>
      </c>
      <c r="N11" s="340" t="s">
        <v>65</v>
      </c>
      <c r="O11" s="340" t="s">
        <v>64</v>
      </c>
      <c r="P11" s="341">
        <v>43389</v>
      </c>
      <c r="Q11" s="341">
        <v>45560</v>
      </c>
      <c r="R11" s="347" t="b">
        <f t="shared" si="1"/>
        <v>0</v>
      </c>
      <c r="S11" s="347" t="str">
        <f t="shared" si="0"/>
        <v>change</v>
      </c>
      <c r="T11" s="342" t="s">
        <v>56</v>
      </c>
      <c r="U11" s="342" t="s">
        <v>174</v>
      </c>
      <c r="V11" s="342" t="s">
        <v>175</v>
      </c>
      <c r="W11" s="342" t="s">
        <v>176</v>
      </c>
      <c r="X11" s="342" t="s">
        <v>69</v>
      </c>
      <c r="Y11" s="349" t="s">
        <v>177</v>
      </c>
      <c r="Z11" s="342" t="s">
        <v>71</v>
      </c>
      <c r="AA11" s="342" t="s">
        <v>72</v>
      </c>
      <c r="AB11" s="342" t="s">
        <v>162</v>
      </c>
      <c r="AC11" s="342" t="s">
        <v>74</v>
      </c>
      <c r="AD11" s="342" t="s">
        <v>178</v>
      </c>
      <c r="AE11" s="342" t="s">
        <v>179</v>
      </c>
      <c r="AF11" s="349" t="s">
        <v>3768</v>
      </c>
      <c r="AG11" s="342" t="s">
        <v>74</v>
      </c>
      <c r="AH11" s="342" t="s">
        <v>76</v>
      </c>
      <c r="AI11" s="342" t="s">
        <v>74</v>
      </c>
      <c r="AJ11" s="342" t="s">
        <v>77</v>
      </c>
      <c r="AK11" s="342" t="s">
        <v>165</v>
      </c>
      <c r="AL11" s="342" t="s">
        <v>79</v>
      </c>
      <c r="AM11" s="342" t="s">
        <v>166</v>
      </c>
      <c r="AN11" s="342" t="s">
        <v>167</v>
      </c>
      <c r="AO11" s="342" t="s">
        <v>180</v>
      </c>
      <c r="AP11" s="342" t="s">
        <v>81</v>
      </c>
      <c r="AQ11" s="349" t="s">
        <v>169</v>
      </c>
      <c r="AR11" s="342" t="s">
        <v>83</v>
      </c>
      <c r="AS11" s="342" t="s">
        <v>84</v>
      </c>
      <c r="AT11" s="342" t="s">
        <v>45</v>
      </c>
      <c r="AU11" s="342" t="s">
        <v>85</v>
      </c>
      <c r="AV11" s="342" t="s">
        <v>170</v>
      </c>
      <c r="AW11" s="342"/>
      <c r="AX11" s="343" t="str">
        <f>IF(OR(Tableau3[[#This Row],[Option GTR]]&lt;&gt;"",Tableau3[[#This Row],[GTR spécifique]]&lt;&gt;""),"GTRS1","GTRS2")</f>
        <v>GTRS1</v>
      </c>
      <c r="AY11" s="342" t="s">
        <v>86</v>
      </c>
      <c r="AZ11" s="342"/>
      <c r="BA11" s="342" t="s">
        <v>181</v>
      </c>
    </row>
    <row r="12" spans="1:53" s="326" customFormat="1" ht="18.149999999999999" customHeight="1" x14ac:dyDescent="0.3">
      <c r="A12" s="340" t="s">
        <v>53</v>
      </c>
      <c r="B12" s="340" t="s">
        <v>54</v>
      </c>
      <c r="C12" s="340" t="s">
        <v>55</v>
      </c>
      <c r="D12" s="340" t="s">
        <v>56</v>
      </c>
      <c r="E12" s="340" t="s">
        <v>57</v>
      </c>
      <c r="F12" s="340" t="s">
        <v>58</v>
      </c>
      <c r="G12" s="340" t="s">
        <v>59</v>
      </c>
      <c r="H12" s="340" t="s">
        <v>60</v>
      </c>
      <c r="I12" s="340" t="s">
        <v>61</v>
      </c>
      <c r="J12" s="340" t="s">
        <v>182</v>
      </c>
      <c r="K12" s="340" t="s">
        <v>183</v>
      </c>
      <c r="L12" s="345" t="str">
        <f>VLOOKUP(K12,'20260309 suivi sites'!F:F,1,0)</f>
        <v>16ISLE011AOG</v>
      </c>
      <c r="M12" s="340" t="s">
        <v>64</v>
      </c>
      <c r="N12" s="340" t="s">
        <v>65</v>
      </c>
      <c r="O12" s="340" t="s">
        <v>64</v>
      </c>
      <c r="P12" s="341">
        <v>43384</v>
      </c>
      <c r="Q12" s="341">
        <v>45631</v>
      </c>
      <c r="R12" s="347" t="b">
        <f t="shared" si="1"/>
        <v>0</v>
      </c>
      <c r="S12" s="347" t="str">
        <f t="shared" si="0"/>
        <v>change</v>
      </c>
      <c r="T12" s="342" t="s">
        <v>56</v>
      </c>
      <c r="U12" s="342" t="s">
        <v>184</v>
      </c>
      <c r="V12" s="342" t="s">
        <v>185</v>
      </c>
      <c r="W12" s="342" t="s">
        <v>186</v>
      </c>
      <c r="X12" s="342" t="s">
        <v>69</v>
      </c>
      <c r="Y12" s="349" t="s">
        <v>187</v>
      </c>
      <c r="Z12" s="342" t="s">
        <v>71</v>
      </c>
      <c r="AA12" s="342" t="s">
        <v>72</v>
      </c>
      <c r="AB12" s="342" t="s">
        <v>73</v>
      </c>
      <c r="AC12" s="342" t="s">
        <v>74</v>
      </c>
      <c r="AD12" s="342"/>
      <c r="AE12" s="342" t="s">
        <v>188</v>
      </c>
      <c r="AF12" s="349" t="s">
        <v>3764</v>
      </c>
      <c r="AG12" s="342" t="s">
        <v>74</v>
      </c>
      <c r="AH12" s="342" t="s">
        <v>74</v>
      </c>
      <c r="AI12" s="342" t="s">
        <v>74</v>
      </c>
      <c r="AJ12" s="342" t="s">
        <v>77</v>
      </c>
      <c r="AK12" s="342" t="s">
        <v>97</v>
      </c>
      <c r="AL12" s="342" t="s">
        <v>79</v>
      </c>
      <c r="AM12" s="342" t="s">
        <v>74</v>
      </c>
      <c r="AN12" s="342"/>
      <c r="AO12" s="342" t="s">
        <v>189</v>
      </c>
      <c r="AP12" s="342" t="s">
        <v>81</v>
      </c>
      <c r="AQ12" s="349" t="s">
        <v>190</v>
      </c>
      <c r="AR12" s="342" t="s">
        <v>83</v>
      </c>
      <c r="AS12" s="342" t="s">
        <v>84</v>
      </c>
      <c r="AT12" s="342" t="s">
        <v>45</v>
      </c>
      <c r="AU12" s="342" t="s">
        <v>85</v>
      </c>
      <c r="AV12" s="342"/>
      <c r="AW12" s="342"/>
      <c r="AX12" s="343" t="str">
        <f>IF(OR(Tableau3[[#This Row],[Option GTR]]&lt;&gt;"",Tableau3[[#This Row],[GTR spécifique]]&lt;&gt;""),"GTRS1","GTRS2")</f>
        <v>GTRS2</v>
      </c>
      <c r="AY12" s="342" t="s">
        <v>86</v>
      </c>
      <c r="AZ12" s="342"/>
      <c r="BA12" s="342" t="s">
        <v>191</v>
      </c>
    </row>
    <row r="13" spans="1:53" s="326" customFormat="1" ht="18.149999999999999" customHeight="1" x14ac:dyDescent="0.3">
      <c r="A13" s="340" t="s">
        <v>53</v>
      </c>
      <c r="B13" s="340" t="s">
        <v>54</v>
      </c>
      <c r="C13" s="340" t="s">
        <v>55</v>
      </c>
      <c r="D13" s="340" t="s">
        <v>56</v>
      </c>
      <c r="E13" s="340" t="s">
        <v>57</v>
      </c>
      <c r="F13" s="340" t="s">
        <v>58</v>
      </c>
      <c r="G13" s="340" t="s">
        <v>59</v>
      </c>
      <c r="H13" s="340" t="s">
        <v>60</v>
      </c>
      <c r="I13" s="340" t="s">
        <v>61</v>
      </c>
      <c r="J13" s="340" t="s">
        <v>192</v>
      </c>
      <c r="K13" s="340" t="s">
        <v>193</v>
      </c>
      <c r="L13" s="345" t="str">
        <f>VLOOKUP(K13,'20260309 suivi sites'!F:F,1,0)</f>
        <v>33BORD011AOG</v>
      </c>
      <c r="M13" s="340" t="s">
        <v>64</v>
      </c>
      <c r="N13" s="340" t="s">
        <v>65</v>
      </c>
      <c r="O13" s="340" t="s">
        <v>64</v>
      </c>
      <c r="P13" s="341">
        <v>43490</v>
      </c>
      <c r="Q13" s="341">
        <v>45649</v>
      </c>
      <c r="R13" s="347" t="b">
        <f t="shared" si="1"/>
        <v>0</v>
      </c>
      <c r="S13" s="347" t="str">
        <f>IF(R13=FALSE,"change","création")</f>
        <v>change</v>
      </c>
      <c r="T13" s="342" t="s">
        <v>56</v>
      </c>
      <c r="U13" s="342" t="s">
        <v>194</v>
      </c>
      <c r="V13" s="342" t="s">
        <v>195</v>
      </c>
      <c r="W13" s="342" t="s">
        <v>196</v>
      </c>
      <c r="X13" s="342" t="s">
        <v>69</v>
      </c>
      <c r="Y13" s="349" t="s">
        <v>197</v>
      </c>
      <c r="Z13" s="342" t="s">
        <v>71</v>
      </c>
      <c r="AA13" s="342" t="s">
        <v>72</v>
      </c>
      <c r="AB13" s="342" t="s">
        <v>73</v>
      </c>
      <c r="AC13" s="342" t="s">
        <v>74</v>
      </c>
      <c r="AD13" s="342"/>
      <c r="AE13" s="342" t="s">
        <v>198</v>
      </c>
      <c r="AF13" s="349" t="s">
        <v>3769</v>
      </c>
      <c r="AG13" s="342" t="s">
        <v>74</v>
      </c>
      <c r="AH13" s="342" t="s">
        <v>74</v>
      </c>
      <c r="AI13" s="342" t="s">
        <v>74</v>
      </c>
      <c r="AJ13" s="342" t="s">
        <v>77</v>
      </c>
      <c r="AK13" s="342" t="s">
        <v>78</v>
      </c>
      <c r="AL13" s="342" t="s">
        <v>79</v>
      </c>
      <c r="AM13" s="342" t="s">
        <v>74</v>
      </c>
      <c r="AN13" s="342"/>
      <c r="AO13" s="342" t="s">
        <v>199</v>
      </c>
      <c r="AP13" s="342" t="s">
        <v>81</v>
      </c>
      <c r="AQ13" s="349" t="s">
        <v>200</v>
      </c>
      <c r="AR13" s="342" t="s">
        <v>83</v>
      </c>
      <c r="AS13" s="342" t="s">
        <v>84</v>
      </c>
      <c r="AT13" s="342" t="s">
        <v>45</v>
      </c>
      <c r="AU13" s="342" t="s">
        <v>85</v>
      </c>
      <c r="AV13" s="342"/>
      <c r="AW13" s="342"/>
      <c r="AX13" s="343" t="str">
        <f>IF(OR(Tableau3[[#This Row],[Option GTR]]&lt;&gt;"",Tableau3[[#This Row],[GTR spécifique]]&lt;&gt;""),"GTRS1","GTRS2")</f>
        <v>GTRS2</v>
      </c>
      <c r="AY13" s="342" t="s">
        <v>86</v>
      </c>
      <c r="AZ13" s="342"/>
      <c r="BA13" s="342" t="s">
        <v>201</v>
      </c>
    </row>
    <row r="14" spans="1:53" s="326" customFormat="1" ht="18.149999999999999" customHeight="1" x14ac:dyDescent="0.3">
      <c r="A14" s="340" t="s">
        <v>53</v>
      </c>
      <c r="B14" s="340" t="s">
        <v>54</v>
      </c>
      <c r="C14" s="340" t="s">
        <v>55</v>
      </c>
      <c r="D14" s="340" t="s">
        <v>56</v>
      </c>
      <c r="E14" s="340" t="s">
        <v>57</v>
      </c>
      <c r="F14" s="340" t="s">
        <v>58</v>
      </c>
      <c r="G14" s="340" t="s">
        <v>59</v>
      </c>
      <c r="H14" s="340" t="s">
        <v>60</v>
      </c>
      <c r="I14" s="340" t="s">
        <v>61</v>
      </c>
      <c r="J14" s="340" t="s">
        <v>202</v>
      </c>
      <c r="K14" s="340" t="s">
        <v>203</v>
      </c>
      <c r="L14" s="345" t="str">
        <f>VLOOKUP(K14,'20260309 suivi sites'!F:F,1,0)</f>
        <v>38STGE011AOS</v>
      </c>
      <c r="M14" s="340" t="s">
        <v>64</v>
      </c>
      <c r="N14" s="340" t="s">
        <v>65</v>
      </c>
      <c r="O14" s="340" t="s">
        <v>64</v>
      </c>
      <c r="P14" s="341">
        <v>43377</v>
      </c>
      <c r="Q14" s="341">
        <v>45854</v>
      </c>
      <c r="R14" s="347" t="b">
        <f t="shared" si="1"/>
        <v>0</v>
      </c>
      <c r="S14" s="347" t="str">
        <f t="shared" si="0"/>
        <v>change</v>
      </c>
      <c r="T14" s="342" t="s">
        <v>56</v>
      </c>
      <c r="U14" s="342" t="s">
        <v>204</v>
      </c>
      <c r="V14" s="342" t="s">
        <v>205</v>
      </c>
      <c r="W14" s="342" t="s">
        <v>206</v>
      </c>
      <c r="X14" s="342" t="s">
        <v>69</v>
      </c>
      <c r="Y14" s="349" t="s">
        <v>207</v>
      </c>
      <c r="Z14" s="342" t="s">
        <v>71</v>
      </c>
      <c r="AA14" s="342" t="s">
        <v>72</v>
      </c>
      <c r="AB14" s="342" t="s">
        <v>73</v>
      </c>
      <c r="AC14" s="342" t="s">
        <v>74</v>
      </c>
      <c r="AD14" s="342"/>
      <c r="AE14" s="342" t="s">
        <v>208</v>
      </c>
      <c r="AF14" s="349" t="s">
        <v>3770</v>
      </c>
      <c r="AG14" s="342" t="s">
        <v>74</v>
      </c>
      <c r="AH14" s="342" t="s">
        <v>74</v>
      </c>
      <c r="AI14" s="342" t="s">
        <v>74</v>
      </c>
      <c r="AJ14" s="342" t="s">
        <v>77</v>
      </c>
      <c r="AK14" s="342" t="s">
        <v>97</v>
      </c>
      <c r="AL14" s="342" t="s">
        <v>79</v>
      </c>
      <c r="AM14" s="342" t="s">
        <v>74</v>
      </c>
      <c r="AN14" s="342"/>
      <c r="AO14" s="342" t="s">
        <v>209</v>
      </c>
      <c r="AP14" s="342" t="s">
        <v>81</v>
      </c>
      <c r="AQ14" s="349" t="s">
        <v>210</v>
      </c>
      <c r="AR14" s="342" t="s">
        <v>83</v>
      </c>
      <c r="AS14" s="342" t="s">
        <v>84</v>
      </c>
      <c r="AT14" s="342" t="s">
        <v>45</v>
      </c>
      <c r="AU14" s="342" t="s">
        <v>85</v>
      </c>
      <c r="AV14" s="342"/>
      <c r="AW14" s="342"/>
      <c r="AX14" s="343" t="str">
        <f>IF(OR(Tableau3[[#This Row],[Option GTR]]&lt;&gt;"",Tableau3[[#This Row],[GTR spécifique]]&lt;&gt;""),"GTRS1","GTRS2")</f>
        <v>GTRS2</v>
      </c>
      <c r="AY14" s="342" t="s">
        <v>143</v>
      </c>
      <c r="AZ14" s="342"/>
      <c r="BA14" s="342" t="s">
        <v>211</v>
      </c>
    </row>
    <row r="15" spans="1:53" s="326" customFormat="1" ht="18.149999999999999" customHeight="1" x14ac:dyDescent="0.3">
      <c r="A15" s="340" t="s">
        <v>53</v>
      </c>
      <c r="B15" s="340" t="s">
        <v>54</v>
      </c>
      <c r="C15" s="340" t="s">
        <v>55</v>
      </c>
      <c r="D15" s="340" t="s">
        <v>56</v>
      </c>
      <c r="E15" s="340" t="s">
        <v>57</v>
      </c>
      <c r="F15" s="340" t="s">
        <v>58</v>
      </c>
      <c r="G15" s="340" t="s">
        <v>59</v>
      </c>
      <c r="H15" s="340" t="s">
        <v>60</v>
      </c>
      <c r="I15" s="340" t="s">
        <v>61</v>
      </c>
      <c r="J15" s="340" t="s">
        <v>212</v>
      </c>
      <c r="K15" s="340" t="s">
        <v>213</v>
      </c>
      <c r="L15" s="345" t="str">
        <f>VLOOKUP(K15,'20260309 suivi sites'!F:F,1,0)</f>
        <v>38STJE011AOB</v>
      </c>
      <c r="M15" s="340" t="s">
        <v>64</v>
      </c>
      <c r="N15" s="340" t="s">
        <v>65</v>
      </c>
      <c r="O15" s="340" t="s">
        <v>64</v>
      </c>
      <c r="P15" s="341">
        <v>43601</v>
      </c>
      <c r="Q15" s="341">
        <v>46076</v>
      </c>
      <c r="R15" s="347" t="b">
        <f t="shared" si="1"/>
        <v>0</v>
      </c>
      <c r="S15" s="347" t="str">
        <f t="shared" si="0"/>
        <v>change</v>
      </c>
      <c r="T15" s="342" t="s">
        <v>56</v>
      </c>
      <c r="U15" s="342" t="s">
        <v>214</v>
      </c>
      <c r="V15" s="342" t="s">
        <v>215</v>
      </c>
      <c r="W15" s="342" t="s">
        <v>216</v>
      </c>
      <c r="X15" s="342" t="s">
        <v>69</v>
      </c>
      <c r="Y15" s="349" t="s">
        <v>217</v>
      </c>
      <c r="Z15" s="342" t="s">
        <v>71</v>
      </c>
      <c r="AA15" s="342" t="s">
        <v>218</v>
      </c>
      <c r="AB15" s="342" t="s">
        <v>152</v>
      </c>
      <c r="AC15" s="342" t="s">
        <v>74</v>
      </c>
      <c r="AD15" s="342"/>
      <c r="AE15" s="342" t="s">
        <v>219</v>
      </c>
      <c r="AF15" s="349" t="s">
        <v>3769</v>
      </c>
      <c r="AG15" s="342" t="s">
        <v>74</v>
      </c>
      <c r="AH15" s="342" t="s">
        <v>76</v>
      </c>
      <c r="AI15" s="342" t="s">
        <v>74</v>
      </c>
      <c r="AJ15" s="342" t="s">
        <v>77</v>
      </c>
      <c r="AK15" s="342" t="s">
        <v>220</v>
      </c>
      <c r="AL15" s="342" t="s">
        <v>79</v>
      </c>
      <c r="AM15" s="342" t="s">
        <v>74</v>
      </c>
      <c r="AN15" s="342"/>
      <c r="AO15" s="342" t="s">
        <v>221</v>
      </c>
      <c r="AP15" s="342" t="s">
        <v>81</v>
      </c>
      <c r="AQ15" s="349" t="s">
        <v>200</v>
      </c>
      <c r="AR15" s="342" t="s">
        <v>83</v>
      </c>
      <c r="AS15" s="342" t="s">
        <v>84</v>
      </c>
      <c r="AT15" s="342" t="s">
        <v>45</v>
      </c>
      <c r="AU15" s="342" t="s">
        <v>85</v>
      </c>
      <c r="AV15" s="342"/>
      <c r="AW15" s="342"/>
      <c r="AX15" s="343" t="str">
        <f>IF(OR(Tableau3[[#This Row],[Option GTR]]&lt;&gt;"",Tableau3[[#This Row],[GTR spécifique]]&lt;&gt;""),"GTRS1","GTRS2")</f>
        <v>GTRS2</v>
      </c>
      <c r="AY15" s="342" t="s">
        <v>223</v>
      </c>
      <c r="AZ15" s="342"/>
      <c r="BA15" s="342" t="s">
        <v>3795</v>
      </c>
    </row>
    <row r="16" spans="1:53" s="326" customFormat="1" ht="18.149999999999999" customHeight="1" x14ac:dyDescent="0.3">
      <c r="A16" s="340" t="s">
        <v>53</v>
      </c>
      <c r="B16" s="340" t="s">
        <v>54</v>
      </c>
      <c r="C16" s="340" t="s">
        <v>55</v>
      </c>
      <c r="D16" s="340" t="s">
        <v>56</v>
      </c>
      <c r="E16" s="340" t="s">
        <v>57</v>
      </c>
      <c r="F16" s="340" t="s">
        <v>58</v>
      </c>
      <c r="G16" s="340" t="s">
        <v>59</v>
      </c>
      <c r="H16" s="340" t="s">
        <v>60</v>
      </c>
      <c r="I16" s="340" t="s">
        <v>61</v>
      </c>
      <c r="J16" s="340" t="s">
        <v>224</v>
      </c>
      <c r="K16" s="340" t="s">
        <v>225</v>
      </c>
      <c r="L16" s="345" t="str">
        <f>VLOOKUP(K16,'20260309 suivi sites'!F:F,1,0)</f>
        <v>43MONI011AOG</v>
      </c>
      <c r="M16" s="340" t="s">
        <v>64</v>
      </c>
      <c r="N16" s="340" t="s">
        <v>65</v>
      </c>
      <c r="O16" s="340" t="s">
        <v>64</v>
      </c>
      <c r="P16" s="341">
        <v>43360</v>
      </c>
      <c r="Q16" s="341">
        <v>43809</v>
      </c>
      <c r="R16" s="347" t="b">
        <f t="shared" si="1"/>
        <v>0</v>
      </c>
      <c r="S16" s="347" t="str">
        <f t="shared" si="0"/>
        <v>change</v>
      </c>
      <c r="T16" s="342" t="s">
        <v>56</v>
      </c>
      <c r="U16" s="342" t="s">
        <v>226</v>
      </c>
      <c r="V16" s="342" t="s">
        <v>227</v>
      </c>
      <c r="W16" s="342" t="s">
        <v>228</v>
      </c>
      <c r="X16" s="342" t="s">
        <v>69</v>
      </c>
      <c r="Y16" s="349" t="s">
        <v>229</v>
      </c>
      <c r="Z16" s="342" t="s">
        <v>71</v>
      </c>
      <c r="AA16" s="342" t="s">
        <v>72</v>
      </c>
      <c r="AB16" s="342" t="s">
        <v>73</v>
      </c>
      <c r="AC16" s="342" t="s">
        <v>74</v>
      </c>
      <c r="AD16" s="342"/>
      <c r="AE16" s="342" t="s">
        <v>230</v>
      </c>
      <c r="AF16" s="349" t="s">
        <v>3771</v>
      </c>
      <c r="AG16" s="342" t="s">
        <v>74</v>
      </c>
      <c r="AH16" s="342" t="s">
        <v>74</v>
      </c>
      <c r="AI16" s="342" t="s">
        <v>74</v>
      </c>
      <c r="AJ16" s="342" t="s">
        <v>77</v>
      </c>
      <c r="AK16" s="342" t="s">
        <v>97</v>
      </c>
      <c r="AL16" s="342" t="s">
        <v>79</v>
      </c>
      <c r="AM16" s="342" t="s">
        <v>74</v>
      </c>
      <c r="AN16" s="342"/>
      <c r="AO16" s="342" t="s">
        <v>231</v>
      </c>
      <c r="AP16" s="342" t="s">
        <v>81</v>
      </c>
      <c r="AQ16" s="349" t="s">
        <v>222</v>
      </c>
      <c r="AR16" s="342" t="s">
        <v>83</v>
      </c>
      <c r="AS16" s="342" t="s">
        <v>84</v>
      </c>
      <c r="AT16" s="342" t="s">
        <v>45</v>
      </c>
      <c r="AU16" s="342" t="s">
        <v>85</v>
      </c>
      <c r="AV16" s="342"/>
      <c r="AW16" s="342"/>
      <c r="AX16" s="343" t="str">
        <f>IF(OR(Tableau3[[#This Row],[Option GTR]]&lt;&gt;"",Tableau3[[#This Row],[GTR spécifique]]&lt;&gt;""),"GTRS1","GTRS2")</f>
        <v>GTRS2</v>
      </c>
      <c r="AY16" s="342" t="s">
        <v>143</v>
      </c>
      <c r="AZ16" s="342"/>
      <c r="BA16" s="342" t="s">
        <v>232</v>
      </c>
    </row>
    <row r="17" spans="1:53" s="326" customFormat="1" ht="18.149999999999999" customHeight="1" x14ac:dyDescent="0.3">
      <c r="A17" s="340" t="s">
        <v>53</v>
      </c>
      <c r="B17" s="340" t="s">
        <v>54</v>
      </c>
      <c r="C17" s="340" t="s">
        <v>55</v>
      </c>
      <c r="D17" s="340" t="s">
        <v>56</v>
      </c>
      <c r="E17" s="340" t="s">
        <v>57</v>
      </c>
      <c r="F17" s="340" t="s">
        <v>58</v>
      </c>
      <c r="G17" s="340" t="s">
        <v>59</v>
      </c>
      <c r="H17" s="340" t="s">
        <v>60</v>
      </c>
      <c r="I17" s="340" t="s">
        <v>61</v>
      </c>
      <c r="J17" s="340" t="s">
        <v>233</v>
      </c>
      <c r="K17" s="340" t="s">
        <v>234</v>
      </c>
      <c r="L17" s="345" t="str">
        <f>VLOOKUP(K17,'20260309 suivi sites'!F:F,1,0)</f>
        <v>59MARL011AOG</v>
      </c>
      <c r="M17" s="340" t="s">
        <v>64</v>
      </c>
      <c r="N17" s="340" t="s">
        <v>65</v>
      </c>
      <c r="O17" s="340" t="s">
        <v>64</v>
      </c>
      <c r="P17" s="341">
        <v>43546</v>
      </c>
      <c r="Q17" s="341">
        <v>44088</v>
      </c>
      <c r="R17" s="347" t="b">
        <f t="shared" si="1"/>
        <v>0</v>
      </c>
      <c r="S17" s="347" t="str">
        <f t="shared" si="0"/>
        <v>change</v>
      </c>
      <c r="T17" s="342" t="s">
        <v>56</v>
      </c>
      <c r="U17" s="342" t="s">
        <v>235</v>
      </c>
      <c r="V17" s="342" t="s">
        <v>236</v>
      </c>
      <c r="W17" s="342" t="s">
        <v>237</v>
      </c>
      <c r="X17" s="342" t="s">
        <v>69</v>
      </c>
      <c r="Y17" s="349" t="s">
        <v>238</v>
      </c>
      <c r="Z17" s="342" t="s">
        <v>71</v>
      </c>
      <c r="AA17" s="342" t="s">
        <v>72</v>
      </c>
      <c r="AB17" s="342" t="s">
        <v>73</v>
      </c>
      <c r="AC17" s="342" t="s">
        <v>74</v>
      </c>
      <c r="AD17" s="342"/>
      <c r="AE17" s="342" t="s">
        <v>239</v>
      </c>
      <c r="AF17" s="349" t="s">
        <v>3770</v>
      </c>
      <c r="AG17" s="342" t="s">
        <v>74</v>
      </c>
      <c r="AH17" s="342" t="s">
        <v>74</v>
      </c>
      <c r="AI17" s="342" t="s">
        <v>74</v>
      </c>
      <c r="AJ17" s="342" t="s">
        <v>77</v>
      </c>
      <c r="AK17" s="342" t="s">
        <v>97</v>
      </c>
      <c r="AL17" s="342" t="s">
        <v>79</v>
      </c>
      <c r="AM17" s="342" t="s">
        <v>74</v>
      </c>
      <c r="AN17" s="342"/>
      <c r="AO17" s="342" t="s">
        <v>240</v>
      </c>
      <c r="AP17" s="342" t="s">
        <v>81</v>
      </c>
      <c r="AQ17" s="349" t="s">
        <v>210</v>
      </c>
      <c r="AR17" s="342" t="s">
        <v>83</v>
      </c>
      <c r="AS17" s="342" t="s">
        <v>84</v>
      </c>
      <c r="AT17" s="342" t="s">
        <v>45</v>
      </c>
      <c r="AU17" s="342" t="s">
        <v>85</v>
      </c>
      <c r="AV17" s="342"/>
      <c r="AW17" s="342"/>
      <c r="AX17" s="343" t="str">
        <f>IF(OR(Tableau3[[#This Row],[Option GTR]]&lt;&gt;"",Tableau3[[#This Row],[GTR spécifique]]&lt;&gt;""),"GTRS1","GTRS2")</f>
        <v>GTRS2</v>
      </c>
      <c r="AY17" s="342" t="s">
        <v>86</v>
      </c>
      <c r="AZ17" s="342"/>
      <c r="BA17" s="342" t="s">
        <v>241</v>
      </c>
    </row>
    <row r="18" spans="1:53" s="326" customFormat="1" ht="18.149999999999999" customHeight="1" x14ac:dyDescent="0.3">
      <c r="A18" s="340" t="s">
        <v>53</v>
      </c>
      <c r="B18" s="340" t="s">
        <v>54</v>
      </c>
      <c r="C18" s="340" t="s">
        <v>55</v>
      </c>
      <c r="D18" s="340" t="s">
        <v>56</v>
      </c>
      <c r="E18" s="340" t="s">
        <v>57</v>
      </c>
      <c r="F18" s="340" t="s">
        <v>58</v>
      </c>
      <c r="G18" s="340" t="s">
        <v>59</v>
      </c>
      <c r="H18" s="340" t="s">
        <v>60</v>
      </c>
      <c r="I18" s="340" t="s">
        <v>61</v>
      </c>
      <c r="J18" s="340" t="s">
        <v>242</v>
      </c>
      <c r="K18" s="340" t="s">
        <v>243</v>
      </c>
      <c r="L18" s="345" t="str">
        <f>VLOOKUP(K18,'20260309 suivi sites'!F:F,1,0)</f>
        <v>66PRAT011AOG</v>
      </c>
      <c r="M18" s="340" t="s">
        <v>64</v>
      </c>
      <c r="N18" s="340" t="s">
        <v>65</v>
      </c>
      <c r="O18" s="340" t="s">
        <v>64</v>
      </c>
      <c r="P18" s="341">
        <v>43601</v>
      </c>
      <c r="Q18" s="341">
        <v>45735</v>
      </c>
      <c r="R18" s="347" t="b">
        <f t="shared" si="1"/>
        <v>0</v>
      </c>
      <c r="S18" s="347" t="str">
        <f t="shared" si="0"/>
        <v>change</v>
      </c>
      <c r="T18" s="342" t="s">
        <v>56</v>
      </c>
      <c r="U18" s="342" t="s">
        <v>244</v>
      </c>
      <c r="V18" s="342" t="s">
        <v>245</v>
      </c>
      <c r="W18" s="342" t="s">
        <v>246</v>
      </c>
      <c r="X18" s="342" t="s">
        <v>69</v>
      </c>
      <c r="Y18" s="349" t="s">
        <v>247</v>
      </c>
      <c r="Z18" s="342" t="s">
        <v>71</v>
      </c>
      <c r="AA18" s="342" t="s">
        <v>72</v>
      </c>
      <c r="AB18" s="342" t="s">
        <v>73</v>
      </c>
      <c r="AC18" s="342" t="s">
        <v>74</v>
      </c>
      <c r="AD18" s="342"/>
      <c r="AE18" s="342" t="s">
        <v>248</v>
      </c>
      <c r="AF18" s="349" t="s">
        <v>3771</v>
      </c>
      <c r="AG18" s="342" t="s">
        <v>74</v>
      </c>
      <c r="AH18" s="342" t="s">
        <v>74</v>
      </c>
      <c r="AI18" s="342" t="s">
        <v>74</v>
      </c>
      <c r="AJ18" s="342" t="s">
        <v>77</v>
      </c>
      <c r="AK18" s="342" t="s">
        <v>97</v>
      </c>
      <c r="AL18" s="342" t="s">
        <v>79</v>
      </c>
      <c r="AM18" s="342" t="s">
        <v>74</v>
      </c>
      <c r="AN18" s="342"/>
      <c r="AO18" s="342" t="s">
        <v>249</v>
      </c>
      <c r="AP18" s="342" t="s">
        <v>81</v>
      </c>
      <c r="AQ18" s="349" t="s">
        <v>222</v>
      </c>
      <c r="AR18" s="342" t="s">
        <v>83</v>
      </c>
      <c r="AS18" s="342" t="s">
        <v>84</v>
      </c>
      <c r="AT18" s="342" t="s">
        <v>45</v>
      </c>
      <c r="AU18" s="342" t="s">
        <v>85</v>
      </c>
      <c r="AV18" s="342"/>
      <c r="AW18" s="342"/>
      <c r="AX18" s="343" t="str">
        <f>IF(OR(Tableau3[[#This Row],[Option GTR]]&lt;&gt;"",Tableau3[[#This Row],[GTR spécifique]]&lt;&gt;""),"GTRS1","GTRS2")</f>
        <v>GTRS2</v>
      </c>
      <c r="AY18" s="342" t="s">
        <v>143</v>
      </c>
      <c r="AZ18" s="342"/>
      <c r="BA18" s="342" t="s">
        <v>250</v>
      </c>
    </row>
    <row r="19" spans="1:53" s="326" customFormat="1" ht="18.149999999999999" customHeight="1" x14ac:dyDescent="0.3">
      <c r="A19" s="340" t="s">
        <v>53</v>
      </c>
      <c r="B19" s="340" t="s">
        <v>54</v>
      </c>
      <c r="C19" s="340" t="s">
        <v>55</v>
      </c>
      <c r="D19" s="340" t="s">
        <v>56</v>
      </c>
      <c r="E19" s="340" t="s">
        <v>57</v>
      </c>
      <c r="F19" s="340" t="s">
        <v>58</v>
      </c>
      <c r="G19" s="340" t="s">
        <v>59</v>
      </c>
      <c r="H19" s="340" t="s">
        <v>60</v>
      </c>
      <c r="I19" s="340" t="s">
        <v>61</v>
      </c>
      <c r="J19" s="340" t="s">
        <v>251</v>
      </c>
      <c r="K19" s="340" t="s">
        <v>252</v>
      </c>
      <c r="L19" s="345" t="str">
        <f>VLOOKUP(K19,'20260309 suivi sites'!F:F,1,0)</f>
        <v>77LIEU011AOG</v>
      </c>
      <c r="M19" s="340" t="s">
        <v>64</v>
      </c>
      <c r="N19" s="340" t="s">
        <v>65</v>
      </c>
      <c r="O19" s="340" t="s">
        <v>64</v>
      </c>
      <c r="P19" s="341">
        <v>43360</v>
      </c>
      <c r="Q19" s="341">
        <v>44859</v>
      </c>
      <c r="R19" s="347" t="b">
        <f t="shared" si="1"/>
        <v>0</v>
      </c>
      <c r="S19" s="347" t="str">
        <f t="shared" si="0"/>
        <v>change</v>
      </c>
      <c r="T19" s="342" t="s">
        <v>56</v>
      </c>
      <c r="U19" s="342" t="s">
        <v>253</v>
      </c>
      <c r="V19" s="342" t="s">
        <v>254</v>
      </c>
      <c r="W19" s="342" t="s">
        <v>255</v>
      </c>
      <c r="X19" s="342" t="s">
        <v>69</v>
      </c>
      <c r="Y19" s="349" t="s">
        <v>256</v>
      </c>
      <c r="Z19" s="342" t="s">
        <v>71</v>
      </c>
      <c r="AA19" s="342" t="s">
        <v>72</v>
      </c>
      <c r="AB19" s="342" t="s">
        <v>73</v>
      </c>
      <c r="AC19" s="342" t="s">
        <v>74</v>
      </c>
      <c r="AD19" s="342"/>
      <c r="AE19" s="342" t="s">
        <v>257</v>
      </c>
      <c r="AF19" s="349" t="s">
        <v>3770</v>
      </c>
      <c r="AG19" s="342" t="s">
        <v>74</v>
      </c>
      <c r="AH19" s="342" t="s">
        <v>74</v>
      </c>
      <c r="AI19" s="342" t="s">
        <v>74</v>
      </c>
      <c r="AJ19" s="342" t="s">
        <v>77</v>
      </c>
      <c r="AK19" s="342" t="s">
        <v>97</v>
      </c>
      <c r="AL19" s="342" t="s">
        <v>79</v>
      </c>
      <c r="AM19" s="342" t="s">
        <v>74</v>
      </c>
      <c r="AN19" s="342"/>
      <c r="AO19" s="342" t="s">
        <v>258</v>
      </c>
      <c r="AP19" s="342" t="s">
        <v>81</v>
      </c>
      <c r="AQ19" s="349" t="s">
        <v>210</v>
      </c>
      <c r="AR19" s="342" t="s">
        <v>83</v>
      </c>
      <c r="AS19" s="342" t="s">
        <v>84</v>
      </c>
      <c r="AT19" s="342" t="s">
        <v>45</v>
      </c>
      <c r="AU19" s="342" t="s">
        <v>85</v>
      </c>
      <c r="AV19" s="342"/>
      <c r="AW19" s="342"/>
      <c r="AX19" s="343" t="str">
        <f>IF(OR(Tableau3[[#This Row],[Option GTR]]&lt;&gt;"",Tableau3[[#This Row],[GTR spécifique]]&lt;&gt;""),"GTRS1","GTRS2")</f>
        <v>GTRS2</v>
      </c>
      <c r="AY19" s="342" t="s">
        <v>143</v>
      </c>
      <c r="AZ19" s="342"/>
      <c r="BA19" s="342" t="s">
        <v>259</v>
      </c>
    </row>
    <row r="20" spans="1:53" s="326" customFormat="1" ht="18.149999999999999" customHeight="1" x14ac:dyDescent="0.3">
      <c r="A20" s="340" t="s">
        <v>53</v>
      </c>
      <c r="B20" s="340" t="s">
        <v>54</v>
      </c>
      <c r="C20" s="340" t="s">
        <v>55</v>
      </c>
      <c r="D20" s="340" t="s">
        <v>56</v>
      </c>
      <c r="E20" s="340" t="s">
        <v>57</v>
      </c>
      <c r="F20" s="340" t="s">
        <v>58</v>
      </c>
      <c r="G20" s="340" t="s">
        <v>59</v>
      </c>
      <c r="H20" s="340" t="s">
        <v>60</v>
      </c>
      <c r="I20" s="340" t="s">
        <v>61</v>
      </c>
      <c r="J20" s="340" t="s">
        <v>260</v>
      </c>
      <c r="K20" s="340" t="s">
        <v>261</v>
      </c>
      <c r="L20" s="345" t="str">
        <f>VLOOKUP(K20,'20260309 suivi sites'!F:F,1,0)</f>
        <v>78CHAT011AOG</v>
      </c>
      <c r="M20" s="340" t="s">
        <v>64</v>
      </c>
      <c r="N20" s="340" t="s">
        <v>65</v>
      </c>
      <c r="O20" s="340" t="s">
        <v>104</v>
      </c>
      <c r="P20" s="341">
        <v>43360</v>
      </c>
      <c r="Q20" s="341"/>
      <c r="R20" s="347" t="b">
        <f t="shared" si="1"/>
        <v>0</v>
      </c>
      <c r="S20" s="347" t="str">
        <f t="shared" si="0"/>
        <v>change</v>
      </c>
      <c r="T20" s="342" t="s">
        <v>56</v>
      </c>
      <c r="U20" s="342" t="s">
        <v>262</v>
      </c>
      <c r="V20" s="342" t="s">
        <v>263</v>
      </c>
      <c r="W20" s="342" t="s">
        <v>264</v>
      </c>
      <c r="X20" s="342" t="s">
        <v>69</v>
      </c>
      <c r="Y20" s="349" t="s">
        <v>265</v>
      </c>
      <c r="Z20" s="342" t="s">
        <v>71</v>
      </c>
      <c r="AA20" s="342" t="s">
        <v>72</v>
      </c>
      <c r="AB20" s="342" t="s">
        <v>73</v>
      </c>
      <c r="AC20" s="342" t="s">
        <v>74</v>
      </c>
      <c r="AD20" s="342"/>
      <c r="AE20" s="342" t="s">
        <v>266</v>
      </c>
      <c r="AF20" s="349" t="s">
        <v>3764</v>
      </c>
      <c r="AG20" s="342" t="s">
        <v>74</v>
      </c>
      <c r="AH20" s="342" t="s">
        <v>74</v>
      </c>
      <c r="AI20" s="342" t="s">
        <v>74</v>
      </c>
      <c r="AJ20" s="342" t="s">
        <v>77</v>
      </c>
      <c r="AK20" s="342" t="s">
        <v>97</v>
      </c>
      <c r="AL20" s="342" t="s">
        <v>79</v>
      </c>
      <c r="AM20" s="342" t="s">
        <v>74</v>
      </c>
      <c r="AN20" s="342"/>
      <c r="AO20" s="342" t="s">
        <v>267</v>
      </c>
      <c r="AP20" s="342" t="s">
        <v>81</v>
      </c>
      <c r="AQ20" s="349" t="s">
        <v>99</v>
      </c>
      <c r="AR20" s="342" t="s">
        <v>83</v>
      </c>
      <c r="AS20" s="342" t="s">
        <v>84</v>
      </c>
      <c r="AT20" s="342" t="s">
        <v>45</v>
      </c>
      <c r="AU20" s="342" t="s">
        <v>85</v>
      </c>
      <c r="AV20" s="342"/>
      <c r="AW20" s="342"/>
      <c r="AX20" s="343" t="str">
        <f>IF(OR(Tableau3[[#This Row],[Option GTR]]&lt;&gt;"",Tableau3[[#This Row],[GTR spécifique]]&lt;&gt;""),"GTRS1","GTRS2")</f>
        <v>GTRS2</v>
      </c>
      <c r="AY20" s="342" t="s">
        <v>86</v>
      </c>
      <c r="AZ20" s="342"/>
      <c r="BA20" s="344" t="s">
        <v>268</v>
      </c>
    </row>
    <row r="21" spans="1:53" s="326" customFormat="1" ht="18.149999999999999" customHeight="1" x14ac:dyDescent="0.3">
      <c r="A21" s="340" t="s">
        <v>53</v>
      </c>
      <c r="B21" s="340" t="s">
        <v>54</v>
      </c>
      <c r="C21" s="340" t="s">
        <v>55</v>
      </c>
      <c r="D21" s="340" t="s">
        <v>56</v>
      </c>
      <c r="E21" s="340" t="s">
        <v>57</v>
      </c>
      <c r="F21" s="340" t="s">
        <v>58</v>
      </c>
      <c r="G21" s="340" t="s">
        <v>59</v>
      </c>
      <c r="H21" s="340" t="s">
        <v>60</v>
      </c>
      <c r="I21" s="340" t="s">
        <v>61</v>
      </c>
      <c r="J21" s="340" t="s">
        <v>269</v>
      </c>
      <c r="K21" s="340" t="s">
        <v>270</v>
      </c>
      <c r="L21" s="345" t="str">
        <f>VLOOKUP(K21,'20260309 suivi sites'!F:F,1,0)</f>
        <v>93STOU011AOP</v>
      </c>
      <c r="M21" s="340" t="s">
        <v>64</v>
      </c>
      <c r="N21" s="340" t="s">
        <v>65</v>
      </c>
      <c r="O21" s="340" t="s">
        <v>64</v>
      </c>
      <c r="P21" s="341">
        <v>43374</v>
      </c>
      <c r="Q21" s="341">
        <v>45957</v>
      </c>
      <c r="R21" s="347" t="b">
        <f t="shared" si="1"/>
        <v>0</v>
      </c>
      <c r="S21" s="347" t="str">
        <f t="shared" si="0"/>
        <v>change</v>
      </c>
      <c r="T21" s="342" t="s">
        <v>56</v>
      </c>
      <c r="U21" s="342" t="s">
        <v>271</v>
      </c>
      <c r="V21" s="342" t="s">
        <v>272</v>
      </c>
      <c r="W21" s="342" t="s">
        <v>273</v>
      </c>
      <c r="X21" s="342" t="s">
        <v>69</v>
      </c>
      <c r="Y21" s="349" t="s">
        <v>274</v>
      </c>
      <c r="Z21" s="342" t="s">
        <v>71</v>
      </c>
      <c r="AA21" s="342" t="s">
        <v>72</v>
      </c>
      <c r="AB21" s="342" t="s">
        <v>73</v>
      </c>
      <c r="AC21" s="342" t="s">
        <v>74</v>
      </c>
      <c r="AD21" s="342"/>
      <c r="AE21" s="342" t="s">
        <v>275</v>
      </c>
      <c r="AF21" s="349" t="s">
        <v>1313</v>
      </c>
      <c r="AG21" s="342" t="s">
        <v>74</v>
      </c>
      <c r="AH21" s="342" t="s">
        <v>74</v>
      </c>
      <c r="AI21" s="342" t="s">
        <v>74</v>
      </c>
      <c r="AJ21" s="342" t="s">
        <v>77</v>
      </c>
      <c r="AK21" s="342" t="s">
        <v>78</v>
      </c>
      <c r="AL21" s="342" t="s">
        <v>79</v>
      </c>
      <c r="AM21" s="342" t="s">
        <v>166</v>
      </c>
      <c r="AN21" s="342" t="s">
        <v>276</v>
      </c>
      <c r="AO21" s="342" t="s">
        <v>277</v>
      </c>
      <c r="AP21" s="342" t="s">
        <v>81</v>
      </c>
      <c r="AQ21" s="349" t="s">
        <v>278</v>
      </c>
      <c r="AR21" s="342" t="s">
        <v>83</v>
      </c>
      <c r="AS21" s="342" t="s">
        <v>84</v>
      </c>
      <c r="AT21" s="342" t="s">
        <v>45</v>
      </c>
      <c r="AU21" s="342" t="s">
        <v>85</v>
      </c>
      <c r="AV21" s="342" t="s">
        <v>120</v>
      </c>
      <c r="AW21" s="342"/>
      <c r="AX21" s="343" t="str">
        <f>IF(OR(Tableau3[[#This Row],[Option GTR]]&lt;&gt;"",Tableau3[[#This Row],[GTR spécifique]]&lt;&gt;""),"GTRS1","GTRS2")</f>
        <v>GTRS1</v>
      </c>
      <c r="AY21" s="342" t="s">
        <v>86</v>
      </c>
      <c r="AZ21" s="342"/>
      <c r="BA21" s="342" t="s">
        <v>280</v>
      </c>
    </row>
    <row r="22" spans="1:53" s="326" customFormat="1" ht="18.149999999999999" customHeight="1" x14ac:dyDescent="0.3">
      <c r="A22" s="340" t="s">
        <v>53</v>
      </c>
      <c r="B22" s="340" t="s">
        <v>54</v>
      </c>
      <c r="C22" s="340" t="s">
        <v>55</v>
      </c>
      <c r="D22" s="340" t="s">
        <v>56</v>
      </c>
      <c r="E22" s="340" t="s">
        <v>57</v>
      </c>
      <c r="F22" s="340" t="s">
        <v>58</v>
      </c>
      <c r="G22" s="340" t="s">
        <v>59</v>
      </c>
      <c r="H22" s="340" t="s">
        <v>60</v>
      </c>
      <c r="I22" s="340" t="s">
        <v>61</v>
      </c>
      <c r="J22" s="340" t="s">
        <v>281</v>
      </c>
      <c r="K22" s="340" t="s">
        <v>282</v>
      </c>
      <c r="L22" s="345" t="str">
        <f>VLOOKUP(K22,'20260309 suivi sites'!F:F,1,0)</f>
        <v>35CESS011AOP</v>
      </c>
      <c r="M22" s="340" t="s">
        <v>64</v>
      </c>
      <c r="N22" s="340" t="s">
        <v>65</v>
      </c>
      <c r="O22" s="340" t="s">
        <v>64</v>
      </c>
      <c r="P22" s="341">
        <v>43364</v>
      </c>
      <c r="Q22" s="341">
        <v>45462</v>
      </c>
      <c r="R22" s="347" t="b">
        <f t="shared" si="1"/>
        <v>0</v>
      </c>
      <c r="S22" s="347" t="str">
        <f t="shared" si="0"/>
        <v>change</v>
      </c>
      <c r="T22" s="342" t="s">
        <v>56</v>
      </c>
      <c r="U22" s="342" t="s">
        <v>283</v>
      </c>
      <c r="V22" s="342" t="s">
        <v>284</v>
      </c>
      <c r="W22" s="342" t="s">
        <v>285</v>
      </c>
      <c r="X22" s="342" t="s">
        <v>69</v>
      </c>
      <c r="Y22" s="349" t="s">
        <v>286</v>
      </c>
      <c r="Z22" s="342" t="s">
        <v>71</v>
      </c>
      <c r="AA22" s="342" t="s">
        <v>72</v>
      </c>
      <c r="AB22" s="342" t="s">
        <v>73</v>
      </c>
      <c r="AC22" s="342" t="s">
        <v>74</v>
      </c>
      <c r="AD22" s="342"/>
      <c r="AE22" s="342" t="s">
        <v>287</v>
      </c>
      <c r="AF22" s="349" t="s">
        <v>3769</v>
      </c>
      <c r="AG22" s="342" t="s">
        <v>74</v>
      </c>
      <c r="AH22" s="342" t="s">
        <v>76</v>
      </c>
      <c r="AI22" s="342" t="s">
        <v>74</v>
      </c>
      <c r="AJ22" s="342" t="s">
        <v>77</v>
      </c>
      <c r="AK22" s="342" t="s">
        <v>78</v>
      </c>
      <c r="AL22" s="342" t="s">
        <v>79</v>
      </c>
      <c r="AM22" s="342" t="s">
        <v>166</v>
      </c>
      <c r="AN22" s="342" t="s">
        <v>288</v>
      </c>
      <c r="AO22" s="342" t="s">
        <v>289</v>
      </c>
      <c r="AP22" s="342" t="s">
        <v>81</v>
      </c>
      <c r="AQ22" s="349" t="s">
        <v>200</v>
      </c>
      <c r="AR22" s="342" t="s">
        <v>83</v>
      </c>
      <c r="AS22" s="342" t="s">
        <v>290</v>
      </c>
      <c r="AT22" s="342" t="s">
        <v>45</v>
      </c>
      <c r="AU22" s="342" t="s">
        <v>85</v>
      </c>
      <c r="AV22" s="342"/>
      <c r="AW22" s="342"/>
      <c r="AX22" s="343" t="str">
        <f>IF(OR(Tableau3[[#This Row],[Option GTR]]&lt;&gt;"",Tableau3[[#This Row],[GTR spécifique]]&lt;&gt;""),"GTRS1","GTRS2")</f>
        <v>GTRS2</v>
      </c>
      <c r="AY22" s="342" t="s">
        <v>86</v>
      </c>
      <c r="AZ22" s="342"/>
      <c r="BA22" s="342" t="s">
        <v>291</v>
      </c>
    </row>
    <row r="23" spans="1:53" s="326" customFormat="1" ht="18.149999999999999" customHeight="1" x14ac:dyDescent="0.3">
      <c r="A23" s="340" t="s">
        <v>53</v>
      </c>
      <c r="B23" s="340" t="s">
        <v>54</v>
      </c>
      <c r="C23" s="340" t="s">
        <v>55</v>
      </c>
      <c r="D23" s="340" t="s">
        <v>56</v>
      </c>
      <c r="E23" s="340" t="s">
        <v>57</v>
      </c>
      <c r="F23" s="340" t="s">
        <v>58</v>
      </c>
      <c r="G23" s="340" t="s">
        <v>59</v>
      </c>
      <c r="H23" s="340" t="s">
        <v>60</v>
      </c>
      <c r="I23" s="340" t="s">
        <v>61</v>
      </c>
      <c r="J23" s="340" t="s">
        <v>292</v>
      </c>
      <c r="K23" s="340" t="s">
        <v>293</v>
      </c>
      <c r="L23" s="345" t="str">
        <f>VLOOKUP(K23,'20260309 suivi sites'!F:F,1,0)</f>
        <v>36CUZI011AOS</v>
      </c>
      <c r="M23" s="340" t="s">
        <v>64</v>
      </c>
      <c r="N23" s="340" t="s">
        <v>65</v>
      </c>
      <c r="O23" s="340" t="s">
        <v>64</v>
      </c>
      <c r="P23" s="341">
        <v>43598</v>
      </c>
      <c r="Q23" s="341">
        <v>45939</v>
      </c>
      <c r="R23" s="347" t="b">
        <f t="shared" si="1"/>
        <v>0</v>
      </c>
      <c r="S23" s="347" t="str">
        <f t="shared" si="0"/>
        <v>change</v>
      </c>
      <c r="T23" s="342" t="s">
        <v>56</v>
      </c>
      <c r="U23" s="342" t="s">
        <v>294</v>
      </c>
      <c r="V23" s="342" t="s">
        <v>295</v>
      </c>
      <c r="W23" s="342" t="s">
        <v>296</v>
      </c>
      <c r="X23" s="342" t="s">
        <v>69</v>
      </c>
      <c r="Y23" s="349" t="s">
        <v>297</v>
      </c>
      <c r="Z23" s="342" t="s">
        <v>71</v>
      </c>
      <c r="AA23" s="342" t="s">
        <v>72</v>
      </c>
      <c r="AB23" s="342" t="s">
        <v>73</v>
      </c>
      <c r="AC23" s="342" t="s">
        <v>74</v>
      </c>
      <c r="AD23" s="342"/>
      <c r="AE23" s="342" t="s">
        <v>298</v>
      </c>
      <c r="AF23" s="349" t="s">
        <v>3764</v>
      </c>
      <c r="AG23" s="342" t="s">
        <v>74</v>
      </c>
      <c r="AH23" s="342" t="s">
        <v>74</v>
      </c>
      <c r="AI23" s="342" t="s">
        <v>74</v>
      </c>
      <c r="AJ23" s="342" t="s">
        <v>77</v>
      </c>
      <c r="AK23" s="342" t="s">
        <v>97</v>
      </c>
      <c r="AL23" s="342" t="s">
        <v>79</v>
      </c>
      <c r="AM23" s="342" t="s">
        <v>74</v>
      </c>
      <c r="AN23" s="342"/>
      <c r="AO23" s="342" t="s">
        <v>299</v>
      </c>
      <c r="AP23" s="342" t="s">
        <v>81</v>
      </c>
      <c r="AQ23" s="349" t="s">
        <v>99</v>
      </c>
      <c r="AR23" s="342" t="s">
        <v>83</v>
      </c>
      <c r="AS23" s="342" t="s">
        <v>84</v>
      </c>
      <c r="AT23" s="342" t="s">
        <v>45</v>
      </c>
      <c r="AU23" s="342" t="s">
        <v>85</v>
      </c>
      <c r="AV23" s="342"/>
      <c r="AW23" s="342"/>
      <c r="AX23" s="343" t="str">
        <f>IF(OR(Tableau3[[#This Row],[Option GTR]]&lt;&gt;"",Tableau3[[#This Row],[GTR spécifique]]&lt;&gt;""),"GTRS1","GTRS2")</f>
        <v>GTRS2</v>
      </c>
      <c r="AY23" s="342" t="s">
        <v>143</v>
      </c>
      <c r="AZ23" s="342"/>
      <c r="BA23" s="342" t="s">
        <v>300</v>
      </c>
    </row>
    <row r="24" spans="1:53" s="326" customFormat="1" ht="18.149999999999999" customHeight="1" x14ac:dyDescent="0.3">
      <c r="A24" s="340" t="s">
        <v>53</v>
      </c>
      <c r="B24" s="340" t="s">
        <v>54</v>
      </c>
      <c r="C24" s="340" t="s">
        <v>55</v>
      </c>
      <c r="D24" s="340" t="s">
        <v>56</v>
      </c>
      <c r="E24" s="340" t="s">
        <v>57</v>
      </c>
      <c r="F24" s="340" t="s">
        <v>58</v>
      </c>
      <c r="G24" s="340" t="s">
        <v>59</v>
      </c>
      <c r="H24" s="340" t="s">
        <v>60</v>
      </c>
      <c r="I24" s="340" t="s">
        <v>61</v>
      </c>
      <c r="J24" s="340" t="s">
        <v>301</v>
      </c>
      <c r="K24" s="340" t="s">
        <v>302</v>
      </c>
      <c r="L24" s="345" t="str">
        <f>VLOOKUP(K24,'20260309 suivi sites'!F:F,1,0)</f>
        <v>13MARS021AOP</v>
      </c>
      <c r="M24" s="340" t="s">
        <v>64</v>
      </c>
      <c r="N24" s="340" t="s">
        <v>65</v>
      </c>
      <c r="O24" s="340" t="s">
        <v>64</v>
      </c>
      <c r="P24" s="341">
        <v>43801</v>
      </c>
      <c r="Q24" s="341">
        <v>44088</v>
      </c>
      <c r="R24" s="347" t="b">
        <f t="shared" si="1"/>
        <v>0</v>
      </c>
      <c r="S24" s="347" t="str">
        <f t="shared" si="0"/>
        <v>change</v>
      </c>
      <c r="T24" s="342" t="s">
        <v>56</v>
      </c>
      <c r="U24" s="342" t="s">
        <v>303</v>
      </c>
      <c r="V24" s="342" t="s">
        <v>304</v>
      </c>
      <c r="W24" s="342" t="s">
        <v>305</v>
      </c>
      <c r="X24" s="342" t="s">
        <v>69</v>
      </c>
      <c r="Y24" s="349" t="s">
        <v>306</v>
      </c>
      <c r="Z24" s="342" t="s">
        <v>71</v>
      </c>
      <c r="AA24" s="342" t="s">
        <v>72</v>
      </c>
      <c r="AB24" s="342" t="s">
        <v>73</v>
      </c>
      <c r="AC24" s="342" t="s">
        <v>74</v>
      </c>
      <c r="AD24" s="342"/>
      <c r="AE24" s="342" t="s">
        <v>307</v>
      </c>
      <c r="AF24" s="349" t="s">
        <v>3772</v>
      </c>
      <c r="AG24" s="342" t="s">
        <v>74</v>
      </c>
      <c r="AH24" s="342" t="s">
        <v>76</v>
      </c>
      <c r="AI24" s="342" t="s">
        <v>74</v>
      </c>
      <c r="AJ24" s="342" t="s">
        <v>77</v>
      </c>
      <c r="AK24" s="342" t="s">
        <v>78</v>
      </c>
      <c r="AL24" s="342" t="s">
        <v>79</v>
      </c>
      <c r="AM24" s="342" t="s">
        <v>166</v>
      </c>
      <c r="AN24" s="342" t="s">
        <v>308</v>
      </c>
      <c r="AO24" s="342" t="s">
        <v>309</v>
      </c>
      <c r="AP24" s="342" t="s">
        <v>81</v>
      </c>
      <c r="AQ24" s="349" t="s">
        <v>310</v>
      </c>
      <c r="AR24" s="342" t="s">
        <v>83</v>
      </c>
      <c r="AS24" s="342" t="s">
        <v>84</v>
      </c>
      <c r="AT24" s="342" t="s">
        <v>45</v>
      </c>
      <c r="AU24" s="342" t="s">
        <v>85</v>
      </c>
      <c r="AV24" s="342"/>
      <c r="AW24" s="342"/>
      <c r="AX24" s="343" t="str">
        <f>IF(OR(Tableau3[[#This Row],[Option GTR]]&lt;&gt;"",Tableau3[[#This Row],[GTR spécifique]]&lt;&gt;""),"GTRS1","GTRS2")</f>
        <v>GTRS2</v>
      </c>
      <c r="AY24" s="342" t="s">
        <v>86</v>
      </c>
      <c r="AZ24" s="342"/>
      <c r="BA24" s="342" t="s">
        <v>241</v>
      </c>
    </row>
    <row r="25" spans="1:53" s="326" customFormat="1" ht="18.149999999999999" customHeight="1" x14ac:dyDescent="0.3">
      <c r="A25" s="340" t="s">
        <v>53</v>
      </c>
      <c r="B25" s="340" t="s">
        <v>54</v>
      </c>
      <c r="C25" s="340" t="s">
        <v>55</v>
      </c>
      <c r="D25" s="340" t="s">
        <v>56</v>
      </c>
      <c r="E25" s="340" t="s">
        <v>57</v>
      </c>
      <c r="F25" s="340" t="s">
        <v>58</v>
      </c>
      <c r="G25" s="340" t="s">
        <v>59</v>
      </c>
      <c r="H25" s="340" t="s">
        <v>60</v>
      </c>
      <c r="I25" s="340" t="s">
        <v>61</v>
      </c>
      <c r="J25" s="340" t="s">
        <v>311</v>
      </c>
      <c r="K25" s="340" t="s">
        <v>312</v>
      </c>
      <c r="L25" s="345" t="str">
        <f>VLOOKUP(K25,'20260309 suivi sites'!F:F,1,0)</f>
        <v>19ARGE011AOG</v>
      </c>
      <c r="M25" s="340" t="s">
        <v>64</v>
      </c>
      <c r="N25" s="340" t="s">
        <v>65</v>
      </c>
      <c r="O25" s="340" t="s">
        <v>64</v>
      </c>
      <c r="P25" s="341">
        <v>43617</v>
      </c>
      <c r="Q25" s="341">
        <v>45769</v>
      </c>
      <c r="R25" s="347" t="b">
        <f t="shared" si="1"/>
        <v>0</v>
      </c>
      <c r="S25" s="347" t="str">
        <f t="shared" si="0"/>
        <v>change</v>
      </c>
      <c r="T25" s="342" t="s">
        <v>56</v>
      </c>
      <c r="U25" s="342" t="s">
        <v>313</v>
      </c>
      <c r="V25" s="342" t="s">
        <v>314</v>
      </c>
      <c r="W25" s="342" t="s">
        <v>315</v>
      </c>
      <c r="X25" s="342" t="s">
        <v>69</v>
      </c>
      <c r="Y25" s="349" t="s">
        <v>316</v>
      </c>
      <c r="Z25" s="342" t="s">
        <v>71</v>
      </c>
      <c r="AA25" s="342" t="s">
        <v>72</v>
      </c>
      <c r="AB25" s="342" t="s">
        <v>73</v>
      </c>
      <c r="AC25" s="342" t="s">
        <v>74</v>
      </c>
      <c r="AD25" s="342"/>
      <c r="AE25" s="342" t="s">
        <v>317</v>
      </c>
      <c r="AF25" s="349" t="s">
        <v>3771</v>
      </c>
      <c r="AG25" s="342" t="s">
        <v>74</v>
      </c>
      <c r="AH25" s="342" t="s">
        <v>76</v>
      </c>
      <c r="AI25" s="342" t="s">
        <v>74</v>
      </c>
      <c r="AJ25" s="342" t="s">
        <v>77</v>
      </c>
      <c r="AK25" s="342" t="s">
        <v>97</v>
      </c>
      <c r="AL25" s="342" t="s">
        <v>79</v>
      </c>
      <c r="AM25" s="342" t="s">
        <v>74</v>
      </c>
      <c r="AN25" s="342"/>
      <c r="AO25" s="342" t="s">
        <v>318</v>
      </c>
      <c r="AP25" s="342" t="s">
        <v>81</v>
      </c>
      <c r="AQ25" s="349" t="s">
        <v>222</v>
      </c>
      <c r="AR25" s="342" t="s">
        <v>83</v>
      </c>
      <c r="AS25" s="342" t="s">
        <v>84</v>
      </c>
      <c r="AT25" s="342" t="s">
        <v>45</v>
      </c>
      <c r="AU25" s="342" t="s">
        <v>85</v>
      </c>
      <c r="AV25" s="342"/>
      <c r="AW25" s="342"/>
      <c r="AX25" s="343" t="str">
        <f>IF(OR(Tableau3[[#This Row],[Option GTR]]&lt;&gt;"",Tableau3[[#This Row],[GTR spécifique]]&lt;&gt;""),"GTRS1","GTRS2")</f>
        <v>GTRS2</v>
      </c>
      <c r="AY25" s="342" t="s">
        <v>143</v>
      </c>
      <c r="AZ25" s="342"/>
      <c r="BA25" s="342" t="s">
        <v>319</v>
      </c>
    </row>
    <row r="26" spans="1:53" s="326" customFormat="1" ht="18.149999999999999" customHeight="1" x14ac:dyDescent="0.3">
      <c r="A26" s="340" t="s">
        <v>53</v>
      </c>
      <c r="B26" s="340" t="s">
        <v>54</v>
      </c>
      <c r="C26" s="340" t="s">
        <v>55</v>
      </c>
      <c r="D26" s="340" t="s">
        <v>56</v>
      </c>
      <c r="E26" s="340" t="s">
        <v>57</v>
      </c>
      <c r="F26" s="340" t="s">
        <v>58</v>
      </c>
      <c r="G26" s="340" t="s">
        <v>59</v>
      </c>
      <c r="H26" s="340" t="s">
        <v>60</v>
      </c>
      <c r="I26" s="340" t="s">
        <v>61</v>
      </c>
      <c r="J26" s="340" t="s">
        <v>320</v>
      </c>
      <c r="K26" s="340" t="s">
        <v>321</v>
      </c>
      <c r="L26" s="345" t="str">
        <f>VLOOKUP(K26,'20260309 suivi sites'!F:F,1,0)</f>
        <v>33CENO011AOG</v>
      </c>
      <c r="M26" s="340" t="s">
        <v>64</v>
      </c>
      <c r="N26" s="340" t="s">
        <v>65</v>
      </c>
      <c r="O26" s="340" t="s">
        <v>64</v>
      </c>
      <c r="P26" s="341">
        <v>43605</v>
      </c>
      <c r="Q26" s="341">
        <v>44033</v>
      </c>
      <c r="R26" s="347" t="b">
        <f t="shared" si="1"/>
        <v>0</v>
      </c>
      <c r="S26" s="347" t="str">
        <f t="shared" si="0"/>
        <v>change</v>
      </c>
      <c r="T26" s="342" t="s">
        <v>56</v>
      </c>
      <c r="U26" s="342" t="s">
        <v>322</v>
      </c>
      <c r="V26" s="342" t="s">
        <v>323</v>
      </c>
      <c r="W26" s="342" t="s">
        <v>324</v>
      </c>
      <c r="X26" s="342" t="s">
        <v>69</v>
      </c>
      <c r="Y26" s="349" t="s">
        <v>325</v>
      </c>
      <c r="Z26" s="342" t="s">
        <v>71</v>
      </c>
      <c r="AA26" s="342" t="s">
        <v>72</v>
      </c>
      <c r="AB26" s="342" t="s">
        <v>73</v>
      </c>
      <c r="AC26" s="342" t="s">
        <v>74</v>
      </c>
      <c r="AD26" s="342"/>
      <c r="AE26" s="342" t="s">
        <v>326</v>
      </c>
      <c r="AF26" s="349" t="s">
        <v>3770</v>
      </c>
      <c r="AG26" s="342" t="s">
        <v>74</v>
      </c>
      <c r="AH26" s="342" t="s">
        <v>76</v>
      </c>
      <c r="AI26" s="342" t="s">
        <v>74</v>
      </c>
      <c r="AJ26" s="342" t="s">
        <v>77</v>
      </c>
      <c r="AK26" s="342" t="s">
        <v>97</v>
      </c>
      <c r="AL26" s="342" t="s">
        <v>79</v>
      </c>
      <c r="AM26" s="342" t="s">
        <v>74</v>
      </c>
      <c r="AN26" s="342"/>
      <c r="AO26" s="342" t="s">
        <v>327</v>
      </c>
      <c r="AP26" s="342" t="s">
        <v>81</v>
      </c>
      <c r="AQ26" s="349" t="s">
        <v>210</v>
      </c>
      <c r="AR26" s="342" t="s">
        <v>83</v>
      </c>
      <c r="AS26" s="342" t="s">
        <v>84</v>
      </c>
      <c r="AT26" s="342" t="s">
        <v>45</v>
      </c>
      <c r="AU26" s="342" t="s">
        <v>85</v>
      </c>
      <c r="AV26" s="342"/>
      <c r="AW26" s="342"/>
      <c r="AX26" s="343" t="str">
        <f>IF(OR(Tableau3[[#This Row],[Option GTR]]&lt;&gt;"",Tableau3[[#This Row],[GTR spécifique]]&lt;&gt;""),"GTRS1","GTRS2")</f>
        <v>GTRS2</v>
      </c>
      <c r="AY26" s="342" t="s">
        <v>86</v>
      </c>
      <c r="AZ26" s="342"/>
      <c r="BA26" s="342" t="s">
        <v>328</v>
      </c>
    </row>
    <row r="27" spans="1:53" s="326" customFormat="1" ht="18.149999999999999" customHeight="1" x14ac:dyDescent="0.3">
      <c r="A27" s="340" t="s">
        <v>53</v>
      </c>
      <c r="B27" s="340" t="s">
        <v>54</v>
      </c>
      <c r="C27" s="340" t="s">
        <v>55</v>
      </c>
      <c r="D27" s="340" t="s">
        <v>56</v>
      </c>
      <c r="E27" s="340" t="s">
        <v>57</v>
      </c>
      <c r="F27" s="340" t="s">
        <v>58</v>
      </c>
      <c r="G27" s="340" t="s">
        <v>59</v>
      </c>
      <c r="H27" s="340" t="s">
        <v>60</v>
      </c>
      <c r="I27" s="340" t="s">
        <v>61</v>
      </c>
      <c r="J27" s="340" t="s">
        <v>329</v>
      </c>
      <c r="K27" s="340" t="s">
        <v>330</v>
      </c>
      <c r="L27" s="345" t="str">
        <f>VLOOKUP(K27,'20260309 suivi sites'!F:F,1,0)</f>
        <v>39LONS011AOG</v>
      </c>
      <c r="M27" s="340" t="s">
        <v>64</v>
      </c>
      <c r="N27" s="340" t="s">
        <v>65</v>
      </c>
      <c r="O27" s="340" t="s">
        <v>64</v>
      </c>
      <c r="P27" s="341">
        <v>43566</v>
      </c>
      <c r="Q27" s="341">
        <v>45562</v>
      </c>
      <c r="R27" s="347" t="b">
        <f t="shared" si="1"/>
        <v>0</v>
      </c>
      <c r="S27" s="347" t="str">
        <f t="shared" si="0"/>
        <v>change</v>
      </c>
      <c r="T27" s="342" t="s">
        <v>56</v>
      </c>
      <c r="U27" s="342" t="s">
        <v>331</v>
      </c>
      <c r="V27" s="342" t="s">
        <v>332</v>
      </c>
      <c r="W27" s="342" t="s">
        <v>333</v>
      </c>
      <c r="X27" s="342" t="s">
        <v>69</v>
      </c>
      <c r="Y27" s="349" t="s">
        <v>334</v>
      </c>
      <c r="Z27" s="342" t="s">
        <v>71</v>
      </c>
      <c r="AA27" s="342" t="s">
        <v>72</v>
      </c>
      <c r="AB27" s="342" t="s">
        <v>73</v>
      </c>
      <c r="AC27" s="342" t="s">
        <v>74</v>
      </c>
      <c r="AD27" s="342"/>
      <c r="AE27" s="342" t="s">
        <v>335</v>
      </c>
      <c r="AF27" s="349" t="s">
        <v>3770</v>
      </c>
      <c r="AG27" s="342" t="s">
        <v>74</v>
      </c>
      <c r="AH27" s="342" t="s">
        <v>76</v>
      </c>
      <c r="AI27" s="342" t="s">
        <v>74</v>
      </c>
      <c r="AJ27" s="342" t="s">
        <v>77</v>
      </c>
      <c r="AK27" s="342" t="s">
        <v>97</v>
      </c>
      <c r="AL27" s="342" t="s">
        <v>79</v>
      </c>
      <c r="AM27" s="342" t="s">
        <v>74</v>
      </c>
      <c r="AN27" s="342"/>
      <c r="AO27" s="342" t="s">
        <v>336</v>
      </c>
      <c r="AP27" s="342" t="s">
        <v>81</v>
      </c>
      <c r="AQ27" s="349" t="s">
        <v>210</v>
      </c>
      <c r="AR27" s="342" t="s">
        <v>83</v>
      </c>
      <c r="AS27" s="342" t="s">
        <v>84</v>
      </c>
      <c r="AT27" s="342" t="s">
        <v>45</v>
      </c>
      <c r="AU27" s="342" t="s">
        <v>85</v>
      </c>
      <c r="AV27" s="342"/>
      <c r="AW27" s="342"/>
      <c r="AX27" s="343" t="str">
        <f>IF(OR(Tableau3[[#This Row],[Option GTR]]&lt;&gt;"",Tableau3[[#This Row],[GTR spécifique]]&lt;&gt;""),"GTRS1","GTRS2")</f>
        <v>GTRS2</v>
      </c>
      <c r="AY27" s="342" t="s">
        <v>143</v>
      </c>
      <c r="AZ27" s="342"/>
      <c r="BA27" s="342" t="s">
        <v>337</v>
      </c>
    </row>
    <row r="28" spans="1:53" s="326" customFormat="1" ht="18.149999999999999" customHeight="1" x14ac:dyDescent="0.3">
      <c r="A28" s="340" t="s">
        <v>53</v>
      </c>
      <c r="B28" s="340" t="s">
        <v>54</v>
      </c>
      <c r="C28" s="340" t="s">
        <v>55</v>
      </c>
      <c r="D28" s="340" t="s">
        <v>56</v>
      </c>
      <c r="E28" s="340" t="s">
        <v>57</v>
      </c>
      <c r="F28" s="340" t="s">
        <v>58</v>
      </c>
      <c r="G28" s="340" t="s">
        <v>59</v>
      </c>
      <c r="H28" s="340" t="s">
        <v>60</v>
      </c>
      <c r="I28" s="340" t="s">
        <v>61</v>
      </c>
      <c r="J28" s="340" t="s">
        <v>338</v>
      </c>
      <c r="K28" s="340" t="s">
        <v>339</v>
      </c>
      <c r="L28" s="345" t="str">
        <f>VLOOKUP(K28,'20260309 suivi sites'!F:F,1,0)</f>
        <v>46LUZE011AOG</v>
      </c>
      <c r="M28" s="340" t="s">
        <v>64</v>
      </c>
      <c r="N28" s="340" t="s">
        <v>65</v>
      </c>
      <c r="O28" s="340" t="s">
        <v>64</v>
      </c>
      <c r="P28" s="341">
        <v>43617</v>
      </c>
      <c r="Q28" s="341">
        <v>45355</v>
      </c>
      <c r="R28" s="347" t="b">
        <f t="shared" si="1"/>
        <v>0</v>
      </c>
      <c r="S28" s="347" t="str">
        <f t="shared" si="0"/>
        <v>change</v>
      </c>
      <c r="T28" s="342" t="s">
        <v>56</v>
      </c>
      <c r="U28" s="342" t="s">
        <v>340</v>
      </c>
      <c r="V28" s="342" t="s">
        <v>341</v>
      </c>
      <c r="W28" s="342" t="s">
        <v>342</v>
      </c>
      <c r="X28" s="342" t="s">
        <v>69</v>
      </c>
      <c r="Y28" s="349" t="s">
        <v>343</v>
      </c>
      <c r="Z28" s="342" t="s">
        <v>71</v>
      </c>
      <c r="AA28" s="342" t="s">
        <v>72</v>
      </c>
      <c r="AB28" s="342" t="s">
        <v>73</v>
      </c>
      <c r="AC28" s="342" t="s">
        <v>74</v>
      </c>
      <c r="AD28" s="342"/>
      <c r="AE28" s="342" t="s">
        <v>344</v>
      </c>
      <c r="AF28" s="349" t="s">
        <v>3771</v>
      </c>
      <c r="AG28" s="342" t="s">
        <v>74</v>
      </c>
      <c r="AH28" s="342" t="s">
        <v>76</v>
      </c>
      <c r="AI28" s="342" t="s">
        <v>74</v>
      </c>
      <c r="AJ28" s="342" t="s">
        <v>77</v>
      </c>
      <c r="AK28" s="342" t="s">
        <v>97</v>
      </c>
      <c r="AL28" s="342" t="s">
        <v>79</v>
      </c>
      <c r="AM28" s="342" t="s">
        <v>74</v>
      </c>
      <c r="AN28" s="342"/>
      <c r="AO28" s="342" t="s">
        <v>345</v>
      </c>
      <c r="AP28" s="342" t="s">
        <v>81</v>
      </c>
      <c r="AQ28" s="349" t="s">
        <v>222</v>
      </c>
      <c r="AR28" s="342" t="s">
        <v>83</v>
      </c>
      <c r="AS28" s="342" t="s">
        <v>84</v>
      </c>
      <c r="AT28" s="342" t="s">
        <v>45</v>
      </c>
      <c r="AU28" s="342" t="s">
        <v>85</v>
      </c>
      <c r="AV28" s="342"/>
      <c r="AW28" s="342"/>
      <c r="AX28" s="343" t="str">
        <f>IF(OR(Tableau3[[#This Row],[Option GTR]]&lt;&gt;"",Tableau3[[#This Row],[GTR spécifique]]&lt;&gt;""),"GTRS1","GTRS2")</f>
        <v>GTRS2</v>
      </c>
      <c r="AY28" s="342" t="s">
        <v>143</v>
      </c>
      <c r="AZ28" s="342"/>
      <c r="BA28" s="342" t="s">
        <v>346</v>
      </c>
    </row>
    <row r="29" spans="1:53" s="326" customFormat="1" ht="18.149999999999999" customHeight="1" x14ac:dyDescent="0.3">
      <c r="A29" s="340" t="s">
        <v>53</v>
      </c>
      <c r="B29" s="340" t="s">
        <v>54</v>
      </c>
      <c r="C29" s="340" t="s">
        <v>55</v>
      </c>
      <c r="D29" s="340" t="s">
        <v>56</v>
      </c>
      <c r="E29" s="340" t="s">
        <v>57</v>
      </c>
      <c r="F29" s="340" t="s">
        <v>58</v>
      </c>
      <c r="G29" s="340" t="s">
        <v>59</v>
      </c>
      <c r="H29" s="340" t="s">
        <v>60</v>
      </c>
      <c r="I29" s="340" t="s">
        <v>61</v>
      </c>
      <c r="J29" s="340" t="s">
        <v>347</v>
      </c>
      <c r="K29" s="340" t="s">
        <v>348</v>
      </c>
      <c r="L29" s="345" t="str">
        <f>VLOOKUP(K29,'20260309 suivi sites'!F:F,1,0)</f>
        <v>50LESP021AOB</v>
      </c>
      <c r="M29" s="340" t="s">
        <v>64</v>
      </c>
      <c r="N29" s="340" t="s">
        <v>65</v>
      </c>
      <c r="O29" s="340" t="s">
        <v>64</v>
      </c>
      <c r="P29" s="341">
        <v>43635</v>
      </c>
      <c r="Q29" s="341">
        <v>44900</v>
      </c>
      <c r="R29" s="347" t="b">
        <f t="shared" si="1"/>
        <v>0</v>
      </c>
      <c r="S29" s="347" t="str">
        <f t="shared" si="0"/>
        <v>change</v>
      </c>
      <c r="T29" s="342" t="s">
        <v>56</v>
      </c>
      <c r="U29" s="342" t="s">
        <v>349</v>
      </c>
      <c r="V29" s="342" t="s">
        <v>350</v>
      </c>
      <c r="W29" s="342" t="s">
        <v>351</v>
      </c>
      <c r="X29" s="342" t="s">
        <v>69</v>
      </c>
      <c r="Y29" s="349" t="s">
        <v>352</v>
      </c>
      <c r="Z29" s="342" t="s">
        <v>71</v>
      </c>
      <c r="AA29" s="342" t="s">
        <v>218</v>
      </c>
      <c r="AB29" s="342" t="s">
        <v>152</v>
      </c>
      <c r="AC29" s="342" t="s">
        <v>74</v>
      </c>
      <c r="AD29" s="342"/>
      <c r="AE29" s="342" t="s">
        <v>353</v>
      </c>
      <c r="AF29" s="349" t="s">
        <v>3771</v>
      </c>
      <c r="AG29" s="342" t="s">
        <v>74</v>
      </c>
      <c r="AH29" s="342" t="s">
        <v>76</v>
      </c>
      <c r="AI29" s="342" t="s">
        <v>74</v>
      </c>
      <c r="AJ29" s="342" t="s">
        <v>77</v>
      </c>
      <c r="AK29" s="342" t="s">
        <v>97</v>
      </c>
      <c r="AL29" s="342" t="s">
        <v>79</v>
      </c>
      <c r="AM29" s="342" t="s">
        <v>74</v>
      </c>
      <c r="AN29" s="342"/>
      <c r="AO29" s="342" t="s">
        <v>354</v>
      </c>
      <c r="AP29" s="342" t="s">
        <v>81</v>
      </c>
      <c r="AQ29" s="349" t="s">
        <v>222</v>
      </c>
      <c r="AR29" s="342" t="s">
        <v>83</v>
      </c>
      <c r="AS29" s="342" t="s">
        <v>84</v>
      </c>
      <c r="AT29" s="342" t="s">
        <v>45</v>
      </c>
      <c r="AU29" s="342" t="s">
        <v>85</v>
      </c>
      <c r="AV29" s="342"/>
      <c r="AW29" s="342"/>
      <c r="AX29" s="343" t="str">
        <f>IF(OR(Tableau3[[#This Row],[Option GTR]]&lt;&gt;"",Tableau3[[#This Row],[GTR spécifique]]&lt;&gt;""),"GTRS1","GTRS2")</f>
        <v>GTRS2</v>
      </c>
      <c r="AY29" s="342" t="s">
        <v>355</v>
      </c>
      <c r="AZ29" s="342"/>
      <c r="BA29" s="342" t="s">
        <v>356</v>
      </c>
    </row>
    <row r="30" spans="1:53" s="326" customFormat="1" ht="18.149999999999999" customHeight="1" x14ac:dyDescent="0.3">
      <c r="A30" s="340" t="s">
        <v>53</v>
      </c>
      <c r="B30" s="340" t="s">
        <v>54</v>
      </c>
      <c r="C30" s="340" t="s">
        <v>55</v>
      </c>
      <c r="D30" s="340" t="s">
        <v>56</v>
      </c>
      <c r="E30" s="340" t="s">
        <v>57</v>
      </c>
      <c r="F30" s="340" t="s">
        <v>58</v>
      </c>
      <c r="G30" s="340" t="s">
        <v>59</v>
      </c>
      <c r="H30" s="340" t="s">
        <v>60</v>
      </c>
      <c r="I30" s="340" t="s">
        <v>61</v>
      </c>
      <c r="J30" s="340" t="s">
        <v>357</v>
      </c>
      <c r="K30" s="340" t="s">
        <v>358</v>
      </c>
      <c r="L30" s="345" t="str">
        <f>VLOOKUP(K30,'20260309 suivi sites'!F:F,1,0)</f>
        <v>52BETT011AOG</v>
      </c>
      <c r="M30" s="340" t="s">
        <v>64</v>
      </c>
      <c r="N30" s="340" t="s">
        <v>65</v>
      </c>
      <c r="O30" s="340" t="s">
        <v>64</v>
      </c>
      <c r="P30" s="341">
        <v>43617</v>
      </c>
      <c r="Q30" s="341">
        <v>43823</v>
      </c>
      <c r="R30" s="347" t="b">
        <f t="shared" si="1"/>
        <v>0</v>
      </c>
      <c r="S30" s="347" t="str">
        <f t="shared" si="0"/>
        <v>change</v>
      </c>
      <c r="T30" s="342" t="s">
        <v>56</v>
      </c>
      <c r="U30" s="342" t="s">
        <v>359</v>
      </c>
      <c r="V30" s="342" t="s">
        <v>360</v>
      </c>
      <c r="W30" s="342" t="s">
        <v>361</v>
      </c>
      <c r="X30" s="342" t="s">
        <v>69</v>
      </c>
      <c r="Y30" s="349" t="s">
        <v>362</v>
      </c>
      <c r="Z30" s="342" t="s">
        <v>71</v>
      </c>
      <c r="AA30" s="342" t="s">
        <v>72</v>
      </c>
      <c r="AB30" s="342" t="s">
        <v>73</v>
      </c>
      <c r="AC30" s="342" t="s">
        <v>74</v>
      </c>
      <c r="AD30" s="342"/>
      <c r="AE30" s="342" t="s">
        <v>363</v>
      </c>
      <c r="AF30" s="349" t="s">
        <v>3766</v>
      </c>
      <c r="AG30" s="342" t="s">
        <v>74</v>
      </c>
      <c r="AH30" s="342" t="s">
        <v>76</v>
      </c>
      <c r="AI30" s="342" t="s">
        <v>74</v>
      </c>
      <c r="AJ30" s="342" t="s">
        <v>77</v>
      </c>
      <c r="AK30" s="342" t="s">
        <v>97</v>
      </c>
      <c r="AL30" s="342" t="s">
        <v>79</v>
      </c>
      <c r="AM30" s="342" t="s">
        <v>74</v>
      </c>
      <c r="AN30" s="342"/>
      <c r="AO30" s="342" t="s">
        <v>364</v>
      </c>
      <c r="AP30" s="342" t="s">
        <v>81</v>
      </c>
      <c r="AQ30" s="349" t="s">
        <v>142</v>
      </c>
      <c r="AR30" s="342" t="s">
        <v>83</v>
      </c>
      <c r="AS30" s="342" t="s">
        <v>84</v>
      </c>
      <c r="AT30" s="342" t="s">
        <v>45</v>
      </c>
      <c r="AU30" s="342" t="s">
        <v>85</v>
      </c>
      <c r="AV30" s="342"/>
      <c r="AW30" s="342"/>
      <c r="AX30" s="343" t="str">
        <f>IF(OR(Tableau3[[#This Row],[Option GTR]]&lt;&gt;"",Tableau3[[#This Row],[GTR spécifique]]&lt;&gt;""),"GTRS1","GTRS2")</f>
        <v>GTRS2</v>
      </c>
      <c r="AY30" s="342" t="s">
        <v>143</v>
      </c>
      <c r="AZ30" s="342"/>
      <c r="BA30" s="342" t="s">
        <v>365</v>
      </c>
    </row>
    <row r="31" spans="1:53" s="326" customFormat="1" ht="18.149999999999999" customHeight="1" x14ac:dyDescent="0.3">
      <c r="A31" s="340" t="s">
        <v>53</v>
      </c>
      <c r="B31" s="340" t="s">
        <v>54</v>
      </c>
      <c r="C31" s="340" t="s">
        <v>55</v>
      </c>
      <c r="D31" s="340" t="s">
        <v>56</v>
      </c>
      <c r="E31" s="340" t="s">
        <v>57</v>
      </c>
      <c r="F31" s="340" t="s">
        <v>58</v>
      </c>
      <c r="G31" s="340" t="s">
        <v>59</v>
      </c>
      <c r="H31" s="340" t="s">
        <v>60</v>
      </c>
      <c r="I31" s="340" t="s">
        <v>61</v>
      </c>
      <c r="J31" s="340" t="s">
        <v>366</v>
      </c>
      <c r="K31" s="340" t="s">
        <v>367</v>
      </c>
      <c r="L31" s="345" t="str">
        <f>VLOOKUP(K31,'20260309 suivi sites'!F:F,1,0)</f>
        <v>57LAMA011AOG</v>
      </c>
      <c r="M31" s="340" t="s">
        <v>64</v>
      </c>
      <c r="N31" s="340" t="s">
        <v>65</v>
      </c>
      <c r="O31" s="340" t="s">
        <v>64</v>
      </c>
      <c r="P31" s="341">
        <v>43617</v>
      </c>
      <c r="Q31" s="341">
        <v>45082</v>
      </c>
      <c r="R31" s="347" t="b">
        <f t="shared" si="1"/>
        <v>0</v>
      </c>
      <c r="S31" s="347" t="str">
        <f t="shared" si="0"/>
        <v>change</v>
      </c>
      <c r="T31" s="342" t="s">
        <v>56</v>
      </c>
      <c r="U31" s="342" t="s">
        <v>368</v>
      </c>
      <c r="V31" s="342" t="s">
        <v>369</v>
      </c>
      <c r="W31" s="342" t="s">
        <v>370</v>
      </c>
      <c r="X31" s="342" t="s">
        <v>69</v>
      </c>
      <c r="Y31" s="349" t="s">
        <v>371</v>
      </c>
      <c r="Z31" s="342" t="s">
        <v>71</v>
      </c>
      <c r="AA31" s="342" t="s">
        <v>72</v>
      </c>
      <c r="AB31" s="342" t="s">
        <v>73</v>
      </c>
      <c r="AC31" s="342" t="s">
        <v>74</v>
      </c>
      <c r="AD31" s="342"/>
      <c r="AE31" s="342" t="s">
        <v>372</v>
      </c>
      <c r="AF31" s="349" t="s">
        <v>3770</v>
      </c>
      <c r="AG31" s="342" t="s">
        <v>74</v>
      </c>
      <c r="AH31" s="342" t="s">
        <v>76</v>
      </c>
      <c r="AI31" s="342" t="s">
        <v>74</v>
      </c>
      <c r="AJ31" s="342" t="s">
        <v>77</v>
      </c>
      <c r="AK31" s="342" t="s">
        <v>97</v>
      </c>
      <c r="AL31" s="342" t="s">
        <v>79</v>
      </c>
      <c r="AM31" s="342" t="s">
        <v>74</v>
      </c>
      <c r="AN31" s="342"/>
      <c r="AO31" s="342" t="s">
        <v>373</v>
      </c>
      <c r="AP31" s="342" t="s">
        <v>81</v>
      </c>
      <c r="AQ31" s="349" t="s">
        <v>210</v>
      </c>
      <c r="AR31" s="342" t="s">
        <v>83</v>
      </c>
      <c r="AS31" s="342" t="s">
        <v>84</v>
      </c>
      <c r="AT31" s="342" t="s">
        <v>45</v>
      </c>
      <c r="AU31" s="342" t="s">
        <v>85</v>
      </c>
      <c r="AV31" s="342"/>
      <c r="AW31" s="342"/>
      <c r="AX31" s="343" t="str">
        <f>IF(OR(Tableau3[[#This Row],[Option GTR]]&lt;&gt;"",Tableau3[[#This Row],[GTR spécifique]]&lt;&gt;""),"GTRS1","GTRS2")</f>
        <v>GTRS2</v>
      </c>
      <c r="AY31" s="342" t="s">
        <v>86</v>
      </c>
      <c r="AZ31" s="342"/>
      <c r="BA31" s="342" t="s">
        <v>374</v>
      </c>
    </row>
    <row r="32" spans="1:53" s="326" customFormat="1" ht="18.149999999999999" customHeight="1" x14ac:dyDescent="0.3">
      <c r="A32" s="340" t="s">
        <v>53</v>
      </c>
      <c r="B32" s="340" t="s">
        <v>54</v>
      </c>
      <c r="C32" s="340" t="s">
        <v>55</v>
      </c>
      <c r="D32" s="340" t="s">
        <v>56</v>
      </c>
      <c r="E32" s="340" t="s">
        <v>57</v>
      </c>
      <c r="F32" s="340" t="s">
        <v>58</v>
      </c>
      <c r="G32" s="340" t="s">
        <v>59</v>
      </c>
      <c r="H32" s="340" t="s">
        <v>60</v>
      </c>
      <c r="I32" s="340" t="s">
        <v>61</v>
      </c>
      <c r="J32" s="340" t="s">
        <v>856</v>
      </c>
      <c r="K32" s="340" t="s">
        <v>857</v>
      </c>
      <c r="L32" s="345" t="e">
        <f>VLOOKUP(K32,'20260309 suivi sites'!F:F,1,0)</f>
        <v>#N/A</v>
      </c>
      <c r="M32" s="340" t="s">
        <v>64</v>
      </c>
      <c r="N32" s="340" t="s">
        <v>1258</v>
      </c>
      <c r="O32" s="340" t="s">
        <v>104</v>
      </c>
      <c r="P32" s="341">
        <v>43906</v>
      </c>
      <c r="Q32" s="341"/>
      <c r="R32" s="347" t="b">
        <f t="shared" si="1"/>
        <v>0</v>
      </c>
      <c r="S32" s="347" t="str">
        <f t="shared" si="0"/>
        <v>change</v>
      </c>
      <c r="T32" s="342" t="s">
        <v>56</v>
      </c>
      <c r="U32" s="342" t="s">
        <v>858</v>
      </c>
      <c r="V32" s="342" t="s">
        <v>859</v>
      </c>
      <c r="W32" s="342" t="s">
        <v>860</v>
      </c>
      <c r="X32" s="342" t="s">
        <v>69</v>
      </c>
      <c r="Y32" s="349" t="s">
        <v>861</v>
      </c>
      <c r="Z32" s="342" t="s">
        <v>71</v>
      </c>
      <c r="AA32" s="342" t="s">
        <v>218</v>
      </c>
      <c r="AB32" s="342" t="s">
        <v>152</v>
      </c>
      <c r="AC32" s="342" t="s">
        <v>74</v>
      </c>
      <c r="AD32" s="342"/>
      <c r="AE32" s="342"/>
      <c r="AF32" s="349"/>
      <c r="AG32" s="342"/>
      <c r="AH32" s="342"/>
      <c r="AI32" s="342"/>
      <c r="AJ32" s="342"/>
      <c r="AK32" s="342"/>
      <c r="AL32" s="342" t="s">
        <v>79</v>
      </c>
      <c r="AM32" s="342" t="s">
        <v>74</v>
      </c>
      <c r="AN32" s="342"/>
      <c r="AO32" s="342"/>
      <c r="AP32" s="342"/>
      <c r="AQ32" s="349"/>
      <c r="AR32" s="342" t="s">
        <v>83</v>
      </c>
      <c r="AS32" s="342" t="s">
        <v>84</v>
      </c>
      <c r="AT32" s="342" t="s">
        <v>45</v>
      </c>
      <c r="AU32" s="342" t="s">
        <v>85</v>
      </c>
      <c r="AV32" s="342"/>
      <c r="AW32" s="342"/>
      <c r="AX32" s="343" t="str">
        <f>IF(OR(Tableau3[[#This Row],[Option GTR]]&lt;&gt;"",Tableau3[[#This Row],[GTR spécifique]]&lt;&gt;""),"GTRS1","GTRS2")</f>
        <v>GTRS2</v>
      </c>
      <c r="AY32" s="342" t="s">
        <v>738</v>
      </c>
      <c r="AZ32" s="342"/>
      <c r="BA32" s="342" t="s">
        <v>3796</v>
      </c>
    </row>
    <row r="33" spans="1:53" s="326" customFormat="1" ht="18.149999999999999" customHeight="1" x14ac:dyDescent="0.3">
      <c r="A33" s="340" t="s">
        <v>53</v>
      </c>
      <c r="B33" s="340" t="s">
        <v>54</v>
      </c>
      <c r="C33" s="340" t="s">
        <v>55</v>
      </c>
      <c r="D33" s="340" t="s">
        <v>56</v>
      </c>
      <c r="E33" s="340" t="s">
        <v>57</v>
      </c>
      <c r="F33" s="340" t="s">
        <v>58</v>
      </c>
      <c r="G33" s="340" t="s">
        <v>59</v>
      </c>
      <c r="H33" s="340" t="s">
        <v>60</v>
      </c>
      <c r="I33" s="340" t="s">
        <v>61</v>
      </c>
      <c r="J33" s="340" t="s">
        <v>375</v>
      </c>
      <c r="K33" s="340" t="s">
        <v>376</v>
      </c>
      <c r="L33" s="345" t="str">
        <f>VLOOKUP(K33,'20260309 suivi sites'!F:F,1,0)</f>
        <v>59GRAV021AOB</v>
      </c>
      <c r="M33" s="340" t="s">
        <v>64</v>
      </c>
      <c r="N33" s="340" t="s">
        <v>65</v>
      </c>
      <c r="O33" s="340" t="s">
        <v>64</v>
      </c>
      <c r="P33" s="341">
        <v>43621</v>
      </c>
      <c r="Q33" s="341">
        <v>45208</v>
      </c>
      <c r="R33" s="347" t="b">
        <f t="shared" si="1"/>
        <v>0</v>
      </c>
      <c r="S33" s="347" t="str">
        <f t="shared" si="0"/>
        <v>change</v>
      </c>
      <c r="T33" s="342" t="s">
        <v>56</v>
      </c>
      <c r="U33" s="342" t="s">
        <v>377</v>
      </c>
      <c r="V33" s="342" t="s">
        <v>378</v>
      </c>
      <c r="W33" s="342" t="s">
        <v>379</v>
      </c>
      <c r="X33" s="342" t="s">
        <v>69</v>
      </c>
      <c r="Y33" s="349" t="s">
        <v>380</v>
      </c>
      <c r="Z33" s="342" t="s">
        <v>71</v>
      </c>
      <c r="AA33" s="342" t="s">
        <v>218</v>
      </c>
      <c r="AB33" s="342" t="s">
        <v>152</v>
      </c>
      <c r="AC33" s="342" t="s">
        <v>74</v>
      </c>
      <c r="AD33" s="342"/>
      <c r="AE33" s="342" t="s">
        <v>381</v>
      </c>
      <c r="AF33" s="349" t="s">
        <v>3766</v>
      </c>
      <c r="AG33" s="342" t="s">
        <v>74</v>
      </c>
      <c r="AH33" s="342" t="s">
        <v>76</v>
      </c>
      <c r="AI33" s="342" t="s">
        <v>74</v>
      </c>
      <c r="AJ33" s="342" t="s">
        <v>382</v>
      </c>
      <c r="AK33" s="342" t="s">
        <v>97</v>
      </c>
      <c r="AL33" s="342" t="s">
        <v>79</v>
      </c>
      <c r="AM33" s="342" t="s">
        <v>74</v>
      </c>
      <c r="AN33" s="342"/>
      <c r="AO33" s="342" t="s">
        <v>383</v>
      </c>
      <c r="AP33" s="342" t="s">
        <v>81</v>
      </c>
      <c r="AQ33" s="349" t="s">
        <v>142</v>
      </c>
      <c r="AR33" s="342" t="s">
        <v>83</v>
      </c>
      <c r="AS33" s="342" t="s">
        <v>84</v>
      </c>
      <c r="AT33" s="342" t="s">
        <v>45</v>
      </c>
      <c r="AU33" s="342" t="s">
        <v>85</v>
      </c>
      <c r="AV33" s="342"/>
      <c r="AW33" s="342"/>
      <c r="AX33" s="343" t="str">
        <f>IF(OR(Tableau3[[#This Row],[Option GTR]]&lt;&gt;"",Tableau3[[#This Row],[GTR spécifique]]&lt;&gt;""),"GTRS1","GTRS2")</f>
        <v>GTRS2</v>
      </c>
      <c r="AY33" s="342" t="s">
        <v>355</v>
      </c>
      <c r="AZ33" s="342"/>
      <c r="BA33" s="342" t="s">
        <v>384</v>
      </c>
    </row>
    <row r="34" spans="1:53" s="326" customFormat="1" ht="18.149999999999999" customHeight="1" x14ac:dyDescent="0.3">
      <c r="A34" s="340" t="s">
        <v>53</v>
      </c>
      <c r="B34" s="340" t="s">
        <v>54</v>
      </c>
      <c r="C34" s="340" t="s">
        <v>55</v>
      </c>
      <c r="D34" s="340" t="s">
        <v>56</v>
      </c>
      <c r="E34" s="340" t="s">
        <v>57</v>
      </c>
      <c r="F34" s="340" t="s">
        <v>58</v>
      </c>
      <c r="G34" s="340" t="s">
        <v>59</v>
      </c>
      <c r="H34" s="340" t="s">
        <v>60</v>
      </c>
      <c r="I34" s="340" t="s">
        <v>61</v>
      </c>
      <c r="J34" s="340" t="s">
        <v>385</v>
      </c>
      <c r="K34" s="340" t="s">
        <v>386</v>
      </c>
      <c r="L34" s="345" t="str">
        <f>VLOOKUP(K34,'20260309 suivi sites'!F:F,1,0)</f>
        <v>59MARC011AOG</v>
      </c>
      <c r="M34" s="340" t="s">
        <v>64</v>
      </c>
      <c r="N34" s="340" t="s">
        <v>65</v>
      </c>
      <c r="O34" s="340" t="s">
        <v>64</v>
      </c>
      <c r="P34" s="341">
        <v>43831</v>
      </c>
      <c r="Q34" s="341">
        <v>44076</v>
      </c>
      <c r="R34" s="347" t="b">
        <f t="shared" si="1"/>
        <v>0</v>
      </c>
      <c r="S34" s="347" t="str">
        <f t="shared" si="0"/>
        <v>change</v>
      </c>
      <c r="T34" s="342" t="s">
        <v>56</v>
      </c>
      <c r="U34" s="342" t="s">
        <v>387</v>
      </c>
      <c r="V34" s="342" t="s">
        <v>388</v>
      </c>
      <c r="W34" s="342" t="s">
        <v>389</v>
      </c>
      <c r="X34" s="342" t="s">
        <v>69</v>
      </c>
      <c r="Y34" s="349" t="s">
        <v>390</v>
      </c>
      <c r="Z34" s="342" t="s">
        <v>71</v>
      </c>
      <c r="AA34" s="342" t="s">
        <v>72</v>
      </c>
      <c r="AB34" s="342" t="s">
        <v>73</v>
      </c>
      <c r="AC34" s="342" t="s">
        <v>74</v>
      </c>
      <c r="AD34" s="342"/>
      <c r="AE34" s="342" t="s">
        <v>391</v>
      </c>
      <c r="AF34" s="349" t="s">
        <v>3770</v>
      </c>
      <c r="AG34" s="342" t="s">
        <v>74</v>
      </c>
      <c r="AH34" s="342" t="s">
        <v>76</v>
      </c>
      <c r="AI34" s="342" t="s">
        <v>74</v>
      </c>
      <c r="AJ34" s="342" t="s">
        <v>77</v>
      </c>
      <c r="AK34" s="342" t="s">
        <v>97</v>
      </c>
      <c r="AL34" s="342" t="s">
        <v>79</v>
      </c>
      <c r="AM34" s="342" t="s">
        <v>74</v>
      </c>
      <c r="AN34" s="342"/>
      <c r="AO34" s="342" t="s">
        <v>392</v>
      </c>
      <c r="AP34" s="342" t="s">
        <v>81</v>
      </c>
      <c r="AQ34" s="349" t="s">
        <v>210</v>
      </c>
      <c r="AR34" s="342" t="s">
        <v>83</v>
      </c>
      <c r="AS34" s="342" t="s">
        <v>84</v>
      </c>
      <c r="AT34" s="342" t="s">
        <v>45</v>
      </c>
      <c r="AU34" s="342" t="s">
        <v>85</v>
      </c>
      <c r="AV34" s="342"/>
      <c r="AW34" s="342"/>
      <c r="AX34" s="343" t="str">
        <f>IF(OR(Tableau3[[#This Row],[Option GTR]]&lt;&gt;"",Tableau3[[#This Row],[GTR spécifique]]&lt;&gt;""),"GTRS1","GTRS2")</f>
        <v>GTRS2</v>
      </c>
      <c r="AY34" s="342" t="s">
        <v>86</v>
      </c>
      <c r="AZ34" s="342"/>
      <c r="BA34" s="342" t="s">
        <v>393</v>
      </c>
    </row>
    <row r="35" spans="1:53" s="326" customFormat="1" ht="18.149999999999999" customHeight="1" x14ac:dyDescent="0.3">
      <c r="A35" s="340" t="s">
        <v>53</v>
      </c>
      <c r="B35" s="340" t="s">
        <v>54</v>
      </c>
      <c r="C35" s="340" t="s">
        <v>55</v>
      </c>
      <c r="D35" s="340" t="s">
        <v>56</v>
      </c>
      <c r="E35" s="340" t="s">
        <v>57</v>
      </c>
      <c r="F35" s="340" t="s">
        <v>58</v>
      </c>
      <c r="G35" s="340" t="s">
        <v>59</v>
      </c>
      <c r="H35" s="340" t="s">
        <v>60</v>
      </c>
      <c r="I35" s="340" t="s">
        <v>61</v>
      </c>
      <c r="J35" s="340" t="s">
        <v>394</v>
      </c>
      <c r="K35" s="340" t="s">
        <v>395</v>
      </c>
      <c r="L35" s="345" t="str">
        <f>VLOOKUP(K35,'20260309 suivi sites'!F:F,1,0)</f>
        <v>59VILL011AOP</v>
      </c>
      <c r="M35" s="340" t="s">
        <v>64</v>
      </c>
      <c r="N35" s="340" t="s">
        <v>65</v>
      </c>
      <c r="O35" s="340" t="s">
        <v>64</v>
      </c>
      <c r="P35" s="341">
        <v>43739</v>
      </c>
      <c r="Q35" s="341">
        <v>45471</v>
      </c>
      <c r="R35" s="347" t="b">
        <f t="shared" si="1"/>
        <v>0</v>
      </c>
      <c r="S35" s="347" t="str">
        <f t="shared" si="0"/>
        <v>change</v>
      </c>
      <c r="T35" s="342" t="s">
        <v>56</v>
      </c>
      <c r="U35" s="342" t="s">
        <v>396</v>
      </c>
      <c r="V35" s="342" t="s">
        <v>397</v>
      </c>
      <c r="W35" s="342" t="s">
        <v>398</v>
      </c>
      <c r="X35" s="342" t="s">
        <v>69</v>
      </c>
      <c r="Y35" s="349" t="s">
        <v>399</v>
      </c>
      <c r="Z35" s="342" t="s">
        <v>71</v>
      </c>
      <c r="AA35" s="342" t="s">
        <v>72</v>
      </c>
      <c r="AB35" s="342" t="s">
        <v>73</v>
      </c>
      <c r="AC35" s="342" t="s">
        <v>74</v>
      </c>
      <c r="AD35" s="342"/>
      <c r="AE35" s="342" t="s">
        <v>400</v>
      </c>
      <c r="AF35" s="349" t="s">
        <v>279</v>
      </c>
      <c r="AG35" s="342" t="s">
        <v>74</v>
      </c>
      <c r="AH35" s="342" t="s">
        <v>76</v>
      </c>
      <c r="AI35" s="342" t="s">
        <v>74</v>
      </c>
      <c r="AJ35" s="342" t="s">
        <v>77</v>
      </c>
      <c r="AK35" s="342" t="s">
        <v>78</v>
      </c>
      <c r="AL35" s="342" t="s">
        <v>79</v>
      </c>
      <c r="AM35" s="342" t="s">
        <v>166</v>
      </c>
      <c r="AN35" s="342" t="s">
        <v>401</v>
      </c>
      <c r="AO35" s="342" t="s">
        <v>402</v>
      </c>
      <c r="AP35" s="342" t="s">
        <v>81</v>
      </c>
      <c r="AQ35" s="349" t="s">
        <v>200</v>
      </c>
      <c r="AR35" s="342" t="s">
        <v>83</v>
      </c>
      <c r="AS35" s="342" t="s">
        <v>84</v>
      </c>
      <c r="AT35" s="342" t="s">
        <v>45</v>
      </c>
      <c r="AU35" s="342" t="s">
        <v>85</v>
      </c>
      <c r="AV35" s="342" t="s">
        <v>120</v>
      </c>
      <c r="AW35" s="342"/>
      <c r="AX35" s="343" t="str">
        <f>IF(OR(Tableau3[[#This Row],[Option GTR]]&lt;&gt;"",Tableau3[[#This Row],[GTR spécifique]]&lt;&gt;""),"GTRS1","GTRS2")</f>
        <v>GTRS1</v>
      </c>
      <c r="AY35" s="342" t="s">
        <v>86</v>
      </c>
      <c r="AZ35" s="342"/>
      <c r="BA35" s="342" t="s">
        <v>403</v>
      </c>
    </row>
    <row r="36" spans="1:53" s="326" customFormat="1" ht="18.149999999999999" customHeight="1" x14ac:dyDescent="0.3">
      <c r="A36" s="340" t="s">
        <v>53</v>
      </c>
      <c r="B36" s="340" t="s">
        <v>54</v>
      </c>
      <c r="C36" s="340" t="s">
        <v>55</v>
      </c>
      <c r="D36" s="340" t="s">
        <v>56</v>
      </c>
      <c r="E36" s="340" t="s">
        <v>57</v>
      </c>
      <c r="F36" s="340" t="s">
        <v>58</v>
      </c>
      <c r="G36" s="340" t="s">
        <v>59</v>
      </c>
      <c r="H36" s="340" t="s">
        <v>60</v>
      </c>
      <c r="I36" s="340" t="s">
        <v>61</v>
      </c>
      <c r="J36" s="340" t="s">
        <v>404</v>
      </c>
      <c r="K36" s="340" t="s">
        <v>405</v>
      </c>
      <c r="L36" s="345" t="str">
        <f>VLOOKUP(K36,'20260309 suivi sites'!F:F,1,0)</f>
        <v>63AUBI011AOG</v>
      </c>
      <c r="M36" s="340" t="s">
        <v>64</v>
      </c>
      <c r="N36" s="340" t="s">
        <v>65</v>
      </c>
      <c r="O36" s="340" t="s">
        <v>64</v>
      </c>
      <c r="P36" s="341">
        <v>43617</v>
      </c>
      <c r="Q36" s="341">
        <v>45993</v>
      </c>
      <c r="R36" s="347" t="b">
        <f t="shared" si="1"/>
        <v>0</v>
      </c>
      <c r="S36" s="347" t="str">
        <f t="shared" si="0"/>
        <v>change</v>
      </c>
      <c r="T36" s="342" t="s">
        <v>56</v>
      </c>
      <c r="U36" s="342" t="s">
        <v>406</v>
      </c>
      <c r="V36" s="342" t="s">
        <v>407</v>
      </c>
      <c r="W36" s="342" t="s">
        <v>408</v>
      </c>
      <c r="X36" s="342" t="s">
        <v>69</v>
      </c>
      <c r="Y36" s="349" t="s">
        <v>409</v>
      </c>
      <c r="Z36" s="342" t="s">
        <v>71</v>
      </c>
      <c r="AA36" s="342" t="s">
        <v>72</v>
      </c>
      <c r="AB36" s="342" t="s">
        <v>73</v>
      </c>
      <c r="AC36" s="342" t="s">
        <v>74</v>
      </c>
      <c r="AD36" s="342"/>
      <c r="AE36" s="342" t="s">
        <v>410</v>
      </c>
      <c r="AF36" s="349" t="s">
        <v>3770</v>
      </c>
      <c r="AG36" s="342" t="s">
        <v>74</v>
      </c>
      <c r="AH36" s="342" t="s">
        <v>76</v>
      </c>
      <c r="AI36" s="342" t="s">
        <v>74</v>
      </c>
      <c r="AJ36" s="342" t="s">
        <v>77</v>
      </c>
      <c r="AK36" s="342" t="s">
        <v>97</v>
      </c>
      <c r="AL36" s="342" t="s">
        <v>79</v>
      </c>
      <c r="AM36" s="342" t="s">
        <v>74</v>
      </c>
      <c r="AN36" s="342"/>
      <c r="AO36" s="342" t="s">
        <v>411</v>
      </c>
      <c r="AP36" s="342" t="s">
        <v>81</v>
      </c>
      <c r="AQ36" s="349" t="s">
        <v>210</v>
      </c>
      <c r="AR36" s="342" t="s">
        <v>83</v>
      </c>
      <c r="AS36" s="342" t="s">
        <v>84</v>
      </c>
      <c r="AT36" s="342" t="s">
        <v>45</v>
      </c>
      <c r="AU36" s="342" t="s">
        <v>85</v>
      </c>
      <c r="AV36" s="342"/>
      <c r="AW36" s="342"/>
      <c r="AX36" s="343" t="str">
        <f>IF(OR(Tableau3[[#This Row],[Option GTR]]&lt;&gt;"",Tableau3[[#This Row],[GTR spécifique]]&lt;&gt;""),"GTRS1","GTRS2")</f>
        <v>GTRS2</v>
      </c>
      <c r="AY36" s="342" t="s">
        <v>86</v>
      </c>
      <c r="AZ36" s="342"/>
      <c r="BA36" s="342" t="s">
        <v>412</v>
      </c>
    </row>
    <row r="37" spans="1:53" s="326" customFormat="1" ht="18.149999999999999" customHeight="1" x14ac:dyDescent="0.3">
      <c r="A37" s="340" t="s">
        <v>53</v>
      </c>
      <c r="B37" s="340" t="s">
        <v>54</v>
      </c>
      <c r="C37" s="340" t="s">
        <v>55</v>
      </c>
      <c r="D37" s="340" t="s">
        <v>56</v>
      </c>
      <c r="E37" s="340" t="s">
        <v>57</v>
      </c>
      <c r="F37" s="340" t="s">
        <v>58</v>
      </c>
      <c r="G37" s="340" t="s">
        <v>59</v>
      </c>
      <c r="H37" s="340" t="s">
        <v>60</v>
      </c>
      <c r="I37" s="340" t="s">
        <v>61</v>
      </c>
      <c r="J37" s="340" t="s">
        <v>413</v>
      </c>
      <c r="K37" s="340" t="s">
        <v>414</v>
      </c>
      <c r="L37" s="345" t="str">
        <f>VLOOKUP(K37,'20260309 suivi sites'!F:F,1,0)</f>
        <v>64ANGL011AOG</v>
      </c>
      <c r="M37" s="340" t="s">
        <v>64</v>
      </c>
      <c r="N37" s="340" t="s">
        <v>65</v>
      </c>
      <c r="O37" s="340" t="s">
        <v>64</v>
      </c>
      <c r="P37" s="341">
        <v>43617</v>
      </c>
      <c r="Q37" s="341">
        <v>43817</v>
      </c>
      <c r="R37" s="347" t="b">
        <f t="shared" si="1"/>
        <v>0</v>
      </c>
      <c r="S37" s="347" t="str">
        <f t="shared" si="0"/>
        <v>change</v>
      </c>
      <c r="T37" s="342" t="s">
        <v>56</v>
      </c>
      <c r="U37" s="342" t="s">
        <v>415</v>
      </c>
      <c r="V37" s="342" t="s">
        <v>416</v>
      </c>
      <c r="W37" s="342" t="s">
        <v>417</v>
      </c>
      <c r="X37" s="342" t="s">
        <v>69</v>
      </c>
      <c r="Y37" s="349" t="s">
        <v>418</v>
      </c>
      <c r="Z37" s="342" t="s">
        <v>71</v>
      </c>
      <c r="AA37" s="342" t="s">
        <v>72</v>
      </c>
      <c r="AB37" s="342" t="s">
        <v>73</v>
      </c>
      <c r="AC37" s="342" t="s">
        <v>74</v>
      </c>
      <c r="AD37" s="342"/>
      <c r="AE37" s="342" t="s">
        <v>419</v>
      </c>
      <c r="AF37" s="349" t="s">
        <v>3770</v>
      </c>
      <c r="AG37" s="342" t="s">
        <v>74</v>
      </c>
      <c r="AH37" s="342" t="s">
        <v>76</v>
      </c>
      <c r="AI37" s="342" t="s">
        <v>74</v>
      </c>
      <c r="AJ37" s="342" t="s">
        <v>77</v>
      </c>
      <c r="AK37" s="342" t="s">
        <v>97</v>
      </c>
      <c r="AL37" s="342" t="s">
        <v>79</v>
      </c>
      <c r="AM37" s="342" t="s">
        <v>74</v>
      </c>
      <c r="AN37" s="342"/>
      <c r="AO37" s="342" t="s">
        <v>420</v>
      </c>
      <c r="AP37" s="342" t="s">
        <v>81</v>
      </c>
      <c r="AQ37" s="349" t="s">
        <v>210</v>
      </c>
      <c r="AR37" s="342" t="s">
        <v>83</v>
      </c>
      <c r="AS37" s="342" t="s">
        <v>84</v>
      </c>
      <c r="AT37" s="342" t="s">
        <v>45</v>
      </c>
      <c r="AU37" s="342" t="s">
        <v>85</v>
      </c>
      <c r="AV37" s="342"/>
      <c r="AW37" s="342"/>
      <c r="AX37" s="343" t="str">
        <f>IF(OR(Tableau3[[#This Row],[Option GTR]]&lt;&gt;"",Tableau3[[#This Row],[GTR spécifique]]&lt;&gt;""),"GTRS1","GTRS2")</f>
        <v>GTRS2</v>
      </c>
      <c r="AY37" s="342" t="s">
        <v>86</v>
      </c>
      <c r="AZ37" s="342"/>
      <c r="BA37" s="342" t="s">
        <v>421</v>
      </c>
    </row>
    <row r="38" spans="1:53" s="326" customFormat="1" ht="18.149999999999999" customHeight="1" x14ac:dyDescent="0.3">
      <c r="A38" s="340" t="s">
        <v>53</v>
      </c>
      <c r="B38" s="340" t="s">
        <v>54</v>
      </c>
      <c r="C38" s="340" t="s">
        <v>55</v>
      </c>
      <c r="D38" s="340" t="s">
        <v>56</v>
      </c>
      <c r="E38" s="340" t="s">
        <v>57</v>
      </c>
      <c r="F38" s="340" t="s">
        <v>58</v>
      </c>
      <c r="G38" s="340" t="s">
        <v>59</v>
      </c>
      <c r="H38" s="340" t="s">
        <v>60</v>
      </c>
      <c r="I38" s="340" t="s">
        <v>61</v>
      </c>
      <c r="J38" s="340" t="s">
        <v>422</v>
      </c>
      <c r="K38" s="340" t="s">
        <v>423</v>
      </c>
      <c r="L38" s="345" t="str">
        <f>VLOOKUP(K38,'20260309 suivi sites'!F:F,1,0)</f>
        <v>68MULH021AOG</v>
      </c>
      <c r="M38" s="340" t="s">
        <v>64</v>
      </c>
      <c r="N38" s="340" t="s">
        <v>65</v>
      </c>
      <c r="O38" s="340" t="s">
        <v>104</v>
      </c>
      <c r="P38" s="341">
        <v>43617</v>
      </c>
      <c r="Q38" s="341"/>
      <c r="R38" s="347" t="b">
        <f t="shared" si="1"/>
        <v>0</v>
      </c>
      <c r="S38" s="347" t="str">
        <f t="shared" si="0"/>
        <v>change</v>
      </c>
      <c r="T38" s="342" t="s">
        <v>56</v>
      </c>
      <c r="U38" s="342" t="s">
        <v>424</v>
      </c>
      <c r="V38" s="342" t="s">
        <v>425</v>
      </c>
      <c r="W38" s="342" t="s">
        <v>426</v>
      </c>
      <c r="X38" s="342" t="s">
        <v>69</v>
      </c>
      <c r="Y38" s="349" t="s">
        <v>427</v>
      </c>
      <c r="Z38" s="342" t="s">
        <v>71</v>
      </c>
      <c r="AA38" s="342" t="s">
        <v>72</v>
      </c>
      <c r="AB38" s="342" t="s">
        <v>73</v>
      </c>
      <c r="AC38" s="342" t="s">
        <v>74</v>
      </c>
      <c r="AD38" s="342"/>
      <c r="AE38" s="342" t="s">
        <v>428</v>
      </c>
      <c r="AF38" s="349" t="s">
        <v>3770</v>
      </c>
      <c r="AG38" s="342" t="s">
        <v>74</v>
      </c>
      <c r="AH38" s="342" t="s">
        <v>76</v>
      </c>
      <c r="AI38" s="342" t="s">
        <v>74</v>
      </c>
      <c r="AJ38" s="342" t="s">
        <v>77</v>
      </c>
      <c r="AK38" s="342" t="s">
        <v>97</v>
      </c>
      <c r="AL38" s="342" t="s">
        <v>79</v>
      </c>
      <c r="AM38" s="342" t="s">
        <v>74</v>
      </c>
      <c r="AN38" s="342"/>
      <c r="AO38" s="342" t="s">
        <v>429</v>
      </c>
      <c r="AP38" s="342" t="s">
        <v>81</v>
      </c>
      <c r="AQ38" s="349" t="s">
        <v>210</v>
      </c>
      <c r="AR38" s="342" t="s">
        <v>83</v>
      </c>
      <c r="AS38" s="342" t="s">
        <v>84</v>
      </c>
      <c r="AT38" s="342" t="s">
        <v>45</v>
      </c>
      <c r="AU38" s="342" t="s">
        <v>85</v>
      </c>
      <c r="AV38" s="342"/>
      <c r="AW38" s="342"/>
      <c r="AX38" s="343" t="str">
        <f>IF(OR(Tableau3[[#This Row],[Option GTR]]&lt;&gt;"",Tableau3[[#This Row],[GTR spécifique]]&lt;&gt;""),"GTRS1","GTRS2")</f>
        <v>GTRS2</v>
      </c>
      <c r="AY38" s="342" t="s">
        <v>143</v>
      </c>
      <c r="AZ38" s="342"/>
      <c r="BA38" s="342" t="s">
        <v>3797</v>
      </c>
    </row>
    <row r="39" spans="1:53" s="326" customFormat="1" ht="18.149999999999999" customHeight="1" x14ac:dyDescent="0.3">
      <c r="A39" s="340" t="s">
        <v>53</v>
      </c>
      <c r="B39" s="340" t="s">
        <v>54</v>
      </c>
      <c r="C39" s="340" t="s">
        <v>55</v>
      </c>
      <c r="D39" s="340" t="s">
        <v>56</v>
      </c>
      <c r="E39" s="340" t="s">
        <v>57</v>
      </c>
      <c r="F39" s="340" t="s">
        <v>58</v>
      </c>
      <c r="G39" s="340" t="s">
        <v>59</v>
      </c>
      <c r="H39" s="340" t="s">
        <v>60</v>
      </c>
      <c r="I39" s="340" t="s">
        <v>61</v>
      </c>
      <c r="J39" s="340" t="s">
        <v>430</v>
      </c>
      <c r="K39" s="340" t="s">
        <v>431</v>
      </c>
      <c r="L39" s="345" t="str">
        <f>VLOOKUP(K39,'20260309 suivi sites'!F:F,1,0)</f>
        <v>71CHAL011AOG</v>
      </c>
      <c r="M39" s="340" t="s">
        <v>64</v>
      </c>
      <c r="N39" s="340" t="s">
        <v>65</v>
      </c>
      <c r="O39" s="340" t="s">
        <v>64</v>
      </c>
      <c r="P39" s="341">
        <v>43642</v>
      </c>
      <c r="Q39" s="341">
        <v>44260</v>
      </c>
      <c r="R39" s="347" t="b">
        <f t="shared" si="1"/>
        <v>0</v>
      </c>
      <c r="S39" s="347" t="str">
        <f t="shared" si="0"/>
        <v>change</v>
      </c>
      <c r="T39" s="342" t="s">
        <v>56</v>
      </c>
      <c r="U39" s="342" t="s">
        <v>432</v>
      </c>
      <c r="V39" s="342" t="s">
        <v>433</v>
      </c>
      <c r="W39" s="342" t="s">
        <v>434</v>
      </c>
      <c r="X39" s="342" t="s">
        <v>69</v>
      </c>
      <c r="Y39" s="349" t="s">
        <v>435</v>
      </c>
      <c r="Z39" s="342" t="s">
        <v>71</v>
      </c>
      <c r="AA39" s="342" t="s">
        <v>72</v>
      </c>
      <c r="AB39" s="342" t="s">
        <v>73</v>
      </c>
      <c r="AC39" s="342" t="s">
        <v>74</v>
      </c>
      <c r="AD39" s="342"/>
      <c r="AE39" s="342" t="s">
        <v>436</v>
      </c>
      <c r="AF39" s="349" t="s">
        <v>3764</v>
      </c>
      <c r="AG39" s="342" t="s">
        <v>74</v>
      </c>
      <c r="AH39" s="342" t="s">
        <v>76</v>
      </c>
      <c r="AI39" s="342" t="s">
        <v>74</v>
      </c>
      <c r="AJ39" s="342" t="s">
        <v>77</v>
      </c>
      <c r="AK39" s="342" t="s">
        <v>97</v>
      </c>
      <c r="AL39" s="342" t="s">
        <v>79</v>
      </c>
      <c r="AM39" s="342" t="s">
        <v>74</v>
      </c>
      <c r="AN39" s="342"/>
      <c r="AO39" s="342" t="s">
        <v>437</v>
      </c>
      <c r="AP39" s="342" t="s">
        <v>81</v>
      </c>
      <c r="AQ39" s="349" t="s">
        <v>99</v>
      </c>
      <c r="AR39" s="342" t="s">
        <v>83</v>
      </c>
      <c r="AS39" s="342" t="s">
        <v>84</v>
      </c>
      <c r="AT39" s="342" t="s">
        <v>45</v>
      </c>
      <c r="AU39" s="342" t="s">
        <v>85</v>
      </c>
      <c r="AV39" s="342"/>
      <c r="AW39" s="342"/>
      <c r="AX39" s="343" t="str">
        <f>IF(OR(Tableau3[[#This Row],[Option GTR]]&lt;&gt;"",Tableau3[[#This Row],[GTR spécifique]]&lt;&gt;""),"GTRS1","GTRS2")</f>
        <v>GTRS2</v>
      </c>
      <c r="AY39" s="342" t="s">
        <v>100</v>
      </c>
      <c r="AZ39" s="342"/>
      <c r="BA39" s="342" t="s">
        <v>438</v>
      </c>
    </row>
    <row r="40" spans="1:53" s="326" customFormat="1" ht="18.149999999999999" customHeight="1" x14ac:dyDescent="0.3">
      <c r="A40" s="340" t="s">
        <v>53</v>
      </c>
      <c r="B40" s="340" t="s">
        <v>54</v>
      </c>
      <c r="C40" s="340" t="s">
        <v>55</v>
      </c>
      <c r="D40" s="340" t="s">
        <v>56</v>
      </c>
      <c r="E40" s="340" t="s">
        <v>57</v>
      </c>
      <c r="F40" s="340" t="s">
        <v>58</v>
      </c>
      <c r="G40" s="340" t="s">
        <v>59</v>
      </c>
      <c r="H40" s="340" t="s">
        <v>60</v>
      </c>
      <c r="I40" s="340" t="s">
        <v>61</v>
      </c>
      <c r="J40" s="340" t="s">
        <v>439</v>
      </c>
      <c r="K40" s="340" t="s">
        <v>440</v>
      </c>
      <c r="L40" s="345" t="str">
        <f>VLOOKUP(K40,'20260309 suivi sites'!F:F,1,0)</f>
        <v>71CHAL021AOB</v>
      </c>
      <c r="M40" s="340" t="s">
        <v>64</v>
      </c>
      <c r="N40" s="340" t="s">
        <v>65</v>
      </c>
      <c r="O40" s="340" t="s">
        <v>64</v>
      </c>
      <c r="P40" s="341">
        <v>43628</v>
      </c>
      <c r="Q40" s="341">
        <v>45756</v>
      </c>
      <c r="R40" s="347" t="b">
        <f t="shared" si="1"/>
        <v>0</v>
      </c>
      <c r="S40" s="347" t="str">
        <f t="shared" si="0"/>
        <v>change</v>
      </c>
      <c r="T40" s="342" t="s">
        <v>56</v>
      </c>
      <c r="U40" s="342" t="s">
        <v>441</v>
      </c>
      <c r="V40" s="342" t="s">
        <v>433</v>
      </c>
      <c r="W40" s="342" t="s">
        <v>434</v>
      </c>
      <c r="X40" s="342" t="s">
        <v>69</v>
      </c>
      <c r="Y40" s="349" t="s">
        <v>442</v>
      </c>
      <c r="Z40" s="342" t="s">
        <v>71</v>
      </c>
      <c r="AA40" s="342" t="s">
        <v>218</v>
      </c>
      <c r="AB40" s="342" t="s">
        <v>152</v>
      </c>
      <c r="AC40" s="342" t="s">
        <v>74</v>
      </c>
      <c r="AD40" s="342"/>
      <c r="AE40" s="342" t="s">
        <v>443</v>
      </c>
      <c r="AF40" s="349" t="s">
        <v>3773</v>
      </c>
      <c r="AG40" s="342" t="s">
        <v>74</v>
      </c>
      <c r="AH40" s="342" t="s">
        <v>76</v>
      </c>
      <c r="AI40" s="342" t="s">
        <v>74</v>
      </c>
      <c r="AJ40" s="342" t="s">
        <v>382</v>
      </c>
      <c r="AK40" s="342" t="s">
        <v>97</v>
      </c>
      <c r="AL40" s="342" t="s">
        <v>152</v>
      </c>
      <c r="AM40" s="342" t="s">
        <v>74</v>
      </c>
      <c r="AN40" s="342"/>
      <c r="AO40" s="342" t="s">
        <v>444</v>
      </c>
      <c r="AP40" s="342" t="s">
        <v>81</v>
      </c>
      <c r="AQ40" s="349" t="s">
        <v>445</v>
      </c>
      <c r="AR40" s="342" t="s">
        <v>83</v>
      </c>
      <c r="AS40" s="342" t="s">
        <v>84</v>
      </c>
      <c r="AT40" s="342" t="s">
        <v>45</v>
      </c>
      <c r="AU40" s="342" t="s">
        <v>85</v>
      </c>
      <c r="AV40" s="342"/>
      <c r="AW40" s="342"/>
      <c r="AX40" s="343" t="str">
        <f>IF(OR(Tableau3[[#This Row],[Option GTR]]&lt;&gt;"",Tableau3[[#This Row],[GTR spécifique]]&lt;&gt;""),"GTRS1","GTRS2")</f>
        <v>GTRS2</v>
      </c>
      <c r="AY40" s="342" t="s">
        <v>355</v>
      </c>
      <c r="AZ40" s="342"/>
      <c r="BA40" s="342" t="s">
        <v>446</v>
      </c>
    </row>
    <row r="41" spans="1:53" s="326" customFormat="1" ht="18.149999999999999" customHeight="1" x14ac:dyDescent="0.3">
      <c r="A41" s="340" t="s">
        <v>53</v>
      </c>
      <c r="B41" s="340" t="s">
        <v>54</v>
      </c>
      <c r="C41" s="340" t="s">
        <v>55</v>
      </c>
      <c r="D41" s="340" t="s">
        <v>56</v>
      </c>
      <c r="E41" s="340" t="s">
        <v>57</v>
      </c>
      <c r="F41" s="340" t="s">
        <v>58</v>
      </c>
      <c r="G41" s="340" t="s">
        <v>59</v>
      </c>
      <c r="H41" s="340" t="s">
        <v>60</v>
      </c>
      <c r="I41" s="340" t="s">
        <v>61</v>
      </c>
      <c r="J41" s="340" t="s">
        <v>447</v>
      </c>
      <c r="K41" s="340" t="s">
        <v>448</v>
      </c>
      <c r="L41" s="345" t="str">
        <f>VLOOKUP(K41,'20260309 suivi sites'!F:F,1,0)</f>
        <v>73ALBE021AOG</v>
      </c>
      <c r="M41" s="340" t="s">
        <v>64</v>
      </c>
      <c r="N41" s="340" t="s">
        <v>65</v>
      </c>
      <c r="O41" s="340" t="s">
        <v>64</v>
      </c>
      <c r="P41" s="341">
        <v>43617</v>
      </c>
      <c r="Q41" s="341">
        <v>45854</v>
      </c>
      <c r="R41" s="347" t="b">
        <f t="shared" si="1"/>
        <v>0</v>
      </c>
      <c r="S41" s="347" t="str">
        <f t="shared" si="0"/>
        <v>change</v>
      </c>
      <c r="T41" s="342" t="s">
        <v>56</v>
      </c>
      <c r="U41" s="342" t="s">
        <v>449</v>
      </c>
      <c r="V41" s="342" t="s">
        <v>450</v>
      </c>
      <c r="W41" s="342" t="s">
        <v>451</v>
      </c>
      <c r="X41" s="342" t="s">
        <v>69</v>
      </c>
      <c r="Y41" s="349" t="s">
        <v>452</v>
      </c>
      <c r="Z41" s="342" t="s">
        <v>71</v>
      </c>
      <c r="AA41" s="342" t="s">
        <v>72</v>
      </c>
      <c r="AB41" s="342" t="s">
        <v>73</v>
      </c>
      <c r="AC41" s="342" t="s">
        <v>74</v>
      </c>
      <c r="AD41" s="342"/>
      <c r="AE41" s="342" t="s">
        <v>453</v>
      </c>
      <c r="AF41" s="349" t="s">
        <v>3770</v>
      </c>
      <c r="AG41" s="342" t="s">
        <v>74</v>
      </c>
      <c r="AH41" s="342" t="s">
        <v>74</v>
      </c>
      <c r="AI41" s="342" t="s">
        <v>74</v>
      </c>
      <c r="AJ41" s="342" t="s">
        <v>77</v>
      </c>
      <c r="AK41" s="342" t="s">
        <v>97</v>
      </c>
      <c r="AL41" s="342" t="s">
        <v>79</v>
      </c>
      <c r="AM41" s="342" t="s">
        <v>74</v>
      </c>
      <c r="AN41" s="342"/>
      <c r="AO41" s="342" t="s">
        <v>454</v>
      </c>
      <c r="AP41" s="342" t="s">
        <v>81</v>
      </c>
      <c r="AQ41" s="349" t="s">
        <v>210</v>
      </c>
      <c r="AR41" s="342" t="s">
        <v>83</v>
      </c>
      <c r="AS41" s="342" t="s">
        <v>84</v>
      </c>
      <c r="AT41" s="342" t="s">
        <v>45</v>
      </c>
      <c r="AU41" s="342" t="s">
        <v>85</v>
      </c>
      <c r="AV41" s="342"/>
      <c r="AW41" s="342"/>
      <c r="AX41" s="343" t="str">
        <f>IF(OR(Tableau3[[#This Row],[Option GTR]]&lt;&gt;"",Tableau3[[#This Row],[GTR spécifique]]&lt;&gt;""),"GTRS1","GTRS2")</f>
        <v>GTRS2</v>
      </c>
      <c r="AY41" s="342" t="s">
        <v>143</v>
      </c>
      <c r="AZ41" s="342"/>
      <c r="BA41" s="342" t="s">
        <v>455</v>
      </c>
    </row>
    <row r="42" spans="1:53" s="326" customFormat="1" ht="18.149999999999999" customHeight="1" x14ac:dyDescent="0.3">
      <c r="A42" s="340" t="s">
        <v>53</v>
      </c>
      <c r="B42" s="340" t="s">
        <v>54</v>
      </c>
      <c r="C42" s="340" t="s">
        <v>55</v>
      </c>
      <c r="D42" s="340" t="s">
        <v>56</v>
      </c>
      <c r="E42" s="340" t="s">
        <v>57</v>
      </c>
      <c r="F42" s="340" t="s">
        <v>58</v>
      </c>
      <c r="G42" s="340" t="s">
        <v>59</v>
      </c>
      <c r="H42" s="340" t="s">
        <v>60</v>
      </c>
      <c r="I42" s="340" t="s">
        <v>61</v>
      </c>
      <c r="J42" s="340" t="s">
        <v>456</v>
      </c>
      <c r="K42" s="340" t="s">
        <v>457</v>
      </c>
      <c r="L42" s="345" t="str">
        <f>VLOOKUP(K42,'20260309 suivi sites'!F:F,1,0)</f>
        <v>73MOUT011AOG</v>
      </c>
      <c r="M42" s="340" t="s">
        <v>64</v>
      </c>
      <c r="N42" s="340" t="s">
        <v>65</v>
      </c>
      <c r="O42" s="340" t="s">
        <v>64</v>
      </c>
      <c r="P42" s="341">
        <v>43669</v>
      </c>
      <c r="Q42" s="341">
        <v>45589</v>
      </c>
      <c r="R42" s="347" t="b">
        <f t="shared" si="1"/>
        <v>0</v>
      </c>
      <c r="S42" s="347" t="str">
        <f t="shared" si="0"/>
        <v>change</v>
      </c>
      <c r="T42" s="342" t="s">
        <v>56</v>
      </c>
      <c r="U42" s="342" t="s">
        <v>458</v>
      </c>
      <c r="V42" s="342" t="s">
        <v>459</v>
      </c>
      <c r="W42" s="342" t="s">
        <v>460</v>
      </c>
      <c r="X42" s="342" t="s">
        <v>69</v>
      </c>
      <c r="Y42" s="349" t="s">
        <v>461</v>
      </c>
      <c r="Z42" s="342" t="s">
        <v>71</v>
      </c>
      <c r="AA42" s="342" t="s">
        <v>72</v>
      </c>
      <c r="AB42" s="342" t="s">
        <v>73</v>
      </c>
      <c r="AC42" s="342" t="s">
        <v>74</v>
      </c>
      <c r="AD42" s="342"/>
      <c r="AE42" s="342" t="s">
        <v>462</v>
      </c>
      <c r="AF42" s="349" t="s">
        <v>3771</v>
      </c>
      <c r="AG42" s="342" t="s">
        <v>74</v>
      </c>
      <c r="AH42" s="342" t="s">
        <v>76</v>
      </c>
      <c r="AI42" s="342" t="s">
        <v>74</v>
      </c>
      <c r="AJ42" s="342" t="s">
        <v>77</v>
      </c>
      <c r="AK42" s="342" t="s">
        <v>97</v>
      </c>
      <c r="AL42" s="342" t="s">
        <v>79</v>
      </c>
      <c r="AM42" s="342" t="s">
        <v>74</v>
      </c>
      <c r="AN42" s="342"/>
      <c r="AO42" s="342" t="s">
        <v>463</v>
      </c>
      <c r="AP42" s="342" t="s">
        <v>81</v>
      </c>
      <c r="AQ42" s="349" t="s">
        <v>222</v>
      </c>
      <c r="AR42" s="342" t="s">
        <v>83</v>
      </c>
      <c r="AS42" s="342" t="s">
        <v>84</v>
      </c>
      <c r="AT42" s="342" t="s">
        <v>45</v>
      </c>
      <c r="AU42" s="342" t="s">
        <v>85</v>
      </c>
      <c r="AV42" s="342"/>
      <c r="AW42" s="342"/>
      <c r="AX42" s="343" t="str">
        <f>IF(OR(Tableau3[[#This Row],[Option GTR]]&lt;&gt;"",Tableau3[[#This Row],[GTR spécifique]]&lt;&gt;""),"GTRS1","GTRS2")</f>
        <v>GTRS2</v>
      </c>
      <c r="AY42" s="342" t="s">
        <v>143</v>
      </c>
      <c r="AZ42" s="342"/>
      <c r="BA42" s="342" t="s">
        <v>464</v>
      </c>
    </row>
    <row r="43" spans="1:53" s="326" customFormat="1" ht="18.149999999999999" customHeight="1" x14ac:dyDescent="0.3">
      <c r="A43" s="340" t="s">
        <v>53</v>
      </c>
      <c r="B43" s="340" t="s">
        <v>54</v>
      </c>
      <c r="C43" s="340" t="s">
        <v>55</v>
      </c>
      <c r="D43" s="340" t="s">
        <v>56</v>
      </c>
      <c r="E43" s="340" t="s">
        <v>57</v>
      </c>
      <c r="F43" s="340" t="s">
        <v>58</v>
      </c>
      <c r="G43" s="340" t="s">
        <v>59</v>
      </c>
      <c r="H43" s="340" t="s">
        <v>60</v>
      </c>
      <c r="I43" s="340" t="s">
        <v>61</v>
      </c>
      <c r="J43" s="340" t="s">
        <v>465</v>
      </c>
      <c r="K43" s="340" t="s">
        <v>466</v>
      </c>
      <c r="L43" s="345" t="str">
        <f>VLOOKUP(K43,'20260309 suivi sites'!F:F,1,0)</f>
        <v>73MOUT021AOG</v>
      </c>
      <c r="M43" s="340" t="s">
        <v>64</v>
      </c>
      <c r="N43" s="340" t="s">
        <v>65</v>
      </c>
      <c r="O43" s="340" t="s">
        <v>64</v>
      </c>
      <c r="P43" s="341">
        <v>43617</v>
      </c>
      <c r="Q43" s="341">
        <v>45905</v>
      </c>
      <c r="R43" s="347" t="b">
        <f t="shared" si="1"/>
        <v>0</v>
      </c>
      <c r="S43" s="347" t="str">
        <f t="shared" si="0"/>
        <v>change</v>
      </c>
      <c r="T43" s="342" t="s">
        <v>56</v>
      </c>
      <c r="U43" s="342" t="s">
        <v>467</v>
      </c>
      <c r="V43" s="342" t="s">
        <v>459</v>
      </c>
      <c r="W43" s="342" t="s">
        <v>460</v>
      </c>
      <c r="X43" s="342" t="s">
        <v>69</v>
      </c>
      <c r="Y43" s="349" t="s">
        <v>468</v>
      </c>
      <c r="Z43" s="342" t="s">
        <v>71</v>
      </c>
      <c r="AA43" s="342" t="s">
        <v>72</v>
      </c>
      <c r="AB43" s="342" t="s">
        <v>73</v>
      </c>
      <c r="AC43" s="342" t="s">
        <v>74</v>
      </c>
      <c r="AD43" s="342"/>
      <c r="AE43" s="342" t="s">
        <v>469</v>
      </c>
      <c r="AF43" s="349" t="s">
        <v>3770</v>
      </c>
      <c r="AG43" s="342" t="s">
        <v>74</v>
      </c>
      <c r="AH43" s="342" t="s">
        <v>76</v>
      </c>
      <c r="AI43" s="342" t="s">
        <v>74</v>
      </c>
      <c r="AJ43" s="342" t="s">
        <v>77</v>
      </c>
      <c r="AK43" s="342" t="s">
        <v>97</v>
      </c>
      <c r="AL43" s="342" t="s">
        <v>79</v>
      </c>
      <c r="AM43" s="342" t="s">
        <v>74</v>
      </c>
      <c r="AN43" s="342"/>
      <c r="AO43" s="342" t="s">
        <v>470</v>
      </c>
      <c r="AP43" s="342" t="s">
        <v>81</v>
      </c>
      <c r="AQ43" s="349" t="s">
        <v>210</v>
      </c>
      <c r="AR43" s="342" t="s">
        <v>83</v>
      </c>
      <c r="AS43" s="342" t="s">
        <v>84</v>
      </c>
      <c r="AT43" s="342" t="s">
        <v>45</v>
      </c>
      <c r="AU43" s="342" t="s">
        <v>85</v>
      </c>
      <c r="AV43" s="342"/>
      <c r="AW43" s="342"/>
      <c r="AX43" s="343" t="str">
        <f>IF(OR(Tableau3[[#This Row],[Option GTR]]&lt;&gt;"",Tableau3[[#This Row],[GTR spécifique]]&lt;&gt;""),"GTRS1","GTRS2")</f>
        <v>GTRS2</v>
      </c>
      <c r="AY43" s="342" t="s">
        <v>143</v>
      </c>
      <c r="AZ43" s="342"/>
      <c r="BA43" s="342" t="s">
        <v>471</v>
      </c>
    </row>
    <row r="44" spans="1:53" s="326" customFormat="1" ht="18.149999999999999" customHeight="1" x14ac:dyDescent="0.3">
      <c r="A44" s="340" t="s">
        <v>53</v>
      </c>
      <c r="B44" s="340" t="s">
        <v>54</v>
      </c>
      <c r="C44" s="340" t="s">
        <v>55</v>
      </c>
      <c r="D44" s="340" t="s">
        <v>56</v>
      </c>
      <c r="E44" s="340" t="s">
        <v>57</v>
      </c>
      <c r="F44" s="340" t="s">
        <v>58</v>
      </c>
      <c r="G44" s="340" t="s">
        <v>59</v>
      </c>
      <c r="H44" s="340" t="s">
        <v>60</v>
      </c>
      <c r="I44" s="340" t="s">
        <v>61</v>
      </c>
      <c r="J44" s="340" t="s">
        <v>472</v>
      </c>
      <c r="K44" s="340" t="s">
        <v>473</v>
      </c>
      <c r="L44" s="345" t="str">
        <f>VLOOKUP(K44,'20260309 suivi sites'!F:F,1,0)</f>
        <v>76LEHA011AOB</v>
      </c>
      <c r="M44" s="340" t="s">
        <v>64</v>
      </c>
      <c r="N44" s="340" t="s">
        <v>65</v>
      </c>
      <c r="O44" s="340" t="s">
        <v>64</v>
      </c>
      <c r="P44" s="341">
        <v>43860</v>
      </c>
      <c r="Q44" s="341">
        <v>44727</v>
      </c>
      <c r="R44" s="347" t="b">
        <f t="shared" si="1"/>
        <v>0</v>
      </c>
      <c r="S44" s="347" t="str">
        <f t="shared" si="0"/>
        <v>change</v>
      </c>
      <c r="T44" s="342" t="s">
        <v>56</v>
      </c>
      <c r="U44" s="342" t="s">
        <v>474</v>
      </c>
      <c r="V44" s="342" t="s">
        <v>475</v>
      </c>
      <c r="W44" s="342" t="s">
        <v>476</v>
      </c>
      <c r="X44" s="342" t="s">
        <v>69</v>
      </c>
      <c r="Y44" s="349" t="s">
        <v>477</v>
      </c>
      <c r="Z44" s="342" t="s">
        <v>71</v>
      </c>
      <c r="AA44" s="342" t="s">
        <v>218</v>
      </c>
      <c r="AB44" s="342" t="s">
        <v>152</v>
      </c>
      <c r="AC44" s="342" t="s">
        <v>74</v>
      </c>
      <c r="AD44" s="342"/>
      <c r="AE44" s="342" t="s">
        <v>478</v>
      </c>
      <c r="AF44" s="349" t="s">
        <v>3764</v>
      </c>
      <c r="AG44" s="342" t="s">
        <v>74</v>
      </c>
      <c r="AH44" s="342" t="s">
        <v>76</v>
      </c>
      <c r="AI44" s="342" t="s">
        <v>74</v>
      </c>
      <c r="AJ44" s="342" t="s">
        <v>77</v>
      </c>
      <c r="AK44" s="342" t="s">
        <v>97</v>
      </c>
      <c r="AL44" s="342" t="s">
        <v>152</v>
      </c>
      <c r="AM44" s="342" t="s">
        <v>74</v>
      </c>
      <c r="AN44" s="342"/>
      <c r="AO44" s="342" t="s">
        <v>479</v>
      </c>
      <c r="AP44" s="342" t="s">
        <v>81</v>
      </c>
      <c r="AQ44" s="349" t="s">
        <v>99</v>
      </c>
      <c r="AR44" s="342" t="s">
        <v>83</v>
      </c>
      <c r="AS44" s="342" t="s">
        <v>290</v>
      </c>
      <c r="AT44" s="342" t="s">
        <v>45</v>
      </c>
      <c r="AU44" s="342" t="s">
        <v>85</v>
      </c>
      <c r="AV44" s="342" t="s">
        <v>480</v>
      </c>
      <c r="AW44" s="342"/>
      <c r="AX44" s="343" t="str">
        <f>IF(OR(Tableau3[[#This Row],[Option GTR]]&lt;&gt;"",Tableau3[[#This Row],[GTR spécifique]]&lt;&gt;""),"GTRS1","GTRS2")</f>
        <v>GTRS1</v>
      </c>
      <c r="AY44" s="342" t="s">
        <v>481</v>
      </c>
      <c r="AZ44" s="342"/>
      <c r="BA44" s="344" t="s">
        <v>482</v>
      </c>
    </row>
    <row r="45" spans="1:53" s="326" customFormat="1" ht="18.149999999999999" customHeight="1" x14ac:dyDescent="0.3">
      <c r="A45" s="340" t="s">
        <v>53</v>
      </c>
      <c r="B45" s="340" t="s">
        <v>54</v>
      </c>
      <c r="C45" s="340" t="s">
        <v>55</v>
      </c>
      <c r="D45" s="340" t="s">
        <v>56</v>
      </c>
      <c r="E45" s="340" t="s">
        <v>57</v>
      </c>
      <c r="F45" s="340" t="s">
        <v>58</v>
      </c>
      <c r="G45" s="340" t="s">
        <v>59</v>
      </c>
      <c r="H45" s="340" t="s">
        <v>60</v>
      </c>
      <c r="I45" s="340" t="s">
        <v>61</v>
      </c>
      <c r="J45" s="340" t="s">
        <v>483</v>
      </c>
      <c r="K45" s="340" t="s">
        <v>484</v>
      </c>
      <c r="L45" s="345" t="str">
        <f>VLOOKUP(K45,'20260309 suivi sites'!F:F,1,0)</f>
        <v>83TANN011AOG</v>
      </c>
      <c r="M45" s="340" t="s">
        <v>64</v>
      </c>
      <c r="N45" s="340" t="s">
        <v>65</v>
      </c>
      <c r="O45" s="340" t="s">
        <v>64</v>
      </c>
      <c r="P45" s="341">
        <v>44195</v>
      </c>
      <c r="Q45" s="341">
        <v>45555</v>
      </c>
      <c r="R45" s="347" t="b">
        <f t="shared" si="1"/>
        <v>0</v>
      </c>
      <c r="S45" s="347" t="str">
        <f t="shared" si="0"/>
        <v>change</v>
      </c>
      <c r="T45" s="342" t="s">
        <v>56</v>
      </c>
      <c r="U45" s="342" t="s">
        <v>485</v>
      </c>
      <c r="V45" s="342" t="s">
        <v>486</v>
      </c>
      <c r="W45" s="342" t="s">
        <v>487</v>
      </c>
      <c r="X45" s="342" t="s">
        <v>69</v>
      </c>
      <c r="Y45" s="349" t="s">
        <v>488</v>
      </c>
      <c r="Z45" s="342" t="s">
        <v>71</v>
      </c>
      <c r="AA45" s="342" t="s">
        <v>72</v>
      </c>
      <c r="AB45" s="342" t="s">
        <v>73</v>
      </c>
      <c r="AC45" s="342" t="s">
        <v>74</v>
      </c>
      <c r="AD45" s="342"/>
      <c r="AE45" s="342" t="s">
        <v>489</v>
      </c>
      <c r="AF45" s="349" t="s">
        <v>3771</v>
      </c>
      <c r="AG45" s="342" t="s">
        <v>74</v>
      </c>
      <c r="AH45" s="342" t="s">
        <v>76</v>
      </c>
      <c r="AI45" s="342" t="s">
        <v>74</v>
      </c>
      <c r="AJ45" s="342" t="s">
        <v>77</v>
      </c>
      <c r="AK45" s="342" t="s">
        <v>97</v>
      </c>
      <c r="AL45" s="342" t="s">
        <v>79</v>
      </c>
      <c r="AM45" s="342" t="s">
        <v>74</v>
      </c>
      <c r="AN45" s="342"/>
      <c r="AO45" s="342" t="s">
        <v>490</v>
      </c>
      <c r="AP45" s="342" t="s">
        <v>81</v>
      </c>
      <c r="AQ45" s="349" t="s">
        <v>222</v>
      </c>
      <c r="AR45" s="342" t="s">
        <v>83</v>
      </c>
      <c r="AS45" s="342" t="s">
        <v>84</v>
      </c>
      <c r="AT45" s="342" t="s">
        <v>45</v>
      </c>
      <c r="AU45" s="342" t="s">
        <v>85</v>
      </c>
      <c r="AV45" s="342"/>
      <c r="AW45" s="342"/>
      <c r="AX45" s="343" t="str">
        <f>IF(OR(Tableau3[[#This Row],[Option GTR]]&lt;&gt;"",Tableau3[[#This Row],[GTR spécifique]]&lt;&gt;""),"GTRS1","GTRS2")</f>
        <v>GTRS2</v>
      </c>
      <c r="AY45" s="342" t="s">
        <v>143</v>
      </c>
      <c r="AZ45" s="342"/>
      <c r="BA45" s="342" t="s">
        <v>491</v>
      </c>
    </row>
    <row r="46" spans="1:53" s="326" customFormat="1" ht="18.149999999999999" customHeight="1" x14ac:dyDescent="0.3">
      <c r="A46" s="340" t="s">
        <v>53</v>
      </c>
      <c r="B46" s="340" t="s">
        <v>54</v>
      </c>
      <c r="C46" s="340" t="s">
        <v>55</v>
      </c>
      <c r="D46" s="340" t="s">
        <v>56</v>
      </c>
      <c r="E46" s="340" t="s">
        <v>57</v>
      </c>
      <c r="F46" s="340" t="s">
        <v>58</v>
      </c>
      <c r="G46" s="340" t="s">
        <v>59</v>
      </c>
      <c r="H46" s="340" t="s">
        <v>60</v>
      </c>
      <c r="I46" s="340" t="s">
        <v>61</v>
      </c>
      <c r="J46" s="340" t="s">
        <v>492</v>
      </c>
      <c r="K46" s="340" t="s">
        <v>493</v>
      </c>
      <c r="L46" s="345" t="str">
        <f>VLOOKUP(K46,'20260309 suivi sites'!F:F,1,0)</f>
        <v>87FEYT011AOG</v>
      </c>
      <c r="M46" s="340" t="s">
        <v>64</v>
      </c>
      <c r="N46" s="340" t="s">
        <v>65</v>
      </c>
      <c r="O46" s="340" t="s">
        <v>64</v>
      </c>
      <c r="P46" s="341">
        <v>43617</v>
      </c>
      <c r="Q46" s="341">
        <v>45783</v>
      </c>
      <c r="R46" s="347" t="b">
        <f t="shared" si="1"/>
        <v>0</v>
      </c>
      <c r="S46" s="347" t="str">
        <f t="shared" si="0"/>
        <v>change</v>
      </c>
      <c r="T46" s="342" t="s">
        <v>56</v>
      </c>
      <c r="U46" s="342" t="s">
        <v>494</v>
      </c>
      <c r="V46" s="342" t="s">
        <v>495</v>
      </c>
      <c r="W46" s="342" t="s">
        <v>496</v>
      </c>
      <c r="X46" s="342" t="s">
        <v>69</v>
      </c>
      <c r="Y46" s="349" t="s">
        <v>497</v>
      </c>
      <c r="Z46" s="342" t="s">
        <v>71</v>
      </c>
      <c r="AA46" s="342" t="s">
        <v>72</v>
      </c>
      <c r="AB46" s="342" t="s">
        <v>73</v>
      </c>
      <c r="AC46" s="342" t="s">
        <v>74</v>
      </c>
      <c r="AD46" s="342"/>
      <c r="AE46" s="342" t="s">
        <v>498</v>
      </c>
      <c r="AF46" s="349" t="s">
        <v>3769</v>
      </c>
      <c r="AG46" s="342" t="s">
        <v>74</v>
      </c>
      <c r="AH46" s="342" t="s">
        <v>76</v>
      </c>
      <c r="AI46" s="342" t="s">
        <v>74</v>
      </c>
      <c r="AJ46" s="342" t="s">
        <v>77</v>
      </c>
      <c r="AK46" s="342" t="s">
        <v>165</v>
      </c>
      <c r="AL46" s="342" t="s">
        <v>79</v>
      </c>
      <c r="AM46" s="342" t="s">
        <v>74</v>
      </c>
      <c r="AN46" s="342"/>
      <c r="AO46" s="342" t="s">
        <v>499</v>
      </c>
      <c r="AP46" s="342" t="s">
        <v>81</v>
      </c>
      <c r="AQ46" s="349" t="s">
        <v>200</v>
      </c>
      <c r="AR46" s="342" t="s">
        <v>83</v>
      </c>
      <c r="AS46" s="342" t="s">
        <v>84</v>
      </c>
      <c r="AT46" s="342" t="s">
        <v>45</v>
      </c>
      <c r="AU46" s="342" t="s">
        <v>85</v>
      </c>
      <c r="AV46" s="342"/>
      <c r="AW46" s="342"/>
      <c r="AX46" s="343" t="str">
        <f>IF(OR(Tableau3[[#This Row],[Option GTR]]&lt;&gt;"",Tableau3[[#This Row],[GTR spécifique]]&lt;&gt;""),"GTRS1","GTRS2")</f>
        <v>GTRS2</v>
      </c>
      <c r="AY46" s="342" t="s">
        <v>86</v>
      </c>
      <c r="AZ46" s="342"/>
      <c r="BA46" s="342" t="s">
        <v>500</v>
      </c>
    </row>
    <row r="47" spans="1:53" s="326" customFormat="1" ht="18.149999999999999" customHeight="1" x14ac:dyDescent="0.3">
      <c r="A47" s="340" t="s">
        <v>53</v>
      </c>
      <c r="B47" s="340" t="s">
        <v>54</v>
      </c>
      <c r="C47" s="340" t="s">
        <v>55</v>
      </c>
      <c r="D47" s="340" t="s">
        <v>56</v>
      </c>
      <c r="E47" s="340" t="s">
        <v>57</v>
      </c>
      <c r="F47" s="340" t="s">
        <v>58</v>
      </c>
      <c r="G47" s="340" t="s">
        <v>59</v>
      </c>
      <c r="H47" s="340" t="s">
        <v>60</v>
      </c>
      <c r="I47" s="340" t="s">
        <v>61</v>
      </c>
      <c r="J47" s="340" t="s">
        <v>501</v>
      </c>
      <c r="K47" s="340" t="s">
        <v>502</v>
      </c>
      <c r="L47" s="345" t="str">
        <f>VLOOKUP(K47,'20260309 suivi sites'!F:F,1,0)</f>
        <v>87LIMO011AOG</v>
      </c>
      <c r="M47" s="340" t="s">
        <v>64</v>
      </c>
      <c r="N47" s="340" t="s">
        <v>65</v>
      </c>
      <c r="O47" s="340" t="s">
        <v>64</v>
      </c>
      <c r="P47" s="341">
        <v>43617</v>
      </c>
      <c r="Q47" s="341">
        <v>46059</v>
      </c>
      <c r="R47" s="347" t="b">
        <f t="shared" si="1"/>
        <v>0</v>
      </c>
      <c r="S47" s="347" t="str">
        <f t="shared" si="0"/>
        <v>change</v>
      </c>
      <c r="T47" s="342" t="s">
        <v>56</v>
      </c>
      <c r="U47" s="342" t="s">
        <v>503</v>
      </c>
      <c r="V47" s="342" t="s">
        <v>504</v>
      </c>
      <c r="W47" s="342" t="s">
        <v>505</v>
      </c>
      <c r="X47" s="342" t="s">
        <v>69</v>
      </c>
      <c r="Y47" s="349" t="s">
        <v>506</v>
      </c>
      <c r="Z47" s="342" t="s">
        <v>71</v>
      </c>
      <c r="AA47" s="342" t="s">
        <v>72</v>
      </c>
      <c r="AB47" s="342" t="s">
        <v>73</v>
      </c>
      <c r="AC47" s="342" t="s">
        <v>74</v>
      </c>
      <c r="AD47" s="342"/>
      <c r="AE47" s="342" t="s">
        <v>507</v>
      </c>
      <c r="AF47" s="349" t="s">
        <v>3770</v>
      </c>
      <c r="AG47" s="342" t="s">
        <v>74</v>
      </c>
      <c r="AH47" s="342" t="s">
        <v>76</v>
      </c>
      <c r="AI47" s="342" t="s">
        <v>74</v>
      </c>
      <c r="AJ47" s="342" t="s">
        <v>77</v>
      </c>
      <c r="AK47" s="342" t="s">
        <v>97</v>
      </c>
      <c r="AL47" s="342" t="s">
        <v>79</v>
      </c>
      <c r="AM47" s="342" t="s">
        <v>74</v>
      </c>
      <c r="AN47" s="342"/>
      <c r="AO47" s="342" t="s">
        <v>508</v>
      </c>
      <c r="AP47" s="342" t="s">
        <v>81</v>
      </c>
      <c r="AQ47" s="349" t="s">
        <v>210</v>
      </c>
      <c r="AR47" s="342" t="s">
        <v>83</v>
      </c>
      <c r="AS47" s="342" t="s">
        <v>84</v>
      </c>
      <c r="AT47" s="342" t="s">
        <v>45</v>
      </c>
      <c r="AU47" s="342" t="s">
        <v>85</v>
      </c>
      <c r="AV47" s="342"/>
      <c r="AW47" s="342"/>
      <c r="AX47" s="343" t="str">
        <f>IF(OR(Tableau3[[#This Row],[Option GTR]]&lt;&gt;"",Tableau3[[#This Row],[GTR spécifique]]&lt;&gt;""),"GTRS1","GTRS2")</f>
        <v>GTRS2</v>
      </c>
      <c r="AY47" s="342" t="s">
        <v>86</v>
      </c>
      <c r="AZ47" s="342"/>
      <c r="BA47" s="342" t="s">
        <v>3798</v>
      </c>
    </row>
    <row r="48" spans="1:53" s="326" customFormat="1" ht="18.149999999999999" customHeight="1" x14ac:dyDescent="0.3">
      <c r="A48" s="340" t="s">
        <v>53</v>
      </c>
      <c r="B48" s="340" t="s">
        <v>54</v>
      </c>
      <c r="C48" s="340" t="s">
        <v>55</v>
      </c>
      <c r="D48" s="340" t="s">
        <v>56</v>
      </c>
      <c r="E48" s="340" t="s">
        <v>57</v>
      </c>
      <c r="F48" s="340" t="s">
        <v>58</v>
      </c>
      <c r="G48" s="340" t="s">
        <v>59</v>
      </c>
      <c r="H48" s="340" t="s">
        <v>60</v>
      </c>
      <c r="I48" s="340" t="s">
        <v>61</v>
      </c>
      <c r="J48" s="340" t="s">
        <v>511</v>
      </c>
      <c r="K48" s="340" t="s">
        <v>512</v>
      </c>
      <c r="L48" s="345" t="str">
        <f>VLOOKUP(K48,'20260309 suivi sites'!F:F,1,0)</f>
        <v>89DOME011AOS</v>
      </c>
      <c r="M48" s="340" t="s">
        <v>64</v>
      </c>
      <c r="N48" s="340" t="s">
        <v>65</v>
      </c>
      <c r="O48" s="340" t="s">
        <v>64</v>
      </c>
      <c r="P48" s="341">
        <v>44131</v>
      </c>
      <c r="Q48" s="341">
        <v>45708</v>
      </c>
      <c r="R48" s="347" t="b">
        <f t="shared" si="1"/>
        <v>0</v>
      </c>
      <c r="S48" s="347" t="str">
        <f t="shared" si="0"/>
        <v>change</v>
      </c>
      <c r="T48" s="342" t="s">
        <v>56</v>
      </c>
      <c r="U48" s="342" t="s">
        <v>513</v>
      </c>
      <c r="V48" s="342" t="s">
        <v>514</v>
      </c>
      <c r="W48" s="342" t="s">
        <v>515</v>
      </c>
      <c r="X48" s="342" t="s">
        <v>69</v>
      </c>
      <c r="Y48" s="349" t="s">
        <v>516</v>
      </c>
      <c r="Z48" s="342" t="s">
        <v>71</v>
      </c>
      <c r="AA48" s="342" t="s">
        <v>72</v>
      </c>
      <c r="AB48" s="342" t="s">
        <v>73</v>
      </c>
      <c r="AC48" s="342" t="s">
        <v>74</v>
      </c>
      <c r="AD48" s="342"/>
      <c r="AE48" s="342" t="s">
        <v>517</v>
      </c>
      <c r="AF48" s="349" t="s">
        <v>3764</v>
      </c>
      <c r="AG48" s="342" t="s">
        <v>74</v>
      </c>
      <c r="AH48" s="342" t="s">
        <v>76</v>
      </c>
      <c r="AI48" s="342" t="s">
        <v>74</v>
      </c>
      <c r="AJ48" s="342" t="s">
        <v>77</v>
      </c>
      <c r="AK48" s="342" t="s">
        <v>97</v>
      </c>
      <c r="AL48" s="342" t="s">
        <v>79</v>
      </c>
      <c r="AM48" s="342" t="s">
        <v>74</v>
      </c>
      <c r="AN48" s="342"/>
      <c r="AO48" s="342" t="s">
        <v>518</v>
      </c>
      <c r="AP48" s="342" t="s">
        <v>81</v>
      </c>
      <c r="AQ48" s="349" t="s">
        <v>99</v>
      </c>
      <c r="AR48" s="342" t="s">
        <v>83</v>
      </c>
      <c r="AS48" s="342" t="s">
        <v>84</v>
      </c>
      <c r="AT48" s="342" t="s">
        <v>45</v>
      </c>
      <c r="AU48" s="342" t="s">
        <v>85</v>
      </c>
      <c r="AV48" s="342" t="s">
        <v>120</v>
      </c>
      <c r="AW48" s="342"/>
      <c r="AX48" s="343" t="str">
        <f>IF(OR(Tableau3[[#This Row],[Option GTR]]&lt;&gt;"",Tableau3[[#This Row],[GTR spécifique]]&lt;&gt;""),"GTRS1","GTRS2")</f>
        <v>GTRS1</v>
      </c>
      <c r="AY48" s="342" t="s">
        <v>143</v>
      </c>
      <c r="AZ48" s="342"/>
      <c r="BA48" s="342" t="s">
        <v>519</v>
      </c>
    </row>
    <row r="49" spans="1:53" s="326" customFormat="1" ht="18.149999999999999" customHeight="1" x14ac:dyDescent="0.3">
      <c r="A49" s="340" t="s">
        <v>53</v>
      </c>
      <c r="B49" s="340" t="s">
        <v>54</v>
      </c>
      <c r="C49" s="340" t="s">
        <v>55</v>
      </c>
      <c r="D49" s="340" t="s">
        <v>56</v>
      </c>
      <c r="E49" s="340" t="s">
        <v>57</v>
      </c>
      <c r="F49" s="340" t="s">
        <v>58</v>
      </c>
      <c r="G49" s="340" t="s">
        <v>59</v>
      </c>
      <c r="H49" s="340" t="s">
        <v>60</v>
      </c>
      <c r="I49" s="340" t="s">
        <v>61</v>
      </c>
      <c r="J49" s="340" t="s">
        <v>520</v>
      </c>
      <c r="K49" s="340" t="s">
        <v>521</v>
      </c>
      <c r="L49" s="345" t="str">
        <f>VLOOKUP(K49,'20260309 suivi sites'!F:F,1,0)</f>
        <v>07LESS011AOG</v>
      </c>
      <c r="M49" s="340" t="s">
        <v>64</v>
      </c>
      <c r="N49" s="340" t="s">
        <v>65</v>
      </c>
      <c r="O49" s="340" t="s">
        <v>64</v>
      </c>
      <c r="P49" s="341">
        <v>43617</v>
      </c>
      <c r="Q49" s="341">
        <v>43802</v>
      </c>
      <c r="R49" s="347" t="b">
        <f t="shared" si="1"/>
        <v>0</v>
      </c>
      <c r="S49" s="347" t="str">
        <f t="shared" si="0"/>
        <v>change</v>
      </c>
      <c r="T49" s="342" t="s">
        <v>56</v>
      </c>
      <c r="U49" s="342" t="s">
        <v>522</v>
      </c>
      <c r="V49" s="342" t="s">
        <v>523</v>
      </c>
      <c r="W49" s="342" t="s">
        <v>524</v>
      </c>
      <c r="X49" s="342" t="s">
        <v>69</v>
      </c>
      <c r="Y49" s="349" t="s">
        <v>525</v>
      </c>
      <c r="Z49" s="342" t="s">
        <v>71</v>
      </c>
      <c r="AA49" s="342" t="s">
        <v>72</v>
      </c>
      <c r="AB49" s="342" t="s">
        <v>73</v>
      </c>
      <c r="AC49" s="342" t="s">
        <v>74</v>
      </c>
      <c r="AD49" s="342"/>
      <c r="AE49" s="342" t="s">
        <v>526</v>
      </c>
      <c r="AF49" s="349" t="s">
        <v>3771</v>
      </c>
      <c r="AG49" s="342" t="s">
        <v>74</v>
      </c>
      <c r="AH49" s="342" t="s">
        <v>76</v>
      </c>
      <c r="AI49" s="342" t="s">
        <v>74</v>
      </c>
      <c r="AJ49" s="342" t="s">
        <v>77</v>
      </c>
      <c r="AK49" s="342" t="s">
        <v>97</v>
      </c>
      <c r="AL49" s="342" t="s">
        <v>79</v>
      </c>
      <c r="AM49" s="342" t="s">
        <v>74</v>
      </c>
      <c r="AN49" s="342"/>
      <c r="AO49" s="342" t="s">
        <v>527</v>
      </c>
      <c r="AP49" s="342" t="s">
        <v>81</v>
      </c>
      <c r="AQ49" s="349" t="s">
        <v>222</v>
      </c>
      <c r="AR49" s="342" t="s">
        <v>83</v>
      </c>
      <c r="AS49" s="342" t="s">
        <v>84</v>
      </c>
      <c r="AT49" s="342" t="s">
        <v>45</v>
      </c>
      <c r="AU49" s="342" t="s">
        <v>85</v>
      </c>
      <c r="AV49" s="342"/>
      <c r="AW49" s="342"/>
      <c r="AX49" s="343" t="str">
        <f>IF(OR(Tableau3[[#This Row],[Option GTR]]&lt;&gt;"",Tableau3[[#This Row],[GTR spécifique]]&lt;&gt;""),"GTRS1","GTRS2")</f>
        <v>GTRS2</v>
      </c>
      <c r="AY49" s="342" t="s">
        <v>143</v>
      </c>
      <c r="AZ49" s="342"/>
      <c r="BA49" s="342" t="s">
        <v>528</v>
      </c>
    </row>
    <row r="50" spans="1:53" s="326" customFormat="1" ht="18.149999999999999" customHeight="1" x14ac:dyDescent="0.3">
      <c r="A50" s="340" t="s">
        <v>53</v>
      </c>
      <c r="B50" s="340" t="s">
        <v>54</v>
      </c>
      <c r="C50" s="340" t="s">
        <v>55</v>
      </c>
      <c r="D50" s="340" t="s">
        <v>56</v>
      </c>
      <c r="E50" s="340" t="s">
        <v>57</v>
      </c>
      <c r="F50" s="340" t="s">
        <v>58</v>
      </c>
      <c r="G50" s="340" t="s">
        <v>59</v>
      </c>
      <c r="H50" s="340" t="s">
        <v>60</v>
      </c>
      <c r="I50" s="340" t="s">
        <v>61</v>
      </c>
      <c r="J50" s="340" t="s">
        <v>529</v>
      </c>
      <c r="K50" s="340" t="s">
        <v>530</v>
      </c>
      <c r="L50" s="345" t="str">
        <f>VLOOKUP(K50,'20260309 suivi sites'!F:F,1,0)</f>
        <v>08ROCR011AOG</v>
      </c>
      <c r="M50" s="340" t="s">
        <v>64</v>
      </c>
      <c r="N50" s="340" t="s">
        <v>65</v>
      </c>
      <c r="O50" s="340" t="s">
        <v>64</v>
      </c>
      <c r="P50" s="341">
        <v>43565</v>
      </c>
      <c r="Q50" s="341">
        <v>44113</v>
      </c>
      <c r="R50" s="347" t="b">
        <f t="shared" si="1"/>
        <v>0</v>
      </c>
      <c r="S50" s="347" t="str">
        <f t="shared" si="0"/>
        <v>change</v>
      </c>
      <c r="T50" s="342" t="s">
        <v>56</v>
      </c>
      <c r="U50" s="342" t="s">
        <v>531</v>
      </c>
      <c r="V50" s="342" t="s">
        <v>532</v>
      </c>
      <c r="W50" s="342" t="s">
        <v>533</v>
      </c>
      <c r="X50" s="342" t="s">
        <v>69</v>
      </c>
      <c r="Y50" s="349" t="s">
        <v>534</v>
      </c>
      <c r="Z50" s="342" t="s">
        <v>71</v>
      </c>
      <c r="AA50" s="342" t="s">
        <v>72</v>
      </c>
      <c r="AB50" s="342" t="s">
        <v>73</v>
      </c>
      <c r="AC50" s="342" t="s">
        <v>74</v>
      </c>
      <c r="AD50" s="342"/>
      <c r="AE50" s="342" t="s">
        <v>535</v>
      </c>
      <c r="AF50" s="349" t="s">
        <v>3771</v>
      </c>
      <c r="AG50" s="342" t="s">
        <v>74</v>
      </c>
      <c r="AH50" s="342" t="s">
        <v>76</v>
      </c>
      <c r="AI50" s="342" t="s">
        <v>74</v>
      </c>
      <c r="AJ50" s="342" t="s">
        <v>77</v>
      </c>
      <c r="AK50" s="342" t="s">
        <v>97</v>
      </c>
      <c r="AL50" s="342" t="s">
        <v>79</v>
      </c>
      <c r="AM50" s="342" t="s">
        <v>74</v>
      </c>
      <c r="AN50" s="342"/>
      <c r="AO50" s="342" t="s">
        <v>536</v>
      </c>
      <c r="AP50" s="342" t="s">
        <v>81</v>
      </c>
      <c r="AQ50" s="349" t="s">
        <v>222</v>
      </c>
      <c r="AR50" s="342" t="s">
        <v>83</v>
      </c>
      <c r="AS50" s="342" t="s">
        <v>84</v>
      </c>
      <c r="AT50" s="342" t="s">
        <v>45</v>
      </c>
      <c r="AU50" s="342" t="s">
        <v>85</v>
      </c>
      <c r="AV50" s="342"/>
      <c r="AW50" s="342"/>
      <c r="AX50" s="343" t="str">
        <f>IF(OR(Tableau3[[#This Row],[Option GTR]]&lt;&gt;"",Tableau3[[#This Row],[GTR spécifique]]&lt;&gt;""),"GTRS1","GTRS2")</f>
        <v>GTRS2</v>
      </c>
      <c r="AY50" s="342" t="s">
        <v>143</v>
      </c>
      <c r="AZ50" s="342"/>
      <c r="BA50" s="342" t="s">
        <v>537</v>
      </c>
    </row>
    <row r="51" spans="1:53" s="326" customFormat="1" ht="18.149999999999999" customHeight="1" x14ac:dyDescent="0.3">
      <c r="A51" s="340" t="s">
        <v>53</v>
      </c>
      <c r="B51" s="340" t="s">
        <v>54</v>
      </c>
      <c r="C51" s="340" t="s">
        <v>55</v>
      </c>
      <c r="D51" s="340" t="s">
        <v>56</v>
      </c>
      <c r="E51" s="340" t="s">
        <v>57</v>
      </c>
      <c r="F51" s="340" t="s">
        <v>58</v>
      </c>
      <c r="G51" s="340" t="s">
        <v>59</v>
      </c>
      <c r="H51" s="340" t="s">
        <v>60</v>
      </c>
      <c r="I51" s="340" t="s">
        <v>61</v>
      </c>
      <c r="J51" s="340" t="s">
        <v>538</v>
      </c>
      <c r="K51" s="340" t="s">
        <v>539</v>
      </c>
      <c r="L51" s="345" t="str">
        <f>VLOOKUP(K51,'20260309 suivi sites'!F:F,1,0)</f>
        <v>97BAIE011AOG</v>
      </c>
      <c r="M51" s="340" t="s">
        <v>64</v>
      </c>
      <c r="N51" s="340" t="s">
        <v>65</v>
      </c>
      <c r="O51" s="340" t="s">
        <v>64</v>
      </c>
      <c r="P51" s="341">
        <v>43746</v>
      </c>
      <c r="Q51" s="341">
        <v>44991</v>
      </c>
      <c r="R51" s="347" t="b">
        <f t="shared" si="1"/>
        <v>0</v>
      </c>
      <c r="S51" s="347" t="str">
        <f t="shared" si="0"/>
        <v>change</v>
      </c>
      <c r="T51" s="342" t="s">
        <v>56</v>
      </c>
      <c r="U51" s="342" t="s">
        <v>540</v>
      </c>
      <c r="V51" s="342" t="s">
        <v>541</v>
      </c>
      <c r="W51" s="342" t="s">
        <v>542</v>
      </c>
      <c r="X51" s="342" t="s">
        <v>69</v>
      </c>
      <c r="Y51" s="349" t="s">
        <v>543</v>
      </c>
      <c r="Z51" s="342" t="s">
        <v>71</v>
      </c>
      <c r="AA51" s="342" t="s">
        <v>72</v>
      </c>
      <c r="AB51" s="342" t="s">
        <v>73</v>
      </c>
      <c r="AC51" s="342" t="s">
        <v>74</v>
      </c>
      <c r="AD51" s="342"/>
      <c r="AE51" s="342" t="s">
        <v>544</v>
      </c>
      <c r="AF51" s="349" t="s">
        <v>3766</v>
      </c>
      <c r="AG51" s="342" t="s">
        <v>74</v>
      </c>
      <c r="AH51" s="342" t="s">
        <v>76</v>
      </c>
      <c r="AI51" s="342" t="s">
        <v>76</v>
      </c>
      <c r="AJ51" s="342" t="s">
        <v>77</v>
      </c>
      <c r="AK51" s="342" t="s">
        <v>97</v>
      </c>
      <c r="AL51" s="342" t="s">
        <v>79</v>
      </c>
      <c r="AM51" s="342" t="s">
        <v>74</v>
      </c>
      <c r="AN51" s="342"/>
      <c r="AO51" s="342" t="s">
        <v>545</v>
      </c>
      <c r="AP51" s="342" t="s">
        <v>81</v>
      </c>
      <c r="AQ51" s="349" t="s">
        <v>142</v>
      </c>
      <c r="AR51" s="342" t="s">
        <v>83</v>
      </c>
      <c r="AS51" s="342" t="s">
        <v>84</v>
      </c>
      <c r="AT51" s="342" t="s">
        <v>45</v>
      </c>
      <c r="AU51" s="342" t="s">
        <v>85</v>
      </c>
      <c r="AV51" s="342"/>
      <c r="AW51" s="342" t="s">
        <v>131</v>
      </c>
      <c r="AX51" s="343" t="str">
        <f>IF(OR(Tableau3[[#This Row],[Option GTR]]&lt;&gt;"",Tableau3[[#This Row],[GTR spécifique]]&lt;&gt;""),"GTRS1","GTRS2")</f>
        <v>GTRS1</v>
      </c>
      <c r="AY51" s="342" t="s">
        <v>86</v>
      </c>
      <c r="AZ51" s="342"/>
      <c r="BA51" s="342" t="s">
        <v>546</v>
      </c>
    </row>
    <row r="52" spans="1:53" s="326" customFormat="1" ht="18.149999999999999" customHeight="1" x14ac:dyDescent="0.3">
      <c r="A52" s="340" t="s">
        <v>53</v>
      </c>
      <c r="B52" s="340" t="s">
        <v>54</v>
      </c>
      <c r="C52" s="340" t="s">
        <v>55</v>
      </c>
      <c r="D52" s="340" t="s">
        <v>56</v>
      </c>
      <c r="E52" s="340" t="s">
        <v>57</v>
      </c>
      <c r="F52" s="340" t="s">
        <v>58</v>
      </c>
      <c r="G52" s="340" t="s">
        <v>59</v>
      </c>
      <c r="H52" s="340" t="s">
        <v>60</v>
      </c>
      <c r="I52" s="340" t="s">
        <v>61</v>
      </c>
      <c r="J52" s="340" t="s">
        <v>547</v>
      </c>
      <c r="K52" s="340" t="s">
        <v>548</v>
      </c>
      <c r="L52" s="345" t="str">
        <f>VLOOKUP(K52,'20260309 suivi sites'!F:F,1,0)</f>
        <v>12MURD011AOG</v>
      </c>
      <c r="M52" s="340" t="s">
        <v>64</v>
      </c>
      <c r="N52" s="340" t="s">
        <v>65</v>
      </c>
      <c r="O52" s="340" t="s">
        <v>64</v>
      </c>
      <c r="P52" s="341">
        <v>43617</v>
      </c>
      <c r="Q52" s="341">
        <v>45630</v>
      </c>
      <c r="R52" s="347" t="b">
        <f t="shared" si="1"/>
        <v>0</v>
      </c>
      <c r="S52" s="347" t="str">
        <f t="shared" si="0"/>
        <v>change</v>
      </c>
      <c r="T52" s="342" t="s">
        <v>56</v>
      </c>
      <c r="U52" s="342" t="s">
        <v>549</v>
      </c>
      <c r="V52" s="342" t="s">
        <v>550</v>
      </c>
      <c r="W52" s="342" t="s">
        <v>551</v>
      </c>
      <c r="X52" s="342" t="s">
        <v>69</v>
      </c>
      <c r="Y52" s="349" t="s">
        <v>552</v>
      </c>
      <c r="Z52" s="342" t="s">
        <v>71</v>
      </c>
      <c r="AA52" s="342" t="s">
        <v>72</v>
      </c>
      <c r="AB52" s="342" t="s">
        <v>73</v>
      </c>
      <c r="AC52" s="342" t="s">
        <v>74</v>
      </c>
      <c r="AD52" s="342"/>
      <c r="AE52" s="342" t="s">
        <v>553</v>
      </c>
      <c r="AF52" s="349" t="s">
        <v>3771</v>
      </c>
      <c r="AG52" s="342" t="s">
        <v>74</v>
      </c>
      <c r="AH52" s="342" t="s">
        <v>74</v>
      </c>
      <c r="AI52" s="342" t="s">
        <v>74</v>
      </c>
      <c r="AJ52" s="342" t="s">
        <v>77</v>
      </c>
      <c r="AK52" s="342" t="s">
        <v>97</v>
      </c>
      <c r="AL52" s="342" t="s">
        <v>79</v>
      </c>
      <c r="AM52" s="342" t="s">
        <v>74</v>
      </c>
      <c r="AN52" s="342"/>
      <c r="AO52" s="342" t="s">
        <v>554</v>
      </c>
      <c r="AP52" s="342" t="s">
        <v>81</v>
      </c>
      <c r="AQ52" s="349" t="s">
        <v>222</v>
      </c>
      <c r="AR52" s="342" t="s">
        <v>83</v>
      </c>
      <c r="AS52" s="342" t="s">
        <v>84</v>
      </c>
      <c r="AT52" s="342" t="s">
        <v>45</v>
      </c>
      <c r="AU52" s="342" t="s">
        <v>85</v>
      </c>
      <c r="AV52" s="342"/>
      <c r="AW52" s="342"/>
      <c r="AX52" s="343" t="str">
        <f>IF(OR(Tableau3[[#This Row],[Option GTR]]&lt;&gt;"",Tableau3[[#This Row],[GTR spécifique]]&lt;&gt;""),"GTRS1","GTRS2")</f>
        <v>GTRS2</v>
      </c>
      <c r="AY52" s="342" t="s">
        <v>143</v>
      </c>
      <c r="AZ52" s="342"/>
      <c r="BA52" s="342" t="s">
        <v>555</v>
      </c>
    </row>
    <row r="53" spans="1:53" s="326" customFormat="1" ht="18.149999999999999" customHeight="1" x14ac:dyDescent="0.3">
      <c r="A53" s="340" t="s">
        <v>53</v>
      </c>
      <c r="B53" s="340" t="s">
        <v>54</v>
      </c>
      <c r="C53" s="340" t="s">
        <v>55</v>
      </c>
      <c r="D53" s="340" t="s">
        <v>56</v>
      </c>
      <c r="E53" s="340" t="s">
        <v>57</v>
      </c>
      <c r="F53" s="340" t="s">
        <v>58</v>
      </c>
      <c r="G53" s="340" t="s">
        <v>59</v>
      </c>
      <c r="H53" s="340" t="s">
        <v>60</v>
      </c>
      <c r="I53" s="340" t="s">
        <v>61</v>
      </c>
      <c r="J53" s="340" t="s">
        <v>556</v>
      </c>
      <c r="K53" s="340" t="s">
        <v>557</v>
      </c>
      <c r="L53" s="345" t="str">
        <f>VLOOKUP(K53,'20260309 suivi sites'!F:F,1,0)</f>
        <v>20BAST011AOG</v>
      </c>
      <c r="M53" s="340" t="s">
        <v>64</v>
      </c>
      <c r="N53" s="340" t="s">
        <v>65</v>
      </c>
      <c r="O53" s="340" t="s">
        <v>64</v>
      </c>
      <c r="P53" s="341">
        <v>43617</v>
      </c>
      <c r="Q53" s="341">
        <v>45023</v>
      </c>
      <c r="R53" s="347" t="b">
        <f t="shared" si="1"/>
        <v>0</v>
      </c>
      <c r="S53" s="347" t="str">
        <f t="shared" si="0"/>
        <v>change</v>
      </c>
      <c r="T53" s="342" t="s">
        <v>56</v>
      </c>
      <c r="U53" s="342" t="s">
        <v>558</v>
      </c>
      <c r="V53" s="342" t="s">
        <v>559</v>
      </c>
      <c r="W53" s="342" t="s">
        <v>560</v>
      </c>
      <c r="X53" s="342" t="s">
        <v>69</v>
      </c>
      <c r="Y53" s="349" t="s">
        <v>561</v>
      </c>
      <c r="Z53" s="342" t="s">
        <v>71</v>
      </c>
      <c r="AA53" s="342" t="s">
        <v>72</v>
      </c>
      <c r="AB53" s="342" t="s">
        <v>73</v>
      </c>
      <c r="AC53" s="342" t="s">
        <v>74</v>
      </c>
      <c r="AD53" s="342"/>
      <c r="AE53" s="342" t="s">
        <v>562</v>
      </c>
      <c r="AF53" s="349" t="s">
        <v>3771</v>
      </c>
      <c r="AG53" s="342" t="s">
        <v>74</v>
      </c>
      <c r="AH53" s="342" t="s">
        <v>76</v>
      </c>
      <c r="AI53" s="342" t="s">
        <v>74</v>
      </c>
      <c r="AJ53" s="342" t="s">
        <v>77</v>
      </c>
      <c r="AK53" s="342" t="s">
        <v>97</v>
      </c>
      <c r="AL53" s="342" t="s">
        <v>79</v>
      </c>
      <c r="AM53" s="342" t="s">
        <v>74</v>
      </c>
      <c r="AN53" s="342"/>
      <c r="AO53" s="342" t="s">
        <v>563</v>
      </c>
      <c r="AP53" s="342" t="s">
        <v>81</v>
      </c>
      <c r="AQ53" s="349" t="s">
        <v>222</v>
      </c>
      <c r="AR53" s="342" t="s">
        <v>83</v>
      </c>
      <c r="AS53" s="342" t="s">
        <v>84</v>
      </c>
      <c r="AT53" s="342" t="s">
        <v>45</v>
      </c>
      <c r="AU53" s="342" t="s">
        <v>85</v>
      </c>
      <c r="AV53" s="342"/>
      <c r="AW53" s="342"/>
      <c r="AX53" s="343" t="str">
        <f>IF(OR(Tableau3[[#This Row],[Option GTR]]&lt;&gt;"",Tableau3[[#This Row],[GTR spécifique]]&lt;&gt;""),"GTRS1","GTRS2")</f>
        <v>GTRS2</v>
      </c>
      <c r="AY53" s="342" t="s">
        <v>143</v>
      </c>
      <c r="AZ53" s="342"/>
      <c r="BA53" s="342" t="s">
        <v>564</v>
      </c>
    </row>
    <row r="54" spans="1:53" s="326" customFormat="1" ht="18.149999999999999" customHeight="1" x14ac:dyDescent="0.3">
      <c r="A54" s="340" t="s">
        <v>53</v>
      </c>
      <c r="B54" s="340" t="s">
        <v>54</v>
      </c>
      <c r="C54" s="340" t="s">
        <v>55</v>
      </c>
      <c r="D54" s="340" t="s">
        <v>56</v>
      </c>
      <c r="E54" s="340" t="s">
        <v>57</v>
      </c>
      <c r="F54" s="340" t="s">
        <v>58</v>
      </c>
      <c r="G54" s="340" t="s">
        <v>59</v>
      </c>
      <c r="H54" s="340" t="s">
        <v>60</v>
      </c>
      <c r="I54" s="340" t="s">
        <v>61</v>
      </c>
      <c r="J54" s="340" t="s">
        <v>565</v>
      </c>
      <c r="K54" s="340" t="s">
        <v>566</v>
      </c>
      <c r="L54" s="345" t="str">
        <f>VLOOKUP(K54,'20260309 suivi sites'!F:F,1,0)</f>
        <v>44NANT021AOG</v>
      </c>
      <c r="M54" s="340" t="s">
        <v>64</v>
      </c>
      <c r="N54" s="340" t="s">
        <v>65</v>
      </c>
      <c r="O54" s="340" t="s">
        <v>64</v>
      </c>
      <c r="P54" s="341">
        <v>43725</v>
      </c>
      <c r="Q54" s="341">
        <v>46045</v>
      </c>
      <c r="R54" s="347" t="b">
        <f t="shared" si="1"/>
        <v>0</v>
      </c>
      <c r="S54" s="347" t="str">
        <f t="shared" si="0"/>
        <v>change</v>
      </c>
      <c r="T54" s="342" t="s">
        <v>56</v>
      </c>
      <c r="U54" s="342" t="s">
        <v>567</v>
      </c>
      <c r="V54" s="342" t="s">
        <v>568</v>
      </c>
      <c r="W54" s="342" t="s">
        <v>569</v>
      </c>
      <c r="X54" s="342" t="s">
        <v>69</v>
      </c>
      <c r="Y54" s="349" t="s">
        <v>570</v>
      </c>
      <c r="Z54" s="342" t="s">
        <v>71</v>
      </c>
      <c r="AA54" s="342" t="s">
        <v>72</v>
      </c>
      <c r="AB54" s="342" t="s">
        <v>73</v>
      </c>
      <c r="AC54" s="342" t="s">
        <v>74</v>
      </c>
      <c r="AD54" s="342"/>
      <c r="AE54" s="342" t="s">
        <v>571</v>
      </c>
      <c r="AF54" s="349" t="s">
        <v>3769</v>
      </c>
      <c r="AG54" s="342" t="s">
        <v>74</v>
      </c>
      <c r="AH54" s="342" t="s">
        <v>76</v>
      </c>
      <c r="AI54" s="342" t="s">
        <v>74</v>
      </c>
      <c r="AJ54" s="342" t="s">
        <v>77</v>
      </c>
      <c r="AK54" s="342" t="s">
        <v>165</v>
      </c>
      <c r="AL54" s="342" t="s">
        <v>79</v>
      </c>
      <c r="AM54" s="342" t="s">
        <v>74</v>
      </c>
      <c r="AN54" s="342"/>
      <c r="AO54" s="342" t="s">
        <v>572</v>
      </c>
      <c r="AP54" s="342" t="s">
        <v>81</v>
      </c>
      <c r="AQ54" s="349" t="s">
        <v>200</v>
      </c>
      <c r="AR54" s="342" t="s">
        <v>83</v>
      </c>
      <c r="AS54" s="342" t="s">
        <v>84</v>
      </c>
      <c r="AT54" s="342" t="s">
        <v>45</v>
      </c>
      <c r="AU54" s="342" t="s">
        <v>85</v>
      </c>
      <c r="AV54" s="342"/>
      <c r="AW54" s="342"/>
      <c r="AX54" s="343" t="str">
        <f>IF(OR(Tableau3[[#This Row],[Option GTR]]&lt;&gt;"",Tableau3[[#This Row],[GTR spécifique]]&lt;&gt;""),"GTRS1","GTRS2")</f>
        <v>GTRS2</v>
      </c>
      <c r="AY54" s="342" t="s">
        <v>86</v>
      </c>
      <c r="AZ54" s="342"/>
      <c r="BA54" s="342" t="s">
        <v>3799</v>
      </c>
    </row>
    <row r="55" spans="1:53" s="326" customFormat="1" ht="18.149999999999999" customHeight="1" x14ac:dyDescent="0.3">
      <c r="A55" s="340" t="s">
        <v>53</v>
      </c>
      <c r="B55" s="340" t="s">
        <v>54</v>
      </c>
      <c r="C55" s="340" t="s">
        <v>55</v>
      </c>
      <c r="D55" s="340" t="s">
        <v>56</v>
      </c>
      <c r="E55" s="340" t="s">
        <v>57</v>
      </c>
      <c r="F55" s="340" t="s">
        <v>58</v>
      </c>
      <c r="G55" s="340" t="s">
        <v>59</v>
      </c>
      <c r="H55" s="340" t="s">
        <v>60</v>
      </c>
      <c r="I55" s="340" t="s">
        <v>61</v>
      </c>
      <c r="J55" s="340" t="s">
        <v>573</v>
      </c>
      <c r="K55" s="340" t="s">
        <v>574</v>
      </c>
      <c r="L55" s="345" t="str">
        <f>VLOOKUP(K55,'20260309 suivi sites'!F:F,1,0)</f>
        <v>35DINA011AOG</v>
      </c>
      <c r="M55" s="340" t="s">
        <v>64</v>
      </c>
      <c r="N55" s="340" t="s">
        <v>65</v>
      </c>
      <c r="O55" s="340" t="s">
        <v>64</v>
      </c>
      <c r="P55" s="341">
        <v>43617</v>
      </c>
      <c r="Q55" s="341">
        <v>43802</v>
      </c>
      <c r="R55" s="347" t="b">
        <f t="shared" si="1"/>
        <v>0</v>
      </c>
      <c r="S55" s="347" t="str">
        <f t="shared" si="0"/>
        <v>change</v>
      </c>
      <c r="T55" s="342" t="s">
        <v>56</v>
      </c>
      <c r="U55" s="342" t="s">
        <v>575</v>
      </c>
      <c r="V55" s="342" t="s">
        <v>576</v>
      </c>
      <c r="W55" s="342" t="s">
        <v>577</v>
      </c>
      <c r="X55" s="342" t="s">
        <v>69</v>
      </c>
      <c r="Y55" s="349" t="s">
        <v>578</v>
      </c>
      <c r="Z55" s="342" t="s">
        <v>71</v>
      </c>
      <c r="AA55" s="342" t="s">
        <v>72</v>
      </c>
      <c r="AB55" s="342" t="s">
        <v>73</v>
      </c>
      <c r="AC55" s="342" t="s">
        <v>74</v>
      </c>
      <c r="AD55" s="342"/>
      <c r="AE55" s="342" t="s">
        <v>579</v>
      </c>
      <c r="AF55" s="349" t="s">
        <v>3771</v>
      </c>
      <c r="AG55" s="342" t="s">
        <v>74</v>
      </c>
      <c r="AH55" s="342" t="s">
        <v>76</v>
      </c>
      <c r="AI55" s="342" t="s">
        <v>74</v>
      </c>
      <c r="AJ55" s="342" t="s">
        <v>77</v>
      </c>
      <c r="AK55" s="342" t="s">
        <v>97</v>
      </c>
      <c r="AL55" s="342" t="s">
        <v>79</v>
      </c>
      <c r="AM55" s="342" t="s">
        <v>74</v>
      </c>
      <c r="AN55" s="342"/>
      <c r="AO55" s="342" t="s">
        <v>580</v>
      </c>
      <c r="AP55" s="342" t="s">
        <v>81</v>
      </c>
      <c r="AQ55" s="349" t="s">
        <v>222</v>
      </c>
      <c r="AR55" s="342" t="s">
        <v>83</v>
      </c>
      <c r="AS55" s="342" t="s">
        <v>84</v>
      </c>
      <c r="AT55" s="342" t="s">
        <v>45</v>
      </c>
      <c r="AU55" s="342" t="s">
        <v>85</v>
      </c>
      <c r="AV55" s="342"/>
      <c r="AW55" s="342"/>
      <c r="AX55" s="343" t="str">
        <f>IF(OR(Tableau3[[#This Row],[Option GTR]]&lt;&gt;"",Tableau3[[#This Row],[GTR spécifique]]&lt;&gt;""),"GTRS1","GTRS2")</f>
        <v>GTRS2</v>
      </c>
      <c r="AY55" s="342" t="s">
        <v>143</v>
      </c>
      <c r="AZ55" s="342"/>
      <c r="BA55" s="342" t="s">
        <v>528</v>
      </c>
    </row>
    <row r="56" spans="1:53" s="326" customFormat="1" ht="18.149999999999999" customHeight="1" x14ac:dyDescent="0.3">
      <c r="A56" s="340" t="s">
        <v>53</v>
      </c>
      <c r="B56" s="340" t="s">
        <v>54</v>
      </c>
      <c r="C56" s="340" t="s">
        <v>55</v>
      </c>
      <c r="D56" s="340" t="s">
        <v>56</v>
      </c>
      <c r="E56" s="340" t="s">
        <v>57</v>
      </c>
      <c r="F56" s="340" t="s">
        <v>58</v>
      </c>
      <c r="G56" s="340" t="s">
        <v>59</v>
      </c>
      <c r="H56" s="340" t="s">
        <v>60</v>
      </c>
      <c r="I56" s="340" t="s">
        <v>61</v>
      </c>
      <c r="J56" s="340" t="s">
        <v>581</v>
      </c>
      <c r="K56" s="340" t="s">
        <v>582</v>
      </c>
      <c r="L56" s="345" t="str">
        <f>VLOOKUP(K56,'20260309 suivi sites'!F:F,1,0)</f>
        <v>35LARI011AOG</v>
      </c>
      <c r="M56" s="340" t="s">
        <v>64</v>
      </c>
      <c r="N56" s="340" t="s">
        <v>65</v>
      </c>
      <c r="O56" s="340" t="s">
        <v>64</v>
      </c>
      <c r="P56" s="341">
        <v>43617</v>
      </c>
      <c r="Q56" s="341">
        <v>45369</v>
      </c>
      <c r="R56" s="347" t="b">
        <f t="shared" si="1"/>
        <v>0</v>
      </c>
      <c r="S56" s="347" t="str">
        <f t="shared" si="0"/>
        <v>change</v>
      </c>
      <c r="T56" s="342" t="s">
        <v>56</v>
      </c>
      <c r="U56" s="342" t="s">
        <v>583</v>
      </c>
      <c r="V56" s="342" t="s">
        <v>584</v>
      </c>
      <c r="W56" s="342" t="s">
        <v>585</v>
      </c>
      <c r="X56" s="342" t="s">
        <v>69</v>
      </c>
      <c r="Y56" s="349" t="s">
        <v>586</v>
      </c>
      <c r="Z56" s="342" t="s">
        <v>71</v>
      </c>
      <c r="AA56" s="342" t="s">
        <v>72</v>
      </c>
      <c r="AB56" s="342" t="s">
        <v>73</v>
      </c>
      <c r="AC56" s="342" t="s">
        <v>74</v>
      </c>
      <c r="AD56" s="342"/>
      <c r="AE56" s="342" t="s">
        <v>587</v>
      </c>
      <c r="AF56" s="349" t="s">
        <v>3770</v>
      </c>
      <c r="AG56" s="342" t="s">
        <v>74</v>
      </c>
      <c r="AH56" s="342" t="s">
        <v>76</v>
      </c>
      <c r="AI56" s="342" t="s">
        <v>74</v>
      </c>
      <c r="AJ56" s="342" t="s">
        <v>77</v>
      </c>
      <c r="AK56" s="342" t="s">
        <v>97</v>
      </c>
      <c r="AL56" s="342" t="s">
        <v>79</v>
      </c>
      <c r="AM56" s="342" t="s">
        <v>74</v>
      </c>
      <c r="AN56" s="342"/>
      <c r="AO56" s="342" t="s">
        <v>588</v>
      </c>
      <c r="AP56" s="342" t="s">
        <v>81</v>
      </c>
      <c r="AQ56" s="349" t="s">
        <v>210</v>
      </c>
      <c r="AR56" s="342" t="s">
        <v>83</v>
      </c>
      <c r="AS56" s="342" t="s">
        <v>84</v>
      </c>
      <c r="AT56" s="342" t="s">
        <v>45</v>
      </c>
      <c r="AU56" s="342" t="s">
        <v>85</v>
      </c>
      <c r="AV56" s="342"/>
      <c r="AW56" s="342"/>
      <c r="AX56" s="343" t="str">
        <f>IF(OR(Tableau3[[#This Row],[Option GTR]]&lt;&gt;"",Tableau3[[#This Row],[GTR spécifique]]&lt;&gt;""),"GTRS1","GTRS2")</f>
        <v>GTRS2</v>
      </c>
      <c r="AY56" s="342" t="s">
        <v>143</v>
      </c>
      <c r="AZ56" s="342"/>
      <c r="BA56" s="342" t="s">
        <v>589</v>
      </c>
    </row>
    <row r="57" spans="1:53" s="326" customFormat="1" ht="18.149999999999999" customHeight="1" x14ac:dyDescent="0.3">
      <c r="A57" s="340" t="s">
        <v>53</v>
      </c>
      <c r="B57" s="340" t="s">
        <v>54</v>
      </c>
      <c r="C57" s="340" t="s">
        <v>55</v>
      </c>
      <c r="D57" s="340" t="s">
        <v>56</v>
      </c>
      <c r="E57" s="340" t="s">
        <v>57</v>
      </c>
      <c r="F57" s="340" t="s">
        <v>58</v>
      </c>
      <c r="G57" s="340" t="s">
        <v>59</v>
      </c>
      <c r="H57" s="340" t="s">
        <v>60</v>
      </c>
      <c r="I57" s="340" t="s">
        <v>61</v>
      </c>
      <c r="J57" s="340" t="s">
        <v>590</v>
      </c>
      <c r="K57" s="340" t="s">
        <v>591</v>
      </c>
      <c r="L57" s="345" t="str">
        <f>VLOOKUP(K57,'20260309 suivi sites'!F:F,1,0)</f>
        <v>97BAIE021AOM</v>
      </c>
      <c r="M57" s="340" t="s">
        <v>64</v>
      </c>
      <c r="N57" s="340" t="s">
        <v>65</v>
      </c>
      <c r="O57" s="340" t="s">
        <v>64</v>
      </c>
      <c r="P57" s="341">
        <v>43746</v>
      </c>
      <c r="Q57" s="341">
        <v>44573</v>
      </c>
      <c r="R57" s="347" t="b">
        <f t="shared" si="1"/>
        <v>0</v>
      </c>
      <c r="S57" s="347" t="str">
        <f t="shared" si="0"/>
        <v>change</v>
      </c>
      <c r="T57" s="342" t="s">
        <v>56</v>
      </c>
      <c r="U57" s="342" t="s">
        <v>592</v>
      </c>
      <c r="V57" s="342" t="s">
        <v>541</v>
      </c>
      <c r="W57" s="342" t="s">
        <v>542</v>
      </c>
      <c r="X57" s="342" t="s">
        <v>69</v>
      </c>
      <c r="Y57" s="349" t="s">
        <v>593</v>
      </c>
      <c r="Z57" s="342" t="s">
        <v>71</v>
      </c>
      <c r="AA57" s="342" t="s">
        <v>218</v>
      </c>
      <c r="AB57" s="342" t="s">
        <v>152</v>
      </c>
      <c r="AC57" s="342" t="s">
        <v>74</v>
      </c>
      <c r="AD57" s="342"/>
      <c r="AE57" s="342" t="s">
        <v>594</v>
      </c>
      <c r="AF57" s="349" t="s">
        <v>3769</v>
      </c>
      <c r="AG57" s="342" t="s">
        <v>74</v>
      </c>
      <c r="AH57" s="342" t="s">
        <v>76</v>
      </c>
      <c r="AI57" s="342" t="s">
        <v>76</v>
      </c>
      <c r="AJ57" s="342" t="s">
        <v>77</v>
      </c>
      <c r="AK57" s="342" t="s">
        <v>165</v>
      </c>
      <c r="AL57" s="342" t="s">
        <v>152</v>
      </c>
      <c r="AM57" s="342" t="s">
        <v>74</v>
      </c>
      <c r="AN57" s="342"/>
      <c r="AO57" s="342" t="s">
        <v>595</v>
      </c>
      <c r="AP57" s="342" t="s">
        <v>81</v>
      </c>
      <c r="AQ57" s="349" t="s">
        <v>200</v>
      </c>
      <c r="AR57" s="342" t="s">
        <v>83</v>
      </c>
      <c r="AS57" s="342" t="s">
        <v>84</v>
      </c>
      <c r="AT57" s="342" t="s">
        <v>45</v>
      </c>
      <c r="AU57" s="342" t="s">
        <v>85</v>
      </c>
      <c r="AV57" s="342" t="s">
        <v>480</v>
      </c>
      <c r="AW57" s="342"/>
      <c r="AX57" s="343" t="str">
        <f>IF(OR(Tableau3[[#This Row],[Option GTR]]&lt;&gt;"",Tableau3[[#This Row],[GTR spécifique]]&lt;&gt;""),"GTRS1","GTRS2")</f>
        <v>GTRS1</v>
      </c>
      <c r="AY57" s="342" t="s">
        <v>481</v>
      </c>
      <c r="AZ57" s="342"/>
      <c r="BA57" s="342" t="s">
        <v>596</v>
      </c>
    </row>
    <row r="58" spans="1:53" s="326" customFormat="1" ht="18.149999999999999" customHeight="1" x14ac:dyDescent="0.3">
      <c r="A58" s="340" t="s">
        <v>53</v>
      </c>
      <c r="B58" s="340" t="s">
        <v>54</v>
      </c>
      <c r="C58" s="340" t="s">
        <v>55</v>
      </c>
      <c r="D58" s="340" t="s">
        <v>56</v>
      </c>
      <c r="E58" s="340" t="s">
        <v>57</v>
      </c>
      <c r="F58" s="340" t="s">
        <v>58</v>
      </c>
      <c r="G58" s="340" t="s">
        <v>59</v>
      </c>
      <c r="H58" s="340" t="s">
        <v>60</v>
      </c>
      <c r="I58" s="340" t="s">
        <v>61</v>
      </c>
      <c r="J58" s="340" t="s">
        <v>597</v>
      </c>
      <c r="K58" s="340" t="s">
        <v>598</v>
      </c>
      <c r="L58" s="345" t="str">
        <f>VLOOKUP(K58,'20260309 suivi sites'!F:F,1,0)</f>
        <v>97CAYE021AOG</v>
      </c>
      <c r="M58" s="340" t="s">
        <v>64</v>
      </c>
      <c r="N58" s="340" t="s">
        <v>65</v>
      </c>
      <c r="O58" s="340" t="s">
        <v>64</v>
      </c>
      <c r="P58" s="341">
        <v>43831</v>
      </c>
      <c r="Q58" s="341">
        <v>44609</v>
      </c>
      <c r="R58" s="347" t="b">
        <f t="shared" si="1"/>
        <v>0</v>
      </c>
      <c r="S58" s="347" t="str">
        <f t="shared" si="0"/>
        <v>change</v>
      </c>
      <c r="T58" s="342" t="s">
        <v>56</v>
      </c>
      <c r="U58" s="342" t="s">
        <v>599</v>
      </c>
      <c r="V58" s="342" t="s">
        <v>600</v>
      </c>
      <c r="W58" s="342" t="s">
        <v>601</v>
      </c>
      <c r="X58" s="342" t="s">
        <v>69</v>
      </c>
      <c r="Y58" s="349" t="s">
        <v>602</v>
      </c>
      <c r="Z58" s="342" t="s">
        <v>71</v>
      </c>
      <c r="AA58" s="342" t="s">
        <v>72</v>
      </c>
      <c r="AB58" s="342" t="s">
        <v>73</v>
      </c>
      <c r="AC58" s="342" t="s">
        <v>74</v>
      </c>
      <c r="AD58" s="342"/>
      <c r="AE58" s="342" t="s">
        <v>603</v>
      </c>
      <c r="AF58" s="349" t="s">
        <v>3771</v>
      </c>
      <c r="AG58" s="342" t="s">
        <v>74</v>
      </c>
      <c r="AH58" s="342" t="s">
        <v>76</v>
      </c>
      <c r="AI58" s="342" t="s">
        <v>74</v>
      </c>
      <c r="AJ58" s="342" t="s">
        <v>77</v>
      </c>
      <c r="AK58" s="342" t="s">
        <v>97</v>
      </c>
      <c r="AL58" s="342" t="s">
        <v>79</v>
      </c>
      <c r="AM58" s="342" t="s">
        <v>74</v>
      </c>
      <c r="AN58" s="342"/>
      <c r="AO58" s="342" t="s">
        <v>604</v>
      </c>
      <c r="AP58" s="342" t="s">
        <v>81</v>
      </c>
      <c r="AQ58" s="349" t="s">
        <v>222</v>
      </c>
      <c r="AR58" s="342" t="s">
        <v>83</v>
      </c>
      <c r="AS58" s="342" t="s">
        <v>84</v>
      </c>
      <c r="AT58" s="342" t="s">
        <v>45</v>
      </c>
      <c r="AU58" s="342" t="s">
        <v>85</v>
      </c>
      <c r="AV58" s="342"/>
      <c r="AW58" s="342" t="s">
        <v>131</v>
      </c>
      <c r="AX58" s="343" t="str">
        <f>IF(OR(Tableau3[[#This Row],[Option GTR]]&lt;&gt;"",Tableau3[[#This Row],[GTR spécifique]]&lt;&gt;""),"GTRS1","GTRS2")</f>
        <v>GTRS1</v>
      </c>
      <c r="AY58" s="342" t="s">
        <v>143</v>
      </c>
      <c r="AZ58" s="342"/>
      <c r="BA58" s="344" t="s">
        <v>605</v>
      </c>
    </row>
    <row r="59" spans="1:53" s="326" customFormat="1" ht="18.149999999999999" customHeight="1" x14ac:dyDescent="0.3">
      <c r="A59" s="340" t="s">
        <v>53</v>
      </c>
      <c r="B59" s="340" t="s">
        <v>54</v>
      </c>
      <c r="C59" s="340" t="s">
        <v>55</v>
      </c>
      <c r="D59" s="340" t="s">
        <v>56</v>
      </c>
      <c r="E59" s="340" t="s">
        <v>57</v>
      </c>
      <c r="F59" s="340" t="s">
        <v>58</v>
      </c>
      <c r="G59" s="340" t="s">
        <v>59</v>
      </c>
      <c r="H59" s="340" t="s">
        <v>60</v>
      </c>
      <c r="I59" s="340" t="s">
        <v>61</v>
      </c>
      <c r="J59" s="340" t="s">
        <v>606</v>
      </c>
      <c r="K59" s="340" t="s">
        <v>607</v>
      </c>
      <c r="L59" s="345" t="str">
        <f>VLOOKUP(K59,'20260309 suivi sites'!F:F,1,0)</f>
        <v>97GOUR011AOG</v>
      </c>
      <c r="M59" s="340" t="s">
        <v>64</v>
      </c>
      <c r="N59" s="340" t="s">
        <v>65</v>
      </c>
      <c r="O59" s="340" t="s">
        <v>64</v>
      </c>
      <c r="P59" s="341">
        <v>43746</v>
      </c>
      <c r="Q59" s="341">
        <v>45415</v>
      </c>
      <c r="R59" s="347" t="b">
        <f t="shared" si="1"/>
        <v>0</v>
      </c>
      <c r="S59" s="347" t="str">
        <f t="shared" si="0"/>
        <v>change</v>
      </c>
      <c r="T59" s="342" t="s">
        <v>56</v>
      </c>
      <c r="U59" s="342" t="s">
        <v>608</v>
      </c>
      <c r="V59" s="342" t="s">
        <v>609</v>
      </c>
      <c r="W59" s="342" t="s">
        <v>610</v>
      </c>
      <c r="X59" s="342" t="s">
        <v>69</v>
      </c>
      <c r="Y59" s="349" t="s">
        <v>611</v>
      </c>
      <c r="Z59" s="342" t="s">
        <v>71</v>
      </c>
      <c r="AA59" s="342" t="s">
        <v>72</v>
      </c>
      <c r="AB59" s="342" t="s">
        <v>73</v>
      </c>
      <c r="AC59" s="342" t="s">
        <v>74</v>
      </c>
      <c r="AD59" s="342"/>
      <c r="AE59" s="342" t="s">
        <v>612</v>
      </c>
      <c r="AF59" s="349" t="s">
        <v>3771</v>
      </c>
      <c r="AG59" s="342" t="s">
        <v>74</v>
      </c>
      <c r="AH59" s="342" t="s">
        <v>76</v>
      </c>
      <c r="AI59" s="342" t="s">
        <v>74</v>
      </c>
      <c r="AJ59" s="342" t="s">
        <v>77</v>
      </c>
      <c r="AK59" s="342" t="s">
        <v>97</v>
      </c>
      <c r="AL59" s="342" t="s">
        <v>79</v>
      </c>
      <c r="AM59" s="342" t="s">
        <v>74</v>
      </c>
      <c r="AN59" s="342"/>
      <c r="AO59" s="342" t="s">
        <v>613</v>
      </c>
      <c r="AP59" s="342" t="s">
        <v>81</v>
      </c>
      <c r="AQ59" s="349" t="s">
        <v>222</v>
      </c>
      <c r="AR59" s="342" t="s">
        <v>83</v>
      </c>
      <c r="AS59" s="342" t="s">
        <v>84</v>
      </c>
      <c r="AT59" s="342" t="s">
        <v>45</v>
      </c>
      <c r="AU59" s="342" t="s">
        <v>85</v>
      </c>
      <c r="AV59" s="342"/>
      <c r="AW59" s="342" t="s">
        <v>131</v>
      </c>
      <c r="AX59" s="343" t="str">
        <f>IF(OR(Tableau3[[#This Row],[Option GTR]]&lt;&gt;"",Tableau3[[#This Row],[GTR spécifique]]&lt;&gt;""),"GTRS1","GTRS2")</f>
        <v>GTRS1</v>
      </c>
      <c r="AY59" s="342" t="s">
        <v>143</v>
      </c>
      <c r="AZ59" s="342"/>
      <c r="BA59" s="342" t="s">
        <v>614</v>
      </c>
    </row>
    <row r="60" spans="1:53" s="326" customFormat="1" ht="18.149999999999999" customHeight="1" x14ac:dyDescent="0.3">
      <c r="A60" s="340" t="s">
        <v>53</v>
      </c>
      <c r="B60" s="340" t="s">
        <v>54</v>
      </c>
      <c r="C60" s="340" t="s">
        <v>55</v>
      </c>
      <c r="D60" s="340" t="s">
        <v>56</v>
      </c>
      <c r="E60" s="340" t="s">
        <v>57</v>
      </c>
      <c r="F60" s="340" t="s">
        <v>58</v>
      </c>
      <c r="G60" s="340" t="s">
        <v>59</v>
      </c>
      <c r="H60" s="340" t="s">
        <v>60</v>
      </c>
      <c r="I60" s="340" t="s">
        <v>61</v>
      </c>
      <c r="J60" s="340" t="s">
        <v>615</v>
      </c>
      <c r="K60" s="340" t="s">
        <v>616</v>
      </c>
      <c r="L60" s="345" t="str">
        <f>VLOOKUP(K60,'20260309 suivi sites'!F:F,1,0)</f>
        <v>97KOUR011AOG</v>
      </c>
      <c r="M60" s="340" t="s">
        <v>64</v>
      </c>
      <c r="N60" s="340" t="s">
        <v>65</v>
      </c>
      <c r="O60" s="340" t="s">
        <v>64</v>
      </c>
      <c r="P60" s="341">
        <v>43620</v>
      </c>
      <c r="Q60" s="341">
        <v>44755</v>
      </c>
      <c r="R60" s="347" t="b">
        <f t="shared" si="1"/>
        <v>0</v>
      </c>
      <c r="S60" s="347" t="str">
        <f t="shared" si="0"/>
        <v>change</v>
      </c>
      <c r="T60" s="342" t="s">
        <v>56</v>
      </c>
      <c r="U60" s="342" t="s">
        <v>617</v>
      </c>
      <c r="V60" s="342" t="s">
        <v>618</v>
      </c>
      <c r="W60" s="342" t="s">
        <v>619</v>
      </c>
      <c r="X60" s="342" t="s">
        <v>69</v>
      </c>
      <c r="Y60" s="349" t="s">
        <v>620</v>
      </c>
      <c r="Z60" s="342" t="s">
        <v>71</v>
      </c>
      <c r="AA60" s="342" t="s">
        <v>72</v>
      </c>
      <c r="AB60" s="342" t="s">
        <v>73</v>
      </c>
      <c r="AC60" s="342" t="s">
        <v>74</v>
      </c>
      <c r="AD60" s="342"/>
      <c r="AE60" s="342" t="s">
        <v>621</v>
      </c>
      <c r="AF60" s="349" t="s">
        <v>3766</v>
      </c>
      <c r="AG60" s="342" t="s">
        <v>74</v>
      </c>
      <c r="AH60" s="342" t="s">
        <v>76</v>
      </c>
      <c r="AI60" s="342" t="s">
        <v>74</v>
      </c>
      <c r="AJ60" s="342" t="s">
        <v>77</v>
      </c>
      <c r="AK60" s="342" t="s">
        <v>97</v>
      </c>
      <c r="AL60" s="342" t="s">
        <v>79</v>
      </c>
      <c r="AM60" s="342" t="s">
        <v>74</v>
      </c>
      <c r="AN60" s="342"/>
      <c r="AO60" s="342" t="s">
        <v>622</v>
      </c>
      <c r="AP60" s="342" t="s">
        <v>81</v>
      </c>
      <c r="AQ60" s="349" t="s">
        <v>142</v>
      </c>
      <c r="AR60" s="342" t="s">
        <v>83</v>
      </c>
      <c r="AS60" s="342" t="s">
        <v>84</v>
      </c>
      <c r="AT60" s="342" t="s">
        <v>45</v>
      </c>
      <c r="AU60" s="342" t="s">
        <v>85</v>
      </c>
      <c r="AV60" s="342"/>
      <c r="AW60" s="342" t="s">
        <v>131</v>
      </c>
      <c r="AX60" s="343" t="str">
        <f>IF(OR(Tableau3[[#This Row],[Option GTR]]&lt;&gt;"",Tableau3[[#This Row],[GTR spécifique]]&lt;&gt;""),"GTRS1","GTRS2")</f>
        <v>GTRS1</v>
      </c>
      <c r="AY60" s="342" t="s">
        <v>143</v>
      </c>
      <c r="AZ60" s="342"/>
      <c r="BA60" s="342" t="s">
        <v>623</v>
      </c>
    </row>
    <row r="61" spans="1:53" s="326" customFormat="1" ht="18.149999999999999" customHeight="1" x14ac:dyDescent="0.3">
      <c r="A61" s="340" t="s">
        <v>53</v>
      </c>
      <c r="B61" s="340" t="s">
        <v>54</v>
      </c>
      <c r="C61" s="340" t="s">
        <v>55</v>
      </c>
      <c r="D61" s="340" t="s">
        <v>56</v>
      </c>
      <c r="E61" s="340" t="s">
        <v>57</v>
      </c>
      <c r="F61" s="340" t="s">
        <v>58</v>
      </c>
      <c r="G61" s="340" t="s">
        <v>59</v>
      </c>
      <c r="H61" s="340" t="s">
        <v>60</v>
      </c>
      <c r="I61" s="340" t="s">
        <v>61</v>
      </c>
      <c r="J61" s="340" t="s">
        <v>624</v>
      </c>
      <c r="K61" s="340" t="s">
        <v>625</v>
      </c>
      <c r="L61" s="345" t="str">
        <f>VLOOKUP(K61,'20260309 suivi sites'!F:F,1,0)</f>
        <v>97LADE011AOS</v>
      </c>
      <c r="M61" s="340" t="s">
        <v>64</v>
      </c>
      <c r="N61" s="340" t="s">
        <v>65</v>
      </c>
      <c r="O61" s="340" t="s">
        <v>64</v>
      </c>
      <c r="P61" s="341">
        <v>43617</v>
      </c>
      <c r="Q61" s="341">
        <v>44803</v>
      </c>
      <c r="R61" s="347" t="b">
        <f t="shared" si="1"/>
        <v>0</v>
      </c>
      <c r="S61" s="347" t="str">
        <f t="shared" si="0"/>
        <v>change</v>
      </c>
      <c r="T61" s="342" t="s">
        <v>56</v>
      </c>
      <c r="U61" s="342" t="s">
        <v>626</v>
      </c>
      <c r="V61" s="342" t="s">
        <v>627</v>
      </c>
      <c r="W61" s="342" t="s">
        <v>628</v>
      </c>
      <c r="X61" s="342" t="s">
        <v>69</v>
      </c>
      <c r="Y61" s="349" t="s">
        <v>629</v>
      </c>
      <c r="Z61" s="342" t="s">
        <v>71</v>
      </c>
      <c r="AA61" s="342" t="s">
        <v>72</v>
      </c>
      <c r="AB61" s="342" t="s">
        <v>73</v>
      </c>
      <c r="AC61" s="342" t="s">
        <v>74</v>
      </c>
      <c r="AD61" s="342"/>
      <c r="AE61" s="342" t="s">
        <v>630</v>
      </c>
      <c r="AF61" s="349" t="s">
        <v>3773</v>
      </c>
      <c r="AG61" s="342" t="s">
        <v>74</v>
      </c>
      <c r="AH61" s="342" t="s">
        <v>76</v>
      </c>
      <c r="AI61" s="342" t="s">
        <v>76</v>
      </c>
      <c r="AJ61" s="342" t="s">
        <v>77</v>
      </c>
      <c r="AK61" s="342" t="s">
        <v>97</v>
      </c>
      <c r="AL61" s="342" t="s">
        <v>79</v>
      </c>
      <c r="AM61" s="342" t="s">
        <v>74</v>
      </c>
      <c r="AN61" s="342"/>
      <c r="AO61" s="342" t="s">
        <v>631</v>
      </c>
      <c r="AP61" s="342" t="s">
        <v>81</v>
      </c>
      <c r="AQ61" s="349" t="s">
        <v>445</v>
      </c>
      <c r="AR61" s="342" t="s">
        <v>83</v>
      </c>
      <c r="AS61" s="342" t="s">
        <v>84</v>
      </c>
      <c r="AT61" s="342" t="s">
        <v>45</v>
      </c>
      <c r="AU61" s="342" t="s">
        <v>85</v>
      </c>
      <c r="AV61" s="342"/>
      <c r="AW61" s="342" t="s">
        <v>131</v>
      </c>
      <c r="AX61" s="343" t="str">
        <f>IF(OR(Tableau3[[#This Row],[Option GTR]]&lt;&gt;"",Tableau3[[#This Row],[GTR spécifique]]&lt;&gt;""),"GTRS1","GTRS2")</f>
        <v>GTRS1</v>
      </c>
      <c r="AY61" s="342" t="s">
        <v>632</v>
      </c>
      <c r="AZ61" s="342"/>
      <c r="BA61" s="342" t="s">
        <v>633</v>
      </c>
    </row>
    <row r="62" spans="1:53" s="326" customFormat="1" ht="18.149999999999999" customHeight="1" x14ac:dyDescent="0.3">
      <c r="A62" s="340" t="s">
        <v>53</v>
      </c>
      <c r="B62" s="340" t="s">
        <v>54</v>
      </c>
      <c r="C62" s="340" t="s">
        <v>55</v>
      </c>
      <c r="D62" s="340" t="s">
        <v>56</v>
      </c>
      <c r="E62" s="340" t="s">
        <v>57</v>
      </c>
      <c r="F62" s="340" t="s">
        <v>58</v>
      </c>
      <c r="G62" s="340" t="s">
        <v>59</v>
      </c>
      <c r="H62" s="340" t="s">
        <v>60</v>
      </c>
      <c r="I62" s="340" t="s">
        <v>61</v>
      </c>
      <c r="J62" s="340" t="s">
        <v>634</v>
      </c>
      <c r="K62" s="340" t="s">
        <v>635</v>
      </c>
      <c r="L62" s="345" t="e">
        <f>VLOOKUP(K62,'20260309 suivi sites'!F:F,1,0)</f>
        <v>#N/A</v>
      </c>
      <c r="M62" s="340" t="s">
        <v>64</v>
      </c>
      <c r="N62" s="340" t="s">
        <v>65</v>
      </c>
      <c r="O62" s="340" t="s">
        <v>64</v>
      </c>
      <c r="P62" s="341">
        <v>43746</v>
      </c>
      <c r="Q62" s="341">
        <v>44580</v>
      </c>
      <c r="R62" s="347" t="b">
        <f t="shared" si="1"/>
        <v>0</v>
      </c>
      <c r="S62" s="347" t="str">
        <f t="shared" si="0"/>
        <v>change</v>
      </c>
      <c r="T62" s="342" t="s">
        <v>56</v>
      </c>
      <c r="U62" s="342" t="s">
        <v>636</v>
      </c>
      <c r="V62" s="342" t="s">
        <v>637</v>
      </c>
      <c r="W62" s="342" t="s">
        <v>638</v>
      </c>
      <c r="X62" s="342" t="s">
        <v>69</v>
      </c>
      <c r="Y62" s="349" t="s">
        <v>639</v>
      </c>
      <c r="Z62" s="342" t="s">
        <v>71</v>
      </c>
      <c r="AA62" s="342" t="s">
        <v>218</v>
      </c>
      <c r="AB62" s="342" t="s">
        <v>152</v>
      </c>
      <c r="AC62" s="342" t="s">
        <v>74</v>
      </c>
      <c r="AD62" s="342"/>
      <c r="AE62" s="342" t="s">
        <v>640</v>
      </c>
      <c r="AF62" s="349" t="s">
        <v>3769</v>
      </c>
      <c r="AG62" s="342" t="s">
        <v>74</v>
      </c>
      <c r="AH62" s="342" t="s">
        <v>76</v>
      </c>
      <c r="AI62" s="342" t="s">
        <v>76</v>
      </c>
      <c r="AJ62" s="342" t="s">
        <v>77</v>
      </c>
      <c r="AK62" s="342" t="s">
        <v>165</v>
      </c>
      <c r="AL62" s="342" t="s">
        <v>152</v>
      </c>
      <c r="AM62" s="342" t="s">
        <v>74</v>
      </c>
      <c r="AN62" s="342"/>
      <c r="AO62" s="342" t="s">
        <v>641</v>
      </c>
      <c r="AP62" s="342" t="s">
        <v>81</v>
      </c>
      <c r="AQ62" s="349" t="s">
        <v>200</v>
      </c>
      <c r="AR62" s="342" t="s">
        <v>83</v>
      </c>
      <c r="AS62" s="342" t="s">
        <v>84</v>
      </c>
      <c r="AT62" s="342" t="s">
        <v>45</v>
      </c>
      <c r="AU62" s="342" t="s">
        <v>85</v>
      </c>
      <c r="AV62" s="342" t="s">
        <v>480</v>
      </c>
      <c r="AW62" s="342" t="s">
        <v>131</v>
      </c>
      <c r="AX62" s="343" t="str">
        <f>IF(OR(Tableau3[[#This Row],[Option GTR]]&lt;&gt;"",Tableau3[[#This Row],[GTR spécifique]]&lt;&gt;""),"GTRS1","GTRS2")</f>
        <v>GTRS1</v>
      </c>
      <c r="AY62" s="342" t="s">
        <v>481</v>
      </c>
      <c r="AZ62" s="342"/>
      <c r="BA62" s="342" t="s">
        <v>642</v>
      </c>
    </row>
    <row r="63" spans="1:53" s="326" customFormat="1" ht="18.149999999999999" customHeight="1" x14ac:dyDescent="0.3">
      <c r="A63" s="340" t="s">
        <v>53</v>
      </c>
      <c r="B63" s="340" t="s">
        <v>54</v>
      </c>
      <c r="C63" s="340" t="s">
        <v>55</v>
      </c>
      <c r="D63" s="340" t="s">
        <v>56</v>
      </c>
      <c r="E63" s="340" t="s">
        <v>57</v>
      </c>
      <c r="F63" s="340" t="s">
        <v>58</v>
      </c>
      <c r="G63" s="340" t="s">
        <v>59</v>
      </c>
      <c r="H63" s="340" t="s">
        <v>60</v>
      </c>
      <c r="I63" s="340" t="s">
        <v>61</v>
      </c>
      <c r="J63" s="340" t="s">
        <v>643</v>
      </c>
      <c r="K63" s="340" t="s">
        <v>644</v>
      </c>
      <c r="L63" s="345" t="str">
        <f>VLOOKUP(K63,'20260309 suivi sites'!F:F,1,0)</f>
        <v>97STLA011AOG</v>
      </c>
      <c r="M63" s="340" t="s">
        <v>64</v>
      </c>
      <c r="N63" s="340" t="s">
        <v>65</v>
      </c>
      <c r="O63" s="340" t="s">
        <v>64</v>
      </c>
      <c r="P63" s="341">
        <v>43613</v>
      </c>
      <c r="Q63" s="341">
        <v>44741</v>
      </c>
      <c r="R63" s="347" t="b">
        <f t="shared" si="1"/>
        <v>0</v>
      </c>
      <c r="S63" s="347" t="str">
        <f t="shared" si="0"/>
        <v>change</v>
      </c>
      <c r="T63" s="342" t="s">
        <v>56</v>
      </c>
      <c r="U63" s="342" t="s">
        <v>645</v>
      </c>
      <c r="V63" s="342" t="s">
        <v>646</v>
      </c>
      <c r="W63" s="342" t="s">
        <v>647</v>
      </c>
      <c r="X63" s="342" t="s">
        <v>69</v>
      </c>
      <c r="Y63" s="349" t="s">
        <v>648</v>
      </c>
      <c r="Z63" s="342" t="s">
        <v>71</v>
      </c>
      <c r="AA63" s="342" t="s">
        <v>72</v>
      </c>
      <c r="AB63" s="342" t="s">
        <v>73</v>
      </c>
      <c r="AC63" s="342" t="s">
        <v>74</v>
      </c>
      <c r="AD63" s="342"/>
      <c r="AE63" s="342" t="s">
        <v>649</v>
      </c>
      <c r="AF63" s="349" t="s">
        <v>3766</v>
      </c>
      <c r="AG63" s="342" t="s">
        <v>74</v>
      </c>
      <c r="AH63" s="342" t="s">
        <v>76</v>
      </c>
      <c r="AI63" s="342" t="s">
        <v>74</v>
      </c>
      <c r="AJ63" s="342" t="s">
        <v>77</v>
      </c>
      <c r="AK63" s="342" t="s">
        <v>97</v>
      </c>
      <c r="AL63" s="342" t="s">
        <v>79</v>
      </c>
      <c r="AM63" s="342" t="s">
        <v>74</v>
      </c>
      <c r="AN63" s="342"/>
      <c r="AO63" s="342" t="s">
        <v>650</v>
      </c>
      <c r="AP63" s="342" t="s">
        <v>81</v>
      </c>
      <c r="AQ63" s="349" t="s">
        <v>142</v>
      </c>
      <c r="AR63" s="342" t="s">
        <v>83</v>
      </c>
      <c r="AS63" s="342" t="s">
        <v>84</v>
      </c>
      <c r="AT63" s="342" t="s">
        <v>45</v>
      </c>
      <c r="AU63" s="342" t="s">
        <v>85</v>
      </c>
      <c r="AV63" s="342"/>
      <c r="AW63" s="342" t="s">
        <v>131</v>
      </c>
      <c r="AX63" s="343" t="str">
        <f>IF(OR(Tableau3[[#This Row],[Option GTR]]&lt;&gt;"",Tableau3[[#This Row],[GTR spécifique]]&lt;&gt;""),"GTRS1","GTRS2")</f>
        <v>GTRS1</v>
      </c>
      <c r="AY63" s="342" t="s">
        <v>143</v>
      </c>
      <c r="AZ63" s="342"/>
      <c r="BA63" s="342" t="s">
        <v>651</v>
      </c>
    </row>
    <row r="64" spans="1:53" s="326" customFormat="1" ht="18.149999999999999" customHeight="1" x14ac:dyDescent="0.3">
      <c r="A64" s="340" t="s">
        <v>53</v>
      </c>
      <c r="B64" s="340" t="s">
        <v>54</v>
      </c>
      <c r="C64" s="340" t="s">
        <v>55</v>
      </c>
      <c r="D64" s="340" t="s">
        <v>56</v>
      </c>
      <c r="E64" s="340" t="s">
        <v>57</v>
      </c>
      <c r="F64" s="340" t="s">
        <v>58</v>
      </c>
      <c r="G64" s="340" t="s">
        <v>59</v>
      </c>
      <c r="H64" s="340" t="s">
        <v>60</v>
      </c>
      <c r="I64" s="340" t="s">
        <v>61</v>
      </c>
      <c r="J64" s="340" t="s">
        <v>652</v>
      </c>
      <c r="K64" s="340" t="s">
        <v>653</v>
      </c>
      <c r="L64" s="345" t="str">
        <f>VLOOKUP(K64,'20260309 suivi sites'!F:F,1,0)</f>
        <v>97STMA011AOG</v>
      </c>
      <c r="M64" s="340" t="s">
        <v>64</v>
      </c>
      <c r="N64" s="340" t="s">
        <v>65</v>
      </c>
      <c r="O64" s="340" t="s">
        <v>64</v>
      </c>
      <c r="P64" s="341">
        <v>43741</v>
      </c>
      <c r="Q64" s="341">
        <v>44705</v>
      </c>
      <c r="R64" s="347" t="b">
        <f t="shared" si="1"/>
        <v>0</v>
      </c>
      <c r="S64" s="347" t="str">
        <f t="shared" si="0"/>
        <v>change</v>
      </c>
      <c r="T64" s="342" t="s">
        <v>56</v>
      </c>
      <c r="U64" s="342" t="s">
        <v>654</v>
      </c>
      <c r="V64" s="342" t="s">
        <v>655</v>
      </c>
      <c r="W64" s="342" t="s">
        <v>656</v>
      </c>
      <c r="X64" s="342" t="s">
        <v>69</v>
      </c>
      <c r="Y64" s="349" t="s">
        <v>657</v>
      </c>
      <c r="Z64" s="342" t="s">
        <v>71</v>
      </c>
      <c r="AA64" s="342" t="s">
        <v>72</v>
      </c>
      <c r="AB64" s="342" t="s">
        <v>73</v>
      </c>
      <c r="AC64" s="342" t="s">
        <v>74</v>
      </c>
      <c r="AD64" s="342"/>
      <c r="AE64" s="342" t="s">
        <v>658</v>
      </c>
      <c r="AF64" s="349" t="s">
        <v>3767</v>
      </c>
      <c r="AG64" s="342" t="s">
        <v>74</v>
      </c>
      <c r="AH64" s="342" t="s">
        <v>76</v>
      </c>
      <c r="AI64" s="342" t="s">
        <v>76</v>
      </c>
      <c r="AJ64" s="342" t="s">
        <v>77</v>
      </c>
      <c r="AK64" s="342" t="s">
        <v>97</v>
      </c>
      <c r="AL64" s="342" t="s">
        <v>79</v>
      </c>
      <c r="AM64" s="342" t="s">
        <v>74</v>
      </c>
      <c r="AN64" s="342"/>
      <c r="AO64" s="342" t="s">
        <v>659</v>
      </c>
      <c r="AP64" s="342" t="s">
        <v>81</v>
      </c>
      <c r="AQ64" s="349" t="s">
        <v>154</v>
      </c>
      <c r="AR64" s="342" t="s">
        <v>83</v>
      </c>
      <c r="AS64" s="342" t="s">
        <v>84</v>
      </c>
      <c r="AT64" s="342" t="s">
        <v>45</v>
      </c>
      <c r="AU64" s="342" t="s">
        <v>85</v>
      </c>
      <c r="AV64" s="342"/>
      <c r="AW64" s="342" t="s">
        <v>131</v>
      </c>
      <c r="AX64" s="343" t="str">
        <f>IF(OR(Tableau3[[#This Row],[Option GTR]]&lt;&gt;"",Tableau3[[#This Row],[GTR spécifique]]&lt;&gt;""),"GTRS1","GTRS2")</f>
        <v>GTRS1</v>
      </c>
      <c r="AY64" s="342" t="s">
        <v>143</v>
      </c>
      <c r="AZ64" s="342"/>
      <c r="BA64" s="342" t="s">
        <v>660</v>
      </c>
    </row>
    <row r="65" spans="1:53" s="326" customFormat="1" ht="18.149999999999999" customHeight="1" x14ac:dyDescent="0.3">
      <c r="A65" s="340" t="s">
        <v>53</v>
      </c>
      <c r="B65" s="340" t="s">
        <v>54</v>
      </c>
      <c r="C65" s="340" t="s">
        <v>55</v>
      </c>
      <c r="D65" s="340" t="s">
        <v>56</v>
      </c>
      <c r="E65" s="340" t="s">
        <v>57</v>
      </c>
      <c r="F65" s="340" t="s">
        <v>58</v>
      </c>
      <c r="G65" s="340" t="s">
        <v>59</v>
      </c>
      <c r="H65" s="340" t="s">
        <v>60</v>
      </c>
      <c r="I65" s="340" t="s">
        <v>61</v>
      </c>
      <c r="J65" s="340" t="s">
        <v>661</v>
      </c>
      <c r="K65" s="340" t="s">
        <v>662</v>
      </c>
      <c r="L65" s="345" t="str">
        <f>VLOOKUP(K65,'20260309 suivi sites'!F:F,1,0)</f>
        <v>97STMA021AOG</v>
      </c>
      <c r="M65" s="340" t="s">
        <v>64</v>
      </c>
      <c r="N65" s="340" t="s">
        <v>65</v>
      </c>
      <c r="O65" s="340" t="s">
        <v>64</v>
      </c>
      <c r="P65" s="341">
        <v>43741</v>
      </c>
      <c r="Q65" s="341">
        <v>45575</v>
      </c>
      <c r="R65" s="347" t="b">
        <f t="shared" si="1"/>
        <v>0</v>
      </c>
      <c r="S65" s="347" t="str">
        <f t="shared" si="0"/>
        <v>change</v>
      </c>
      <c r="T65" s="342" t="s">
        <v>56</v>
      </c>
      <c r="U65" s="342" t="s">
        <v>663</v>
      </c>
      <c r="V65" s="342" t="s">
        <v>655</v>
      </c>
      <c r="W65" s="342" t="s">
        <v>656</v>
      </c>
      <c r="X65" s="342" t="s">
        <v>69</v>
      </c>
      <c r="Y65" s="349" t="s">
        <v>664</v>
      </c>
      <c r="Z65" s="342" t="s">
        <v>71</v>
      </c>
      <c r="AA65" s="342" t="s">
        <v>72</v>
      </c>
      <c r="AB65" s="342" t="s">
        <v>73</v>
      </c>
      <c r="AC65" s="342" t="s">
        <v>74</v>
      </c>
      <c r="AD65" s="342"/>
      <c r="AE65" s="342" t="s">
        <v>665</v>
      </c>
      <c r="AF65" s="349" t="s">
        <v>3766</v>
      </c>
      <c r="AG65" s="342" t="s">
        <v>74</v>
      </c>
      <c r="AH65" s="342" t="s">
        <v>76</v>
      </c>
      <c r="AI65" s="342" t="s">
        <v>76</v>
      </c>
      <c r="AJ65" s="342" t="s">
        <v>77</v>
      </c>
      <c r="AK65" s="342" t="s">
        <v>97</v>
      </c>
      <c r="AL65" s="342" t="s">
        <v>79</v>
      </c>
      <c r="AM65" s="342" t="s">
        <v>74</v>
      </c>
      <c r="AN65" s="342"/>
      <c r="AO65" s="342" t="s">
        <v>666</v>
      </c>
      <c r="AP65" s="342" t="s">
        <v>81</v>
      </c>
      <c r="AQ65" s="349" t="s">
        <v>142</v>
      </c>
      <c r="AR65" s="342" t="s">
        <v>83</v>
      </c>
      <c r="AS65" s="342" t="s">
        <v>84</v>
      </c>
      <c r="AT65" s="342" t="s">
        <v>45</v>
      </c>
      <c r="AU65" s="342" t="s">
        <v>85</v>
      </c>
      <c r="AV65" s="342"/>
      <c r="AW65" s="342" t="s">
        <v>131</v>
      </c>
      <c r="AX65" s="343" t="str">
        <f>IF(OR(Tableau3[[#This Row],[Option GTR]]&lt;&gt;"",Tableau3[[#This Row],[GTR spécifique]]&lt;&gt;""),"GTRS1","GTRS2")</f>
        <v>GTRS1</v>
      </c>
      <c r="AY65" s="342" t="s">
        <v>143</v>
      </c>
      <c r="AZ65" s="342"/>
      <c r="BA65" s="342" t="s">
        <v>667</v>
      </c>
    </row>
    <row r="66" spans="1:53" s="326" customFormat="1" ht="18.149999999999999" customHeight="1" x14ac:dyDescent="0.3">
      <c r="A66" s="340" t="s">
        <v>53</v>
      </c>
      <c r="B66" s="340" t="s">
        <v>54</v>
      </c>
      <c r="C66" s="340" t="s">
        <v>55</v>
      </c>
      <c r="D66" s="340" t="s">
        <v>56</v>
      </c>
      <c r="E66" s="340" t="s">
        <v>57</v>
      </c>
      <c r="F66" s="340" t="s">
        <v>58</v>
      </c>
      <c r="G66" s="340" t="s">
        <v>59</v>
      </c>
      <c r="H66" s="340" t="s">
        <v>60</v>
      </c>
      <c r="I66" s="340" t="s">
        <v>61</v>
      </c>
      <c r="J66" s="340" t="s">
        <v>668</v>
      </c>
      <c r="K66" s="340" t="s">
        <v>669</v>
      </c>
      <c r="L66" s="345" t="str">
        <f>VLOOKUP(K66,'20260309 suivi sites'!F:F,1,0)</f>
        <v>97TERR011AOS</v>
      </c>
      <c r="M66" s="340" t="s">
        <v>64</v>
      </c>
      <c r="N66" s="340" t="s">
        <v>65</v>
      </c>
      <c r="O66" s="340" t="s">
        <v>64</v>
      </c>
      <c r="P66" s="341">
        <v>43676</v>
      </c>
      <c r="Q66" s="341">
        <v>44964</v>
      </c>
      <c r="R66" s="347" t="b">
        <f t="shared" si="1"/>
        <v>0</v>
      </c>
      <c r="S66" s="347" t="str">
        <f t="shared" si="0"/>
        <v>change</v>
      </c>
      <c r="T66" s="342" t="s">
        <v>56</v>
      </c>
      <c r="U66" s="342" t="s">
        <v>670</v>
      </c>
      <c r="V66" s="342" t="s">
        <v>671</v>
      </c>
      <c r="W66" s="342" t="s">
        <v>672</v>
      </c>
      <c r="X66" s="342" t="s">
        <v>69</v>
      </c>
      <c r="Y66" s="349" t="s">
        <v>673</v>
      </c>
      <c r="Z66" s="342" t="s">
        <v>71</v>
      </c>
      <c r="AA66" s="342" t="s">
        <v>72</v>
      </c>
      <c r="AB66" s="342" t="s">
        <v>73</v>
      </c>
      <c r="AC66" s="342" t="s">
        <v>74</v>
      </c>
      <c r="AD66" s="342"/>
      <c r="AE66" s="342" t="s">
        <v>674</v>
      </c>
      <c r="AF66" s="349" t="s">
        <v>3774</v>
      </c>
      <c r="AG66" s="342" t="s">
        <v>74</v>
      </c>
      <c r="AH66" s="342" t="s">
        <v>76</v>
      </c>
      <c r="AI66" s="342" t="s">
        <v>76</v>
      </c>
      <c r="AJ66" s="342" t="s">
        <v>77</v>
      </c>
      <c r="AK66" s="342" t="s">
        <v>97</v>
      </c>
      <c r="AL66" s="342" t="s">
        <v>79</v>
      </c>
      <c r="AM66" s="342" t="s">
        <v>74</v>
      </c>
      <c r="AN66" s="342"/>
      <c r="AO66" s="342" t="s">
        <v>675</v>
      </c>
      <c r="AP66" s="342" t="s">
        <v>81</v>
      </c>
      <c r="AQ66" s="349" t="s">
        <v>676</v>
      </c>
      <c r="AR66" s="342" t="s">
        <v>83</v>
      </c>
      <c r="AS66" s="342" t="s">
        <v>84</v>
      </c>
      <c r="AT66" s="342" t="s">
        <v>45</v>
      </c>
      <c r="AU66" s="342" t="s">
        <v>85</v>
      </c>
      <c r="AV66" s="342"/>
      <c r="AW66" s="342" t="s">
        <v>131</v>
      </c>
      <c r="AX66" s="343" t="str">
        <f>IF(OR(Tableau3[[#This Row],[Option GTR]]&lt;&gt;"",Tableau3[[#This Row],[GTR spécifique]]&lt;&gt;""),"GTRS1","GTRS2")</f>
        <v>GTRS1</v>
      </c>
      <c r="AY66" s="342" t="s">
        <v>632</v>
      </c>
      <c r="AZ66" s="342"/>
      <c r="BA66" s="342" t="s">
        <v>677</v>
      </c>
    </row>
    <row r="67" spans="1:53" s="326" customFormat="1" ht="18.149999999999999" customHeight="1" x14ac:dyDescent="0.3">
      <c r="A67" s="340" t="s">
        <v>53</v>
      </c>
      <c r="B67" s="340" t="s">
        <v>54</v>
      </c>
      <c r="C67" s="340" t="s">
        <v>55</v>
      </c>
      <c r="D67" s="340" t="s">
        <v>56</v>
      </c>
      <c r="E67" s="340" t="s">
        <v>57</v>
      </c>
      <c r="F67" s="340" t="s">
        <v>58</v>
      </c>
      <c r="G67" s="340" t="s">
        <v>59</v>
      </c>
      <c r="H67" s="340" t="s">
        <v>60</v>
      </c>
      <c r="I67" s="340" t="s">
        <v>61</v>
      </c>
      <c r="J67" s="340" t="s">
        <v>678</v>
      </c>
      <c r="K67" s="340" t="s">
        <v>679</v>
      </c>
      <c r="L67" s="345" t="str">
        <f>VLOOKUP(K67,'20260309 suivi sites'!F:F,1,0)</f>
        <v>97TRIN011AOG</v>
      </c>
      <c r="M67" s="340" t="s">
        <v>64</v>
      </c>
      <c r="N67" s="340" t="s">
        <v>65</v>
      </c>
      <c r="O67" s="340" t="s">
        <v>64</v>
      </c>
      <c r="P67" s="341">
        <v>43538</v>
      </c>
      <c r="Q67" s="341">
        <v>44412</v>
      </c>
      <c r="R67" s="347" t="b">
        <f t="shared" si="1"/>
        <v>0</v>
      </c>
      <c r="S67" s="347" t="str">
        <f t="shared" ref="S67:S129" si="2">IF(R67=FALSE,"change","création")</f>
        <v>change</v>
      </c>
      <c r="T67" s="342" t="s">
        <v>56</v>
      </c>
      <c r="U67" s="342" t="s">
        <v>680</v>
      </c>
      <c r="V67" s="342" t="s">
        <v>681</v>
      </c>
      <c r="W67" s="342" t="s">
        <v>682</v>
      </c>
      <c r="X67" s="342" t="s">
        <v>69</v>
      </c>
      <c r="Y67" s="349" t="s">
        <v>683</v>
      </c>
      <c r="Z67" s="342" t="s">
        <v>71</v>
      </c>
      <c r="AA67" s="342" t="s">
        <v>72</v>
      </c>
      <c r="AB67" s="342" t="s">
        <v>73</v>
      </c>
      <c r="AC67" s="342" t="s">
        <v>74</v>
      </c>
      <c r="AD67" s="342"/>
      <c r="AE67" s="342" t="s">
        <v>684</v>
      </c>
      <c r="AF67" s="349" t="s">
        <v>3767</v>
      </c>
      <c r="AG67" s="342" t="s">
        <v>74</v>
      </c>
      <c r="AH67" s="342" t="s">
        <v>76</v>
      </c>
      <c r="AI67" s="342" t="s">
        <v>74</v>
      </c>
      <c r="AJ67" s="342" t="s">
        <v>77</v>
      </c>
      <c r="AK67" s="342" t="s">
        <v>97</v>
      </c>
      <c r="AL67" s="342" t="s">
        <v>79</v>
      </c>
      <c r="AM67" s="342" t="s">
        <v>74</v>
      </c>
      <c r="AN67" s="342"/>
      <c r="AO67" s="342" t="s">
        <v>685</v>
      </c>
      <c r="AP67" s="342" t="s">
        <v>81</v>
      </c>
      <c r="AQ67" s="349" t="s">
        <v>154</v>
      </c>
      <c r="AR67" s="342" t="s">
        <v>83</v>
      </c>
      <c r="AS67" s="342" t="s">
        <v>84</v>
      </c>
      <c r="AT67" s="342" t="s">
        <v>45</v>
      </c>
      <c r="AU67" s="342" t="s">
        <v>85</v>
      </c>
      <c r="AV67" s="342"/>
      <c r="AW67" s="342" t="s">
        <v>131</v>
      </c>
      <c r="AX67" s="343" t="str">
        <f>IF(OR(Tableau3[[#This Row],[Option GTR]]&lt;&gt;"",Tableau3[[#This Row],[GTR spécifique]]&lt;&gt;""),"GTRS1","GTRS2")</f>
        <v>GTRS1</v>
      </c>
      <c r="AY67" s="342" t="s">
        <v>143</v>
      </c>
      <c r="AZ67" s="342"/>
      <c r="BA67" s="342" t="s">
        <v>686</v>
      </c>
    </row>
    <row r="68" spans="1:53" s="326" customFormat="1" ht="18.149999999999999" customHeight="1" x14ac:dyDescent="0.3">
      <c r="A68" s="340" t="s">
        <v>53</v>
      </c>
      <c r="B68" s="340" t="s">
        <v>54</v>
      </c>
      <c r="C68" s="340" t="s">
        <v>55</v>
      </c>
      <c r="D68" s="340" t="s">
        <v>56</v>
      </c>
      <c r="E68" s="340" t="s">
        <v>57</v>
      </c>
      <c r="F68" s="340" t="s">
        <v>58</v>
      </c>
      <c r="G68" s="340" t="s">
        <v>59</v>
      </c>
      <c r="H68" s="340" t="s">
        <v>60</v>
      </c>
      <c r="I68" s="340" t="s">
        <v>61</v>
      </c>
      <c r="J68" s="340" t="s">
        <v>687</v>
      </c>
      <c r="K68" s="340" t="s">
        <v>688</v>
      </c>
      <c r="L68" s="345" t="str">
        <f>VLOOKUP(K68,'20260309 suivi sites'!F:F,1,0)</f>
        <v>97STBA011AOS</v>
      </c>
      <c r="M68" s="340" t="s">
        <v>64</v>
      </c>
      <c r="N68" s="340" t="s">
        <v>65</v>
      </c>
      <c r="O68" s="340" t="s">
        <v>64</v>
      </c>
      <c r="P68" s="341">
        <v>43623</v>
      </c>
      <c r="Q68" s="341">
        <v>45470</v>
      </c>
      <c r="R68" s="347" t="b">
        <f t="shared" ref="R68:R130" si="3">Q68=P68</f>
        <v>0</v>
      </c>
      <c r="S68" s="347" t="str">
        <f t="shared" si="2"/>
        <v>change</v>
      </c>
      <c r="T68" s="342" t="s">
        <v>56</v>
      </c>
      <c r="U68" s="342" t="s">
        <v>689</v>
      </c>
      <c r="V68" s="342" t="s">
        <v>690</v>
      </c>
      <c r="W68" s="342" t="s">
        <v>691</v>
      </c>
      <c r="X68" s="342" t="s">
        <v>69</v>
      </c>
      <c r="Y68" s="349" t="s">
        <v>692</v>
      </c>
      <c r="Z68" s="342" t="s">
        <v>71</v>
      </c>
      <c r="AA68" s="342" t="s">
        <v>72</v>
      </c>
      <c r="AB68" s="342" t="s">
        <v>73</v>
      </c>
      <c r="AC68" s="342" t="s">
        <v>74</v>
      </c>
      <c r="AD68" s="342"/>
      <c r="AE68" s="342" t="s">
        <v>693</v>
      </c>
      <c r="AF68" s="349" t="s">
        <v>3775</v>
      </c>
      <c r="AG68" s="342" t="s">
        <v>74</v>
      </c>
      <c r="AH68" s="342" t="s">
        <v>76</v>
      </c>
      <c r="AI68" s="342" t="s">
        <v>76</v>
      </c>
      <c r="AJ68" s="342" t="s">
        <v>77</v>
      </c>
      <c r="AK68" s="342" t="s">
        <v>97</v>
      </c>
      <c r="AL68" s="342" t="s">
        <v>79</v>
      </c>
      <c r="AM68" s="342" t="s">
        <v>74</v>
      </c>
      <c r="AN68" s="342"/>
      <c r="AO68" s="342" t="s">
        <v>694</v>
      </c>
      <c r="AP68" s="342" t="s">
        <v>81</v>
      </c>
      <c r="AQ68" s="349" t="s">
        <v>445</v>
      </c>
      <c r="AR68" s="342" t="s">
        <v>83</v>
      </c>
      <c r="AS68" s="342" t="s">
        <v>84</v>
      </c>
      <c r="AT68" s="342" t="s">
        <v>45</v>
      </c>
      <c r="AU68" s="342" t="s">
        <v>85</v>
      </c>
      <c r="AV68" s="342"/>
      <c r="AW68" s="342" t="s">
        <v>131</v>
      </c>
      <c r="AX68" s="343" t="str">
        <f>IF(OR(Tableau3[[#This Row],[Option GTR]]&lt;&gt;"",Tableau3[[#This Row],[GTR spécifique]]&lt;&gt;""),"GTRS1","GTRS2")</f>
        <v>GTRS1</v>
      </c>
      <c r="AY68" s="342" t="s">
        <v>632</v>
      </c>
      <c r="AZ68" s="342"/>
      <c r="BA68" s="342" t="s">
        <v>695</v>
      </c>
    </row>
    <row r="69" spans="1:53" s="326" customFormat="1" ht="18.149999999999999" customHeight="1" x14ac:dyDescent="0.3">
      <c r="A69" s="340" t="s">
        <v>53</v>
      </c>
      <c r="B69" s="340" t="s">
        <v>54</v>
      </c>
      <c r="C69" s="340" t="s">
        <v>55</v>
      </c>
      <c r="D69" s="340" t="s">
        <v>56</v>
      </c>
      <c r="E69" s="340" t="s">
        <v>57</v>
      </c>
      <c r="F69" s="340" t="s">
        <v>58</v>
      </c>
      <c r="G69" s="340" t="s">
        <v>59</v>
      </c>
      <c r="H69" s="340" t="s">
        <v>60</v>
      </c>
      <c r="I69" s="340" t="s">
        <v>61</v>
      </c>
      <c r="J69" s="340" t="s">
        <v>696</v>
      </c>
      <c r="K69" s="340" t="s">
        <v>697</v>
      </c>
      <c r="L69" s="345" t="str">
        <f>VLOOKUP(K69,'20260309 suivi sites'!F:F,1,0)</f>
        <v>83TOUL011AOG</v>
      </c>
      <c r="M69" s="340" t="s">
        <v>64</v>
      </c>
      <c r="N69" s="340" t="s">
        <v>65</v>
      </c>
      <c r="O69" s="340" t="s">
        <v>64</v>
      </c>
      <c r="P69" s="341">
        <v>43617</v>
      </c>
      <c r="Q69" s="341">
        <v>44077</v>
      </c>
      <c r="R69" s="347" t="b">
        <f t="shared" si="3"/>
        <v>0</v>
      </c>
      <c r="S69" s="347" t="str">
        <f t="shared" si="2"/>
        <v>change</v>
      </c>
      <c r="T69" s="342" t="s">
        <v>56</v>
      </c>
      <c r="U69" s="342" t="s">
        <v>698</v>
      </c>
      <c r="V69" s="342" t="s">
        <v>699</v>
      </c>
      <c r="W69" s="342" t="s">
        <v>700</v>
      </c>
      <c r="X69" s="342" t="s">
        <v>69</v>
      </c>
      <c r="Y69" s="349" t="s">
        <v>701</v>
      </c>
      <c r="Z69" s="342" t="s">
        <v>71</v>
      </c>
      <c r="AA69" s="342" t="s">
        <v>72</v>
      </c>
      <c r="AB69" s="342" t="s">
        <v>73</v>
      </c>
      <c r="AC69" s="342" t="s">
        <v>74</v>
      </c>
      <c r="AD69" s="342"/>
      <c r="AE69" s="342" t="s">
        <v>702</v>
      </c>
      <c r="AF69" s="349" t="s">
        <v>3770</v>
      </c>
      <c r="AG69" s="342" t="s">
        <v>74</v>
      </c>
      <c r="AH69" s="342" t="s">
        <v>76</v>
      </c>
      <c r="AI69" s="342" t="s">
        <v>74</v>
      </c>
      <c r="AJ69" s="342" t="s">
        <v>77</v>
      </c>
      <c r="AK69" s="342" t="s">
        <v>97</v>
      </c>
      <c r="AL69" s="342" t="s">
        <v>79</v>
      </c>
      <c r="AM69" s="342" t="s">
        <v>74</v>
      </c>
      <c r="AN69" s="342"/>
      <c r="AO69" s="342" t="s">
        <v>703</v>
      </c>
      <c r="AP69" s="342" t="s">
        <v>81</v>
      </c>
      <c r="AQ69" s="349" t="s">
        <v>210</v>
      </c>
      <c r="AR69" s="342" t="s">
        <v>83</v>
      </c>
      <c r="AS69" s="342" t="s">
        <v>84</v>
      </c>
      <c r="AT69" s="342" t="s">
        <v>45</v>
      </c>
      <c r="AU69" s="342" t="s">
        <v>85</v>
      </c>
      <c r="AV69" s="342"/>
      <c r="AW69" s="342"/>
      <c r="AX69" s="343" t="str">
        <f>IF(OR(Tableau3[[#This Row],[Option GTR]]&lt;&gt;"",Tableau3[[#This Row],[GTR spécifique]]&lt;&gt;""),"GTRS1","GTRS2")</f>
        <v>GTRS2</v>
      </c>
      <c r="AY69" s="342" t="s">
        <v>86</v>
      </c>
      <c r="AZ69" s="342"/>
      <c r="BA69" s="342" t="s">
        <v>393</v>
      </c>
    </row>
    <row r="70" spans="1:53" s="326" customFormat="1" ht="18.149999999999999" customHeight="1" x14ac:dyDescent="0.3">
      <c r="A70" s="340" t="s">
        <v>53</v>
      </c>
      <c r="B70" s="340" t="s">
        <v>54</v>
      </c>
      <c r="C70" s="340" t="s">
        <v>55</v>
      </c>
      <c r="D70" s="340" t="s">
        <v>56</v>
      </c>
      <c r="E70" s="340" t="s">
        <v>57</v>
      </c>
      <c r="F70" s="340" t="s">
        <v>58</v>
      </c>
      <c r="G70" s="340" t="s">
        <v>59</v>
      </c>
      <c r="H70" s="340" t="s">
        <v>60</v>
      </c>
      <c r="I70" s="340" t="s">
        <v>61</v>
      </c>
      <c r="J70" s="340" t="s">
        <v>704</v>
      </c>
      <c r="K70" s="340" t="s">
        <v>705</v>
      </c>
      <c r="L70" s="345" t="str">
        <f>VLOOKUP(K70,'20260309 suivi sites'!F:F,1,0)</f>
        <v>15AURI011AOG</v>
      </c>
      <c r="M70" s="340" t="s">
        <v>64</v>
      </c>
      <c r="N70" s="340" t="s">
        <v>65</v>
      </c>
      <c r="O70" s="340" t="s">
        <v>64</v>
      </c>
      <c r="P70" s="341">
        <v>43544</v>
      </c>
      <c r="Q70" s="341">
        <v>45343</v>
      </c>
      <c r="R70" s="347" t="b">
        <f t="shared" si="3"/>
        <v>0</v>
      </c>
      <c r="S70" s="347" t="str">
        <f t="shared" si="2"/>
        <v>change</v>
      </c>
      <c r="T70" s="342" t="s">
        <v>56</v>
      </c>
      <c r="U70" s="342" t="s">
        <v>706</v>
      </c>
      <c r="V70" s="342" t="s">
        <v>278</v>
      </c>
      <c r="W70" s="342" t="s">
        <v>707</v>
      </c>
      <c r="X70" s="342" t="s">
        <v>69</v>
      </c>
      <c r="Y70" s="349" t="s">
        <v>708</v>
      </c>
      <c r="Z70" s="342" t="s">
        <v>71</v>
      </c>
      <c r="AA70" s="342" t="s">
        <v>72</v>
      </c>
      <c r="AB70" s="342" t="s">
        <v>73</v>
      </c>
      <c r="AC70" s="342" t="s">
        <v>74</v>
      </c>
      <c r="AD70" s="342"/>
      <c r="AE70" s="342" t="s">
        <v>709</v>
      </c>
      <c r="AF70" s="349" t="s">
        <v>3771</v>
      </c>
      <c r="AG70" s="342" t="s">
        <v>74</v>
      </c>
      <c r="AH70" s="342" t="s">
        <v>76</v>
      </c>
      <c r="AI70" s="342" t="s">
        <v>74</v>
      </c>
      <c r="AJ70" s="342" t="s">
        <v>77</v>
      </c>
      <c r="AK70" s="342" t="s">
        <v>97</v>
      </c>
      <c r="AL70" s="342" t="s">
        <v>79</v>
      </c>
      <c r="AM70" s="342" t="s">
        <v>74</v>
      </c>
      <c r="AN70" s="342"/>
      <c r="AO70" s="342" t="s">
        <v>710</v>
      </c>
      <c r="AP70" s="342" t="s">
        <v>81</v>
      </c>
      <c r="AQ70" s="349" t="s">
        <v>222</v>
      </c>
      <c r="AR70" s="342" t="s">
        <v>83</v>
      </c>
      <c r="AS70" s="342" t="s">
        <v>84</v>
      </c>
      <c r="AT70" s="342" t="s">
        <v>45</v>
      </c>
      <c r="AU70" s="342" t="s">
        <v>85</v>
      </c>
      <c r="AV70" s="342"/>
      <c r="AW70" s="342"/>
      <c r="AX70" s="343" t="str">
        <f>IF(OR(Tableau3[[#This Row],[Option GTR]]&lt;&gt;"",Tableau3[[#This Row],[GTR spécifique]]&lt;&gt;""),"GTRS1","GTRS2")</f>
        <v>GTRS2</v>
      </c>
      <c r="AY70" s="342" t="s">
        <v>143</v>
      </c>
      <c r="AZ70" s="342"/>
      <c r="BA70" s="342" t="s">
        <v>711</v>
      </c>
    </row>
    <row r="71" spans="1:53" s="326" customFormat="1" ht="18.149999999999999" customHeight="1" x14ac:dyDescent="0.3">
      <c r="A71" s="340" t="s">
        <v>53</v>
      </c>
      <c r="B71" s="340" t="s">
        <v>54</v>
      </c>
      <c r="C71" s="340" t="s">
        <v>55</v>
      </c>
      <c r="D71" s="340" t="s">
        <v>56</v>
      </c>
      <c r="E71" s="340" t="s">
        <v>57</v>
      </c>
      <c r="F71" s="340" t="s">
        <v>58</v>
      </c>
      <c r="G71" s="340" t="s">
        <v>59</v>
      </c>
      <c r="H71" s="340" t="s">
        <v>60</v>
      </c>
      <c r="I71" s="340" t="s">
        <v>61</v>
      </c>
      <c r="J71" s="340" t="s">
        <v>712</v>
      </c>
      <c r="K71" s="340" t="s">
        <v>713</v>
      </c>
      <c r="L71" s="345" t="str">
        <f>VLOOKUP(K71,'20260309 suivi sites'!F:F,1,0)</f>
        <v>21DIJO011AOG</v>
      </c>
      <c r="M71" s="340" t="s">
        <v>64</v>
      </c>
      <c r="N71" s="340" t="s">
        <v>65</v>
      </c>
      <c r="O71" s="340" t="s">
        <v>64</v>
      </c>
      <c r="P71" s="341">
        <v>43617</v>
      </c>
      <c r="Q71" s="341">
        <v>45555</v>
      </c>
      <c r="R71" s="347" t="b">
        <f t="shared" si="3"/>
        <v>0</v>
      </c>
      <c r="S71" s="347" t="str">
        <f t="shared" si="2"/>
        <v>change</v>
      </c>
      <c r="T71" s="342" t="s">
        <v>56</v>
      </c>
      <c r="U71" s="342" t="s">
        <v>714</v>
      </c>
      <c r="V71" s="342" t="s">
        <v>715</v>
      </c>
      <c r="W71" s="342" t="s">
        <v>716</v>
      </c>
      <c r="X71" s="342" t="s">
        <v>69</v>
      </c>
      <c r="Y71" s="349" t="s">
        <v>717</v>
      </c>
      <c r="Z71" s="342" t="s">
        <v>71</v>
      </c>
      <c r="AA71" s="342" t="s">
        <v>72</v>
      </c>
      <c r="AB71" s="342" t="s">
        <v>73</v>
      </c>
      <c r="AC71" s="342" t="s">
        <v>74</v>
      </c>
      <c r="AD71" s="342"/>
      <c r="AE71" s="342" t="s">
        <v>718</v>
      </c>
      <c r="AF71" s="349" t="s">
        <v>3770</v>
      </c>
      <c r="AG71" s="342" t="s">
        <v>74</v>
      </c>
      <c r="AH71" s="342" t="s">
        <v>76</v>
      </c>
      <c r="AI71" s="342" t="s">
        <v>74</v>
      </c>
      <c r="AJ71" s="342" t="s">
        <v>77</v>
      </c>
      <c r="AK71" s="342" t="s">
        <v>97</v>
      </c>
      <c r="AL71" s="342" t="s">
        <v>79</v>
      </c>
      <c r="AM71" s="342" t="s">
        <v>74</v>
      </c>
      <c r="AN71" s="342"/>
      <c r="AO71" s="342" t="s">
        <v>719</v>
      </c>
      <c r="AP71" s="342" t="s">
        <v>81</v>
      </c>
      <c r="AQ71" s="349" t="s">
        <v>210</v>
      </c>
      <c r="AR71" s="342" t="s">
        <v>83</v>
      </c>
      <c r="AS71" s="342" t="s">
        <v>84</v>
      </c>
      <c r="AT71" s="342" t="s">
        <v>45</v>
      </c>
      <c r="AU71" s="342" t="s">
        <v>85</v>
      </c>
      <c r="AV71" s="342"/>
      <c r="AW71" s="342"/>
      <c r="AX71" s="343" t="str">
        <f>IF(OR(Tableau3[[#This Row],[Option GTR]]&lt;&gt;"",Tableau3[[#This Row],[GTR spécifique]]&lt;&gt;""),"GTRS1","GTRS2")</f>
        <v>GTRS2</v>
      </c>
      <c r="AY71" s="342" t="s">
        <v>86</v>
      </c>
      <c r="AZ71" s="342"/>
      <c r="BA71" s="342" t="s">
        <v>720</v>
      </c>
    </row>
    <row r="72" spans="1:53" s="326" customFormat="1" ht="18.149999999999999" customHeight="1" x14ac:dyDescent="0.3">
      <c r="A72" s="340" t="s">
        <v>53</v>
      </c>
      <c r="B72" s="340" t="s">
        <v>54</v>
      </c>
      <c r="C72" s="340" t="s">
        <v>55</v>
      </c>
      <c r="D72" s="340" t="s">
        <v>56</v>
      </c>
      <c r="E72" s="340" t="s">
        <v>57</v>
      </c>
      <c r="F72" s="340" t="s">
        <v>58</v>
      </c>
      <c r="G72" s="340" t="s">
        <v>59</v>
      </c>
      <c r="H72" s="340" t="s">
        <v>60</v>
      </c>
      <c r="I72" s="340" t="s">
        <v>61</v>
      </c>
      <c r="J72" s="340" t="s">
        <v>721</v>
      </c>
      <c r="K72" s="340" t="s">
        <v>722</v>
      </c>
      <c r="L72" s="345" t="str">
        <f>VLOOKUP(K72,'20260309 suivi sites'!F:F,1,0)</f>
        <v>59EURA011AOG</v>
      </c>
      <c r="M72" s="340" t="s">
        <v>64</v>
      </c>
      <c r="N72" s="340" t="s">
        <v>65</v>
      </c>
      <c r="O72" s="340" t="s">
        <v>64</v>
      </c>
      <c r="P72" s="341">
        <v>44098</v>
      </c>
      <c r="Q72" s="341">
        <v>44998</v>
      </c>
      <c r="R72" s="347" t="b">
        <f t="shared" si="3"/>
        <v>0</v>
      </c>
      <c r="S72" s="347" t="str">
        <f t="shared" si="2"/>
        <v>change</v>
      </c>
      <c r="T72" s="342" t="s">
        <v>56</v>
      </c>
      <c r="U72" s="342" t="s">
        <v>723</v>
      </c>
      <c r="V72" s="342" t="s">
        <v>724</v>
      </c>
      <c r="W72" s="342" t="s">
        <v>725</v>
      </c>
      <c r="X72" s="342" t="s">
        <v>69</v>
      </c>
      <c r="Y72" s="349" t="s">
        <v>726</v>
      </c>
      <c r="Z72" s="342" t="s">
        <v>71</v>
      </c>
      <c r="AA72" s="342" t="s">
        <v>72</v>
      </c>
      <c r="AB72" s="342" t="s">
        <v>73</v>
      </c>
      <c r="AC72" s="342" t="s">
        <v>74</v>
      </c>
      <c r="AD72" s="342"/>
      <c r="AE72" s="342" t="s">
        <v>727</v>
      </c>
      <c r="AF72" s="349" t="s">
        <v>3770</v>
      </c>
      <c r="AG72" s="342" t="s">
        <v>74</v>
      </c>
      <c r="AH72" s="342" t="s">
        <v>76</v>
      </c>
      <c r="AI72" s="342" t="s">
        <v>74</v>
      </c>
      <c r="AJ72" s="342" t="s">
        <v>77</v>
      </c>
      <c r="AK72" s="342" t="s">
        <v>97</v>
      </c>
      <c r="AL72" s="342" t="s">
        <v>79</v>
      </c>
      <c r="AM72" s="342" t="s">
        <v>74</v>
      </c>
      <c r="AN72" s="342"/>
      <c r="AO72" s="342" t="s">
        <v>728</v>
      </c>
      <c r="AP72" s="342" t="s">
        <v>81</v>
      </c>
      <c r="AQ72" s="349" t="s">
        <v>210</v>
      </c>
      <c r="AR72" s="342" t="s">
        <v>83</v>
      </c>
      <c r="AS72" s="342" t="s">
        <v>84</v>
      </c>
      <c r="AT72" s="342" t="s">
        <v>45</v>
      </c>
      <c r="AU72" s="342" t="s">
        <v>85</v>
      </c>
      <c r="AV72" s="342" t="s">
        <v>120</v>
      </c>
      <c r="AW72" s="342"/>
      <c r="AX72" s="343" t="str">
        <f>IF(OR(Tableau3[[#This Row],[Option GTR]]&lt;&gt;"",Tableau3[[#This Row],[GTR spécifique]]&lt;&gt;""),"GTRS1","GTRS2")</f>
        <v>GTRS1</v>
      </c>
      <c r="AY72" s="342" t="s">
        <v>86</v>
      </c>
      <c r="AZ72" s="342"/>
      <c r="BA72" s="342" t="s">
        <v>729</v>
      </c>
    </row>
    <row r="73" spans="1:53" s="326" customFormat="1" ht="18.149999999999999" customHeight="1" x14ac:dyDescent="0.3">
      <c r="A73" s="340" t="s">
        <v>53</v>
      </c>
      <c r="B73" s="340" t="s">
        <v>54</v>
      </c>
      <c r="C73" s="340" t="s">
        <v>55</v>
      </c>
      <c r="D73" s="340" t="s">
        <v>56</v>
      </c>
      <c r="E73" s="340" t="s">
        <v>57</v>
      </c>
      <c r="F73" s="340" t="s">
        <v>58</v>
      </c>
      <c r="G73" s="340" t="s">
        <v>59</v>
      </c>
      <c r="H73" s="340" t="s">
        <v>60</v>
      </c>
      <c r="I73" s="340" t="s">
        <v>61</v>
      </c>
      <c r="J73" s="340" t="s">
        <v>730</v>
      </c>
      <c r="K73" s="340" t="s">
        <v>731</v>
      </c>
      <c r="L73" s="345" t="str">
        <f>VLOOKUP(K73,'20260309 suivi sites'!F:F,1,0)</f>
        <v>73BOZE011AOB</v>
      </c>
      <c r="M73" s="340" t="s">
        <v>64</v>
      </c>
      <c r="N73" s="340" t="s">
        <v>65</v>
      </c>
      <c r="O73" s="340" t="s">
        <v>104</v>
      </c>
      <c r="P73" s="341">
        <v>43551</v>
      </c>
      <c r="Q73" s="341"/>
      <c r="R73" s="347" t="b">
        <f t="shared" si="3"/>
        <v>0</v>
      </c>
      <c r="S73" s="347" t="str">
        <f t="shared" si="2"/>
        <v>change</v>
      </c>
      <c r="T73" s="342" t="s">
        <v>56</v>
      </c>
      <c r="U73" s="342" t="s">
        <v>732</v>
      </c>
      <c r="V73" s="342" t="s">
        <v>733</v>
      </c>
      <c r="W73" s="342" t="s">
        <v>734</v>
      </c>
      <c r="X73" s="342" t="s">
        <v>69</v>
      </c>
      <c r="Y73" s="349" t="s">
        <v>735</v>
      </c>
      <c r="Z73" s="342" t="s">
        <v>71</v>
      </c>
      <c r="AA73" s="342" t="s">
        <v>218</v>
      </c>
      <c r="AB73" s="342" t="s">
        <v>152</v>
      </c>
      <c r="AC73" s="342" t="s">
        <v>74</v>
      </c>
      <c r="AD73" s="342"/>
      <c r="AE73" s="342" t="s">
        <v>736</v>
      </c>
      <c r="AF73" s="349" t="s">
        <v>3769</v>
      </c>
      <c r="AG73" s="342" t="s">
        <v>74</v>
      </c>
      <c r="AH73" s="342" t="s">
        <v>76</v>
      </c>
      <c r="AI73" s="342" t="s">
        <v>74</v>
      </c>
      <c r="AJ73" s="342" t="s">
        <v>77</v>
      </c>
      <c r="AK73" s="342" t="s">
        <v>220</v>
      </c>
      <c r="AL73" s="342" t="s">
        <v>79</v>
      </c>
      <c r="AM73" s="342" t="s">
        <v>74</v>
      </c>
      <c r="AN73" s="342"/>
      <c r="AO73" s="342" t="s">
        <v>737</v>
      </c>
      <c r="AP73" s="342" t="s">
        <v>81</v>
      </c>
      <c r="AQ73" s="349" t="s">
        <v>200</v>
      </c>
      <c r="AR73" s="342" t="s">
        <v>83</v>
      </c>
      <c r="AS73" s="342" t="s">
        <v>84</v>
      </c>
      <c r="AT73" s="342" t="s">
        <v>45</v>
      </c>
      <c r="AU73" s="342" t="s">
        <v>85</v>
      </c>
      <c r="AV73" s="342"/>
      <c r="AW73" s="342"/>
      <c r="AX73" s="343" t="str">
        <f>IF(OR(Tableau3[[#This Row],[Option GTR]]&lt;&gt;"",Tableau3[[#This Row],[GTR spécifique]]&lt;&gt;""),"GTRS1","GTRS2")</f>
        <v>GTRS2</v>
      </c>
      <c r="AY73" s="342" t="s">
        <v>738</v>
      </c>
      <c r="AZ73" s="342"/>
      <c r="BA73" s="342" t="s">
        <v>739</v>
      </c>
    </row>
    <row r="74" spans="1:53" s="326" customFormat="1" ht="18.149999999999999" customHeight="1" x14ac:dyDescent="0.3">
      <c r="A74" s="340" t="s">
        <v>53</v>
      </c>
      <c r="B74" s="340" t="s">
        <v>54</v>
      </c>
      <c r="C74" s="340" t="s">
        <v>55</v>
      </c>
      <c r="D74" s="340" t="s">
        <v>56</v>
      </c>
      <c r="E74" s="340" t="s">
        <v>57</v>
      </c>
      <c r="F74" s="340" t="s">
        <v>58</v>
      </c>
      <c r="G74" s="340" t="s">
        <v>59</v>
      </c>
      <c r="H74" s="340" t="s">
        <v>60</v>
      </c>
      <c r="I74" s="340" t="s">
        <v>61</v>
      </c>
      <c r="J74" s="340" t="s">
        <v>740</v>
      </c>
      <c r="K74" s="340" t="s">
        <v>741</v>
      </c>
      <c r="L74" s="345" t="str">
        <f>VLOOKUP(K74,'20260309 suivi sites'!F:F,1,0)</f>
        <v>25CHAR011AOB</v>
      </c>
      <c r="M74" s="340" t="s">
        <v>64</v>
      </c>
      <c r="N74" s="340" t="s">
        <v>65</v>
      </c>
      <c r="O74" s="340" t="s">
        <v>64</v>
      </c>
      <c r="P74" s="341">
        <v>43817</v>
      </c>
      <c r="Q74" s="341">
        <v>44279</v>
      </c>
      <c r="R74" s="347" t="b">
        <f t="shared" si="3"/>
        <v>0</v>
      </c>
      <c r="S74" s="347" t="str">
        <f t="shared" si="2"/>
        <v>change</v>
      </c>
      <c r="T74" s="342" t="s">
        <v>56</v>
      </c>
      <c r="U74" s="342" t="s">
        <v>742</v>
      </c>
      <c r="V74" s="342" t="s">
        <v>743</v>
      </c>
      <c r="W74" s="342" t="s">
        <v>744</v>
      </c>
      <c r="X74" s="342" t="s">
        <v>69</v>
      </c>
      <c r="Y74" s="349" t="s">
        <v>745</v>
      </c>
      <c r="Z74" s="342" t="s">
        <v>71</v>
      </c>
      <c r="AA74" s="342" t="s">
        <v>218</v>
      </c>
      <c r="AB74" s="342" t="s">
        <v>152</v>
      </c>
      <c r="AC74" s="342" t="s">
        <v>74</v>
      </c>
      <c r="AD74" s="342"/>
      <c r="AE74" s="342" t="s">
        <v>746</v>
      </c>
      <c r="AF74" s="349" t="s">
        <v>3773</v>
      </c>
      <c r="AG74" s="342" t="s">
        <v>74</v>
      </c>
      <c r="AH74" s="342" t="s">
        <v>76</v>
      </c>
      <c r="AI74" s="342" t="s">
        <v>74</v>
      </c>
      <c r="AJ74" s="342" t="s">
        <v>77</v>
      </c>
      <c r="AK74" s="342" t="s">
        <v>97</v>
      </c>
      <c r="AL74" s="342" t="s">
        <v>79</v>
      </c>
      <c r="AM74" s="342" t="s">
        <v>74</v>
      </c>
      <c r="AN74" s="342"/>
      <c r="AO74" s="342" t="s">
        <v>747</v>
      </c>
      <c r="AP74" s="342" t="s">
        <v>81</v>
      </c>
      <c r="AQ74" s="349" t="s">
        <v>748</v>
      </c>
      <c r="AR74" s="342" t="s">
        <v>83</v>
      </c>
      <c r="AS74" s="342" t="s">
        <v>84</v>
      </c>
      <c r="AT74" s="342" t="s">
        <v>45</v>
      </c>
      <c r="AU74" s="342" t="s">
        <v>85</v>
      </c>
      <c r="AV74" s="342"/>
      <c r="AW74" s="342"/>
      <c r="AX74" s="343" t="str">
        <f>IF(OR(Tableau3[[#This Row],[Option GTR]]&lt;&gt;"",Tableau3[[#This Row],[GTR spécifique]]&lt;&gt;""),"GTRS1","GTRS2")</f>
        <v>GTRS2</v>
      </c>
      <c r="AY74" s="342" t="s">
        <v>738</v>
      </c>
      <c r="AZ74" s="342"/>
      <c r="BA74" s="344" t="s">
        <v>749</v>
      </c>
    </row>
    <row r="75" spans="1:53" s="326" customFormat="1" ht="18.149999999999999" customHeight="1" x14ac:dyDescent="0.3">
      <c r="A75" s="340" t="s">
        <v>53</v>
      </c>
      <c r="B75" s="340" t="s">
        <v>54</v>
      </c>
      <c r="C75" s="340" t="s">
        <v>55</v>
      </c>
      <c r="D75" s="340" t="s">
        <v>56</v>
      </c>
      <c r="E75" s="340" t="s">
        <v>57</v>
      </c>
      <c r="F75" s="340" t="s">
        <v>58</v>
      </c>
      <c r="G75" s="340" t="s">
        <v>59</v>
      </c>
      <c r="H75" s="340" t="s">
        <v>60</v>
      </c>
      <c r="I75" s="340" t="s">
        <v>61</v>
      </c>
      <c r="J75" s="340" t="s">
        <v>750</v>
      </c>
      <c r="K75" s="340" t="s">
        <v>751</v>
      </c>
      <c r="L75" s="345" t="str">
        <f>VLOOKUP(K75,'20260309 suivi sites'!F:F,1,0)</f>
        <v>26BEAU011AOB</v>
      </c>
      <c r="M75" s="340" t="s">
        <v>64</v>
      </c>
      <c r="N75" s="340" t="s">
        <v>65</v>
      </c>
      <c r="O75" s="340" t="s">
        <v>104</v>
      </c>
      <c r="P75" s="341">
        <v>43617</v>
      </c>
      <c r="Q75" s="341"/>
      <c r="R75" s="347" t="b">
        <f t="shared" si="3"/>
        <v>0</v>
      </c>
      <c r="S75" s="347" t="str">
        <f t="shared" si="2"/>
        <v>change</v>
      </c>
      <c r="T75" s="342" t="s">
        <v>56</v>
      </c>
      <c r="U75" s="342" t="s">
        <v>752</v>
      </c>
      <c r="V75" s="342" t="s">
        <v>753</v>
      </c>
      <c r="W75" s="342" t="s">
        <v>754</v>
      </c>
      <c r="X75" s="342" t="s">
        <v>69</v>
      </c>
      <c r="Y75" s="349" t="s">
        <v>755</v>
      </c>
      <c r="Z75" s="342" t="s">
        <v>71</v>
      </c>
      <c r="AA75" s="342" t="s">
        <v>218</v>
      </c>
      <c r="AB75" s="342" t="s">
        <v>152</v>
      </c>
      <c r="AC75" s="342" t="s">
        <v>74</v>
      </c>
      <c r="AD75" s="342"/>
      <c r="AE75" s="342" t="s">
        <v>756</v>
      </c>
      <c r="AF75" s="349" t="s">
        <v>3769</v>
      </c>
      <c r="AG75" s="342" t="s">
        <v>74</v>
      </c>
      <c r="AH75" s="342" t="s">
        <v>76</v>
      </c>
      <c r="AI75" s="342" t="s">
        <v>74</v>
      </c>
      <c r="AJ75" s="342" t="s">
        <v>77</v>
      </c>
      <c r="AK75" s="342" t="s">
        <v>220</v>
      </c>
      <c r="AL75" s="342" t="s">
        <v>79</v>
      </c>
      <c r="AM75" s="342" t="s">
        <v>74</v>
      </c>
      <c r="AN75" s="342"/>
      <c r="AO75" s="342" t="s">
        <v>757</v>
      </c>
      <c r="AP75" s="342" t="s">
        <v>81</v>
      </c>
      <c r="AQ75" s="349" t="s">
        <v>200</v>
      </c>
      <c r="AR75" s="342" t="s">
        <v>83</v>
      </c>
      <c r="AS75" s="342" t="s">
        <v>84</v>
      </c>
      <c r="AT75" s="342" t="s">
        <v>45</v>
      </c>
      <c r="AU75" s="342" t="s">
        <v>85</v>
      </c>
      <c r="AV75" s="342"/>
      <c r="AW75" s="342"/>
      <c r="AX75" s="343" t="str">
        <f>IF(OR(Tableau3[[#This Row],[Option GTR]]&lt;&gt;"",Tableau3[[#This Row],[GTR spécifique]]&lt;&gt;""),"GTRS1","GTRS2")</f>
        <v>GTRS2</v>
      </c>
      <c r="AY75" s="342" t="s">
        <v>738</v>
      </c>
      <c r="AZ75" s="342"/>
      <c r="BA75" s="342" t="s">
        <v>758</v>
      </c>
    </row>
    <row r="76" spans="1:53" s="326" customFormat="1" ht="18.149999999999999" customHeight="1" x14ac:dyDescent="0.3">
      <c r="A76" s="340" t="s">
        <v>53</v>
      </c>
      <c r="B76" s="340" t="s">
        <v>54</v>
      </c>
      <c r="C76" s="340" t="s">
        <v>55</v>
      </c>
      <c r="D76" s="340" t="s">
        <v>56</v>
      </c>
      <c r="E76" s="340" t="s">
        <v>57</v>
      </c>
      <c r="F76" s="340" t="s">
        <v>58</v>
      </c>
      <c r="G76" s="340" t="s">
        <v>59</v>
      </c>
      <c r="H76" s="340" t="s">
        <v>60</v>
      </c>
      <c r="I76" s="340" t="s">
        <v>61</v>
      </c>
      <c r="J76" s="340" t="s">
        <v>759</v>
      </c>
      <c r="K76" s="340" t="s">
        <v>760</v>
      </c>
      <c r="L76" s="345" t="str">
        <f>VLOOKUP(K76,'20260309 suivi sites'!F:F,1,0)</f>
        <v>37TOUR011AOP</v>
      </c>
      <c r="M76" s="340" t="s">
        <v>64</v>
      </c>
      <c r="N76" s="340" t="s">
        <v>65</v>
      </c>
      <c r="O76" s="340" t="s">
        <v>64</v>
      </c>
      <c r="P76" s="341">
        <v>43522</v>
      </c>
      <c r="Q76" s="341">
        <v>45890</v>
      </c>
      <c r="R76" s="347" t="b">
        <f t="shared" si="3"/>
        <v>0</v>
      </c>
      <c r="S76" s="347" t="str">
        <f t="shared" si="2"/>
        <v>change</v>
      </c>
      <c r="T76" s="342" t="s">
        <v>56</v>
      </c>
      <c r="U76" s="342" t="s">
        <v>761</v>
      </c>
      <c r="V76" s="342" t="s">
        <v>762</v>
      </c>
      <c r="W76" s="342" t="s">
        <v>763</v>
      </c>
      <c r="X76" s="342" t="s">
        <v>69</v>
      </c>
      <c r="Y76" s="349" t="s">
        <v>764</v>
      </c>
      <c r="Z76" s="342" t="s">
        <v>71</v>
      </c>
      <c r="AA76" s="342" t="s">
        <v>72</v>
      </c>
      <c r="AB76" s="342" t="s">
        <v>73</v>
      </c>
      <c r="AC76" s="342" t="s">
        <v>74</v>
      </c>
      <c r="AD76" s="342"/>
      <c r="AE76" s="342" t="s">
        <v>765</v>
      </c>
      <c r="AF76" s="349" t="s">
        <v>279</v>
      </c>
      <c r="AG76" s="342" t="s">
        <v>74</v>
      </c>
      <c r="AH76" s="342" t="s">
        <v>76</v>
      </c>
      <c r="AI76" s="342" t="s">
        <v>74</v>
      </c>
      <c r="AJ76" s="342" t="s">
        <v>77</v>
      </c>
      <c r="AK76" s="342" t="s">
        <v>78</v>
      </c>
      <c r="AL76" s="342" t="s">
        <v>79</v>
      </c>
      <c r="AM76" s="342" t="s">
        <v>166</v>
      </c>
      <c r="AN76" s="342" t="s">
        <v>766</v>
      </c>
      <c r="AO76" s="342" t="s">
        <v>767</v>
      </c>
      <c r="AP76" s="342" t="s">
        <v>81</v>
      </c>
      <c r="AQ76" s="349" t="s">
        <v>119</v>
      </c>
      <c r="AR76" s="342" t="s">
        <v>83</v>
      </c>
      <c r="AS76" s="342" t="s">
        <v>84</v>
      </c>
      <c r="AT76" s="342" t="s">
        <v>45</v>
      </c>
      <c r="AU76" s="342" t="s">
        <v>85</v>
      </c>
      <c r="AV76" s="342"/>
      <c r="AW76" s="342"/>
      <c r="AX76" s="343" t="str">
        <f>IF(OR(Tableau3[[#This Row],[Option GTR]]&lt;&gt;"",Tableau3[[#This Row],[GTR spécifique]]&lt;&gt;""),"GTRS1","GTRS2")</f>
        <v>GTRS2</v>
      </c>
      <c r="AY76" s="342" t="s">
        <v>86</v>
      </c>
      <c r="AZ76" s="342"/>
      <c r="BA76" s="344" t="s">
        <v>768</v>
      </c>
    </row>
    <row r="77" spans="1:53" s="326" customFormat="1" ht="18.149999999999999" customHeight="1" x14ac:dyDescent="0.3">
      <c r="A77" s="340" t="s">
        <v>53</v>
      </c>
      <c r="B77" s="340" t="s">
        <v>54</v>
      </c>
      <c r="C77" s="340" t="s">
        <v>55</v>
      </c>
      <c r="D77" s="340" t="s">
        <v>56</v>
      </c>
      <c r="E77" s="340" t="s">
        <v>57</v>
      </c>
      <c r="F77" s="340" t="s">
        <v>58</v>
      </c>
      <c r="G77" s="340" t="s">
        <v>59</v>
      </c>
      <c r="H77" s="340" t="s">
        <v>60</v>
      </c>
      <c r="I77" s="340" t="s">
        <v>61</v>
      </c>
      <c r="J77" s="340" t="s">
        <v>769</v>
      </c>
      <c r="K77" s="340" t="s">
        <v>770</v>
      </c>
      <c r="L77" s="345" t="str">
        <f>VLOOKUP(K77,'20260309 suivi sites'!F:F,1,0)</f>
        <v>38LEPO011AOG</v>
      </c>
      <c r="M77" s="340" t="s">
        <v>64</v>
      </c>
      <c r="N77" s="340" t="s">
        <v>771</v>
      </c>
      <c r="O77" s="340" t="s">
        <v>64</v>
      </c>
      <c r="P77" s="341">
        <v>45446</v>
      </c>
      <c r="Q77" s="341">
        <v>45446</v>
      </c>
      <c r="R77" s="347" t="b">
        <f t="shared" si="3"/>
        <v>1</v>
      </c>
      <c r="S77" s="347" t="str">
        <f t="shared" si="2"/>
        <v>création</v>
      </c>
      <c r="T77" s="342" t="s">
        <v>56</v>
      </c>
      <c r="U77" s="342" t="s">
        <v>772</v>
      </c>
      <c r="V77" s="342" t="s">
        <v>773</v>
      </c>
      <c r="W77" s="342" t="s">
        <v>774</v>
      </c>
      <c r="X77" s="342" t="s">
        <v>69</v>
      </c>
      <c r="Y77" s="349" t="s">
        <v>775</v>
      </c>
      <c r="Z77" s="342" t="s">
        <v>71</v>
      </c>
      <c r="AA77" s="342" t="s">
        <v>72</v>
      </c>
      <c r="AB77" s="342" t="s">
        <v>73</v>
      </c>
      <c r="AC77" s="342" t="s">
        <v>74</v>
      </c>
      <c r="AD77" s="342"/>
      <c r="AE77" s="342" t="s">
        <v>776</v>
      </c>
      <c r="AF77" s="349" t="s">
        <v>3769</v>
      </c>
      <c r="AG77" s="342" t="s">
        <v>74</v>
      </c>
      <c r="AH77" s="342" t="s">
        <v>76</v>
      </c>
      <c r="AI77" s="342" t="s">
        <v>74</v>
      </c>
      <c r="AJ77" s="342" t="s">
        <v>77</v>
      </c>
      <c r="AK77" s="342" t="s">
        <v>165</v>
      </c>
      <c r="AL77" s="342" t="s">
        <v>79</v>
      </c>
      <c r="AM77" s="342" t="s">
        <v>74</v>
      </c>
      <c r="AN77" s="342"/>
      <c r="AO77" s="342" t="s">
        <v>777</v>
      </c>
      <c r="AP77" s="342" t="s">
        <v>81</v>
      </c>
      <c r="AQ77" s="349" t="s">
        <v>200</v>
      </c>
      <c r="AR77" s="342" t="s">
        <v>83</v>
      </c>
      <c r="AS77" s="342" t="s">
        <v>84</v>
      </c>
      <c r="AT77" s="342" t="s">
        <v>45</v>
      </c>
      <c r="AU77" s="342" t="s">
        <v>85</v>
      </c>
      <c r="AV77" s="342"/>
      <c r="AW77" s="342"/>
      <c r="AX77" s="343" t="str">
        <f>IF(OR(Tableau3[[#This Row],[Option GTR]]&lt;&gt;"",Tableau3[[#This Row],[GTR spécifique]]&lt;&gt;""),"GTRS1","GTRS2")</f>
        <v>GTRS2</v>
      </c>
      <c r="AY77" s="342" t="s">
        <v>86</v>
      </c>
      <c r="AZ77" s="342"/>
      <c r="BA77" s="342" t="s">
        <v>778</v>
      </c>
    </row>
    <row r="78" spans="1:53" s="326" customFormat="1" ht="18.149999999999999" customHeight="1" x14ac:dyDescent="0.3">
      <c r="A78" s="340" t="s">
        <v>53</v>
      </c>
      <c r="B78" s="340" t="s">
        <v>54</v>
      </c>
      <c r="C78" s="340" t="s">
        <v>55</v>
      </c>
      <c r="D78" s="340" t="s">
        <v>56</v>
      </c>
      <c r="E78" s="340" t="s">
        <v>57</v>
      </c>
      <c r="F78" s="340" t="s">
        <v>58</v>
      </c>
      <c r="G78" s="340" t="s">
        <v>59</v>
      </c>
      <c r="H78" s="340" t="s">
        <v>60</v>
      </c>
      <c r="I78" s="340" t="s">
        <v>61</v>
      </c>
      <c r="J78" s="340" t="s">
        <v>779</v>
      </c>
      <c r="K78" s="340" t="s">
        <v>780</v>
      </c>
      <c r="L78" s="345" t="str">
        <f>VLOOKUP(K78,'20260309 suivi sites'!F:F,1,0)</f>
        <v>97CAYE011AOG</v>
      </c>
      <c r="M78" s="340" t="s">
        <v>64</v>
      </c>
      <c r="N78" s="340" t="s">
        <v>65</v>
      </c>
      <c r="O78" s="340" t="s">
        <v>64</v>
      </c>
      <c r="P78" s="341">
        <v>43614</v>
      </c>
      <c r="Q78" s="341">
        <v>45849</v>
      </c>
      <c r="R78" s="347" t="b">
        <f t="shared" si="3"/>
        <v>0</v>
      </c>
      <c r="S78" s="347" t="str">
        <f t="shared" si="2"/>
        <v>change</v>
      </c>
      <c r="T78" s="342" t="s">
        <v>56</v>
      </c>
      <c r="U78" s="342" t="s">
        <v>781</v>
      </c>
      <c r="V78" s="342" t="s">
        <v>600</v>
      </c>
      <c r="W78" s="342" t="s">
        <v>601</v>
      </c>
      <c r="X78" s="342" t="s">
        <v>69</v>
      </c>
      <c r="Y78" s="349" t="s">
        <v>782</v>
      </c>
      <c r="Z78" s="342" t="s">
        <v>71</v>
      </c>
      <c r="AA78" s="342" t="s">
        <v>72</v>
      </c>
      <c r="AB78" s="342" t="s">
        <v>73</v>
      </c>
      <c r="AC78" s="342" t="s">
        <v>74</v>
      </c>
      <c r="AD78" s="342"/>
      <c r="AE78" s="342" t="s">
        <v>783</v>
      </c>
      <c r="AF78" s="349" t="s">
        <v>3765</v>
      </c>
      <c r="AG78" s="342" t="s">
        <v>74</v>
      </c>
      <c r="AH78" s="342" t="s">
        <v>76</v>
      </c>
      <c r="AI78" s="342" t="s">
        <v>76</v>
      </c>
      <c r="AJ78" s="342" t="s">
        <v>77</v>
      </c>
      <c r="AK78" s="342" t="s">
        <v>165</v>
      </c>
      <c r="AL78" s="342" t="s">
        <v>79</v>
      </c>
      <c r="AM78" s="342" t="s">
        <v>74</v>
      </c>
      <c r="AN78" s="342"/>
      <c r="AO78" s="342" t="s">
        <v>784</v>
      </c>
      <c r="AP78" s="342" t="s">
        <v>81</v>
      </c>
      <c r="AQ78" s="349" t="s">
        <v>119</v>
      </c>
      <c r="AR78" s="342" t="s">
        <v>83</v>
      </c>
      <c r="AS78" s="342" t="s">
        <v>84</v>
      </c>
      <c r="AT78" s="342" t="s">
        <v>45</v>
      </c>
      <c r="AU78" s="342" t="s">
        <v>85</v>
      </c>
      <c r="AV78" s="342" t="s">
        <v>120</v>
      </c>
      <c r="AW78" s="342" t="s">
        <v>131</v>
      </c>
      <c r="AX78" s="343" t="str">
        <f>IF(OR(Tableau3[[#This Row],[Option GTR]]&lt;&gt;"",Tableau3[[#This Row],[GTR spécifique]]&lt;&gt;""),"GTRS1","GTRS2")</f>
        <v>GTRS1</v>
      </c>
      <c r="AY78" s="342" t="s">
        <v>100</v>
      </c>
      <c r="AZ78" s="342"/>
      <c r="BA78" s="342" t="s">
        <v>785</v>
      </c>
    </row>
    <row r="79" spans="1:53" s="326" customFormat="1" ht="18.149999999999999" customHeight="1" x14ac:dyDescent="0.3">
      <c r="A79" s="340" t="s">
        <v>53</v>
      </c>
      <c r="B79" s="340" t="s">
        <v>54</v>
      </c>
      <c r="C79" s="340" t="s">
        <v>55</v>
      </c>
      <c r="D79" s="340" t="s">
        <v>56</v>
      </c>
      <c r="E79" s="340" t="s">
        <v>57</v>
      </c>
      <c r="F79" s="340" t="s">
        <v>58</v>
      </c>
      <c r="G79" s="340" t="s">
        <v>59</v>
      </c>
      <c r="H79" s="340" t="s">
        <v>60</v>
      </c>
      <c r="I79" s="340" t="s">
        <v>61</v>
      </c>
      <c r="J79" s="340" t="s">
        <v>786</v>
      </c>
      <c r="K79" s="340" t="s">
        <v>787</v>
      </c>
      <c r="L79" s="345" t="str">
        <f>VLOOKUP(K79,'20260309 suivi sites'!F:F,1,0)</f>
        <v>01SAMO011AOB</v>
      </c>
      <c r="M79" s="340" t="s">
        <v>64</v>
      </c>
      <c r="N79" s="340" t="s">
        <v>65</v>
      </c>
      <c r="O79" s="340" t="s">
        <v>64</v>
      </c>
      <c r="P79" s="341">
        <v>43529</v>
      </c>
      <c r="Q79" s="341">
        <v>45216</v>
      </c>
      <c r="R79" s="347" t="b">
        <f t="shared" si="3"/>
        <v>0</v>
      </c>
      <c r="S79" s="347" t="str">
        <f t="shared" si="2"/>
        <v>change</v>
      </c>
      <c r="T79" s="342" t="s">
        <v>56</v>
      </c>
      <c r="U79" s="342" t="s">
        <v>788</v>
      </c>
      <c r="V79" s="342" t="s">
        <v>789</v>
      </c>
      <c r="W79" s="342" t="s">
        <v>790</v>
      </c>
      <c r="X79" s="342" t="s">
        <v>69</v>
      </c>
      <c r="Y79" s="349" t="s">
        <v>791</v>
      </c>
      <c r="Z79" s="342" t="s">
        <v>71</v>
      </c>
      <c r="AA79" s="342" t="s">
        <v>218</v>
      </c>
      <c r="AB79" s="342" t="s">
        <v>152</v>
      </c>
      <c r="AC79" s="342" t="s">
        <v>74</v>
      </c>
      <c r="AD79" s="342"/>
      <c r="AE79" s="342" t="s">
        <v>792</v>
      </c>
      <c r="AF79" s="349" t="s">
        <v>3773</v>
      </c>
      <c r="AG79" s="342" t="s">
        <v>74</v>
      </c>
      <c r="AH79" s="342" t="s">
        <v>76</v>
      </c>
      <c r="AI79" s="342" t="s">
        <v>74</v>
      </c>
      <c r="AJ79" s="342" t="s">
        <v>77</v>
      </c>
      <c r="AK79" s="342" t="s">
        <v>97</v>
      </c>
      <c r="AL79" s="342" t="s">
        <v>79</v>
      </c>
      <c r="AM79" s="342" t="s">
        <v>74</v>
      </c>
      <c r="AN79" s="342"/>
      <c r="AO79" s="342" t="s">
        <v>793</v>
      </c>
      <c r="AP79" s="342" t="s">
        <v>81</v>
      </c>
      <c r="AQ79" s="349" t="s">
        <v>748</v>
      </c>
      <c r="AR79" s="342" t="s">
        <v>83</v>
      </c>
      <c r="AS79" s="342" t="s">
        <v>84</v>
      </c>
      <c r="AT79" s="342" t="s">
        <v>45</v>
      </c>
      <c r="AU79" s="342" t="s">
        <v>85</v>
      </c>
      <c r="AV79" s="342"/>
      <c r="AW79" s="342"/>
      <c r="AX79" s="343" t="str">
        <f>IF(OR(Tableau3[[#This Row],[Option GTR]]&lt;&gt;"",Tableau3[[#This Row],[GTR spécifique]]&lt;&gt;""),"GTRS1","GTRS2")</f>
        <v>GTRS2</v>
      </c>
      <c r="AY79" s="342" t="s">
        <v>794</v>
      </c>
      <c r="AZ79" s="344" t="s">
        <v>795</v>
      </c>
      <c r="BA79" s="344" t="s">
        <v>795</v>
      </c>
    </row>
    <row r="80" spans="1:53" s="326" customFormat="1" ht="18.149999999999999" customHeight="1" x14ac:dyDescent="0.3">
      <c r="A80" s="340" t="s">
        <v>53</v>
      </c>
      <c r="B80" s="340" t="s">
        <v>54</v>
      </c>
      <c r="C80" s="340" t="s">
        <v>55</v>
      </c>
      <c r="D80" s="340" t="s">
        <v>56</v>
      </c>
      <c r="E80" s="340" t="s">
        <v>57</v>
      </c>
      <c r="F80" s="340" t="s">
        <v>58</v>
      </c>
      <c r="G80" s="340" t="s">
        <v>59</v>
      </c>
      <c r="H80" s="340" t="s">
        <v>60</v>
      </c>
      <c r="I80" s="340" t="s">
        <v>61</v>
      </c>
      <c r="J80" s="340" t="s">
        <v>796</v>
      </c>
      <c r="K80" s="340" t="s">
        <v>797</v>
      </c>
      <c r="L80" s="345" t="str">
        <f>VLOOKUP(K80,'20260309 suivi sites'!F:F,1,0)</f>
        <v>05LARA011AOG</v>
      </c>
      <c r="M80" s="340" t="s">
        <v>64</v>
      </c>
      <c r="N80" s="340" t="s">
        <v>65</v>
      </c>
      <c r="O80" s="340" t="s">
        <v>64</v>
      </c>
      <c r="P80" s="341">
        <v>44168</v>
      </c>
      <c r="Q80" s="341">
        <v>45834</v>
      </c>
      <c r="R80" s="347" t="b">
        <f t="shared" si="3"/>
        <v>0</v>
      </c>
      <c r="S80" s="347" t="str">
        <f t="shared" si="2"/>
        <v>change</v>
      </c>
      <c r="T80" s="342" t="s">
        <v>56</v>
      </c>
      <c r="U80" s="342" t="s">
        <v>798</v>
      </c>
      <c r="V80" s="342" t="s">
        <v>799</v>
      </c>
      <c r="W80" s="342" t="s">
        <v>800</v>
      </c>
      <c r="X80" s="342" t="s">
        <v>69</v>
      </c>
      <c r="Y80" s="349" t="s">
        <v>801</v>
      </c>
      <c r="Z80" s="342" t="s">
        <v>71</v>
      </c>
      <c r="AA80" s="342" t="s">
        <v>72</v>
      </c>
      <c r="AB80" s="342" t="s">
        <v>73</v>
      </c>
      <c r="AC80" s="342" t="s">
        <v>74</v>
      </c>
      <c r="AD80" s="342"/>
      <c r="AE80" s="342" t="s">
        <v>802</v>
      </c>
      <c r="AF80" s="349" t="s">
        <v>3770</v>
      </c>
      <c r="AG80" s="342" t="s">
        <v>74</v>
      </c>
      <c r="AH80" s="342" t="s">
        <v>76</v>
      </c>
      <c r="AI80" s="342" t="s">
        <v>76</v>
      </c>
      <c r="AJ80" s="342" t="s">
        <v>77</v>
      </c>
      <c r="AK80" s="342" t="s">
        <v>97</v>
      </c>
      <c r="AL80" s="342" t="s">
        <v>79</v>
      </c>
      <c r="AM80" s="342" t="s">
        <v>74</v>
      </c>
      <c r="AN80" s="342"/>
      <c r="AO80" s="342" t="s">
        <v>803</v>
      </c>
      <c r="AP80" s="342" t="s">
        <v>81</v>
      </c>
      <c r="AQ80" s="349" t="s">
        <v>210</v>
      </c>
      <c r="AR80" s="342" t="s">
        <v>83</v>
      </c>
      <c r="AS80" s="342" t="s">
        <v>84</v>
      </c>
      <c r="AT80" s="342" t="s">
        <v>45</v>
      </c>
      <c r="AU80" s="342" t="s">
        <v>85</v>
      </c>
      <c r="AV80" s="342"/>
      <c r="AW80" s="342"/>
      <c r="AX80" s="343" t="str">
        <f>IF(OR(Tableau3[[#This Row],[Option GTR]]&lt;&gt;"",Tableau3[[#This Row],[GTR spécifique]]&lt;&gt;""),"GTRS1","GTRS2")</f>
        <v>GTRS2</v>
      </c>
      <c r="AY80" s="342" t="s">
        <v>143</v>
      </c>
      <c r="AZ80" s="342"/>
      <c r="BA80" s="342" t="s">
        <v>804</v>
      </c>
    </row>
    <row r="81" spans="1:53" s="326" customFormat="1" ht="18.149999999999999" customHeight="1" x14ac:dyDescent="0.3">
      <c r="A81" s="340" t="s">
        <v>53</v>
      </c>
      <c r="B81" s="340" t="s">
        <v>54</v>
      </c>
      <c r="C81" s="340" t="s">
        <v>55</v>
      </c>
      <c r="D81" s="340" t="s">
        <v>56</v>
      </c>
      <c r="E81" s="340" t="s">
        <v>57</v>
      </c>
      <c r="F81" s="340" t="s">
        <v>58</v>
      </c>
      <c r="G81" s="340" t="s">
        <v>59</v>
      </c>
      <c r="H81" s="340" t="s">
        <v>60</v>
      </c>
      <c r="I81" s="340" t="s">
        <v>61</v>
      </c>
      <c r="J81" s="340" t="s">
        <v>805</v>
      </c>
      <c r="K81" s="340" t="s">
        <v>806</v>
      </c>
      <c r="L81" s="345" t="str">
        <f>VLOOKUP(K81,'20260309 suivi sites'!F:F,1,0)</f>
        <v>26PIZA011AOG</v>
      </c>
      <c r="M81" s="340" t="s">
        <v>64</v>
      </c>
      <c r="N81" s="340" t="s">
        <v>65</v>
      </c>
      <c r="O81" s="340" t="s">
        <v>64</v>
      </c>
      <c r="P81" s="341">
        <v>43733</v>
      </c>
      <c r="Q81" s="341">
        <v>45538</v>
      </c>
      <c r="R81" s="347" t="b">
        <f t="shared" si="3"/>
        <v>0</v>
      </c>
      <c r="S81" s="347" t="str">
        <f t="shared" si="2"/>
        <v>change</v>
      </c>
      <c r="T81" s="342" t="s">
        <v>56</v>
      </c>
      <c r="U81" s="342" t="s">
        <v>807</v>
      </c>
      <c r="V81" s="342" t="s">
        <v>808</v>
      </c>
      <c r="W81" s="342" t="s">
        <v>809</v>
      </c>
      <c r="X81" s="342" t="s">
        <v>69</v>
      </c>
      <c r="Y81" s="349" t="s">
        <v>810</v>
      </c>
      <c r="Z81" s="342" t="s">
        <v>71</v>
      </c>
      <c r="AA81" s="342" t="s">
        <v>72</v>
      </c>
      <c r="AB81" s="342" t="s">
        <v>73</v>
      </c>
      <c r="AC81" s="342" t="s">
        <v>74</v>
      </c>
      <c r="AD81" s="342"/>
      <c r="AE81" s="342" t="s">
        <v>811</v>
      </c>
      <c r="AF81" s="349" t="s">
        <v>3770</v>
      </c>
      <c r="AG81" s="342" t="s">
        <v>74</v>
      </c>
      <c r="AH81" s="342" t="s">
        <v>76</v>
      </c>
      <c r="AI81" s="342" t="s">
        <v>74</v>
      </c>
      <c r="AJ81" s="342" t="s">
        <v>77</v>
      </c>
      <c r="AK81" s="342" t="s">
        <v>97</v>
      </c>
      <c r="AL81" s="342" t="s">
        <v>79</v>
      </c>
      <c r="AM81" s="342" t="s">
        <v>74</v>
      </c>
      <c r="AN81" s="342"/>
      <c r="AO81" s="342" t="s">
        <v>812</v>
      </c>
      <c r="AP81" s="342" t="s">
        <v>81</v>
      </c>
      <c r="AQ81" s="349" t="s">
        <v>210</v>
      </c>
      <c r="AR81" s="342" t="s">
        <v>83</v>
      </c>
      <c r="AS81" s="342" t="s">
        <v>84</v>
      </c>
      <c r="AT81" s="342" t="s">
        <v>45</v>
      </c>
      <c r="AU81" s="342" t="s">
        <v>85</v>
      </c>
      <c r="AV81" s="342"/>
      <c r="AW81" s="342"/>
      <c r="AX81" s="343" t="str">
        <f>IF(OR(Tableau3[[#This Row],[Option GTR]]&lt;&gt;"",Tableau3[[#This Row],[GTR spécifique]]&lt;&gt;""),"GTRS1","GTRS2")</f>
        <v>GTRS2</v>
      </c>
      <c r="AY81" s="342" t="s">
        <v>143</v>
      </c>
      <c r="AZ81" s="342"/>
      <c r="BA81" s="342" t="s">
        <v>813</v>
      </c>
    </row>
    <row r="82" spans="1:53" s="326" customFormat="1" ht="18.149999999999999" customHeight="1" x14ac:dyDescent="0.3">
      <c r="A82" s="340" t="s">
        <v>53</v>
      </c>
      <c r="B82" s="340" t="s">
        <v>54</v>
      </c>
      <c r="C82" s="340" t="s">
        <v>55</v>
      </c>
      <c r="D82" s="340" t="s">
        <v>56</v>
      </c>
      <c r="E82" s="340" t="s">
        <v>57</v>
      </c>
      <c r="F82" s="340" t="s">
        <v>58</v>
      </c>
      <c r="G82" s="340" t="s">
        <v>59</v>
      </c>
      <c r="H82" s="340" t="s">
        <v>60</v>
      </c>
      <c r="I82" s="340" t="s">
        <v>61</v>
      </c>
      <c r="J82" s="340" t="s">
        <v>814</v>
      </c>
      <c r="K82" s="340" t="s">
        <v>815</v>
      </c>
      <c r="L82" s="345" t="str">
        <f>VLOOKUP(K82,'20260309 suivi sites'!F:F,1,0)</f>
        <v>97MARI011AOS</v>
      </c>
      <c r="M82" s="340" t="s">
        <v>64</v>
      </c>
      <c r="N82" s="340" t="s">
        <v>65</v>
      </c>
      <c r="O82" s="340" t="s">
        <v>64</v>
      </c>
      <c r="P82" s="341">
        <v>43641</v>
      </c>
      <c r="Q82" s="341">
        <v>45028</v>
      </c>
      <c r="R82" s="347" t="b">
        <f t="shared" si="3"/>
        <v>0</v>
      </c>
      <c r="S82" s="347" t="str">
        <f t="shared" si="2"/>
        <v>change</v>
      </c>
      <c r="T82" s="342" t="s">
        <v>56</v>
      </c>
      <c r="U82" s="342" t="s">
        <v>816</v>
      </c>
      <c r="V82" s="342" t="s">
        <v>817</v>
      </c>
      <c r="W82" s="342" t="s">
        <v>818</v>
      </c>
      <c r="X82" s="342" t="s">
        <v>69</v>
      </c>
      <c r="Y82" s="349" t="s">
        <v>819</v>
      </c>
      <c r="Z82" s="342" t="s">
        <v>71</v>
      </c>
      <c r="AA82" s="342" t="s">
        <v>72</v>
      </c>
      <c r="AB82" s="342" t="s">
        <v>73</v>
      </c>
      <c r="AC82" s="342" t="s">
        <v>74</v>
      </c>
      <c r="AD82" s="342"/>
      <c r="AE82" s="342" t="s">
        <v>820</v>
      </c>
      <c r="AF82" s="349" t="s">
        <v>3775</v>
      </c>
      <c r="AG82" s="342" t="s">
        <v>74</v>
      </c>
      <c r="AH82" s="342" t="s">
        <v>76</v>
      </c>
      <c r="AI82" s="342" t="s">
        <v>76</v>
      </c>
      <c r="AJ82" s="342" t="s">
        <v>77</v>
      </c>
      <c r="AK82" s="342" t="s">
        <v>97</v>
      </c>
      <c r="AL82" s="342" t="s">
        <v>79</v>
      </c>
      <c r="AM82" s="342" t="s">
        <v>74</v>
      </c>
      <c r="AN82" s="342"/>
      <c r="AO82" s="342" t="s">
        <v>821</v>
      </c>
      <c r="AP82" s="342" t="s">
        <v>81</v>
      </c>
      <c r="AQ82" s="349" t="s">
        <v>822</v>
      </c>
      <c r="AR82" s="342" t="s">
        <v>83</v>
      </c>
      <c r="AS82" s="342" t="s">
        <v>84</v>
      </c>
      <c r="AT82" s="342" t="s">
        <v>45</v>
      </c>
      <c r="AU82" s="342" t="s">
        <v>85</v>
      </c>
      <c r="AV82" s="342"/>
      <c r="AW82" s="342" t="s">
        <v>131</v>
      </c>
      <c r="AX82" s="343" t="str">
        <f>IF(OR(Tableau3[[#This Row],[Option GTR]]&lt;&gt;"",Tableau3[[#This Row],[GTR spécifique]]&lt;&gt;""),"GTRS1","GTRS2")</f>
        <v>GTRS1</v>
      </c>
      <c r="AY82" s="342" t="s">
        <v>632</v>
      </c>
      <c r="AZ82" s="342"/>
      <c r="BA82" s="342" t="s">
        <v>823</v>
      </c>
    </row>
    <row r="83" spans="1:53" s="326" customFormat="1" ht="18.149999999999999" customHeight="1" x14ac:dyDescent="0.3">
      <c r="A83" s="340" t="s">
        <v>53</v>
      </c>
      <c r="B83" s="340" t="s">
        <v>54</v>
      </c>
      <c r="C83" s="340" t="s">
        <v>55</v>
      </c>
      <c r="D83" s="340" t="s">
        <v>56</v>
      </c>
      <c r="E83" s="340" t="s">
        <v>57</v>
      </c>
      <c r="F83" s="340" t="s">
        <v>58</v>
      </c>
      <c r="G83" s="340" t="s">
        <v>59</v>
      </c>
      <c r="H83" s="340" t="s">
        <v>60</v>
      </c>
      <c r="I83" s="340" t="s">
        <v>61</v>
      </c>
      <c r="J83" s="340" t="s">
        <v>824</v>
      </c>
      <c r="K83" s="340" t="s">
        <v>825</v>
      </c>
      <c r="L83" s="345" t="str">
        <f>VLOOKUP(K83,'20260309 suivi sites'!F:F,1,0)</f>
        <v>73ALBE031AOB</v>
      </c>
      <c r="M83" s="340" t="s">
        <v>64</v>
      </c>
      <c r="N83" s="340" t="s">
        <v>65</v>
      </c>
      <c r="O83" s="340" t="s">
        <v>64</v>
      </c>
      <c r="P83" s="341">
        <v>43376</v>
      </c>
      <c r="Q83" s="341">
        <v>46078</v>
      </c>
      <c r="R83" s="347" t="b">
        <f t="shared" si="3"/>
        <v>0</v>
      </c>
      <c r="S83" s="347" t="str">
        <f t="shared" si="2"/>
        <v>change</v>
      </c>
      <c r="T83" s="342" t="s">
        <v>56</v>
      </c>
      <c r="U83" s="342" t="s">
        <v>826</v>
      </c>
      <c r="V83" s="342" t="s">
        <v>450</v>
      </c>
      <c r="W83" s="342" t="s">
        <v>451</v>
      </c>
      <c r="X83" s="342" t="s">
        <v>69</v>
      </c>
      <c r="Y83" s="349" t="s">
        <v>827</v>
      </c>
      <c r="Z83" s="342" t="s">
        <v>71</v>
      </c>
      <c r="AA83" s="342" t="s">
        <v>218</v>
      </c>
      <c r="AB83" s="342" t="s">
        <v>152</v>
      </c>
      <c r="AC83" s="342" t="s">
        <v>74</v>
      </c>
      <c r="AD83" s="342"/>
      <c r="AE83" s="342" t="s">
        <v>828</v>
      </c>
      <c r="AF83" s="349" t="s">
        <v>3764</v>
      </c>
      <c r="AG83" s="342" t="s">
        <v>74</v>
      </c>
      <c r="AH83" s="342" t="s">
        <v>76</v>
      </c>
      <c r="AI83" s="342" t="s">
        <v>74</v>
      </c>
      <c r="AJ83" s="342" t="s">
        <v>77</v>
      </c>
      <c r="AK83" s="342" t="s">
        <v>97</v>
      </c>
      <c r="AL83" s="342" t="s">
        <v>79</v>
      </c>
      <c r="AM83" s="342" t="s">
        <v>74</v>
      </c>
      <c r="AN83" s="342"/>
      <c r="AO83" s="342" t="s">
        <v>829</v>
      </c>
      <c r="AP83" s="342" t="s">
        <v>81</v>
      </c>
      <c r="AQ83" s="349" t="s">
        <v>99</v>
      </c>
      <c r="AR83" s="342" t="s">
        <v>83</v>
      </c>
      <c r="AS83" s="342" t="s">
        <v>290</v>
      </c>
      <c r="AT83" s="342" t="s">
        <v>45</v>
      </c>
      <c r="AU83" s="342" t="s">
        <v>85</v>
      </c>
      <c r="AV83" s="342"/>
      <c r="AW83" s="342"/>
      <c r="AX83" s="343" t="str">
        <f>IF(OR(Tableau3[[#This Row],[Option GTR]]&lt;&gt;"",Tableau3[[#This Row],[GTR spécifique]]&lt;&gt;""),"GTRS1","GTRS2")</f>
        <v>GTRS2</v>
      </c>
      <c r="AY83" s="342" t="s">
        <v>355</v>
      </c>
      <c r="AZ83" s="342"/>
      <c r="BA83" s="342" t="s">
        <v>3800</v>
      </c>
    </row>
    <row r="84" spans="1:53" s="326" customFormat="1" ht="18.149999999999999" customHeight="1" x14ac:dyDescent="0.3">
      <c r="A84" s="340" t="s">
        <v>53</v>
      </c>
      <c r="B84" s="340" t="s">
        <v>54</v>
      </c>
      <c r="C84" s="340" t="s">
        <v>55</v>
      </c>
      <c r="D84" s="340" t="s">
        <v>56</v>
      </c>
      <c r="E84" s="340" t="s">
        <v>57</v>
      </c>
      <c r="F84" s="340" t="s">
        <v>58</v>
      </c>
      <c r="G84" s="340" t="s">
        <v>59</v>
      </c>
      <c r="H84" s="340" t="s">
        <v>60</v>
      </c>
      <c r="I84" s="340" t="s">
        <v>61</v>
      </c>
      <c r="J84" s="340" t="s">
        <v>830</v>
      </c>
      <c r="K84" s="340" t="s">
        <v>831</v>
      </c>
      <c r="L84" s="345" t="str">
        <f>VLOOKUP(K84,'20260309 suivi sites'!F:F,1,0)</f>
        <v>43MONI021AOS</v>
      </c>
      <c r="M84" s="340" t="s">
        <v>64</v>
      </c>
      <c r="N84" s="340" t="s">
        <v>65</v>
      </c>
      <c r="O84" s="340" t="s">
        <v>64</v>
      </c>
      <c r="P84" s="341">
        <v>44062</v>
      </c>
      <c r="Q84" s="341">
        <v>44062</v>
      </c>
      <c r="R84" s="347" t="b">
        <f t="shared" si="3"/>
        <v>1</v>
      </c>
      <c r="S84" s="347" t="str">
        <f t="shared" si="2"/>
        <v>création</v>
      </c>
      <c r="T84" s="342" t="s">
        <v>56</v>
      </c>
      <c r="U84" s="342" t="s">
        <v>832</v>
      </c>
      <c r="V84" s="342" t="s">
        <v>227</v>
      </c>
      <c r="W84" s="342" t="s">
        <v>228</v>
      </c>
      <c r="X84" s="342" t="s">
        <v>69</v>
      </c>
      <c r="Y84" s="349" t="s">
        <v>833</v>
      </c>
      <c r="Z84" s="342" t="s">
        <v>71</v>
      </c>
      <c r="AA84" s="342" t="s">
        <v>72</v>
      </c>
      <c r="AB84" s="342" t="s">
        <v>73</v>
      </c>
      <c r="AC84" s="342" t="s">
        <v>74</v>
      </c>
      <c r="AD84" s="342"/>
      <c r="AE84" s="342" t="s">
        <v>834</v>
      </c>
      <c r="AF84" s="349" t="s">
        <v>3771</v>
      </c>
      <c r="AG84" s="342" t="s">
        <v>74</v>
      </c>
      <c r="AH84" s="342" t="s">
        <v>76</v>
      </c>
      <c r="AI84" s="342" t="s">
        <v>74</v>
      </c>
      <c r="AJ84" s="342" t="s">
        <v>77</v>
      </c>
      <c r="AK84" s="342" t="s">
        <v>97</v>
      </c>
      <c r="AL84" s="342" t="s">
        <v>79</v>
      </c>
      <c r="AM84" s="342" t="s">
        <v>74</v>
      </c>
      <c r="AN84" s="342"/>
      <c r="AO84" s="342" t="s">
        <v>835</v>
      </c>
      <c r="AP84" s="342" t="s">
        <v>81</v>
      </c>
      <c r="AQ84" s="349" t="s">
        <v>222</v>
      </c>
      <c r="AR84" s="342" t="s">
        <v>83</v>
      </c>
      <c r="AS84" s="342" t="s">
        <v>84</v>
      </c>
      <c r="AT84" s="342" t="s">
        <v>45</v>
      </c>
      <c r="AU84" s="342" t="s">
        <v>85</v>
      </c>
      <c r="AV84" s="342"/>
      <c r="AW84" s="342"/>
      <c r="AX84" s="343" t="str">
        <f>IF(OR(Tableau3[[#This Row],[Option GTR]]&lt;&gt;"",Tableau3[[#This Row],[GTR spécifique]]&lt;&gt;""),"GTRS1","GTRS2")</f>
        <v>GTRS2</v>
      </c>
      <c r="AY84" s="342" t="s">
        <v>143</v>
      </c>
      <c r="AZ84" s="342"/>
      <c r="BA84" s="344" t="s">
        <v>836</v>
      </c>
    </row>
    <row r="85" spans="1:53" s="326" customFormat="1" ht="18.149999999999999" customHeight="1" x14ac:dyDescent="0.3">
      <c r="A85" s="340" t="s">
        <v>53</v>
      </c>
      <c r="B85" s="340" t="s">
        <v>54</v>
      </c>
      <c r="C85" s="340" t="s">
        <v>55</v>
      </c>
      <c r="D85" s="340" t="s">
        <v>56</v>
      </c>
      <c r="E85" s="340" t="s">
        <v>57</v>
      </c>
      <c r="F85" s="340" t="s">
        <v>58</v>
      </c>
      <c r="G85" s="340" t="s">
        <v>59</v>
      </c>
      <c r="H85" s="340" t="s">
        <v>60</v>
      </c>
      <c r="I85" s="340" t="s">
        <v>61</v>
      </c>
      <c r="J85" s="340" t="s">
        <v>837</v>
      </c>
      <c r="K85" s="340" t="s">
        <v>838</v>
      </c>
      <c r="L85" s="345" t="str">
        <f>VLOOKUP(K85,'20260309 suivi sites'!F:F,1,0)</f>
        <v>06STDA011AOS</v>
      </c>
      <c r="M85" s="340" t="s">
        <v>64</v>
      </c>
      <c r="N85" s="340" t="s">
        <v>65</v>
      </c>
      <c r="O85" s="340" t="s">
        <v>64</v>
      </c>
      <c r="P85" s="341">
        <v>43789</v>
      </c>
      <c r="Q85" s="341">
        <v>45681</v>
      </c>
      <c r="R85" s="347" t="b">
        <f t="shared" si="3"/>
        <v>0</v>
      </c>
      <c r="S85" s="347" t="str">
        <f t="shared" si="2"/>
        <v>change</v>
      </c>
      <c r="T85" s="342" t="s">
        <v>56</v>
      </c>
      <c r="U85" s="342" t="s">
        <v>839</v>
      </c>
      <c r="V85" s="342" t="s">
        <v>840</v>
      </c>
      <c r="W85" s="342" t="s">
        <v>841</v>
      </c>
      <c r="X85" s="342" t="s">
        <v>69</v>
      </c>
      <c r="Y85" s="349" t="s">
        <v>842</v>
      </c>
      <c r="Z85" s="342" t="s">
        <v>71</v>
      </c>
      <c r="AA85" s="342" t="s">
        <v>72</v>
      </c>
      <c r="AB85" s="342" t="s">
        <v>73</v>
      </c>
      <c r="AC85" s="342" t="s">
        <v>74</v>
      </c>
      <c r="AD85" s="342"/>
      <c r="AE85" s="342" t="s">
        <v>843</v>
      </c>
      <c r="AF85" s="349" t="s">
        <v>3771</v>
      </c>
      <c r="AG85" s="342" t="s">
        <v>74</v>
      </c>
      <c r="AH85" s="342" t="s">
        <v>76</v>
      </c>
      <c r="AI85" s="342" t="s">
        <v>74</v>
      </c>
      <c r="AJ85" s="342" t="s">
        <v>77</v>
      </c>
      <c r="AK85" s="342" t="s">
        <v>97</v>
      </c>
      <c r="AL85" s="342" t="s">
        <v>79</v>
      </c>
      <c r="AM85" s="342" t="s">
        <v>74</v>
      </c>
      <c r="AN85" s="342"/>
      <c r="AO85" s="342" t="s">
        <v>844</v>
      </c>
      <c r="AP85" s="342" t="s">
        <v>81</v>
      </c>
      <c r="AQ85" s="349" t="s">
        <v>222</v>
      </c>
      <c r="AR85" s="342" t="s">
        <v>83</v>
      </c>
      <c r="AS85" s="342" t="s">
        <v>84</v>
      </c>
      <c r="AT85" s="342" t="s">
        <v>45</v>
      </c>
      <c r="AU85" s="342" t="s">
        <v>85</v>
      </c>
      <c r="AV85" s="342"/>
      <c r="AW85" s="342"/>
      <c r="AX85" s="343" t="str">
        <f>IF(OR(Tableau3[[#This Row],[Option GTR]]&lt;&gt;"",Tableau3[[#This Row],[GTR spécifique]]&lt;&gt;""),"GTRS1","GTRS2")</f>
        <v>GTRS2</v>
      </c>
      <c r="AY85" s="342" t="s">
        <v>143</v>
      </c>
      <c r="AZ85" s="342"/>
      <c r="BA85" s="342" t="s">
        <v>845</v>
      </c>
    </row>
    <row r="86" spans="1:53" s="326" customFormat="1" ht="18.149999999999999" customHeight="1" x14ac:dyDescent="0.3">
      <c r="A86" s="340" t="s">
        <v>53</v>
      </c>
      <c r="B86" s="340" t="s">
        <v>54</v>
      </c>
      <c r="C86" s="340" t="s">
        <v>55</v>
      </c>
      <c r="D86" s="340" t="s">
        <v>56</v>
      </c>
      <c r="E86" s="340" t="s">
        <v>57</v>
      </c>
      <c r="F86" s="340" t="s">
        <v>58</v>
      </c>
      <c r="G86" s="340" t="s">
        <v>59</v>
      </c>
      <c r="H86" s="340" t="s">
        <v>846</v>
      </c>
      <c r="I86" s="340" t="s">
        <v>61</v>
      </c>
      <c r="J86" s="340" t="s">
        <v>847</v>
      </c>
      <c r="K86" s="340" t="s">
        <v>848</v>
      </c>
      <c r="L86" s="345" t="str">
        <f>VLOOKUP(K86,'20260309 suivi sites'!F:F,1,0)</f>
        <v>38SINA011AOB</v>
      </c>
      <c r="M86" s="340" t="s">
        <v>64</v>
      </c>
      <c r="N86" s="340" t="s">
        <v>65</v>
      </c>
      <c r="O86" s="340" t="s">
        <v>64</v>
      </c>
      <c r="P86" s="341">
        <v>43368</v>
      </c>
      <c r="Q86" s="341">
        <v>43915</v>
      </c>
      <c r="R86" s="347" t="b">
        <f t="shared" si="3"/>
        <v>0</v>
      </c>
      <c r="S86" s="347" t="str">
        <f t="shared" si="2"/>
        <v>change</v>
      </c>
      <c r="T86" s="342" t="s">
        <v>56</v>
      </c>
      <c r="U86" s="342" t="s">
        <v>849</v>
      </c>
      <c r="V86" s="342" t="s">
        <v>850</v>
      </c>
      <c r="W86" s="342" t="s">
        <v>851</v>
      </c>
      <c r="X86" s="342" t="s">
        <v>69</v>
      </c>
      <c r="Y86" s="349" t="s">
        <v>852</v>
      </c>
      <c r="Z86" s="342" t="s">
        <v>71</v>
      </c>
      <c r="AA86" s="342" t="s">
        <v>218</v>
      </c>
      <c r="AB86" s="342" t="s">
        <v>152</v>
      </c>
      <c r="AC86" s="342" t="s">
        <v>74</v>
      </c>
      <c r="AD86" s="342"/>
      <c r="AE86" s="342" t="s">
        <v>853</v>
      </c>
      <c r="AF86" s="349" t="s">
        <v>3775</v>
      </c>
      <c r="AG86" s="342" t="s">
        <v>74</v>
      </c>
      <c r="AH86" s="342" t="s">
        <v>74</v>
      </c>
      <c r="AI86" s="342" t="s">
        <v>74</v>
      </c>
      <c r="AJ86" s="342" t="s">
        <v>77</v>
      </c>
      <c r="AK86" s="342" t="s">
        <v>97</v>
      </c>
      <c r="AL86" s="342" t="s">
        <v>79</v>
      </c>
      <c r="AM86" s="342" t="s">
        <v>74</v>
      </c>
      <c r="AN86" s="342"/>
      <c r="AO86" s="342" t="s">
        <v>854</v>
      </c>
      <c r="AP86" s="342" t="s">
        <v>81</v>
      </c>
      <c r="AQ86" s="349" t="s">
        <v>822</v>
      </c>
      <c r="AR86" s="342" t="s">
        <v>83</v>
      </c>
      <c r="AS86" s="342" t="s">
        <v>84</v>
      </c>
      <c r="AT86" s="342" t="s">
        <v>45</v>
      </c>
      <c r="AU86" s="342" t="s">
        <v>85</v>
      </c>
      <c r="AV86" s="342"/>
      <c r="AW86" s="342"/>
      <c r="AX86" s="343" t="str">
        <f>IF(OR(Tableau3[[#This Row],[Option GTR]]&lt;&gt;"",Tableau3[[#This Row],[GTR spécifique]]&lt;&gt;""),"GTRS1","GTRS2")</f>
        <v>GTRS2</v>
      </c>
      <c r="AY86" s="342" t="s">
        <v>738</v>
      </c>
      <c r="AZ86" s="342"/>
      <c r="BA86" s="342" t="s">
        <v>855</v>
      </c>
    </row>
    <row r="87" spans="1:53" s="326" customFormat="1" ht="18.149999999999999" customHeight="1" x14ac:dyDescent="0.3">
      <c r="A87" s="340" t="s">
        <v>53</v>
      </c>
      <c r="B87" s="340" t="s">
        <v>54</v>
      </c>
      <c r="C87" s="340" t="s">
        <v>55</v>
      </c>
      <c r="D87" s="340" t="s">
        <v>56</v>
      </c>
      <c r="E87" s="340" t="s">
        <v>57</v>
      </c>
      <c r="F87" s="340" t="s">
        <v>58</v>
      </c>
      <c r="G87" s="340" t="s">
        <v>59</v>
      </c>
      <c r="H87" s="340" t="s">
        <v>846</v>
      </c>
      <c r="I87" s="340" t="s">
        <v>61</v>
      </c>
      <c r="J87" s="340" t="s">
        <v>863</v>
      </c>
      <c r="K87" s="340" t="s">
        <v>864</v>
      </c>
      <c r="L87" s="345" t="str">
        <f>VLOOKUP(K87,'20260309 suivi sites'!F:F,1,0)</f>
        <v>59SEQU011AOG</v>
      </c>
      <c r="M87" s="340" t="s">
        <v>64</v>
      </c>
      <c r="N87" s="340" t="s">
        <v>65</v>
      </c>
      <c r="O87" s="340" t="s">
        <v>64</v>
      </c>
      <c r="P87" s="341">
        <v>44159</v>
      </c>
      <c r="Q87" s="341">
        <v>44159</v>
      </c>
      <c r="R87" s="347" t="b">
        <f t="shared" si="3"/>
        <v>1</v>
      </c>
      <c r="S87" s="347" t="str">
        <f t="shared" si="2"/>
        <v>création</v>
      </c>
      <c r="T87" s="342" t="s">
        <v>56</v>
      </c>
      <c r="U87" s="342" t="s">
        <v>865</v>
      </c>
      <c r="V87" s="342" t="s">
        <v>866</v>
      </c>
      <c r="W87" s="342" t="s">
        <v>867</v>
      </c>
      <c r="X87" s="342" t="s">
        <v>69</v>
      </c>
      <c r="Y87" s="349" t="s">
        <v>868</v>
      </c>
      <c r="Z87" s="342" t="s">
        <v>71</v>
      </c>
      <c r="AA87" s="342" t="s">
        <v>72</v>
      </c>
      <c r="AB87" s="342" t="s">
        <v>73</v>
      </c>
      <c r="AC87" s="342" t="s">
        <v>74</v>
      </c>
      <c r="AD87" s="342"/>
      <c r="AE87" s="342" t="s">
        <v>869</v>
      </c>
      <c r="AF87" s="349" t="s">
        <v>3764</v>
      </c>
      <c r="AG87" s="342" t="s">
        <v>74</v>
      </c>
      <c r="AH87" s="342" t="s">
        <v>76</v>
      </c>
      <c r="AI87" s="342" t="s">
        <v>74</v>
      </c>
      <c r="AJ87" s="342" t="s">
        <v>77</v>
      </c>
      <c r="AK87" s="342" t="s">
        <v>97</v>
      </c>
      <c r="AL87" s="342" t="s">
        <v>79</v>
      </c>
      <c r="AM87" s="342" t="s">
        <v>74</v>
      </c>
      <c r="AN87" s="342"/>
      <c r="AO87" s="342" t="s">
        <v>870</v>
      </c>
      <c r="AP87" s="342" t="s">
        <v>81</v>
      </c>
      <c r="AQ87" s="349" t="s">
        <v>99</v>
      </c>
      <c r="AR87" s="342" t="s">
        <v>83</v>
      </c>
      <c r="AS87" s="342" t="s">
        <v>84</v>
      </c>
      <c r="AT87" s="342" t="s">
        <v>45</v>
      </c>
      <c r="AU87" s="342" t="s">
        <v>85</v>
      </c>
      <c r="AV87" s="342" t="s">
        <v>120</v>
      </c>
      <c r="AW87" s="342"/>
      <c r="AX87" s="343" t="str">
        <f>IF(OR(Tableau3[[#This Row],[Option GTR]]&lt;&gt;"",Tableau3[[#This Row],[GTR spécifique]]&lt;&gt;""),"GTRS1","GTRS2")</f>
        <v>GTRS1</v>
      </c>
      <c r="AY87" s="342" t="s">
        <v>86</v>
      </c>
      <c r="AZ87" s="342"/>
      <c r="BA87" s="344" t="s">
        <v>871</v>
      </c>
    </row>
    <row r="88" spans="1:53" s="326" customFormat="1" ht="18.149999999999999" customHeight="1" x14ac:dyDescent="0.3">
      <c r="A88" s="340" t="s">
        <v>53</v>
      </c>
      <c r="B88" s="340" t="s">
        <v>54</v>
      </c>
      <c r="C88" s="340" t="s">
        <v>55</v>
      </c>
      <c r="D88" s="340" t="s">
        <v>56</v>
      </c>
      <c r="E88" s="340" t="s">
        <v>57</v>
      </c>
      <c r="F88" s="340" t="s">
        <v>58</v>
      </c>
      <c r="G88" s="340" t="s">
        <v>59</v>
      </c>
      <c r="H88" s="340" t="s">
        <v>846</v>
      </c>
      <c r="I88" s="340" t="s">
        <v>61</v>
      </c>
      <c r="J88" s="340" t="s">
        <v>872</v>
      </c>
      <c r="K88" s="340" t="s">
        <v>873</v>
      </c>
      <c r="L88" s="345" t="str">
        <f>VLOOKUP(K88,'20260309 suivi sites'!F:F,1,0)</f>
        <v>76ROUE031AOP</v>
      </c>
      <c r="M88" s="340" t="s">
        <v>64</v>
      </c>
      <c r="N88" s="340" t="s">
        <v>65</v>
      </c>
      <c r="O88" s="340" t="s">
        <v>64</v>
      </c>
      <c r="P88" s="341">
        <v>43707</v>
      </c>
      <c r="Q88" s="341">
        <v>43707</v>
      </c>
      <c r="R88" s="347" t="b">
        <f t="shared" si="3"/>
        <v>1</v>
      </c>
      <c r="S88" s="347" t="str">
        <f t="shared" si="2"/>
        <v>création</v>
      </c>
      <c r="T88" s="342" t="s">
        <v>56</v>
      </c>
      <c r="U88" s="342" t="s">
        <v>874</v>
      </c>
      <c r="V88" s="342" t="s">
        <v>875</v>
      </c>
      <c r="W88" s="342" t="s">
        <v>876</v>
      </c>
      <c r="X88" s="342" t="s">
        <v>69</v>
      </c>
      <c r="Y88" s="349" t="s">
        <v>877</v>
      </c>
      <c r="Z88" s="342" t="s">
        <v>71</v>
      </c>
      <c r="AA88" s="342" t="s">
        <v>72</v>
      </c>
      <c r="AB88" s="342" t="s">
        <v>73</v>
      </c>
      <c r="AC88" s="342" t="s">
        <v>74</v>
      </c>
      <c r="AD88" s="342"/>
      <c r="AE88" s="342" t="s">
        <v>878</v>
      </c>
      <c r="AF88" s="349" t="s">
        <v>3769</v>
      </c>
      <c r="AG88" s="342" t="s">
        <v>74</v>
      </c>
      <c r="AH88" s="342" t="s">
        <v>76</v>
      </c>
      <c r="AI88" s="342" t="s">
        <v>74</v>
      </c>
      <c r="AJ88" s="342" t="s">
        <v>77</v>
      </c>
      <c r="AK88" s="342" t="s">
        <v>78</v>
      </c>
      <c r="AL88" s="342" t="s">
        <v>79</v>
      </c>
      <c r="AM88" s="342" t="s">
        <v>166</v>
      </c>
      <c r="AN88" s="342" t="s">
        <v>879</v>
      </c>
      <c r="AO88" s="342" t="s">
        <v>880</v>
      </c>
      <c r="AP88" s="342" t="s">
        <v>81</v>
      </c>
      <c r="AQ88" s="349" t="s">
        <v>200</v>
      </c>
      <c r="AR88" s="342" t="s">
        <v>83</v>
      </c>
      <c r="AS88" s="342" t="s">
        <v>84</v>
      </c>
      <c r="AT88" s="342" t="s">
        <v>45</v>
      </c>
      <c r="AU88" s="342" t="s">
        <v>85</v>
      </c>
      <c r="AV88" s="342" t="s">
        <v>120</v>
      </c>
      <c r="AW88" s="342"/>
      <c r="AX88" s="343" t="str">
        <f>IF(OR(Tableau3[[#This Row],[Option GTR]]&lt;&gt;"",Tableau3[[#This Row],[GTR spécifique]]&lt;&gt;""),"GTRS1","GTRS2")</f>
        <v>GTRS1</v>
      </c>
      <c r="AY88" s="342" t="s">
        <v>86</v>
      </c>
      <c r="AZ88" s="342" t="s">
        <v>881</v>
      </c>
      <c r="BA88" s="344" t="s">
        <v>882</v>
      </c>
    </row>
    <row r="89" spans="1:53" s="326" customFormat="1" ht="18.149999999999999" customHeight="1" x14ac:dyDescent="0.3">
      <c r="A89" s="340" t="s">
        <v>53</v>
      </c>
      <c r="B89" s="340" t="s">
        <v>54</v>
      </c>
      <c r="C89" s="340" t="s">
        <v>55</v>
      </c>
      <c r="D89" s="340" t="s">
        <v>56</v>
      </c>
      <c r="E89" s="340" t="s">
        <v>57</v>
      </c>
      <c r="F89" s="340" t="s">
        <v>58</v>
      </c>
      <c r="G89" s="340" t="s">
        <v>59</v>
      </c>
      <c r="H89" s="340" t="s">
        <v>846</v>
      </c>
      <c r="I89" s="340" t="s">
        <v>61</v>
      </c>
      <c r="J89" s="340" t="s">
        <v>883</v>
      </c>
      <c r="K89" s="340" t="s">
        <v>884</v>
      </c>
      <c r="L89" s="345" t="str">
        <f>VLOOKUP(K89,'20260309 suivi sites'!F:F,1,0)</f>
        <v>78PORC011AOB</v>
      </c>
      <c r="M89" s="340" t="s">
        <v>64</v>
      </c>
      <c r="N89" s="340" t="s">
        <v>65</v>
      </c>
      <c r="O89" s="340" t="s">
        <v>64</v>
      </c>
      <c r="P89" s="341">
        <v>43815</v>
      </c>
      <c r="Q89" s="341">
        <v>43931</v>
      </c>
      <c r="R89" s="347" t="b">
        <f t="shared" si="3"/>
        <v>0</v>
      </c>
      <c r="S89" s="347" t="str">
        <f t="shared" si="2"/>
        <v>change</v>
      </c>
      <c r="T89" s="342" t="s">
        <v>56</v>
      </c>
      <c r="U89" s="342" t="s">
        <v>885</v>
      </c>
      <c r="V89" s="342" t="s">
        <v>886</v>
      </c>
      <c r="W89" s="342" t="s">
        <v>887</v>
      </c>
      <c r="X89" s="342" t="s">
        <v>69</v>
      </c>
      <c r="Y89" s="349" t="s">
        <v>888</v>
      </c>
      <c r="Z89" s="342" t="s">
        <v>71</v>
      </c>
      <c r="AA89" s="342" t="s">
        <v>218</v>
      </c>
      <c r="AB89" s="342" t="s">
        <v>152</v>
      </c>
      <c r="AC89" s="342" t="s">
        <v>74</v>
      </c>
      <c r="AD89" s="342"/>
      <c r="AE89" s="342" t="s">
        <v>889</v>
      </c>
      <c r="AF89" s="349" t="s">
        <v>3766</v>
      </c>
      <c r="AG89" s="342" t="s">
        <v>74</v>
      </c>
      <c r="AH89" s="342" t="s">
        <v>76</v>
      </c>
      <c r="AI89" s="342" t="s">
        <v>74</v>
      </c>
      <c r="AJ89" s="342" t="s">
        <v>77</v>
      </c>
      <c r="AK89" s="342" t="s">
        <v>97</v>
      </c>
      <c r="AL89" s="342" t="s">
        <v>79</v>
      </c>
      <c r="AM89" s="342" t="s">
        <v>74</v>
      </c>
      <c r="AN89" s="342"/>
      <c r="AO89" s="342" t="s">
        <v>890</v>
      </c>
      <c r="AP89" s="342" t="s">
        <v>81</v>
      </c>
      <c r="AQ89" s="349" t="s">
        <v>142</v>
      </c>
      <c r="AR89" s="342" t="s">
        <v>83</v>
      </c>
      <c r="AS89" s="342" t="s">
        <v>84</v>
      </c>
      <c r="AT89" s="342" t="s">
        <v>45</v>
      </c>
      <c r="AU89" s="342" t="s">
        <v>85</v>
      </c>
      <c r="AV89" s="342"/>
      <c r="AW89" s="342"/>
      <c r="AX89" s="343" t="str">
        <f>IF(OR(Tableau3[[#This Row],[Option GTR]]&lt;&gt;"",Tableau3[[#This Row],[GTR spécifique]]&lt;&gt;""),"GTRS1","GTRS2")</f>
        <v>GTRS2</v>
      </c>
      <c r="AY89" s="342" t="s">
        <v>355</v>
      </c>
      <c r="AZ89" s="342"/>
      <c r="BA89" s="342" t="s">
        <v>891</v>
      </c>
    </row>
    <row r="90" spans="1:53" s="326" customFormat="1" ht="18.149999999999999" customHeight="1" x14ac:dyDescent="0.3">
      <c r="A90" s="340" t="s">
        <v>53</v>
      </c>
      <c r="B90" s="340" t="s">
        <v>54</v>
      </c>
      <c r="C90" s="340" t="s">
        <v>55</v>
      </c>
      <c r="D90" s="340" t="s">
        <v>56</v>
      </c>
      <c r="E90" s="340" t="s">
        <v>57</v>
      </c>
      <c r="F90" s="340" t="s">
        <v>58</v>
      </c>
      <c r="G90" s="340" t="s">
        <v>59</v>
      </c>
      <c r="H90" s="340" t="s">
        <v>846</v>
      </c>
      <c r="I90" s="340" t="s">
        <v>61</v>
      </c>
      <c r="J90" s="340" t="s">
        <v>892</v>
      </c>
      <c r="K90" s="340" t="s">
        <v>893</v>
      </c>
      <c r="L90" s="345" t="str">
        <f>VLOOKUP(K90,'20260309 suivi sites'!F:F,1,0)</f>
        <v>91PALA011AOP</v>
      </c>
      <c r="M90" s="340" t="s">
        <v>64</v>
      </c>
      <c r="N90" s="340" t="s">
        <v>65</v>
      </c>
      <c r="O90" s="340" t="s">
        <v>64</v>
      </c>
      <c r="P90" s="341">
        <v>43795</v>
      </c>
      <c r="Q90" s="341">
        <v>43795</v>
      </c>
      <c r="R90" s="347" t="b">
        <f t="shared" si="3"/>
        <v>1</v>
      </c>
      <c r="S90" s="347" t="str">
        <f t="shared" si="2"/>
        <v>création</v>
      </c>
      <c r="T90" s="342" t="s">
        <v>56</v>
      </c>
      <c r="U90" s="342" t="s">
        <v>894</v>
      </c>
      <c r="V90" s="342" t="s">
        <v>895</v>
      </c>
      <c r="W90" s="342" t="s">
        <v>896</v>
      </c>
      <c r="X90" s="342" t="s">
        <v>69</v>
      </c>
      <c r="Y90" s="349" t="s">
        <v>897</v>
      </c>
      <c r="Z90" s="342" t="s">
        <v>71</v>
      </c>
      <c r="AA90" s="342" t="s">
        <v>72</v>
      </c>
      <c r="AB90" s="342" t="s">
        <v>73</v>
      </c>
      <c r="AC90" s="342" t="s">
        <v>74</v>
      </c>
      <c r="AD90" s="342"/>
      <c r="AE90" s="342" t="s">
        <v>898</v>
      </c>
      <c r="AF90" s="349" t="s">
        <v>3769</v>
      </c>
      <c r="AG90" s="342" t="s">
        <v>74</v>
      </c>
      <c r="AH90" s="342" t="s">
        <v>76</v>
      </c>
      <c r="AI90" s="342" t="s">
        <v>74</v>
      </c>
      <c r="AJ90" s="342" t="s">
        <v>77</v>
      </c>
      <c r="AK90" s="342" t="s">
        <v>78</v>
      </c>
      <c r="AL90" s="342" t="s">
        <v>79</v>
      </c>
      <c r="AM90" s="342" t="s">
        <v>166</v>
      </c>
      <c r="AN90" s="342" t="s">
        <v>899</v>
      </c>
      <c r="AO90" s="342" t="s">
        <v>900</v>
      </c>
      <c r="AP90" s="342" t="s">
        <v>81</v>
      </c>
      <c r="AQ90" s="349" t="s">
        <v>200</v>
      </c>
      <c r="AR90" s="342" t="s">
        <v>83</v>
      </c>
      <c r="AS90" s="342" t="s">
        <v>84</v>
      </c>
      <c r="AT90" s="342" t="s">
        <v>45</v>
      </c>
      <c r="AU90" s="342" t="s">
        <v>85</v>
      </c>
      <c r="AV90" s="342" t="s">
        <v>120</v>
      </c>
      <c r="AW90" s="342"/>
      <c r="AX90" s="343" t="str">
        <f>IF(OR(Tableau3[[#This Row],[Option GTR]]&lt;&gt;"",Tableau3[[#This Row],[GTR spécifique]]&lt;&gt;""),"GTRS1","GTRS2")</f>
        <v>GTRS1</v>
      </c>
      <c r="AY90" s="342" t="s">
        <v>86</v>
      </c>
      <c r="AZ90" s="342"/>
      <c r="BA90" s="344" t="s">
        <v>901</v>
      </c>
    </row>
    <row r="91" spans="1:53" s="326" customFormat="1" ht="18.149999999999999" customHeight="1" x14ac:dyDescent="0.3">
      <c r="A91" s="340" t="s">
        <v>53</v>
      </c>
      <c r="B91" s="340" t="s">
        <v>54</v>
      </c>
      <c r="C91" s="340" t="s">
        <v>55</v>
      </c>
      <c r="D91" s="340" t="s">
        <v>56</v>
      </c>
      <c r="E91" s="340" t="s">
        <v>57</v>
      </c>
      <c r="F91" s="340" t="s">
        <v>58</v>
      </c>
      <c r="G91" s="340" t="s">
        <v>59</v>
      </c>
      <c r="H91" s="340" t="s">
        <v>846</v>
      </c>
      <c r="I91" s="340" t="s">
        <v>61</v>
      </c>
      <c r="J91" s="340" t="s">
        <v>902</v>
      </c>
      <c r="K91" s="340" t="s">
        <v>903</v>
      </c>
      <c r="L91" s="345" t="str">
        <f>VLOOKUP(K91,'20260309 suivi sites'!F:F,1,0)</f>
        <v>34PREM011AOB</v>
      </c>
      <c r="M91" s="340" t="s">
        <v>64</v>
      </c>
      <c r="N91" s="340" t="s">
        <v>65</v>
      </c>
      <c r="O91" s="340" t="s">
        <v>64</v>
      </c>
      <c r="P91" s="341">
        <v>43623</v>
      </c>
      <c r="Q91" s="341">
        <v>43915</v>
      </c>
      <c r="R91" s="347" t="b">
        <f t="shared" si="3"/>
        <v>0</v>
      </c>
      <c r="S91" s="347" t="str">
        <f t="shared" si="2"/>
        <v>change</v>
      </c>
      <c r="T91" s="342" t="s">
        <v>56</v>
      </c>
      <c r="U91" s="342" t="s">
        <v>904</v>
      </c>
      <c r="V91" s="342" t="s">
        <v>905</v>
      </c>
      <c r="W91" s="342" t="s">
        <v>906</v>
      </c>
      <c r="X91" s="342" t="s">
        <v>69</v>
      </c>
      <c r="Y91" s="349" t="s">
        <v>907</v>
      </c>
      <c r="Z91" s="342" t="s">
        <v>71</v>
      </c>
      <c r="AA91" s="342" t="s">
        <v>218</v>
      </c>
      <c r="AB91" s="342" t="s">
        <v>152</v>
      </c>
      <c r="AC91" s="342" t="s">
        <v>74</v>
      </c>
      <c r="AD91" s="342"/>
      <c r="AE91" s="342" t="s">
        <v>908</v>
      </c>
      <c r="AF91" s="349" t="s">
        <v>3773</v>
      </c>
      <c r="AG91" s="342" t="s">
        <v>74</v>
      </c>
      <c r="AH91" s="342" t="s">
        <v>74</v>
      </c>
      <c r="AI91" s="342" t="s">
        <v>74</v>
      </c>
      <c r="AJ91" s="342" t="s">
        <v>77</v>
      </c>
      <c r="AK91" s="342" t="s">
        <v>97</v>
      </c>
      <c r="AL91" s="342" t="s">
        <v>79</v>
      </c>
      <c r="AM91" s="342" t="s">
        <v>74</v>
      </c>
      <c r="AN91" s="342"/>
      <c r="AO91" s="342" t="s">
        <v>909</v>
      </c>
      <c r="AP91" s="342" t="s">
        <v>81</v>
      </c>
      <c r="AQ91" s="349" t="s">
        <v>748</v>
      </c>
      <c r="AR91" s="342" t="s">
        <v>83</v>
      </c>
      <c r="AS91" s="342" t="s">
        <v>84</v>
      </c>
      <c r="AT91" s="342" t="s">
        <v>45</v>
      </c>
      <c r="AU91" s="342" t="s">
        <v>85</v>
      </c>
      <c r="AV91" s="342"/>
      <c r="AW91" s="342"/>
      <c r="AX91" s="343" t="str">
        <f>IF(OR(Tableau3[[#This Row],[Option GTR]]&lt;&gt;"",Tableau3[[#This Row],[GTR spécifique]]&lt;&gt;""),"GTRS1","GTRS2")</f>
        <v>GTRS2</v>
      </c>
      <c r="AY91" s="342" t="s">
        <v>738</v>
      </c>
      <c r="AZ91" s="342"/>
      <c r="BA91" s="342" t="s">
        <v>855</v>
      </c>
    </row>
    <row r="92" spans="1:53" s="326" customFormat="1" ht="18.149999999999999" customHeight="1" x14ac:dyDescent="0.3">
      <c r="A92" s="340" t="s">
        <v>53</v>
      </c>
      <c r="B92" s="340" t="s">
        <v>54</v>
      </c>
      <c r="C92" s="340" t="s">
        <v>55</v>
      </c>
      <c r="D92" s="340" t="s">
        <v>56</v>
      </c>
      <c r="E92" s="340" t="s">
        <v>57</v>
      </c>
      <c r="F92" s="340" t="s">
        <v>58</v>
      </c>
      <c r="G92" s="340" t="s">
        <v>59</v>
      </c>
      <c r="H92" s="340" t="s">
        <v>846</v>
      </c>
      <c r="I92" s="340" t="s">
        <v>61</v>
      </c>
      <c r="J92" s="340" t="s">
        <v>910</v>
      </c>
      <c r="K92" s="340" t="s">
        <v>911</v>
      </c>
      <c r="L92" s="345" t="str">
        <f>VLOOKUP(K92,'20260309 suivi sites'!F:F,1,0)</f>
        <v>52CHAU021AOB</v>
      </c>
      <c r="M92" s="340" t="s">
        <v>64</v>
      </c>
      <c r="N92" s="340" t="s">
        <v>65</v>
      </c>
      <c r="O92" s="340" t="s">
        <v>64</v>
      </c>
      <c r="P92" s="341">
        <v>43550</v>
      </c>
      <c r="Q92" s="341">
        <v>43917</v>
      </c>
      <c r="R92" s="347" t="b">
        <f t="shared" si="3"/>
        <v>0</v>
      </c>
      <c r="S92" s="347" t="str">
        <f t="shared" si="2"/>
        <v>change</v>
      </c>
      <c r="T92" s="342" t="s">
        <v>56</v>
      </c>
      <c r="U92" s="342" t="s">
        <v>912</v>
      </c>
      <c r="V92" s="342" t="s">
        <v>913</v>
      </c>
      <c r="W92" s="342" t="s">
        <v>914</v>
      </c>
      <c r="X92" s="342" t="s">
        <v>69</v>
      </c>
      <c r="Y92" s="349" t="s">
        <v>915</v>
      </c>
      <c r="Z92" s="342" t="s">
        <v>71</v>
      </c>
      <c r="AA92" s="342" t="s">
        <v>218</v>
      </c>
      <c r="AB92" s="342" t="s">
        <v>152</v>
      </c>
      <c r="AC92" s="342" t="s">
        <v>74</v>
      </c>
      <c r="AD92" s="342"/>
      <c r="AE92" s="342" t="s">
        <v>916</v>
      </c>
      <c r="AF92" s="349" t="s">
        <v>3775</v>
      </c>
      <c r="AG92" s="342" t="s">
        <v>74</v>
      </c>
      <c r="AH92" s="342" t="s">
        <v>74</v>
      </c>
      <c r="AI92" s="342" t="s">
        <v>74</v>
      </c>
      <c r="AJ92" s="342" t="s">
        <v>77</v>
      </c>
      <c r="AK92" s="342" t="s">
        <v>97</v>
      </c>
      <c r="AL92" s="342" t="s">
        <v>79</v>
      </c>
      <c r="AM92" s="342" t="s">
        <v>74</v>
      </c>
      <c r="AN92" s="342"/>
      <c r="AO92" s="342" t="s">
        <v>917</v>
      </c>
      <c r="AP92" s="342" t="s">
        <v>81</v>
      </c>
      <c r="AQ92" s="349" t="s">
        <v>822</v>
      </c>
      <c r="AR92" s="342" t="s">
        <v>83</v>
      </c>
      <c r="AS92" s="342" t="s">
        <v>290</v>
      </c>
      <c r="AT92" s="342" t="s">
        <v>45</v>
      </c>
      <c r="AU92" s="342" t="s">
        <v>85</v>
      </c>
      <c r="AV92" s="342"/>
      <c r="AW92" s="342"/>
      <c r="AX92" s="343" t="str">
        <f>IF(OR(Tableau3[[#This Row],[Option GTR]]&lt;&gt;"",Tableau3[[#This Row],[GTR spécifique]]&lt;&gt;""),"GTRS1","GTRS2")</f>
        <v>GTRS2</v>
      </c>
      <c r="AY92" s="342" t="s">
        <v>355</v>
      </c>
      <c r="AZ92" s="342"/>
      <c r="BA92" s="342" t="s">
        <v>918</v>
      </c>
    </row>
    <row r="93" spans="1:53" s="326" customFormat="1" ht="18.149999999999999" customHeight="1" x14ac:dyDescent="0.3">
      <c r="A93" s="340" t="s">
        <v>53</v>
      </c>
      <c r="B93" s="340" t="s">
        <v>54</v>
      </c>
      <c r="C93" s="340" t="s">
        <v>55</v>
      </c>
      <c r="D93" s="340" t="s">
        <v>56</v>
      </c>
      <c r="E93" s="340" t="s">
        <v>57</v>
      </c>
      <c r="F93" s="340" t="s">
        <v>58</v>
      </c>
      <c r="G93" s="340" t="s">
        <v>59</v>
      </c>
      <c r="H93" s="340" t="s">
        <v>846</v>
      </c>
      <c r="I93" s="340" t="s">
        <v>61</v>
      </c>
      <c r="J93" s="340" t="s">
        <v>919</v>
      </c>
      <c r="K93" s="340" t="s">
        <v>920</v>
      </c>
      <c r="L93" s="345" t="str">
        <f>VLOOKUP(K93,'20260309 suivi sites'!F:F,1,0)</f>
        <v>74PASS011AOG</v>
      </c>
      <c r="M93" s="340" t="s">
        <v>64</v>
      </c>
      <c r="N93" s="340" t="s">
        <v>65</v>
      </c>
      <c r="O93" s="340" t="s">
        <v>64</v>
      </c>
      <c r="P93" s="341">
        <v>43503</v>
      </c>
      <c r="Q93" s="341">
        <v>43914</v>
      </c>
      <c r="R93" s="347" t="b">
        <f t="shared" si="3"/>
        <v>0</v>
      </c>
      <c r="S93" s="347" t="str">
        <f t="shared" si="2"/>
        <v>change</v>
      </c>
      <c r="T93" s="342" t="s">
        <v>56</v>
      </c>
      <c r="U93" s="342" t="s">
        <v>921</v>
      </c>
      <c r="V93" s="342" t="s">
        <v>922</v>
      </c>
      <c r="W93" s="342" t="s">
        <v>923</v>
      </c>
      <c r="X93" s="342" t="s">
        <v>69</v>
      </c>
      <c r="Y93" s="349" t="s">
        <v>924</v>
      </c>
      <c r="Z93" s="342" t="s">
        <v>71</v>
      </c>
      <c r="AA93" s="342" t="s">
        <v>72</v>
      </c>
      <c r="AB93" s="342" t="s">
        <v>73</v>
      </c>
      <c r="AC93" s="342" t="s">
        <v>74</v>
      </c>
      <c r="AD93" s="342"/>
      <c r="AE93" s="342" t="s">
        <v>925</v>
      </c>
      <c r="AF93" s="349" t="s">
        <v>3771</v>
      </c>
      <c r="AG93" s="342" t="s">
        <v>74</v>
      </c>
      <c r="AH93" s="342" t="s">
        <v>76</v>
      </c>
      <c r="AI93" s="342" t="s">
        <v>74</v>
      </c>
      <c r="AJ93" s="342" t="s">
        <v>77</v>
      </c>
      <c r="AK93" s="342" t="s">
        <v>97</v>
      </c>
      <c r="AL93" s="342" t="s">
        <v>79</v>
      </c>
      <c r="AM93" s="342" t="s">
        <v>74</v>
      </c>
      <c r="AN93" s="342"/>
      <c r="AO93" s="342" t="s">
        <v>926</v>
      </c>
      <c r="AP93" s="342" t="s">
        <v>81</v>
      </c>
      <c r="AQ93" s="349" t="s">
        <v>927</v>
      </c>
      <c r="AR93" s="342" t="s">
        <v>83</v>
      </c>
      <c r="AS93" s="342" t="s">
        <v>290</v>
      </c>
      <c r="AT93" s="342" t="s">
        <v>45</v>
      </c>
      <c r="AU93" s="342" t="s">
        <v>85</v>
      </c>
      <c r="AV93" s="342"/>
      <c r="AW93" s="342"/>
      <c r="AX93" s="343" t="str">
        <f>IF(OR(Tableau3[[#This Row],[Option GTR]]&lt;&gt;"",Tableau3[[#This Row],[GTR spécifique]]&lt;&gt;""),"GTRS1","GTRS2")</f>
        <v>GTRS2</v>
      </c>
      <c r="AY93" s="342" t="s">
        <v>143</v>
      </c>
      <c r="AZ93" s="342"/>
      <c r="BA93" s="342" t="s">
        <v>928</v>
      </c>
    </row>
    <row r="94" spans="1:53" s="326" customFormat="1" ht="18.149999999999999" customHeight="1" x14ac:dyDescent="0.3">
      <c r="A94" s="340" t="s">
        <v>53</v>
      </c>
      <c r="B94" s="340" t="s">
        <v>54</v>
      </c>
      <c r="C94" s="340" t="s">
        <v>55</v>
      </c>
      <c r="D94" s="340" t="s">
        <v>56</v>
      </c>
      <c r="E94" s="340" t="s">
        <v>57</v>
      </c>
      <c r="F94" s="340" t="s">
        <v>58</v>
      </c>
      <c r="G94" s="340" t="s">
        <v>59</v>
      </c>
      <c r="H94" s="340" t="s">
        <v>846</v>
      </c>
      <c r="I94" s="340" t="s">
        <v>61</v>
      </c>
      <c r="J94" s="340"/>
      <c r="K94" s="340"/>
      <c r="L94" s="345" t="e">
        <f>VLOOKUP(K94,'20260309 suivi sites'!F:F,1,0)</f>
        <v>#N/A</v>
      </c>
      <c r="M94" s="340" t="s">
        <v>64</v>
      </c>
      <c r="N94" s="340" t="s">
        <v>771</v>
      </c>
      <c r="O94" s="340" t="s">
        <v>64</v>
      </c>
      <c r="P94" s="341">
        <v>43115</v>
      </c>
      <c r="Q94" s="341">
        <v>43115</v>
      </c>
      <c r="R94" s="347" t="b">
        <f t="shared" si="3"/>
        <v>1</v>
      </c>
      <c r="S94" s="347" t="str">
        <f t="shared" si="2"/>
        <v>création</v>
      </c>
      <c r="T94" s="342"/>
      <c r="U94" s="342"/>
      <c r="V94" s="342"/>
      <c r="W94" s="342"/>
      <c r="X94" s="342"/>
      <c r="Y94" s="349" t="s">
        <v>88</v>
      </c>
      <c r="Z94" s="342" t="s">
        <v>929</v>
      </c>
      <c r="AA94" s="342" t="s">
        <v>930</v>
      </c>
      <c r="AB94" s="342"/>
      <c r="AC94" s="342"/>
      <c r="AD94" s="342"/>
      <c r="AE94" s="342"/>
      <c r="AF94" s="349"/>
      <c r="AG94" s="342"/>
      <c r="AH94" s="342"/>
      <c r="AI94" s="342"/>
      <c r="AJ94" s="342"/>
      <c r="AK94" s="342"/>
      <c r="AL94" s="342"/>
      <c r="AM94" s="342"/>
      <c r="AN94" s="342"/>
      <c r="AO94" s="342"/>
      <c r="AP94" s="342"/>
      <c r="AQ94" s="349"/>
      <c r="AR94" s="342"/>
      <c r="AS94" s="342"/>
      <c r="AT94" s="342"/>
      <c r="AU94" s="342"/>
      <c r="AV94" s="342"/>
      <c r="AW94" s="342"/>
      <c r="AX94" s="343" t="str">
        <f>IF(OR(Tableau3[[#This Row],[Option GTR]]&lt;&gt;"",Tableau3[[#This Row],[GTR spécifique]]&lt;&gt;""),"GTRS1","GTRS2")</f>
        <v>GTRS2</v>
      </c>
      <c r="AY94" s="342"/>
      <c r="AZ94" s="342"/>
      <c r="BA94" s="342" t="s">
        <v>931</v>
      </c>
    </row>
    <row r="95" spans="1:53" s="326" customFormat="1" ht="18.149999999999999" customHeight="1" x14ac:dyDescent="0.3">
      <c r="A95" s="340" t="s">
        <v>53</v>
      </c>
      <c r="B95" s="340" t="s">
        <v>54</v>
      </c>
      <c r="C95" s="340" t="s">
        <v>932</v>
      </c>
      <c r="D95" s="340" t="s">
        <v>56</v>
      </c>
      <c r="E95" s="340" t="s">
        <v>57</v>
      </c>
      <c r="F95" s="340" t="s">
        <v>58</v>
      </c>
      <c r="G95" s="340" t="s">
        <v>59</v>
      </c>
      <c r="H95" s="340" t="s">
        <v>60</v>
      </c>
      <c r="I95" s="340" t="s">
        <v>61</v>
      </c>
      <c r="J95" s="340" t="s">
        <v>933</v>
      </c>
      <c r="K95" s="340" t="s">
        <v>934</v>
      </c>
      <c r="L95" s="345" t="str">
        <f>VLOOKUP(K95,'20260309 suivi sites'!F:F,1,0)</f>
        <v>01STVU021AOB</v>
      </c>
      <c r="M95" s="340" t="s">
        <v>64</v>
      </c>
      <c r="N95" s="340" t="s">
        <v>65</v>
      </c>
      <c r="O95" s="340" t="s">
        <v>64</v>
      </c>
      <c r="P95" s="341">
        <v>43601</v>
      </c>
      <c r="Q95" s="341">
        <v>46055</v>
      </c>
      <c r="R95" s="347" t="b">
        <f t="shared" si="3"/>
        <v>0</v>
      </c>
      <c r="S95" s="347" t="str">
        <f t="shared" si="2"/>
        <v>change</v>
      </c>
      <c r="T95" s="342" t="s">
        <v>56</v>
      </c>
      <c r="U95" s="342" t="s">
        <v>935</v>
      </c>
      <c r="V95" s="342" t="s">
        <v>936</v>
      </c>
      <c r="W95" s="342" t="s">
        <v>937</v>
      </c>
      <c r="X95" s="342" t="s">
        <v>69</v>
      </c>
      <c r="Y95" s="349" t="s">
        <v>938</v>
      </c>
      <c r="Z95" s="342" t="s">
        <v>71</v>
      </c>
      <c r="AA95" s="342" t="s">
        <v>218</v>
      </c>
      <c r="AB95" s="342" t="s">
        <v>152</v>
      </c>
      <c r="AC95" s="342" t="s">
        <v>74</v>
      </c>
      <c r="AD95" s="342"/>
      <c r="AE95" s="342" t="s">
        <v>939</v>
      </c>
      <c r="AF95" s="349" t="s">
        <v>3764</v>
      </c>
      <c r="AG95" s="342" t="s">
        <v>74</v>
      </c>
      <c r="AH95" s="342" t="s">
        <v>76</v>
      </c>
      <c r="AI95" s="342" t="s">
        <v>74</v>
      </c>
      <c r="AJ95" s="342" t="s">
        <v>77</v>
      </c>
      <c r="AK95" s="342" t="s">
        <v>97</v>
      </c>
      <c r="AL95" s="342" t="s">
        <v>79</v>
      </c>
      <c r="AM95" s="342" t="s">
        <v>74</v>
      </c>
      <c r="AN95" s="342"/>
      <c r="AO95" s="342" t="s">
        <v>940</v>
      </c>
      <c r="AP95" s="342" t="s">
        <v>81</v>
      </c>
      <c r="AQ95" s="349" t="s">
        <v>99</v>
      </c>
      <c r="AR95" s="342" t="s">
        <v>83</v>
      </c>
      <c r="AS95" s="342" t="s">
        <v>84</v>
      </c>
      <c r="AT95" s="342" t="s">
        <v>45</v>
      </c>
      <c r="AU95" s="342" t="s">
        <v>85</v>
      </c>
      <c r="AV95" s="342"/>
      <c r="AW95" s="342"/>
      <c r="AX95" s="343" t="str">
        <f>IF(OR(Tableau3[[#This Row],[Option GTR]]&lt;&gt;"",Tableau3[[#This Row],[GTR spécifique]]&lt;&gt;""),"GTRS1","GTRS2")</f>
        <v>GTRS2</v>
      </c>
      <c r="AY95" s="342" t="s">
        <v>355</v>
      </c>
      <c r="AZ95" s="342"/>
      <c r="BA95" s="342" t="s">
        <v>3801</v>
      </c>
    </row>
    <row r="96" spans="1:53" s="326" customFormat="1" ht="18.149999999999999" customHeight="1" x14ac:dyDescent="0.3">
      <c r="A96" s="340" t="s">
        <v>53</v>
      </c>
      <c r="B96" s="340" t="s">
        <v>54</v>
      </c>
      <c r="C96" s="340" t="s">
        <v>932</v>
      </c>
      <c r="D96" s="340" t="s">
        <v>56</v>
      </c>
      <c r="E96" s="340" t="s">
        <v>57</v>
      </c>
      <c r="F96" s="340" t="s">
        <v>58</v>
      </c>
      <c r="G96" s="340" t="s">
        <v>59</v>
      </c>
      <c r="H96" s="340" t="s">
        <v>60</v>
      </c>
      <c r="I96" s="340" t="s">
        <v>61</v>
      </c>
      <c r="J96" s="340" t="s">
        <v>941</v>
      </c>
      <c r="K96" s="340" t="s">
        <v>942</v>
      </c>
      <c r="L96" s="345" t="str">
        <f>VLOOKUP(K96,'20260309 suivi sites'!F:F,1,0)</f>
        <v>07MONT011AOG</v>
      </c>
      <c r="M96" s="340" t="s">
        <v>64</v>
      </c>
      <c r="N96" s="340" t="s">
        <v>65</v>
      </c>
      <c r="O96" s="340" t="s">
        <v>64</v>
      </c>
      <c r="P96" s="341">
        <v>44377</v>
      </c>
      <c r="Q96" s="341">
        <v>45334</v>
      </c>
      <c r="R96" s="347" t="b">
        <f t="shared" si="3"/>
        <v>0</v>
      </c>
      <c r="S96" s="347" t="str">
        <f t="shared" si="2"/>
        <v>change</v>
      </c>
      <c r="T96" s="342" t="s">
        <v>56</v>
      </c>
      <c r="U96" s="342" t="s">
        <v>943</v>
      </c>
      <c r="V96" s="342" t="s">
        <v>944</v>
      </c>
      <c r="W96" s="342" t="s">
        <v>945</v>
      </c>
      <c r="X96" s="342" t="s">
        <v>69</v>
      </c>
      <c r="Y96" s="349" t="s">
        <v>946</v>
      </c>
      <c r="Z96" s="342" t="s">
        <v>71</v>
      </c>
      <c r="AA96" s="342" t="s">
        <v>72</v>
      </c>
      <c r="AB96" s="342" t="s">
        <v>73</v>
      </c>
      <c r="AC96" s="342" t="s">
        <v>74</v>
      </c>
      <c r="AD96" s="342"/>
      <c r="AE96" s="342" t="s">
        <v>947</v>
      </c>
      <c r="AF96" s="349" t="s">
        <v>3776</v>
      </c>
      <c r="AG96" s="342" t="s">
        <v>74</v>
      </c>
      <c r="AH96" s="342" t="s">
        <v>76</v>
      </c>
      <c r="AI96" s="342" t="s">
        <v>74</v>
      </c>
      <c r="AJ96" s="342" t="s">
        <v>77</v>
      </c>
      <c r="AK96" s="342" t="s">
        <v>97</v>
      </c>
      <c r="AL96" s="342" t="s">
        <v>79</v>
      </c>
      <c r="AM96" s="342" t="s">
        <v>74</v>
      </c>
      <c r="AN96" s="342"/>
      <c r="AO96" s="342" t="s">
        <v>948</v>
      </c>
      <c r="AP96" s="342" t="s">
        <v>81</v>
      </c>
      <c r="AQ96" s="349" t="s">
        <v>949</v>
      </c>
      <c r="AR96" s="342" t="s">
        <v>83</v>
      </c>
      <c r="AS96" s="342" t="s">
        <v>84</v>
      </c>
      <c r="AT96" s="342" t="s">
        <v>45</v>
      </c>
      <c r="AU96" s="342" t="s">
        <v>85</v>
      </c>
      <c r="AV96" s="342"/>
      <c r="AW96" s="342"/>
      <c r="AX96" s="343" t="str">
        <f>IF(OR(Tableau3[[#This Row],[Option GTR]]&lt;&gt;"",Tableau3[[#This Row],[GTR spécifique]]&lt;&gt;""),"GTRS1","GTRS2")</f>
        <v>GTRS2</v>
      </c>
      <c r="AY96" s="342" t="s">
        <v>143</v>
      </c>
      <c r="AZ96" s="342"/>
      <c r="BA96" s="342" t="s">
        <v>950</v>
      </c>
    </row>
    <row r="97" spans="1:53" s="326" customFormat="1" ht="18.149999999999999" customHeight="1" x14ac:dyDescent="0.3">
      <c r="A97" s="340" t="s">
        <v>53</v>
      </c>
      <c r="B97" s="340" t="s">
        <v>54</v>
      </c>
      <c r="C97" s="340" t="s">
        <v>932</v>
      </c>
      <c r="D97" s="340" t="s">
        <v>56</v>
      </c>
      <c r="E97" s="340" t="s">
        <v>57</v>
      </c>
      <c r="F97" s="340" t="s">
        <v>58</v>
      </c>
      <c r="G97" s="340" t="s">
        <v>59</v>
      </c>
      <c r="H97" s="340" t="s">
        <v>60</v>
      </c>
      <c r="I97" s="340" t="s">
        <v>61</v>
      </c>
      <c r="J97" s="340" t="s">
        <v>951</v>
      </c>
      <c r="K97" s="340" t="s">
        <v>952</v>
      </c>
      <c r="L97" s="345" t="str">
        <f>VLOOKUP(K97,'20260309 suivi sites'!F:F,1,0)</f>
        <v>09TARA011AOS</v>
      </c>
      <c r="M97" s="340" t="s">
        <v>64</v>
      </c>
      <c r="N97" s="340" t="s">
        <v>65</v>
      </c>
      <c r="O97" s="340" t="s">
        <v>64</v>
      </c>
      <c r="P97" s="341">
        <v>43816</v>
      </c>
      <c r="Q97" s="341">
        <v>45386</v>
      </c>
      <c r="R97" s="347" t="b">
        <f t="shared" si="3"/>
        <v>0</v>
      </c>
      <c r="S97" s="347" t="str">
        <f t="shared" si="2"/>
        <v>change</v>
      </c>
      <c r="T97" s="342" t="s">
        <v>56</v>
      </c>
      <c r="U97" s="342" t="s">
        <v>953</v>
      </c>
      <c r="V97" s="342" t="s">
        <v>954</v>
      </c>
      <c r="W97" s="342" t="s">
        <v>955</v>
      </c>
      <c r="X97" s="342" t="s">
        <v>69</v>
      </c>
      <c r="Y97" s="349" t="s">
        <v>956</v>
      </c>
      <c r="Z97" s="342" t="s">
        <v>71</v>
      </c>
      <c r="AA97" s="342" t="s">
        <v>72</v>
      </c>
      <c r="AB97" s="342" t="s">
        <v>73</v>
      </c>
      <c r="AC97" s="342" t="s">
        <v>74</v>
      </c>
      <c r="AD97" s="342"/>
      <c r="AE97" s="342" t="s">
        <v>957</v>
      </c>
      <c r="AF97" s="349" t="s">
        <v>3771</v>
      </c>
      <c r="AG97" s="342" t="s">
        <v>74</v>
      </c>
      <c r="AH97" s="342" t="s">
        <v>76</v>
      </c>
      <c r="AI97" s="342" t="s">
        <v>74</v>
      </c>
      <c r="AJ97" s="342" t="s">
        <v>77</v>
      </c>
      <c r="AK97" s="342" t="s">
        <v>97</v>
      </c>
      <c r="AL97" s="342" t="s">
        <v>79</v>
      </c>
      <c r="AM97" s="342" t="s">
        <v>74</v>
      </c>
      <c r="AN97" s="342"/>
      <c r="AO97" s="342" t="s">
        <v>958</v>
      </c>
      <c r="AP97" s="342" t="s">
        <v>81</v>
      </c>
      <c r="AQ97" s="349" t="s">
        <v>130</v>
      </c>
      <c r="AR97" s="342" t="s">
        <v>83</v>
      </c>
      <c r="AS97" s="342" t="s">
        <v>84</v>
      </c>
      <c r="AT97" s="342" t="s">
        <v>45</v>
      </c>
      <c r="AU97" s="342" t="s">
        <v>85</v>
      </c>
      <c r="AV97" s="342"/>
      <c r="AW97" s="342"/>
      <c r="AX97" s="343" t="str">
        <f>IF(OR(Tableau3[[#This Row],[Option GTR]]&lt;&gt;"",Tableau3[[#This Row],[GTR spécifique]]&lt;&gt;""),"GTRS1","GTRS2")</f>
        <v>GTRS2</v>
      </c>
      <c r="AY97" s="342" t="s">
        <v>143</v>
      </c>
      <c r="AZ97" s="342"/>
      <c r="BA97" s="342" t="s">
        <v>959</v>
      </c>
    </row>
    <row r="98" spans="1:53" s="326" customFormat="1" ht="18.149999999999999" customHeight="1" x14ac:dyDescent="0.3">
      <c r="A98" s="340" t="s">
        <v>53</v>
      </c>
      <c r="B98" s="340" t="s">
        <v>54</v>
      </c>
      <c r="C98" s="340" t="s">
        <v>932</v>
      </c>
      <c r="D98" s="340" t="s">
        <v>56</v>
      </c>
      <c r="E98" s="340" t="s">
        <v>57</v>
      </c>
      <c r="F98" s="340" t="s">
        <v>58</v>
      </c>
      <c r="G98" s="340" t="s">
        <v>59</v>
      </c>
      <c r="H98" s="340" t="s">
        <v>60</v>
      </c>
      <c r="I98" s="340" t="s">
        <v>61</v>
      </c>
      <c r="J98" s="340" t="s">
        <v>960</v>
      </c>
      <c r="K98" s="340" t="s">
        <v>961</v>
      </c>
      <c r="L98" s="345" t="str">
        <f>VLOOKUP(K98,'20260309 suivi sites'!F:F,1,0)</f>
        <v>10PONT011AOG</v>
      </c>
      <c r="M98" s="340" t="s">
        <v>64</v>
      </c>
      <c r="N98" s="340" t="s">
        <v>65</v>
      </c>
      <c r="O98" s="340" t="s">
        <v>1774</v>
      </c>
      <c r="P98" s="341">
        <v>43745</v>
      </c>
      <c r="Q98" s="341"/>
      <c r="R98" s="347" t="b">
        <f t="shared" si="3"/>
        <v>0</v>
      </c>
      <c r="S98" s="347" t="str">
        <f t="shared" si="2"/>
        <v>change</v>
      </c>
      <c r="T98" s="342" t="s">
        <v>56</v>
      </c>
      <c r="U98" s="342" t="s">
        <v>962</v>
      </c>
      <c r="V98" s="342" t="s">
        <v>963</v>
      </c>
      <c r="W98" s="342" t="s">
        <v>964</v>
      </c>
      <c r="X98" s="342" t="s">
        <v>69</v>
      </c>
      <c r="Y98" s="349" t="s">
        <v>965</v>
      </c>
      <c r="Z98" s="342" t="s">
        <v>71</v>
      </c>
      <c r="AA98" s="342" t="s">
        <v>72</v>
      </c>
      <c r="AB98" s="342" t="s">
        <v>73</v>
      </c>
      <c r="AC98" s="342" t="s">
        <v>74</v>
      </c>
      <c r="AD98" s="342"/>
      <c r="AE98" s="342" t="s">
        <v>966</v>
      </c>
      <c r="AF98" s="349" t="s">
        <v>279</v>
      </c>
      <c r="AG98" s="342" t="s">
        <v>74</v>
      </c>
      <c r="AH98" s="342" t="s">
        <v>76</v>
      </c>
      <c r="AI98" s="342" t="s">
        <v>74</v>
      </c>
      <c r="AJ98" s="342" t="s">
        <v>77</v>
      </c>
      <c r="AK98" s="342" t="s">
        <v>78</v>
      </c>
      <c r="AL98" s="342" t="s">
        <v>79</v>
      </c>
      <c r="AM98" s="342" t="s">
        <v>74</v>
      </c>
      <c r="AN98" s="342"/>
      <c r="AO98" s="342" t="s">
        <v>967</v>
      </c>
      <c r="AP98" s="342" t="s">
        <v>81</v>
      </c>
      <c r="AQ98" s="349" t="s">
        <v>119</v>
      </c>
      <c r="AR98" s="342" t="s">
        <v>83</v>
      </c>
      <c r="AS98" s="342" t="s">
        <v>84</v>
      </c>
      <c r="AT98" s="342" t="s">
        <v>45</v>
      </c>
      <c r="AU98" s="342" t="s">
        <v>85</v>
      </c>
      <c r="AV98" s="342" t="s">
        <v>120</v>
      </c>
      <c r="AW98" s="342"/>
      <c r="AX98" s="343" t="str">
        <f>IF(OR(Tableau3[[#This Row],[Option GTR]]&lt;&gt;"",Tableau3[[#This Row],[GTR spécifique]]&lt;&gt;""),"GTRS1","GTRS2")</f>
        <v>GTRS1</v>
      </c>
      <c r="AY98" s="342" t="s">
        <v>100</v>
      </c>
      <c r="AZ98" s="342"/>
      <c r="BA98" s="342" t="s">
        <v>3794</v>
      </c>
    </row>
    <row r="99" spans="1:53" s="326" customFormat="1" ht="18.149999999999999" customHeight="1" x14ac:dyDescent="0.3">
      <c r="A99" s="340" t="s">
        <v>53</v>
      </c>
      <c r="B99" s="340" t="s">
        <v>54</v>
      </c>
      <c r="C99" s="340" t="s">
        <v>932</v>
      </c>
      <c r="D99" s="340" t="s">
        <v>56</v>
      </c>
      <c r="E99" s="340" t="s">
        <v>57</v>
      </c>
      <c r="F99" s="340" t="s">
        <v>58</v>
      </c>
      <c r="G99" s="340" t="s">
        <v>59</v>
      </c>
      <c r="H99" s="340" t="s">
        <v>60</v>
      </c>
      <c r="I99" s="340" t="s">
        <v>61</v>
      </c>
      <c r="J99" s="340" t="s">
        <v>968</v>
      </c>
      <c r="K99" s="340" t="s">
        <v>969</v>
      </c>
      <c r="L99" s="345" t="str">
        <f>VLOOKUP(K99,'20260309 suivi sites'!F:F,1,0)</f>
        <v>12ENTR011AOM</v>
      </c>
      <c r="M99" s="340" t="s">
        <v>64</v>
      </c>
      <c r="N99" s="340" t="s">
        <v>65</v>
      </c>
      <c r="O99" s="340" t="s">
        <v>64</v>
      </c>
      <c r="P99" s="341">
        <v>43887</v>
      </c>
      <c r="Q99" s="341">
        <v>45204</v>
      </c>
      <c r="R99" s="347" t="b">
        <f t="shared" si="3"/>
        <v>0</v>
      </c>
      <c r="S99" s="347" t="str">
        <f t="shared" si="2"/>
        <v>change</v>
      </c>
      <c r="T99" s="342" t="s">
        <v>56</v>
      </c>
      <c r="U99" s="342" t="s">
        <v>970</v>
      </c>
      <c r="V99" s="342" t="s">
        <v>971</v>
      </c>
      <c r="W99" s="342" t="s">
        <v>972</v>
      </c>
      <c r="X99" s="342" t="s">
        <v>69</v>
      </c>
      <c r="Y99" s="349" t="s">
        <v>973</v>
      </c>
      <c r="Z99" s="342" t="s">
        <v>71</v>
      </c>
      <c r="AA99" s="342" t="s">
        <v>218</v>
      </c>
      <c r="AB99" s="342" t="s">
        <v>152</v>
      </c>
      <c r="AC99" s="342" t="s">
        <v>74</v>
      </c>
      <c r="AD99" s="342"/>
      <c r="AE99" s="342" t="s">
        <v>974</v>
      </c>
      <c r="AF99" s="349" t="s">
        <v>3770</v>
      </c>
      <c r="AG99" s="342" t="s">
        <v>74</v>
      </c>
      <c r="AH99" s="342" t="s">
        <v>76</v>
      </c>
      <c r="AI99" s="342" t="s">
        <v>74</v>
      </c>
      <c r="AJ99" s="342" t="s">
        <v>77</v>
      </c>
      <c r="AK99" s="342" t="s">
        <v>97</v>
      </c>
      <c r="AL99" s="342" t="s">
        <v>152</v>
      </c>
      <c r="AM99" s="342" t="s">
        <v>74</v>
      </c>
      <c r="AN99" s="342"/>
      <c r="AO99" s="342" t="s">
        <v>975</v>
      </c>
      <c r="AP99" s="342" t="s">
        <v>81</v>
      </c>
      <c r="AQ99" s="349" t="s">
        <v>210</v>
      </c>
      <c r="AR99" s="342" t="s">
        <v>83</v>
      </c>
      <c r="AS99" s="342" t="s">
        <v>84</v>
      </c>
      <c r="AT99" s="342" t="s">
        <v>45</v>
      </c>
      <c r="AU99" s="342" t="s">
        <v>85</v>
      </c>
      <c r="AV99" s="342"/>
      <c r="AW99" s="342"/>
      <c r="AX99" s="343" t="str">
        <f>IF(OR(Tableau3[[#This Row],[Option GTR]]&lt;&gt;"",Tableau3[[#This Row],[GTR spécifique]]&lt;&gt;""),"GTRS1","GTRS2")</f>
        <v>GTRS2</v>
      </c>
      <c r="AY99" s="342" t="s">
        <v>355</v>
      </c>
      <c r="AZ99" s="342"/>
      <c r="BA99" s="342" t="s">
        <v>976</v>
      </c>
    </row>
    <row r="100" spans="1:53" s="326" customFormat="1" ht="18.149999999999999" customHeight="1" x14ac:dyDescent="0.3">
      <c r="A100" s="340" t="s">
        <v>53</v>
      </c>
      <c r="B100" s="340" t="s">
        <v>54</v>
      </c>
      <c r="C100" s="340" t="s">
        <v>932</v>
      </c>
      <c r="D100" s="340" t="s">
        <v>56</v>
      </c>
      <c r="E100" s="340" t="s">
        <v>57</v>
      </c>
      <c r="F100" s="340" t="s">
        <v>58</v>
      </c>
      <c r="G100" s="340" t="s">
        <v>59</v>
      </c>
      <c r="H100" s="340" t="s">
        <v>60</v>
      </c>
      <c r="I100" s="340" t="s">
        <v>61</v>
      </c>
      <c r="J100" s="340" t="s">
        <v>977</v>
      </c>
      <c r="K100" s="340" t="s">
        <v>978</v>
      </c>
      <c r="L100" s="345" t="str">
        <f>VLOOKUP(K100,'20260309 suivi sites'!F:F,1,0)</f>
        <v>14HERO011AOP</v>
      </c>
      <c r="M100" s="340" t="s">
        <v>64</v>
      </c>
      <c r="N100" s="340" t="s">
        <v>65</v>
      </c>
      <c r="O100" s="340" t="s">
        <v>64</v>
      </c>
      <c r="P100" s="341">
        <v>43760</v>
      </c>
      <c r="Q100" s="341">
        <v>44077</v>
      </c>
      <c r="R100" s="347" t="b">
        <f t="shared" si="3"/>
        <v>0</v>
      </c>
      <c r="S100" s="347" t="str">
        <f t="shared" si="2"/>
        <v>change</v>
      </c>
      <c r="T100" s="342" t="s">
        <v>56</v>
      </c>
      <c r="U100" s="342" t="s">
        <v>979</v>
      </c>
      <c r="V100" s="342" t="s">
        <v>980</v>
      </c>
      <c r="W100" s="342" t="s">
        <v>981</v>
      </c>
      <c r="X100" s="342" t="s">
        <v>69</v>
      </c>
      <c r="Y100" s="349" t="s">
        <v>982</v>
      </c>
      <c r="Z100" s="342" t="s">
        <v>71</v>
      </c>
      <c r="AA100" s="342" t="s">
        <v>72</v>
      </c>
      <c r="AB100" s="342" t="s">
        <v>73</v>
      </c>
      <c r="AC100" s="342" t="s">
        <v>74</v>
      </c>
      <c r="AD100" s="342"/>
      <c r="AE100" s="342" t="s">
        <v>983</v>
      </c>
      <c r="AF100" s="349" t="s">
        <v>3770</v>
      </c>
      <c r="AG100" s="342" t="s">
        <v>74</v>
      </c>
      <c r="AH100" s="342" t="s">
        <v>76</v>
      </c>
      <c r="AI100" s="342" t="s">
        <v>74</v>
      </c>
      <c r="AJ100" s="342" t="s">
        <v>77</v>
      </c>
      <c r="AK100" s="342" t="s">
        <v>97</v>
      </c>
      <c r="AL100" s="342" t="s">
        <v>79</v>
      </c>
      <c r="AM100" s="342" t="s">
        <v>166</v>
      </c>
      <c r="AN100" s="342" t="s">
        <v>984</v>
      </c>
      <c r="AO100" s="342" t="s">
        <v>985</v>
      </c>
      <c r="AP100" s="342" t="s">
        <v>81</v>
      </c>
      <c r="AQ100" s="349" t="s">
        <v>210</v>
      </c>
      <c r="AR100" s="342" t="s">
        <v>83</v>
      </c>
      <c r="AS100" s="342" t="s">
        <v>84</v>
      </c>
      <c r="AT100" s="342" t="s">
        <v>45</v>
      </c>
      <c r="AU100" s="342" t="s">
        <v>85</v>
      </c>
      <c r="AV100" s="342"/>
      <c r="AW100" s="342"/>
      <c r="AX100" s="343" t="str">
        <f>IF(OR(Tableau3[[#This Row],[Option GTR]]&lt;&gt;"",Tableau3[[#This Row],[GTR spécifique]]&lt;&gt;""),"GTRS1","GTRS2")</f>
        <v>GTRS2</v>
      </c>
      <c r="AY100" s="342" t="s">
        <v>86</v>
      </c>
      <c r="AZ100" s="342"/>
      <c r="BA100" s="342" t="s">
        <v>393</v>
      </c>
    </row>
    <row r="101" spans="1:53" s="326" customFormat="1" ht="18.149999999999999" customHeight="1" x14ac:dyDescent="0.3">
      <c r="A101" s="340" t="s">
        <v>53</v>
      </c>
      <c r="B101" s="340" t="s">
        <v>54</v>
      </c>
      <c r="C101" s="340" t="s">
        <v>932</v>
      </c>
      <c r="D101" s="340" t="s">
        <v>56</v>
      </c>
      <c r="E101" s="340" t="s">
        <v>57</v>
      </c>
      <c r="F101" s="340" t="s">
        <v>58</v>
      </c>
      <c r="G101" s="340" t="s">
        <v>59</v>
      </c>
      <c r="H101" s="340" t="s">
        <v>60</v>
      </c>
      <c r="I101" s="340" t="s">
        <v>61</v>
      </c>
      <c r="J101" s="340" t="s">
        <v>986</v>
      </c>
      <c r="K101" s="340" t="s">
        <v>987</v>
      </c>
      <c r="L101" s="345" t="str">
        <f>VLOOKUP(K101,'20260309 suivi sites'!F:F,1,0)</f>
        <v>19TULL021AOS</v>
      </c>
      <c r="M101" s="340" t="s">
        <v>64</v>
      </c>
      <c r="N101" s="340" t="s">
        <v>65</v>
      </c>
      <c r="O101" s="340" t="s">
        <v>64</v>
      </c>
      <c r="P101" s="341">
        <v>43557</v>
      </c>
      <c r="Q101" s="341">
        <v>43913</v>
      </c>
      <c r="R101" s="347" t="b">
        <f t="shared" si="3"/>
        <v>0</v>
      </c>
      <c r="S101" s="347" t="str">
        <f t="shared" si="2"/>
        <v>change</v>
      </c>
      <c r="T101" s="342" t="s">
        <v>56</v>
      </c>
      <c r="U101" s="342" t="s">
        <v>988</v>
      </c>
      <c r="V101" s="342" t="s">
        <v>989</v>
      </c>
      <c r="W101" s="342" t="s">
        <v>990</v>
      </c>
      <c r="X101" s="342" t="s">
        <v>69</v>
      </c>
      <c r="Y101" s="349" t="s">
        <v>991</v>
      </c>
      <c r="Z101" s="342" t="s">
        <v>71</v>
      </c>
      <c r="AA101" s="342" t="s">
        <v>72</v>
      </c>
      <c r="AB101" s="342" t="s">
        <v>73</v>
      </c>
      <c r="AC101" s="342" t="s">
        <v>74</v>
      </c>
      <c r="AD101" s="342"/>
      <c r="AE101" s="342" t="s">
        <v>992</v>
      </c>
      <c r="AF101" s="349" t="s">
        <v>3771</v>
      </c>
      <c r="AG101" s="342" t="s">
        <v>74</v>
      </c>
      <c r="AH101" s="342" t="s">
        <v>76</v>
      </c>
      <c r="AI101" s="342" t="s">
        <v>74</v>
      </c>
      <c r="AJ101" s="342" t="s">
        <v>77</v>
      </c>
      <c r="AK101" s="342" t="s">
        <v>97</v>
      </c>
      <c r="AL101" s="342" t="s">
        <v>79</v>
      </c>
      <c r="AM101" s="342" t="s">
        <v>74</v>
      </c>
      <c r="AN101" s="342"/>
      <c r="AO101" s="342" t="s">
        <v>993</v>
      </c>
      <c r="AP101" s="342" t="s">
        <v>81</v>
      </c>
      <c r="AQ101" s="349" t="s">
        <v>927</v>
      </c>
      <c r="AR101" s="342" t="s">
        <v>83</v>
      </c>
      <c r="AS101" s="342" t="s">
        <v>84</v>
      </c>
      <c r="AT101" s="342" t="s">
        <v>45</v>
      </c>
      <c r="AU101" s="342" t="s">
        <v>85</v>
      </c>
      <c r="AV101" s="342"/>
      <c r="AW101" s="342"/>
      <c r="AX101" s="343" t="str">
        <f>IF(OR(Tableau3[[#This Row],[Option GTR]]&lt;&gt;"",Tableau3[[#This Row],[GTR spécifique]]&lt;&gt;""),"GTRS1","GTRS2")</f>
        <v>GTRS2</v>
      </c>
      <c r="AY101" s="342" t="s">
        <v>143</v>
      </c>
      <c r="AZ101" s="342"/>
      <c r="BA101" s="344" t="s">
        <v>994</v>
      </c>
    </row>
    <row r="102" spans="1:53" s="326" customFormat="1" ht="18.149999999999999" customHeight="1" x14ac:dyDescent="0.3">
      <c r="A102" s="340" t="s">
        <v>53</v>
      </c>
      <c r="B102" s="340" t="s">
        <v>54</v>
      </c>
      <c r="C102" s="340" t="s">
        <v>932</v>
      </c>
      <c r="D102" s="340" t="s">
        <v>56</v>
      </c>
      <c r="E102" s="340" t="s">
        <v>57</v>
      </c>
      <c r="F102" s="340" t="s">
        <v>58</v>
      </c>
      <c r="G102" s="340" t="s">
        <v>59</v>
      </c>
      <c r="H102" s="340" t="s">
        <v>60</v>
      </c>
      <c r="I102" s="340" t="s">
        <v>61</v>
      </c>
      <c r="J102" s="340" t="s">
        <v>995</v>
      </c>
      <c r="K102" s="340" t="s">
        <v>996</v>
      </c>
      <c r="L102" s="345" t="str">
        <f>VLOOKUP(K102,'20260309 suivi sites'!F:F,1,0)</f>
        <v>20BAST021AOG</v>
      </c>
      <c r="M102" s="340" t="s">
        <v>64</v>
      </c>
      <c r="N102" s="340" t="s">
        <v>65</v>
      </c>
      <c r="O102" s="340" t="s">
        <v>64</v>
      </c>
      <c r="P102" s="341">
        <v>43606</v>
      </c>
      <c r="Q102" s="341">
        <v>45842</v>
      </c>
      <c r="R102" s="347" t="b">
        <f t="shared" si="3"/>
        <v>0</v>
      </c>
      <c r="S102" s="347" t="str">
        <f t="shared" si="2"/>
        <v>change</v>
      </c>
      <c r="T102" s="342" t="s">
        <v>56</v>
      </c>
      <c r="U102" s="342" t="s">
        <v>997</v>
      </c>
      <c r="V102" s="342" t="s">
        <v>559</v>
      </c>
      <c r="W102" s="342" t="s">
        <v>560</v>
      </c>
      <c r="X102" s="342" t="s">
        <v>69</v>
      </c>
      <c r="Y102" s="349" t="s">
        <v>998</v>
      </c>
      <c r="Z102" s="342" t="s">
        <v>71</v>
      </c>
      <c r="AA102" s="342" t="s">
        <v>72</v>
      </c>
      <c r="AB102" s="342" t="s">
        <v>73</v>
      </c>
      <c r="AC102" s="342" t="s">
        <v>74</v>
      </c>
      <c r="AD102" s="342"/>
      <c r="AE102" s="342" t="s">
        <v>999</v>
      </c>
      <c r="AF102" s="349" t="s">
        <v>3766</v>
      </c>
      <c r="AG102" s="342" t="s">
        <v>74</v>
      </c>
      <c r="AH102" s="342" t="s">
        <v>76</v>
      </c>
      <c r="AI102" s="342" t="s">
        <v>74</v>
      </c>
      <c r="AJ102" s="342" t="s">
        <v>77</v>
      </c>
      <c r="AK102" s="342" t="s">
        <v>97</v>
      </c>
      <c r="AL102" s="342" t="s">
        <v>79</v>
      </c>
      <c r="AM102" s="342" t="s">
        <v>74</v>
      </c>
      <c r="AN102" s="342"/>
      <c r="AO102" s="342" t="s">
        <v>1000</v>
      </c>
      <c r="AP102" s="342" t="s">
        <v>81</v>
      </c>
      <c r="AQ102" s="349" t="s">
        <v>142</v>
      </c>
      <c r="AR102" s="342" t="s">
        <v>83</v>
      </c>
      <c r="AS102" s="342" t="s">
        <v>84</v>
      </c>
      <c r="AT102" s="342" t="s">
        <v>45</v>
      </c>
      <c r="AU102" s="342" t="s">
        <v>85</v>
      </c>
      <c r="AV102" s="342"/>
      <c r="AW102" s="342"/>
      <c r="AX102" s="343" t="str">
        <f>IF(OR(Tableau3[[#This Row],[Option GTR]]&lt;&gt;"",Tableau3[[#This Row],[GTR spécifique]]&lt;&gt;""),"GTRS1","GTRS2")</f>
        <v>GTRS2</v>
      </c>
      <c r="AY102" s="342" t="s">
        <v>100</v>
      </c>
      <c r="AZ102" s="342"/>
      <c r="BA102" s="342" t="s">
        <v>1001</v>
      </c>
    </row>
    <row r="103" spans="1:53" s="326" customFormat="1" ht="18.149999999999999" customHeight="1" x14ac:dyDescent="0.3">
      <c r="A103" s="340" t="s">
        <v>53</v>
      </c>
      <c r="B103" s="340" t="s">
        <v>54</v>
      </c>
      <c r="C103" s="340" t="s">
        <v>932</v>
      </c>
      <c r="D103" s="340" t="s">
        <v>56</v>
      </c>
      <c r="E103" s="340" t="s">
        <v>57</v>
      </c>
      <c r="F103" s="340" t="s">
        <v>58</v>
      </c>
      <c r="G103" s="340" t="s">
        <v>59</v>
      </c>
      <c r="H103" s="340" t="s">
        <v>60</v>
      </c>
      <c r="I103" s="340" t="s">
        <v>61</v>
      </c>
      <c r="J103" s="340" t="s">
        <v>1002</v>
      </c>
      <c r="K103" s="340" t="s">
        <v>1003</v>
      </c>
      <c r="L103" s="345" t="str">
        <f>VLOOKUP(K103,'20260309 suivi sites'!F:F,1,0)</f>
        <v>20CALV011AOS</v>
      </c>
      <c r="M103" s="340" t="s">
        <v>64</v>
      </c>
      <c r="N103" s="340" t="s">
        <v>65</v>
      </c>
      <c r="O103" s="340" t="s">
        <v>64</v>
      </c>
      <c r="P103" s="341">
        <v>43613</v>
      </c>
      <c r="Q103" s="341">
        <v>45824</v>
      </c>
      <c r="R103" s="347" t="b">
        <f t="shared" si="3"/>
        <v>0</v>
      </c>
      <c r="S103" s="347" t="str">
        <f t="shared" si="2"/>
        <v>change</v>
      </c>
      <c r="T103" s="342" t="s">
        <v>56</v>
      </c>
      <c r="U103" s="342" t="s">
        <v>1004</v>
      </c>
      <c r="V103" s="342" t="s">
        <v>1005</v>
      </c>
      <c r="W103" s="342" t="s">
        <v>1006</v>
      </c>
      <c r="X103" s="342" t="s">
        <v>69</v>
      </c>
      <c r="Y103" s="349" t="s">
        <v>1007</v>
      </c>
      <c r="Z103" s="342" t="s">
        <v>71</v>
      </c>
      <c r="AA103" s="342" t="s">
        <v>72</v>
      </c>
      <c r="AB103" s="342" t="s">
        <v>73</v>
      </c>
      <c r="AC103" s="342" t="s">
        <v>74</v>
      </c>
      <c r="AD103" s="342"/>
      <c r="AE103" s="342" t="s">
        <v>1008</v>
      </c>
      <c r="AF103" s="349" t="s">
        <v>3766</v>
      </c>
      <c r="AG103" s="342" t="s">
        <v>74</v>
      </c>
      <c r="AH103" s="342" t="s">
        <v>76</v>
      </c>
      <c r="AI103" s="342" t="s">
        <v>74</v>
      </c>
      <c r="AJ103" s="342" t="s">
        <v>77</v>
      </c>
      <c r="AK103" s="342" t="s">
        <v>97</v>
      </c>
      <c r="AL103" s="342" t="s">
        <v>79</v>
      </c>
      <c r="AM103" s="342" t="s">
        <v>74</v>
      </c>
      <c r="AN103" s="342"/>
      <c r="AO103" s="342" t="s">
        <v>1009</v>
      </c>
      <c r="AP103" s="342" t="s">
        <v>81</v>
      </c>
      <c r="AQ103" s="349" t="s">
        <v>142</v>
      </c>
      <c r="AR103" s="342" t="s">
        <v>83</v>
      </c>
      <c r="AS103" s="342" t="s">
        <v>84</v>
      </c>
      <c r="AT103" s="342" t="s">
        <v>45</v>
      </c>
      <c r="AU103" s="342" t="s">
        <v>85</v>
      </c>
      <c r="AV103" s="342"/>
      <c r="AW103" s="342"/>
      <c r="AX103" s="343" t="str">
        <f>IF(OR(Tableau3[[#This Row],[Option GTR]]&lt;&gt;"",Tableau3[[#This Row],[GTR spécifique]]&lt;&gt;""),"GTRS1","GTRS2")</f>
        <v>GTRS2</v>
      </c>
      <c r="AY103" s="342" t="s">
        <v>143</v>
      </c>
      <c r="AZ103" s="342"/>
      <c r="BA103" s="342" t="s">
        <v>1010</v>
      </c>
    </row>
    <row r="104" spans="1:53" s="326" customFormat="1" ht="18.149999999999999" customHeight="1" x14ac:dyDescent="0.3">
      <c r="A104" s="340" t="s">
        <v>53</v>
      </c>
      <c r="B104" s="340" t="s">
        <v>54</v>
      </c>
      <c r="C104" s="340" t="s">
        <v>932</v>
      </c>
      <c r="D104" s="340" t="s">
        <v>56</v>
      </c>
      <c r="E104" s="340" t="s">
        <v>57</v>
      </c>
      <c r="F104" s="340" t="s">
        <v>58</v>
      </c>
      <c r="G104" s="340" t="s">
        <v>59</v>
      </c>
      <c r="H104" s="340" t="s">
        <v>60</v>
      </c>
      <c r="I104" s="340" t="s">
        <v>61</v>
      </c>
      <c r="J104" s="340" t="s">
        <v>1011</v>
      </c>
      <c r="K104" s="340" t="s">
        <v>1012</v>
      </c>
      <c r="L104" s="345" t="str">
        <f>VLOOKUP(K104,'20260309 suivi sites'!F:F,1,0)</f>
        <v>21DIJO021AOG</v>
      </c>
      <c r="M104" s="340" t="s">
        <v>64</v>
      </c>
      <c r="N104" s="340" t="s">
        <v>65</v>
      </c>
      <c r="O104" s="340" t="s">
        <v>64</v>
      </c>
      <c r="P104" s="341">
        <v>43588</v>
      </c>
      <c r="Q104" s="341">
        <v>44827</v>
      </c>
      <c r="R104" s="347" t="b">
        <f t="shared" si="3"/>
        <v>0</v>
      </c>
      <c r="S104" s="347" t="str">
        <f t="shared" si="2"/>
        <v>change</v>
      </c>
      <c r="T104" s="342" t="s">
        <v>56</v>
      </c>
      <c r="U104" s="342" t="s">
        <v>1013</v>
      </c>
      <c r="V104" s="342" t="s">
        <v>715</v>
      </c>
      <c r="W104" s="342" t="s">
        <v>716</v>
      </c>
      <c r="X104" s="342" t="s">
        <v>69</v>
      </c>
      <c r="Y104" s="349" t="s">
        <v>1014</v>
      </c>
      <c r="Z104" s="342" t="s">
        <v>71</v>
      </c>
      <c r="AA104" s="342" t="s">
        <v>72</v>
      </c>
      <c r="AB104" s="342" t="s">
        <v>73</v>
      </c>
      <c r="AC104" s="342" t="s">
        <v>74</v>
      </c>
      <c r="AD104" s="342"/>
      <c r="AE104" s="342" t="s">
        <v>1015</v>
      </c>
      <c r="AF104" s="349" t="s">
        <v>3771</v>
      </c>
      <c r="AG104" s="342" t="s">
        <v>74</v>
      </c>
      <c r="AH104" s="342" t="s">
        <v>76</v>
      </c>
      <c r="AI104" s="342" t="s">
        <v>74</v>
      </c>
      <c r="AJ104" s="342" t="s">
        <v>77</v>
      </c>
      <c r="AK104" s="342" t="s">
        <v>97</v>
      </c>
      <c r="AL104" s="342" t="s">
        <v>79</v>
      </c>
      <c r="AM104" s="342" t="s">
        <v>74</v>
      </c>
      <c r="AN104" s="342"/>
      <c r="AO104" s="342" t="s">
        <v>1016</v>
      </c>
      <c r="AP104" s="342" t="s">
        <v>81</v>
      </c>
      <c r="AQ104" s="349" t="s">
        <v>222</v>
      </c>
      <c r="AR104" s="342" t="s">
        <v>83</v>
      </c>
      <c r="AS104" s="342" t="s">
        <v>84</v>
      </c>
      <c r="AT104" s="342" t="s">
        <v>45</v>
      </c>
      <c r="AU104" s="342" t="s">
        <v>85</v>
      </c>
      <c r="AV104" s="342"/>
      <c r="AW104" s="342"/>
      <c r="AX104" s="343" t="str">
        <f>IF(OR(Tableau3[[#This Row],[Option GTR]]&lt;&gt;"",Tableau3[[#This Row],[GTR spécifique]]&lt;&gt;""),"GTRS1","GTRS2")</f>
        <v>GTRS2</v>
      </c>
      <c r="AY104" s="342" t="s">
        <v>86</v>
      </c>
      <c r="AZ104" s="342"/>
      <c r="BA104" s="342" t="s">
        <v>1017</v>
      </c>
    </row>
    <row r="105" spans="1:53" s="326" customFormat="1" ht="18.149999999999999" customHeight="1" x14ac:dyDescent="0.3">
      <c r="A105" s="340" t="s">
        <v>53</v>
      </c>
      <c r="B105" s="340" t="s">
        <v>54</v>
      </c>
      <c r="C105" s="340" t="s">
        <v>932</v>
      </c>
      <c r="D105" s="340" t="s">
        <v>56</v>
      </c>
      <c r="E105" s="340" t="s">
        <v>57</v>
      </c>
      <c r="F105" s="340" t="s">
        <v>58</v>
      </c>
      <c r="G105" s="340" t="s">
        <v>59</v>
      </c>
      <c r="H105" s="340" t="s">
        <v>60</v>
      </c>
      <c r="I105" s="340" t="s">
        <v>61</v>
      </c>
      <c r="J105" s="340" t="s">
        <v>1018</v>
      </c>
      <c r="K105" s="340" t="s">
        <v>1019</v>
      </c>
      <c r="L105" s="345" t="str">
        <f>VLOOKUP(K105,'20260309 suivi sites'!F:F,1,0)</f>
        <v>27VALD013AOM</v>
      </c>
      <c r="M105" s="340" t="s">
        <v>64</v>
      </c>
      <c r="N105" s="340" t="s">
        <v>65</v>
      </c>
      <c r="O105" s="340" t="s">
        <v>64</v>
      </c>
      <c r="P105" s="341">
        <v>43617</v>
      </c>
      <c r="Q105" s="341">
        <v>44140</v>
      </c>
      <c r="R105" s="347" t="b">
        <f t="shared" si="3"/>
        <v>0</v>
      </c>
      <c r="S105" s="347" t="str">
        <f t="shared" si="2"/>
        <v>change</v>
      </c>
      <c r="T105" s="342" t="s">
        <v>56</v>
      </c>
      <c r="U105" s="342" t="s">
        <v>158</v>
      </c>
      <c r="V105" s="342" t="s">
        <v>159</v>
      </c>
      <c r="W105" s="342" t="s">
        <v>160</v>
      </c>
      <c r="X105" s="342" t="s">
        <v>69</v>
      </c>
      <c r="Y105" s="349" t="s">
        <v>1020</v>
      </c>
      <c r="Z105" s="342" t="s">
        <v>71</v>
      </c>
      <c r="AA105" s="342" t="s">
        <v>218</v>
      </c>
      <c r="AB105" s="342" t="s">
        <v>152</v>
      </c>
      <c r="AC105" s="342" t="s">
        <v>74</v>
      </c>
      <c r="AD105" s="342"/>
      <c r="AE105" s="342" t="s">
        <v>1021</v>
      </c>
      <c r="AF105" s="349" t="s">
        <v>3777</v>
      </c>
      <c r="AG105" s="342" t="s">
        <v>74</v>
      </c>
      <c r="AH105" s="342" t="s">
        <v>76</v>
      </c>
      <c r="AI105" s="342" t="s">
        <v>74</v>
      </c>
      <c r="AJ105" s="342" t="s">
        <v>77</v>
      </c>
      <c r="AK105" s="342" t="s">
        <v>78</v>
      </c>
      <c r="AL105" s="342" t="s">
        <v>79</v>
      </c>
      <c r="AM105" s="342" t="s">
        <v>74</v>
      </c>
      <c r="AN105" s="342" t="s">
        <v>1022</v>
      </c>
      <c r="AO105" s="342" t="s">
        <v>1023</v>
      </c>
      <c r="AP105" s="342" t="s">
        <v>81</v>
      </c>
      <c r="AQ105" s="349" t="s">
        <v>169</v>
      </c>
      <c r="AR105" s="342" t="s">
        <v>83</v>
      </c>
      <c r="AS105" s="342" t="s">
        <v>84</v>
      </c>
      <c r="AT105" s="342" t="s">
        <v>45</v>
      </c>
      <c r="AU105" s="342" t="s">
        <v>85</v>
      </c>
      <c r="AV105" s="342" t="s">
        <v>480</v>
      </c>
      <c r="AW105" s="342"/>
      <c r="AX105" s="343" t="str">
        <f>IF(OR(Tableau3[[#This Row],[Option GTR]]&lt;&gt;"",Tableau3[[#This Row],[GTR spécifique]]&lt;&gt;""),"GTRS1","GTRS2")</f>
        <v>GTRS1</v>
      </c>
      <c r="AY105" s="342" t="s">
        <v>481</v>
      </c>
      <c r="AZ105" s="342"/>
      <c r="BA105" s="344" t="s">
        <v>1024</v>
      </c>
    </row>
    <row r="106" spans="1:53" s="326" customFormat="1" ht="18.149999999999999" customHeight="1" x14ac:dyDescent="0.3">
      <c r="A106" s="340" t="s">
        <v>53</v>
      </c>
      <c r="B106" s="340" t="s">
        <v>54</v>
      </c>
      <c r="C106" s="340" t="s">
        <v>932</v>
      </c>
      <c r="D106" s="340" t="s">
        <v>56</v>
      </c>
      <c r="E106" s="340" t="s">
        <v>57</v>
      </c>
      <c r="F106" s="340" t="s">
        <v>58</v>
      </c>
      <c r="G106" s="340" t="s">
        <v>59</v>
      </c>
      <c r="H106" s="340" t="s">
        <v>60</v>
      </c>
      <c r="I106" s="340" t="s">
        <v>61</v>
      </c>
      <c r="J106" s="340" t="s">
        <v>1025</v>
      </c>
      <c r="K106" s="340" t="s">
        <v>1026</v>
      </c>
      <c r="L106" s="345" t="str">
        <f>VLOOKUP(K106,'20260309 suivi sites'!F:F,1,0)</f>
        <v>38CHAM011AOG</v>
      </c>
      <c r="M106" s="340" t="s">
        <v>64</v>
      </c>
      <c r="N106" s="340" t="s">
        <v>65</v>
      </c>
      <c r="O106" s="340" t="s">
        <v>64</v>
      </c>
      <c r="P106" s="341">
        <v>43573</v>
      </c>
      <c r="Q106" s="341">
        <v>43872</v>
      </c>
      <c r="R106" s="347" t="b">
        <f t="shared" si="3"/>
        <v>0</v>
      </c>
      <c r="S106" s="347" t="str">
        <f t="shared" si="2"/>
        <v>change</v>
      </c>
      <c r="T106" s="342" t="s">
        <v>56</v>
      </c>
      <c r="U106" s="342" t="s">
        <v>1027</v>
      </c>
      <c r="V106" s="342" t="s">
        <v>1028</v>
      </c>
      <c r="W106" s="342" t="s">
        <v>1029</v>
      </c>
      <c r="X106" s="342" t="s">
        <v>69</v>
      </c>
      <c r="Y106" s="349" t="s">
        <v>1030</v>
      </c>
      <c r="Z106" s="342" t="s">
        <v>71</v>
      </c>
      <c r="AA106" s="342" t="s">
        <v>72</v>
      </c>
      <c r="AB106" s="342" t="s">
        <v>73</v>
      </c>
      <c r="AC106" s="342" t="s">
        <v>74</v>
      </c>
      <c r="AD106" s="342"/>
      <c r="AE106" s="342" t="s">
        <v>1031</v>
      </c>
      <c r="AF106" s="349" t="s">
        <v>3771</v>
      </c>
      <c r="AG106" s="342" t="s">
        <v>74</v>
      </c>
      <c r="AH106" s="342" t="s">
        <v>76</v>
      </c>
      <c r="AI106" s="342" t="s">
        <v>74</v>
      </c>
      <c r="AJ106" s="342" t="s">
        <v>77</v>
      </c>
      <c r="AK106" s="342" t="s">
        <v>97</v>
      </c>
      <c r="AL106" s="342" t="s">
        <v>79</v>
      </c>
      <c r="AM106" s="342" t="s">
        <v>74</v>
      </c>
      <c r="AN106" s="342"/>
      <c r="AO106" s="342" t="s">
        <v>1032</v>
      </c>
      <c r="AP106" s="342" t="s">
        <v>81</v>
      </c>
      <c r="AQ106" s="349" t="s">
        <v>927</v>
      </c>
      <c r="AR106" s="342" t="s">
        <v>83</v>
      </c>
      <c r="AS106" s="342" t="s">
        <v>84</v>
      </c>
      <c r="AT106" s="342" t="s">
        <v>45</v>
      </c>
      <c r="AU106" s="342" t="s">
        <v>85</v>
      </c>
      <c r="AV106" s="342"/>
      <c r="AW106" s="342"/>
      <c r="AX106" s="343" t="str">
        <f>IF(OR(Tableau3[[#This Row],[Option GTR]]&lt;&gt;"",Tableau3[[#This Row],[GTR spécifique]]&lt;&gt;""),"GTRS1","GTRS2")</f>
        <v>GTRS2</v>
      </c>
      <c r="AY106" s="342" t="s">
        <v>143</v>
      </c>
      <c r="AZ106" s="342"/>
      <c r="BA106" s="342" t="s">
        <v>1033</v>
      </c>
    </row>
    <row r="107" spans="1:53" s="326" customFormat="1" ht="18.149999999999999" customHeight="1" x14ac:dyDescent="0.3">
      <c r="A107" s="340" t="s">
        <v>53</v>
      </c>
      <c r="B107" s="340" t="s">
        <v>54</v>
      </c>
      <c r="C107" s="340" t="s">
        <v>932</v>
      </c>
      <c r="D107" s="340" t="s">
        <v>56</v>
      </c>
      <c r="E107" s="340" t="s">
        <v>57</v>
      </c>
      <c r="F107" s="340" t="s">
        <v>58</v>
      </c>
      <c r="G107" s="340" t="s">
        <v>59</v>
      </c>
      <c r="H107" s="340" t="s">
        <v>60</v>
      </c>
      <c r="I107" s="340" t="s">
        <v>61</v>
      </c>
      <c r="J107" s="340" t="s">
        <v>1034</v>
      </c>
      <c r="K107" s="340" t="s">
        <v>1035</v>
      </c>
      <c r="L107" s="345" t="str">
        <f>VLOOKUP(K107,'20260309 suivi sites'!F:F,1,0)</f>
        <v>38LAVE011AOG</v>
      </c>
      <c r="M107" s="340" t="s">
        <v>64</v>
      </c>
      <c r="N107" s="340" t="s">
        <v>65</v>
      </c>
      <c r="O107" s="340" t="s">
        <v>64</v>
      </c>
      <c r="P107" s="341">
        <v>43572</v>
      </c>
      <c r="Q107" s="341">
        <v>45716</v>
      </c>
      <c r="R107" s="347" t="b">
        <f t="shared" si="3"/>
        <v>0</v>
      </c>
      <c r="S107" s="347" t="str">
        <f t="shared" si="2"/>
        <v>change</v>
      </c>
      <c r="T107" s="342" t="s">
        <v>56</v>
      </c>
      <c r="U107" s="342" t="s">
        <v>1036</v>
      </c>
      <c r="V107" s="342" t="s">
        <v>1037</v>
      </c>
      <c r="W107" s="342" t="s">
        <v>1038</v>
      </c>
      <c r="X107" s="342" t="s">
        <v>69</v>
      </c>
      <c r="Y107" s="349" t="s">
        <v>1039</v>
      </c>
      <c r="Z107" s="342" t="s">
        <v>71</v>
      </c>
      <c r="AA107" s="342" t="s">
        <v>72</v>
      </c>
      <c r="AB107" s="342" t="s">
        <v>73</v>
      </c>
      <c r="AC107" s="342" t="s">
        <v>74</v>
      </c>
      <c r="AD107" s="342"/>
      <c r="AE107" s="342" t="s">
        <v>1040</v>
      </c>
      <c r="AF107" s="349" t="s">
        <v>3764</v>
      </c>
      <c r="AG107" s="342" t="s">
        <v>74</v>
      </c>
      <c r="AH107" s="342" t="s">
        <v>76</v>
      </c>
      <c r="AI107" s="342" t="s">
        <v>74</v>
      </c>
      <c r="AJ107" s="342" t="s">
        <v>77</v>
      </c>
      <c r="AK107" s="342" t="s">
        <v>97</v>
      </c>
      <c r="AL107" s="342" t="s">
        <v>79</v>
      </c>
      <c r="AM107" s="342" t="s">
        <v>74</v>
      </c>
      <c r="AN107" s="342"/>
      <c r="AO107" s="342" t="s">
        <v>1041</v>
      </c>
      <c r="AP107" s="342" t="s">
        <v>81</v>
      </c>
      <c r="AQ107" s="349" t="s">
        <v>99</v>
      </c>
      <c r="AR107" s="342" t="s">
        <v>83</v>
      </c>
      <c r="AS107" s="342" t="s">
        <v>84</v>
      </c>
      <c r="AT107" s="342" t="s">
        <v>45</v>
      </c>
      <c r="AU107" s="342" t="s">
        <v>85</v>
      </c>
      <c r="AV107" s="342" t="s">
        <v>120</v>
      </c>
      <c r="AW107" s="342"/>
      <c r="AX107" s="343" t="str">
        <f>IF(OR(Tableau3[[#This Row],[Option GTR]]&lt;&gt;"",Tableau3[[#This Row],[GTR spécifique]]&lt;&gt;""),"GTRS1","GTRS2")</f>
        <v>GTRS1</v>
      </c>
      <c r="AY107" s="342" t="s">
        <v>86</v>
      </c>
      <c r="AZ107" s="342"/>
      <c r="BA107" s="342" t="s">
        <v>1042</v>
      </c>
    </row>
    <row r="108" spans="1:53" s="326" customFormat="1" ht="18.149999999999999" customHeight="1" x14ac:dyDescent="0.3">
      <c r="A108" s="340" t="s">
        <v>53</v>
      </c>
      <c r="B108" s="340" t="s">
        <v>54</v>
      </c>
      <c r="C108" s="340" t="s">
        <v>932</v>
      </c>
      <c r="D108" s="340" t="s">
        <v>56</v>
      </c>
      <c r="E108" s="340" t="s">
        <v>57</v>
      </c>
      <c r="F108" s="340" t="s">
        <v>58</v>
      </c>
      <c r="G108" s="340" t="s">
        <v>59</v>
      </c>
      <c r="H108" s="340" t="s">
        <v>60</v>
      </c>
      <c r="I108" s="340" t="s">
        <v>61</v>
      </c>
      <c r="J108" s="340" t="s">
        <v>1043</v>
      </c>
      <c r="K108" s="340" t="s">
        <v>1044</v>
      </c>
      <c r="L108" s="345" t="str">
        <f>VLOOKUP(K108,'20260309 suivi sites'!F:F,1,0)</f>
        <v>38LEBO021AOS</v>
      </c>
      <c r="M108" s="340" t="s">
        <v>64</v>
      </c>
      <c r="N108" s="340" t="s">
        <v>65</v>
      </c>
      <c r="O108" s="340" t="s">
        <v>64</v>
      </c>
      <c r="P108" s="341">
        <v>43600</v>
      </c>
      <c r="Q108" s="341">
        <v>43872</v>
      </c>
      <c r="R108" s="347" t="b">
        <f t="shared" si="3"/>
        <v>0</v>
      </c>
      <c r="S108" s="347" t="str">
        <f t="shared" si="2"/>
        <v>change</v>
      </c>
      <c r="T108" s="342" t="s">
        <v>56</v>
      </c>
      <c r="U108" s="342" t="s">
        <v>1045</v>
      </c>
      <c r="V108" s="342" t="s">
        <v>1046</v>
      </c>
      <c r="W108" s="342" t="s">
        <v>1047</v>
      </c>
      <c r="X108" s="342" t="s">
        <v>69</v>
      </c>
      <c r="Y108" s="349" t="s">
        <v>1048</v>
      </c>
      <c r="Z108" s="342" t="s">
        <v>71</v>
      </c>
      <c r="AA108" s="342" t="s">
        <v>72</v>
      </c>
      <c r="AB108" s="342" t="s">
        <v>73</v>
      </c>
      <c r="AC108" s="342" t="s">
        <v>74</v>
      </c>
      <c r="AD108" s="342"/>
      <c r="AE108" s="342" t="s">
        <v>1049</v>
      </c>
      <c r="AF108" s="349" t="s">
        <v>3771</v>
      </c>
      <c r="AG108" s="342" t="s">
        <v>74</v>
      </c>
      <c r="AH108" s="342" t="s">
        <v>76</v>
      </c>
      <c r="AI108" s="342" t="s">
        <v>74</v>
      </c>
      <c r="AJ108" s="342" t="s">
        <v>77</v>
      </c>
      <c r="AK108" s="342" t="s">
        <v>97</v>
      </c>
      <c r="AL108" s="342" t="s">
        <v>79</v>
      </c>
      <c r="AM108" s="342" t="s">
        <v>74</v>
      </c>
      <c r="AN108" s="342"/>
      <c r="AO108" s="342" t="s">
        <v>1050</v>
      </c>
      <c r="AP108" s="342" t="s">
        <v>81</v>
      </c>
      <c r="AQ108" s="349" t="s">
        <v>927</v>
      </c>
      <c r="AR108" s="342" t="s">
        <v>83</v>
      </c>
      <c r="AS108" s="342" t="s">
        <v>84</v>
      </c>
      <c r="AT108" s="342" t="s">
        <v>45</v>
      </c>
      <c r="AU108" s="342" t="s">
        <v>85</v>
      </c>
      <c r="AV108" s="342"/>
      <c r="AW108" s="342"/>
      <c r="AX108" s="343" t="str">
        <f>IF(OR(Tableau3[[#This Row],[Option GTR]]&lt;&gt;"",Tableau3[[#This Row],[GTR spécifique]]&lt;&gt;""),"GTRS1","GTRS2")</f>
        <v>GTRS2</v>
      </c>
      <c r="AY108" s="342" t="s">
        <v>143</v>
      </c>
      <c r="AZ108" s="342"/>
      <c r="BA108" s="342" t="s">
        <v>1033</v>
      </c>
    </row>
    <row r="109" spans="1:53" s="326" customFormat="1" ht="18.149999999999999" customHeight="1" x14ac:dyDescent="0.3">
      <c r="A109" s="340" t="s">
        <v>53</v>
      </c>
      <c r="B109" s="340" t="s">
        <v>54</v>
      </c>
      <c r="C109" s="340" t="s">
        <v>932</v>
      </c>
      <c r="D109" s="340" t="s">
        <v>56</v>
      </c>
      <c r="E109" s="340" t="s">
        <v>57</v>
      </c>
      <c r="F109" s="340" t="s">
        <v>58</v>
      </c>
      <c r="G109" s="340" t="s">
        <v>59</v>
      </c>
      <c r="H109" s="340" t="s">
        <v>60</v>
      </c>
      <c r="I109" s="340" t="s">
        <v>61</v>
      </c>
      <c r="J109" s="340" t="s">
        <v>1051</v>
      </c>
      <c r="K109" s="340" t="s">
        <v>1052</v>
      </c>
      <c r="L109" s="345" t="str">
        <f>VLOOKUP(K109,'20260309 suivi sites'!F:F,1,0)</f>
        <v>38STEG021AOM</v>
      </c>
      <c r="M109" s="340" t="s">
        <v>64</v>
      </c>
      <c r="N109" s="340" t="s">
        <v>65</v>
      </c>
      <c r="O109" s="340" t="s">
        <v>64</v>
      </c>
      <c r="P109" s="341">
        <v>43606</v>
      </c>
      <c r="Q109" s="341">
        <v>45728</v>
      </c>
      <c r="R109" s="347" t="b">
        <f t="shared" si="3"/>
        <v>0</v>
      </c>
      <c r="S109" s="347" t="str">
        <f t="shared" si="2"/>
        <v>change</v>
      </c>
      <c r="T109" s="342" t="s">
        <v>56</v>
      </c>
      <c r="U109" s="342" t="s">
        <v>1053</v>
      </c>
      <c r="V109" s="342" t="s">
        <v>1054</v>
      </c>
      <c r="W109" s="342" t="s">
        <v>1055</v>
      </c>
      <c r="X109" s="342" t="s">
        <v>69</v>
      </c>
      <c r="Y109" s="349" t="s">
        <v>1056</v>
      </c>
      <c r="Z109" s="342" t="s">
        <v>71</v>
      </c>
      <c r="AA109" s="342" t="s">
        <v>218</v>
      </c>
      <c r="AB109" s="342" t="s">
        <v>152</v>
      </c>
      <c r="AC109" s="342" t="s">
        <v>74</v>
      </c>
      <c r="AD109" s="342"/>
      <c r="AE109" s="342" t="s">
        <v>1057</v>
      </c>
      <c r="AF109" s="349" t="s">
        <v>3770</v>
      </c>
      <c r="AG109" s="342" t="s">
        <v>74</v>
      </c>
      <c r="AH109" s="342" t="s">
        <v>76</v>
      </c>
      <c r="AI109" s="342" t="s">
        <v>74</v>
      </c>
      <c r="AJ109" s="342" t="s">
        <v>77</v>
      </c>
      <c r="AK109" s="342" t="s">
        <v>97</v>
      </c>
      <c r="AL109" s="342" t="s">
        <v>152</v>
      </c>
      <c r="AM109" s="342" t="s">
        <v>74</v>
      </c>
      <c r="AN109" s="342"/>
      <c r="AO109" s="342" t="s">
        <v>1058</v>
      </c>
      <c r="AP109" s="342" t="s">
        <v>81</v>
      </c>
      <c r="AQ109" s="349" t="s">
        <v>210</v>
      </c>
      <c r="AR109" s="342" t="s">
        <v>83</v>
      </c>
      <c r="AS109" s="342" t="s">
        <v>84</v>
      </c>
      <c r="AT109" s="342" t="s">
        <v>45</v>
      </c>
      <c r="AU109" s="342" t="s">
        <v>85</v>
      </c>
      <c r="AV109" s="342"/>
      <c r="AW109" s="342"/>
      <c r="AX109" s="343" t="str">
        <f>IF(OR(Tableau3[[#This Row],[Option GTR]]&lt;&gt;"",Tableau3[[#This Row],[GTR spécifique]]&lt;&gt;""),"GTRS1","GTRS2")</f>
        <v>GTRS2</v>
      </c>
      <c r="AY109" s="342" t="s">
        <v>355</v>
      </c>
      <c r="AZ109" s="342"/>
      <c r="BA109" s="342" t="s">
        <v>1059</v>
      </c>
    </row>
    <row r="110" spans="1:53" s="326" customFormat="1" ht="18.149999999999999" customHeight="1" x14ac:dyDescent="0.3">
      <c r="A110" s="340" t="s">
        <v>53</v>
      </c>
      <c r="B110" s="340" t="s">
        <v>54</v>
      </c>
      <c r="C110" s="340" t="s">
        <v>932</v>
      </c>
      <c r="D110" s="340" t="s">
        <v>56</v>
      </c>
      <c r="E110" s="340" t="s">
        <v>57</v>
      </c>
      <c r="F110" s="340" t="s">
        <v>58</v>
      </c>
      <c r="G110" s="340" t="s">
        <v>59</v>
      </c>
      <c r="H110" s="340" t="s">
        <v>60</v>
      </c>
      <c r="I110" s="340" t="s">
        <v>61</v>
      </c>
      <c r="J110" s="340" t="s">
        <v>1060</v>
      </c>
      <c r="K110" s="340" t="s">
        <v>1061</v>
      </c>
      <c r="L110" s="345" t="str">
        <f>VLOOKUP(K110,'20260309 suivi sites'!F:F,1,0)</f>
        <v>43BRIV011AOS</v>
      </c>
      <c r="M110" s="340" t="s">
        <v>64</v>
      </c>
      <c r="N110" s="340" t="s">
        <v>65</v>
      </c>
      <c r="O110" s="340" t="s">
        <v>64</v>
      </c>
      <c r="P110" s="341">
        <v>43594</v>
      </c>
      <c r="Q110" s="341">
        <v>45868</v>
      </c>
      <c r="R110" s="347" t="b">
        <f t="shared" si="3"/>
        <v>0</v>
      </c>
      <c r="S110" s="347" t="str">
        <f t="shared" si="2"/>
        <v>change</v>
      </c>
      <c r="T110" s="342" t="s">
        <v>56</v>
      </c>
      <c r="U110" s="342" t="s">
        <v>1062</v>
      </c>
      <c r="V110" s="342" t="s">
        <v>1063</v>
      </c>
      <c r="W110" s="342" t="s">
        <v>1064</v>
      </c>
      <c r="X110" s="342" t="s">
        <v>69</v>
      </c>
      <c r="Y110" s="349" t="s">
        <v>1065</v>
      </c>
      <c r="Z110" s="342" t="s">
        <v>71</v>
      </c>
      <c r="AA110" s="342" t="s">
        <v>72</v>
      </c>
      <c r="AB110" s="342" t="s">
        <v>73</v>
      </c>
      <c r="AC110" s="342" t="s">
        <v>74</v>
      </c>
      <c r="AD110" s="342"/>
      <c r="AE110" s="342" t="s">
        <v>1066</v>
      </c>
      <c r="AF110" s="349" t="s">
        <v>3764</v>
      </c>
      <c r="AG110" s="342" t="s">
        <v>74</v>
      </c>
      <c r="AH110" s="342" t="s">
        <v>76</v>
      </c>
      <c r="AI110" s="342" t="s">
        <v>74</v>
      </c>
      <c r="AJ110" s="342" t="s">
        <v>77</v>
      </c>
      <c r="AK110" s="342" t="s">
        <v>97</v>
      </c>
      <c r="AL110" s="342" t="s">
        <v>79</v>
      </c>
      <c r="AM110" s="342" t="s">
        <v>74</v>
      </c>
      <c r="AN110" s="342"/>
      <c r="AO110" s="342" t="s">
        <v>1067</v>
      </c>
      <c r="AP110" s="342" t="s">
        <v>81</v>
      </c>
      <c r="AQ110" s="349" t="s">
        <v>1068</v>
      </c>
      <c r="AR110" s="342" t="s">
        <v>83</v>
      </c>
      <c r="AS110" s="342" t="s">
        <v>84</v>
      </c>
      <c r="AT110" s="342" t="s">
        <v>45</v>
      </c>
      <c r="AU110" s="342" t="s">
        <v>85</v>
      </c>
      <c r="AV110" s="342"/>
      <c r="AW110" s="342"/>
      <c r="AX110" s="343" t="str">
        <f>IF(OR(Tableau3[[#This Row],[Option GTR]]&lt;&gt;"",Tableau3[[#This Row],[GTR spécifique]]&lt;&gt;""),"GTRS1","GTRS2")</f>
        <v>GTRS2</v>
      </c>
      <c r="AY110" s="342" t="s">
        <v>143</v>
      </c>
      <c r="AZ110" s="342"/>
      <c r="BA110" s="342" t="s">
        <v>1069</v>
      </c>
    </row>
    <row r="111" spans="1:53" s="326" customFormat="1" ht="18.149999999999999" customHeight="1" x14ac:dyDescent="0.3">
      <c r="A111" s="340" t="s">
        <v>53</v>
      </c>
      <c r="B111" s="340" t="s">
        <v>54</v>
      </c>
      <c r="C111" s="340" t="s">
        <v>932</v>
      </c>
      <c r="D111" s="340" t="s">
        <v>56</v>
      </c>
      <c r="E111" s="340" t="s">
        <v>57</v>
      </c>
      <c r="F111" s="340" t="s">
        <v>58</v>
      </c>
      <c r="G111" s="340" t="s">
        <v>59</v>
      </c>
      <c r="H111" s="340" t="s">
        <v>60</v>
      </c>
      <c r="I111" s="340" t="s">
        <v>61</v>
      </c>
      <c r="J111" s="340" t="s">
        <v>1070</v>
      </c>
      <c r="K111" s="340" t="s">
        <v>1071</v>
      </c>
      <c r="L111" s="345" t="str">
        <f>VLOOKUP(K111,'20260309 suivi sites'!F:F,1,0)</f>
        <v>43ESPA011AOS</v>
      </c>
      <c r="M111" s="340" t="s">
        <v>64</v>
      </c>
      <c r="N111" s="340" t="s">
        <v>65</v>
      </c>
      <c r="O111" s="340" t="s">
        <v>64</v>
      </c>
      <c r="P111" s="341">
        <v>43585</v>
      </c>
      <c r="Q111" s="341">
        <v>45450</v>
      </c>
      <c r="R111" s="347" t="b">
        <f t="shared" si="3"/>
        <v>0</v>
      </c>
      <c r="S111" s="347" t="str">
        <f t="shared" si="2"/>
        <v>change</v>
      </c>
      <c r="T111" s="342" t="s">
        <v>56</v>
      </c>
      <c r="U111" s="342" t="s">
        <v>1072</v>
      </c>
      <c r="V111" s="342" t="s">
        <v>1073</v>
      </c>
      <c r="W111" s="342" t="s">
        <v>1074</v>
      </c>
      <c r="X111" s="342" t="s">
        <v>69</v>
      </c>
      <c r="Y111" s="349" t="s">
        <v>1075</v>
      </c>
      <c r="Z111" s="342" t="s">
        <v>71</v>
      </c>
      <c r="AA111" s="342" t="s">
        <v>72</v>
      </c>
      <c r="AB111" s="342" t="s">
        <v>73</v>
      </c>
      <c r="AC111" s="342" t="s">
        <v>74</v>
      </c>
      <c r="AD111" s="342"/>
      <c r="AE111" s="342" t="s">
        <v>1076</v>
      </c>
      <c r="AF111" s="349" t="s">
        <v>3770</v>
      </c>
      <c r="AG111" s="342" t="s">
        <v>74</v>
      </c>
      <c r="AH111" s="342" t="s">
        <v>76</v>
      </c>
      <c r="AI111" s="342" t="s">
        <v>74</v>
      </c>
      <c r="AJ111" s="342" t="s">
        <v>77</v>
      </c>
      <c r="AK111" s="342" t="s">
        <v>97</v>
      </c>
      <c r="AL111" s="342" t="s">
        <v>79</v>
      </c>
      <c r="AM111" s="342" t="s">
        <v>74</v>
      </c>
      <c r="AN111" s="342"/>
      <c r="AO111" s="342" t="s">
        <v>1077</v>
      </c>
      <c r="AP111" s="342" t="s">
        <v>81</v>
      </c>
      <c r="AQ111" s="349" t="s">
        <v>210</v>
      </c>
      <c r="AR111" s="342" t="s">
        <v>83</v>
      </c>
      <c r="AS111" s="342" t="s">
        <v>84</v>
      </c>
      <c r="AT111" s="342" t="s">
        <v>45</v>
      </c>
      <c r="AU111" s="342" t="s">
        <v>85</v>
      </c>
      <c r="AV111" s="342"/>
      <c r="AW111" s="342"/>
      <c r="AX111" s="343" t="str">
        <f>IF(OR(Tableau3[[#This Row],[Option GTR]]&lt;&gt;"",Tableau3[[#This Row],[GTR spécifique]]&lt;&gt;""),"GTRS1","GTRS2")</f>
        <v>GTRS2</v>
      </c>
      <c r="AY111" s="342" t="s">
        <v>143</v>
      </c>
      <c r="AZ111" s="342"/>
      <c r="BA111" s="342" t="s">
        <v>1078</v>
      </c>
    </row>
    <row r="112" spans="1:53" s="326" customFormat="1" ht="18.149999999999999" customHeight="1" x14ac:dyDescent="0.3">
      <c r="A112" s="340" t="s">
        <v>53</v>
      </c>
      <c r="B112" s="340" t="s">
        <v>54</v>
      </c>
      <c r="C112" s="340" t="s">
        <v>932</v>
      </c>
      <c r="D112" s="340" t="s">
        <v>56</v>
      </c>
      <c r="E112" s="340" t="s">
        <v>57</v>
      </c>
      <c r="F112" s="340" t="s">
        <v>58</v>
      </c>
      <c r="G112" s="340" t="s">
        <v>59</v>
      </c>
      <c r="H112" s="340" t="s">
        <v>60</v>
      </c>
      <c r="I112" s="340" t="s">
        <v>61</v>
      </c>
      <c r="J112" s="340" t="s">
        <v>1079</v>
      </c>
      <c r="K112" s="340" t="s">
        <v>1080</v>
      </c>
      <c r="L112" s="345" t="str">
        <f>VLOOKUP(K112,'20260309 suivi sites'!F:F,1,0)</f>
        <v>49ANGE011AOG</v>
      </c>
      <c r="M112" s="340" t="s">
        <v>64</v>
      </c>
      <c r="N112" s="340" t="s">
        <v>65</v>
      </c>
      <c r="O112" s="340" t="s">
        <v>64</v>
      </c>
      <c r="P112" s="341">
        <v>43783</v>
      </c>
      <c r="Q112" s="341">
        <v>44774</v>
      </c>
      <c r="R112" s="347" t="b">
        <f t="shared" si="3"/>
        <v>0</v>
      </c>
      <c r="S112" s="347" t="str">
        <f t="shared" si="2"/>
        <v>change</v>
      </c>
      <c r="T112" s="342" t="s">
        <v>56</v>
      </c>
      <c r="U112" s="342" t="s">
        <v>1081</v>
      </c>
      <c r="V112" s="342" t="s">
        <v>1082</v>
      </c>
      <c r="W112" s="342" t="s">
        <v>1083</v>
      </c>
      <c r="X112" s="342" t="s">
        <v>69</v>
      </c>
      <c r="Y112" s="349" t="s">
        <v>1084</v>
      </c>
      <c r="Z112" s="342" t="s">
        <v>71</v>
      </c>
      <c r="AA112" s="342" t="s">
        <v>72</v>
      </c>
      <c r="AB112" s="342" t="s">
        <v>73</v>
      </c>
      <c r="AC112" s="342" t="s">
        <v>74</v>
      </c>
      <c r="AD112" s="342"/>
      <c r="AE112" s="342" t="s">
        <v>1085</v>
      </c>
      <c r="AF112" s="349" t="s">
        <v>3771</v>
      </c>
      <c r="AG112" s="342" t="s">
        <v>74</v>
      </c>
      <c r="AH112" s="342" t="s">
        <v>76</v>
      </c>
      <c r="AI112" s="342" t="s">
        <v>74</v>
      </c>
      <c r="AJ112" s="342" t="s">
        <v>77</v>
      </c>
      <c r="AK112" s="342" t="s">
        <v>97</v>
      </c>
      <c r="AL112" s="342" t="s">
        <v>79</v>
      </c>
      <c r="AM112" s="342" t="s">
        <v>74</v>
      </c>
      <c r="AN112" s="342"/>
      <c r="AO112" s="342" t="s">
        <v>1086</v>
      </c>
      <c r="AP112" s="342" t="s">
        <v>81</v>
      </c>
      <c r="AQ112" s="349" t="s">
        <v>222</v>
      </c>
      <c r="AR112" s="342" t="s">
        <v>83</v>
      </c>
      <c r="AS112" s="342" t="s">
        <v>84</v>
      </c>
      <c r="AT112" s="342" t="s">
        <v>45</v>
      </c>
      <c r="AU112" s="342" t="s">
        <v>85</v>
      </c>
      <c r="AV112" s="342"/>
      <c r="AW112" s="342"/>
      <c r="AX112" s="343" t="str">
        <f>IF(OR(Tableau3[[#This Row],[Option GTR]]&lt;&gt;"",Tableau3[[#This Row],[GTR spécifique]]&lt;&gt;""),"GTRS1","GTRS2")</f>
        <v>GTRS2</v>
      </c>
      <c r="AY112" s="342" t="s">
        <v>86</v>
      </c>
      <c r="AZ112" s="342"/>
      <c r="BA112" s="342" t="s">
        <v>1087</v>
      </c>
    </row>
    <row r="113" spans="1:53" s="326" customFormat="1" ht="18.149999999999999" customHeight="1" x14ac:dyDescent="0.3">
      <c r="A113" s="340" t="s">
        <v>53</v>
      </c>
      <c r="B113" s="340" t="s">
        <v>54</v>
      </c>
      <c r="C113" s="340" t="s">
        <v>932</v>
      </c>
      <c r="D113" s="340" t="s">
        <v>56</v>
      </c>
      <c r="E113" s="340" t="s">
        <v>57</v>
      </c>
      <c r="F113" s="340" t="s">
        <v>58</v>
      </c>
      <c r="G113" s="340" t="s">
        <v>59</v>
      </c>
      <c r="H113" s="340" t="s">
        <v>60</v>
      </c>
      <c r="I113" s="340" t="s">
        <v>61</v>
      </c>
      <c r="J113" s="340" t="s">
        <v>1088</v>
      </c>
      <c r="K113" s="340" t="s">
        <v>1089</v>
      </c>
      <c r="L113" s="345" t="str">
        <f>VLOOKUP(K113,'20260309 suivi sites'!F:F,1,0)</f>
        <v>51REIM011AOG</v>
      </c>
      <c r="M113" s="340" t="s">
        <v>64</v>
      </c>
      <c r="N113" s="340" t="s">
        <v>65</v>
      </c>
      <c r="O113" s="340" t="s">
        <v>64</v>
      </c>
      <c r="P113" s="341">
        <v>43725</v>
      </c>
      <c r="Q113" s="341">
        <v>45233</v>
      </c>
      <c r="R113" s="347" t="b">
        <f t="shared" si="3"/>
        <v>0</v>
      </c>
      <c r="S113" s="347" t="str">
        <f t="shared" si="2"/>
        <v>change</v>
      </c>
      <c r="T113" s="342" t="s">
        <v>56</v>
      </c>
      <c r="U113" s="342" t="s">
        <v>1090</v>
      </c>
      <c r="V113" s="342" t="s">
        <v>1091</v>
      </c>
      <c r="W113" s="342" t="s">
        <v>1092</v>
      </c>
      <c r="X113" s="342" t="s">
        <v>69</v>
      </c>
      <c r="Y113" s="349" t="s">
        <v>1093</v>
      </c>
      <c r="Z113" s="342" t="s">
        <v>71</v>
      </c>
      <c r="AA113" s="342" t="s">
        <v>72</v>
      </c>
      <c r="AB113" s="342" t="s">
        <v>73</v>
      </c>
      <c r="AC113" s="342" t="s">
        <v>74</v>
      </c>
      <c r="AD113" s="342"/>
      <c r="AE113" s="342" t="s">
        <v>1094</v>
      </c>
      <c r="AF113" s="349" t="s">
        <v>3770</v>
      </c>
      <c r="AG113" s="342" t="s">
        <v>74</v>
      </c>
      <c r="AH113" s="342" t="s">
        <v>76</v>
      </c>
      <c r="AI113" s="342" t="s">
        <v>74</v>
      </c>
      <c r="AJ113" s="342" t="s">
        <v>77</v>
      </c>
      <c r="AK113" s="342" t="s">
        <v>97</v>
      </c>
      <c r="AL113" s="342" t="s">
        <v>79</v>
      </c>
      <c r="AM113" s="342" t="s">
        <v>74</v>
      </c>
      <c r="AN113" s="342"/>
      <c r="AO113" s="342" t="s">
        <v>1095</v>
      </c>
      <c r="AP113" s="342" t="s">
        <v>81</v>
      </c>
      <c r="AQ113" s="349" t="s">
        <v>210</v>
      </c>
      <c r="AR113" s="342" t="s">
        <v>83</v>
      </c>
      <c r="AS113" s="342" t="s">
        <v>84</v>
      </c>
      <c r="AT113" s="342" t="s">
        <v>45</v>
      </c>
      <c r="AU113" s="342" t="s">
        <v>85</v>
      </c>
      <c r="AV113" s="342"/>
      <c r="AW113" s="342"/>
      <c r="AX113" s="343" t="str">
        <f>IF(OR(Tableau3[[#This Row],[Option GTR]]&lt;&gt;"",Tableau3[[#This Row],[GTR spécifique]]&lt;&gt;""),"GTRS1","GTRS2")</f>
        <v>GTRS2</v>
      </c>
      <c r="AY113" s="342" t="s">
        <v>86</v>
      </c>
      <c r="AZ113" s="342"/>
      <c r="BA113" s="342" t="s">
        <v>1096</v>
      </c>
    </row>
    <row r="114" spans="1:53" s="326" customFormat="1" ht="18.149999999999999" customHeight="1" x14ac:dyDescent="0.3">
      <c r="A114" s="340" t="s">
        <v>53</v>
      </c>
      <c r="B114" s="340" t="s">
        <v>54</v>
      </c>
      <c r="C114" s="340" t="s">
        <v>932</v>
      </c>
      <c r="D114" s="340" t="s">
        <v>56</v>
      </c>
      <c r="E114" s="340" t="s">
        <v>57</v>
      </c>
      <c r="F114" s="340" t="s">
        <v>58</v>
      </c>
      <c r="G114" s="340" t="s">
        <v>59</v>
      </c>
      <c r="H114" s="340" t="s">
        <v>60</v>
      </c>
      <c r="I114" s="340" t="s">
        <v>61</v>
      </c>
      <c r="J114" s="340" t="s">
        <v>1097</v>
      </c>
      <c r="K114" s="340" t="s">
        <v>1098</v>
      </c>
      <c r="L114" s="345" t="str">
        <f>VLOOKUP(K114,'20260309 suivi sites'!F:F,1,0)</f>
        <v>54NANC021AOP</v>
      </c>
      <c r="M114" s="340" t="s">
        <v>64</v>
      </c>
      <c r="N114" s="340" t="s">
        <v>65</v>
      </c>
      <c r="O114" s="340" t="s">
        <v>64</v>
      </c>
      <c r="P114" s="341">
        <v>44097</v>
      </c>
      <c r="Q114" s="341">
        <v>45618</v>
      </c>
      <c r="R114" s="347" t="b">
        <f t="shared" si="3"/>
        <v>0</v>
      </c>
      <c r="S114" s="347" t="str">
        <f t="shared" si="2"/>
        <v>change</v>
      </c>
      <c r="T114" s="342" t="s">
        <v>56</v>
      </c>
      <c r="U114" s="342" t="s">
        <v>1099</v>
      </c>
      <c r="V114" s="342" t="s">
        <v>1100</v>
      </c>
      <c r="W114" s="342" t="s">
        <v>1101</v>
      </c>
      <c r="X114" s="342" t="s">
        <v>69</v>
      </c>
      <c r="Y114" s="349" t="s">
        <v>1102</v>
      </c>
      <c r="Z114" s="342" t="s">
        <v>71</v>
      </c>
      <c r="AA114" s="342" t="s">
        <v>72</v>
      </c>
      <c r="AB114" s="342" t="s">
        <v>73</v>
      </c>
      <c r="AC114" s="342" t="s">
        <v>74</v>
      </c>
      <c r="AD114" s="342"/>
      <c r="AE114" s="342" t="s">
        <v>1103</v>
      </c>
      <c r="AF114" s="349" t="s">
        <v>3769</v>
      </c>
      <c r="AG114" s="342" t="s">
        <v>74</v>
      </c>
      <c r="AH114" s="342" t="s">
        <v>76</v>
      </c>
      <c r="AI114" s="342" t="s">
        <v>74</v>
      </c>
      <c r="AJ114" s="342" t="s">
        <v>77</v>
      </c>
      <c r="AK114" s="342" t="s">
        <v>78</v>
      </c>
      <c r="AL114" s="342" t="s">
        <v>79</v>
      </c>
      <c r="AM114" s="342" t="s">
        <v>166</v>
      </c>
      <c r="AN114" s="342" t="s">
        <v>1104</v>
      </c>
      <c r="AO114" s="342" t="s">
        <v>1105</v>
      </c>
      <c r="AP114" s="342" t="s">
        <v>81</v>
      </c>
      <c r="AQ114" s="349" t="s">
        <v>200</v>
      </c>
      <c r="AR114" s="342" t="s">
        <v>83</v>
      </c>
      <c r="AS114" s="342" t="s">
        <v>290</v>
      </c>
      <c r="AT114" s="342" t="s">
        <v>45</v>
      </c>
      <c r="AU114" s="342" t="s">
        <v>85</v>
      </c>
      <c r="AV114" s="342"/>
      <c r="AW114" s="342"/>
      <c r="AX114" s="343" t="str">
        <f>IF(OR(Tableau3[[#This Row],[Option GTR]]&lt;&gt;"",Tableau3[[#This Row],[GTR spécifique]]&lt;&gt;""),"GTRS1","GTRS2")</f>
        <v>GTRS2</v>
      </c>
      <c r="AY114" s="342" t="s">
        <v>86</v>
      </c>
      <c r="AZ114" s="342"/>
      <c r="BA114" s="342" t="s">
        <v>1106</v>
      </c>
    </row>
    <row r="115" spans="1:53" s="326" customFormat="1" ht="18.149999999999999" customHeight="1" x14ac:dyDescent="0.3">
      <c r="A115" s="340" t="s">
        <v>53</v>
      </c>
      <c r="B115" s="340" t="s">
        <v>54</v>
      </c>
      <c r="C115" s="340" t="s">
        <v>932</v>
      </c>
      <c r="D115" s="340" t="s">
        <v>56</v>
      </c>
      <c r="E115" s="340" t="s">
        <v>57</v>
      </c>
      <c r="F115" s="340" t="s">
        <v>58</v>
      </c>
      <c r="G115" s="340" t="s">
        <v>59</v>
      </c>
      <c r="H115" s="340" t="s">
        <v>60</v>
      </c>
      <c r="I115" s="340" t="s">
        <v>61</v>
      </c>
      <c r="J115" s="340" t="s">
        <v>1107</v>
      </c>
      <c r="K115" s="340" t="s">
        <v>1108</v>
      </c>
      <c r="L115" s="345" t="str">
        <f>VLOOKUP(K115,'20260309 suivi sites'!F:F,1,0)</f>
        <v>62STMA011AOG</v>
      </c>
      <c r="M115" s="340" t="s">
        <v>64</v>
      </c>
      <c r="N115" s="340" t="s">
        <v>65</v>
      </c>
      <c r="O115" s="340" t="s">
        <v>64</v>
      </c>
      <c r="P115" s="341">
        <v>43655</v>
      </c>
      <c r="Q115" s="341">
        <v>44908</v>
      </c>
      <c r="R115" s="347" t="b">
        <f t="shared" si="3"/>
        <v>0</v>
      </c>
      <c r="S115" s="347" t="str">
        <f t="shared" si="2"/>
        <v>change</v>
      </c>
      <c r="T115" s="342" t="s">
        <v>56</v>
      </c>
      <c r="U115" s="342" t="s">
        <v>1109</v>
      </c>
      <c r="V115" s="342" t="s">
        <v>1110</v>
      </c>
      <c r="W115" s="342" t="s">
        <v>1111</v>
      </c>
      <c r="X115" s="342" t="s">
        <v>69</v>
      </c>
      <c r="Y115" s="349" t="s">
        <v>1112</v>
      </c>
      <c r="Z115" s="342" t="s">
        <v>71</v>
      </c>
      <c r="AA115" s="342" t="s">
        <v>72</v>
      </c>
      <c r="AB115" s="342" t="s">
        <v>73</v>
      </c>
      <c r="AC115" s="342" t="s">
        <v>74</v>
      </c>
      <c r="AD115" s="342"/>
      <c r="AE115" s="342" t="s">
        <v>1113</v>
      </c>
      <c r="AF115" s="349" t="s">
        <v>3764</v>
      </c>
      <c r="AG115" s="342" t="s">
        <v>74</v>
      </c>
      <c r="AH115" s="342" t="s">
        <v>76</v>
      </c>
      <c r="AI115" s="342" t="s">
        <v>74</v>
      </c>
      <c r="AJ115" s="342" t="s">
        <v>77</v>
      </c>
      <c r="AK115" s="342" t="s">
        <v>97</v>
      </c>
      <c r="AL115" s="342" t="s">
        <v>79</v>
      </c>
      <c r="AM115" s="342" t="s">
        <v>74</v>
      </c>
      <c r="AN115" s="342"/>
      <c r="AO115" s="342" t="s">
        <v>1114</v>
      </c>
      <c r="AP115" s="342" t="s">
        <v>81</v>
      </c>
      <c r="AQ115" s="349" t="s">
        <v>99</v>
      </c>
      <c r="AR115" s="342" t="s">
        <v>83</v>
      </c>
      <c r="AS115" s="342" t="s">
        <v>84</v>
      </c>
      <c r="AT115" s="342" t="s">
        <v>45</v>
      </c>
      <c r="AU115" s="342" t="s">
        <v>85</v>
      </c>
      <c r="AV115" s="342"/>
      <c r="AW115" s="342"/>
      <c r="AX115" s="343" t="str">
        <f>IF(OR(Tableau3[[#This Row],[Option GTR]]&lt;&gt;"",Tableau3[[#This Row],[GTR spécifique]]&lt;&gt;""),"GTRS1","GTRS2")</f>
        <v>GTRS2</v>
      </c>
      <c r="AY115" s="342" t="s">
        <v>143</v>
      </c>
      <c r="AZ115" s="342"/>
      <c r="BA115" s="342" t="s">
        <v>1115</v>
      </c>
    </row>
    <row r="116" spans="1:53" s="326" customFormat="1" ht="18.149999999999999" customHeight="1" x14ac:dyDescent="0.3">
      <c r="A116" s="340" t="s">
        <v>53</v>
      </c>
      <c r="B116" s="340" t="s">
        <v>54</v>
      </c>
      <c r="C116" s="340" t="s">
        <v>932</v>
      </c>
      <c r="D116" s="340" t="s">
        <v>56</v>
      </c>
      <c r="E116" s="340" t="s">
        <v>57</v>
      </c>
      <c r="F116" s="340" t="s">
        <v>58</v>
      </c>
      <c r="G116" s="340" t="s">
        <v>59</v>
      </c>
      <c r="H116" s="340" t="s">
        <v>60</v>
      </c>
      <c r="I116" s="340" t="s">
        <v>61</v>
      </c>
      <c r="J116" s="340" t="s">
        <v>1116</v>
      </c>
      <c r="K116" s="340" t="s">
        <v>1117</v>
      </c>
      <c r="L116" s="345" t="str">
        <f>VLOOKUP(K116,'20260309 suivi sites'!F:F,1,0)</f>
        <v>65ARGE011AOS</v>
      </c>
      <c r="M116" s="340" t="s">
        <v>64</v>
      </c>
      <c r="N116" s="340" t="s">
        <v>65</v>
      </c>
      <c r="O116" s="340" t="s">
        <v>64</v>
      </c>
      <c r="P116" s="341">
        <v>43531</v>
      </c>
      <c r="Q116" s="341">
        <v>45735</v>
      </c>
      <c r="R116" s="347" t="b">
        <f t="shared" si="3"/>
        <v>0</v>
      </c>
      <c r="S116" s="347" t="str">
        <f t="shared" si="2"/>
        <v>change</v>
      </c>
      <c r="T116" s="342" t="s">
        <v>56</v>
      </c>
      <c r="U116" s="342" t="s">
        <v>1118</v>
      </c>
      <c r="V116" s="342" t="s">
        <v>1119</v>
      </c>
      <c r="W116" s="342" t="s">
        <v>1120</v>
      </c>
      <c r="X116" s="342" t="s">
        <v>69</v>
      </c>
      <c r="Y116" s="349" t="s">
        <v>1121</v>
      </c>
      <c r="Z116" s="342" t="s">
        <v>71</v>
      </c>
      <c r="AA116" s="342" t="s">
        <v>72</v>
      </c>
      <c r="AB116" s="342" t="s">
        <v>73</v>
      </c>
      <c r="AC116" s="342" t="s">
        <v>74</v>
      </c>
      <c r="AD116" s="342"/>
      <c r="AE116" s="342" t="s">
        <v>1122</v>
      </c>
      <c r="AF116" s="349" t="s">
        <v>3771</v>
      </c>
      <c r="AG116" s="342" t="s">
        <v>74</v>
      </c>
      <c r="AH116" s="342" t="s">
        <v>76</v>
      </c>
      <c r="AI116" s="342" t="s">
        <v>74</v>
      </c>
      <c r="AJ116" s="342" t="s">
        <v>77</v>
      </c>
      <c r="AK116" s="342" t="s">
        <v>97</v>
      </c>
      <c r="AL116" s="342" t="s">
        <v>79</v>
      </c>
      <c r="AM116" s="342" t="s">
        <v>74</v>
      </c>
      <c r="AN116" s="342"/>
      <c r="AO116" s="342" t="s">
        <v>1123</v>
      </c>
      <c r="AP116" s="342" t="s">
        <v>81</v>
      </c>
      <c r="AQ116" s="349" t="s">
        <v>222</v>
      </c>
      <c r="AR116" s="342" t="s">
        <v>83</v>
      </c>
      <c r="AS116" s="342" t="s">
        <v>84</v>
      </c>
      <c r="AT116" s="342" t="s">
        <v>45</v>
      </c>
      <c r="AU116" s="342" t="s">
        <v>85</v>
      </c>
      <c r="AV116" s="342"/>
      <c r="AW116" s="342"/>
      <c r="AX116" s="343" t="str">
        <f>IF(OR(Tableau3[[#This Row],[Option GTR]]&lt;&gt;"",Tableau3[[#This Row],[GTR spécifique]]&lt;&gt;""),"GTRS1","GTRS2")</f>
        <v>GTRS2</v>
      </c>
      <c r="AY116" s="342" t="s">
        <v>143</v>
      </c>
      <c r="AZ116" s="342"/>
      <c r="BA116" s="342" t="s">
        <v>1124</v>
      </c>
    </row>
    <row r="117" spans="1:53" s="326" customFormat="1" ht="18.149999999999999" customHeight="1" x14ac:dyDescent="0.3">
      <c r="A117" s="340" t="s">
        <v>53</v>
      </c>
      <c r="B117" s="340" t="s">
        <v>54</v>
      </c>
      <c r="C117" s="340" t="s">
        <v>932</v>
      </c>
      <c r="D117" s="340" t="s">
        <v>56</v>
      </c>
      <c r="E117" s="340" t="s">
        <v>57</v>
      </c>
      <c r="F117" s="340" t="s">
        <v>58</v>
      </c>
      <c r="G117" s="340" t="s">
        <v>59</v>
      </c>
      <c r="H117" s="340" t="s">
        <v>60</v>
      </c>
      <c r="I117" s="340" t="s">
        <v>61</v>
      </c>
      <c r="J117" s="340" t="s">
        <v>1125</v>
      </c>
      <c r="K117" s="340" t="s">
        <v>1126</v>
      </c>
      <c r="L117" s="345" t="str">
        <f>VLOOKUP(K117,'20260309 suivi sites'!F:F,1,0)</f>
        <v>65BAGN011AOG</v>
      </c>
      <c r="M117" s="340" t="s">
        <v>64</v>
      </c>
      <c r="N117" s="340" t="s">
        <v>65</v>
      </c>
      <c r="O117" s="340" t="s">
        <v>64</v>
      </c>
      <c r="P117" s="341">
        <v>43879</v>
      </c>
      <c r="Q117" s="341">
        <v>45439</v>
      </c>
      <c r="R117" s="347" t="b">
        <f t="shared" si="3"/>
        <v>0</v>
      </c>
      <c r="S117" s="347" t="str">
        <f t="shared" si="2"/>
        <v>change</v>
      </c>
      <c r="T117" s="342" t="s">
        <v>56</v>
      </c>
      <c r="U117" s="342" t="s">
        <v>1127</v>
      </c>
      <c r="V117" s="342" t="s">
        <v>1128</v>
      </c>
      <c r="W117" s="342" t="s">
        <v>1129</v>
      </c>
      <c r="X117" s="342" t="s">
        <v>69</v>
      </c>
      <c r="Y117" s="349" t="s">
        <v>1130</v>
      </c>
      <c r="Z117" s="342" t="s">
        <v>71</v>
      </c>
      <c r="AA117" s="342" t="s">
        <v>72</v>
      </c>
      <c r="AB117" s="342" t="s">
        <v>73</v>
      </c>
      <c r="AC117" s="342" t="s">
        <v>74</v>
      </c>
      <c r="AD117" s="342"/>
      <c r="AE117" s="342" t="s">
        <v>1131</v>
      </c>
      <c r="AF117" s="349" t="s">
        <v>3771</v>
      </c>
      <c r="AG117" s="342" t="s">
        <v>74</v>
      </c>
      <c r="AH117" s="342" t="s">
        <v>76</v>
      </c>
      <c r="AI117" s="342" t="s">
        <v>74</v>
      </c>
      <c r="AJ117" s="342" t="s">
        <v>77</v>
      </c>
      <c r="AK117" s="342" t="s">
        <v>97</v>
      </c>
      <c r="AL117" s="342" t="s">
        <v>79</v>
      </c>
      <c r="AM117" s="342" t="s">
        <v>74</v>
      </c>
      <c r="AN117" s="342"/>
      <c r="AO117" s="342" t="s">
        <v>1132</v>
      </c>
      <c r="AP117" s="342" t="s">
        <v>81</v>
      </c>
      <c r="AQ117" s="349" t="s">
        <v>222</v>
      </c>
      <c r="AR117" s="342" t="s">
        <v>83</v>
      </c>
      <c r="AS117" s="342" t="s">
        <v>84</v>
      </c>
      <c r="AT117" s="342" t="s">
        <v>45</v>
      </c>
      <c r="AU117" s="342" t="s">
        <v>85</v>
      </c>
      <c r="AV117" s="342" t="s">
        <v>120</v>
      </c>
      <c r="AW117" s="342"/>
      <c r="AX117" s="343" t="str">
        <f>IF(OR(Tableau3[[#This Row],[Option GTR]]&lt;&gt;"",Tableau3[[#This Row],[GTR spécifique]]&lt;&gt;""),"GTRS1","GTRS2")</f>
        <v>GTRS1</v>
      </c>
      <c r="AY117" s="342" t="s">
        <v>143</v>
      </c>
      <c r="AZ117" s="342"/>
      <c r="BA117" s="342" t="s">
        <v>1133</v>
      </c>
    </row>
    <row r="118" spans="1:53" s="326" customFormat="1" ht="18.149999999999999" customHeight="1" x14ac:dyDescent="0.3">
      <c r="A118" s="340" t="s">
        <v>53</v>
      </c>
      <c r="B118" s="340" t="s">
        <v>54</v>
      </c>
      <c r="C118" s="340" t="s">
        <v>932</v>
      </c>
      <c r="D118" s="340" t="s">
        <v>56</v>
      </c>
      <c r="E118" s="340" t="s">
        <v>57</v>
      </c>
      <c r="F118" s="340" t="s">
        <v>58</v>
      </c>
      <c r="G118" s="340" t="s">
        <v>59</v>
      </c>
      <c r="H118" s="340" t="s">
        <v>60</v>
      </c>
      <c r="I118" s="340" t="s">
        <v>61</v>
      </c>
      <c r="J118" s="340" t="s">
        <v>1134</v>
      </c>
      <c r="K118" s="340" t="s">
        <v>1135</v>
      </c>
      <c r="L118" s="345" t="str">
        <f>VLOOKUP(K118,'20260309 suivi sites'!F:F,1,0)</f>
        <v>66RIVE011AOG</v>
      </c>
      <c r="M118" s="340" t="s">
        <v>64</v>
      </c>
      <c r="N118" s="340" t="s">
        <v>65</v>
      </c>
      <c r="O118" s="340" t="s">
        <v>64</v>
      </c>
      <c r="P118" s="341">
        <v>43601</v>
      </c>
      <c r="Q118" s="341">
        <v>44091</v>
      </c>
      <c r="R118" s="347" t="b">
        <f t="shared" si="3"/>
        <v>0</v>
      </c>
      <c r="S118" s="347" t="str">
        <f t="shared" si="2"/>
        <v>change</v>
      </c>
      <c r="T118" s="342" t="s">
        <v>56</v>
      </c>
      <c r="U118" s="342" t="s">
        <v>1136</v>
      </c>
      <c r="V118" s="342" t="s">
        <v>1137</v>
      </c>
      <c r="W118" s="342" t="s">
        <v>1138</v>
      </c>
      <c r="X118" s="342" t="s">
        <v>69</v>
      </c>
      <c r="Y118" s="349" t="s">
        <v>1139</v>
      </c>
      <c r="Z118" s="342" t="s">
        <v>71</v>
      </c>
      <c r="AA118" s="342" t="s">
        <v>72</v>
      </c>
      <c r="AB118" s="342" t="s">
        <v>73</v>
      </c>
      <c r="AC118" s="342" t="s">
        <v>74</v>
      </c>
      <c r="AD118" s="342"/>
      <c r="AE118" s="342" t="s">
        <v>1140</v>
      </c>
      <c r="AF118" s="349" t="s">
        <v>3770</v>
      </c>
      <c r="AG118" s="342" t="s">
        <v>74</v>
      </c>
      <c r="AH118" s="342" t="s">
        <v>76</v>
      </c>
      <c r="AI118" s="342" t="s">
        <v>74</v>
      </c>
      <c r="AJ118" s="342" t="s">
        <v>77</v>
      </c>
      <c r="AK118" s="342" t="s">
        <v>97</v>
      </c>
      <c r="AL118" s="342" t="s">
        <v>79</v>
      </c>
      <c r="AM118" s="342" t="s">
        <v>74</v>
      </c>
      <c r="AN118" s="342"/>
      <c r="AO118" s="342" t="s">
        <v>1141</v>
      </c>
      <c r="AP118" s="342" t="s">
        <v>81</v>
      </c>
      <c r="AQ118" s="349" t="s">
        <v>210</v>
      </c>
      <c r="AR118" s="342" t="s">
        <v>83</v>
      </c>
      <c r="AS118" s="342" t="s">
        <v>84</v>
      </c>
      <c r="AT118" s="342" t="s">
        <v>45</v>
      </c>
      <c r="AU118" s="342" t="s">
        <v>85</v>
      </c>
      <c r="AV118" s="342"/>
      <c r="AW118" s="342"/>
      <c r="AX118" s="343" t="str">
        <f>IF(OR(Tableau3[[#This Row],[Option GTR]]&lt;&gt;"",Tableau3[[#This Row],[GTR spécifique]]&lt;&gt;""),"GTRS1","GTRS2")</f>
        <v>GTRS2</v>
      </c>
      <c r="AY118" s="342" t="s">
        <v>143</v>
      </c>
      <c r="AZ118" s="342"/>
      <c r="BA118" s="342" t="s">
        <v>241</v>
      </c>
    </row>
    <row r="119" spans="1:53" s="326" customFormat="1" ht="18.149999999999999" customHeight="1" x14ac:dyDescent="0.3">
      <c r="A119" s="340" t="s">
        <v>53</v>
      </c>
      <c r="B119" s="340" t="s">
        <v>54</v>
      </c>
      <c r="C119" s="340" t="s">
        <v>932</v>
      </c>
      <c r="D119" s="340" t="s">
        <v>56</v>
      </c>
      <c r="E119" s="340" t="s">
        <v>57</v>
      </c>
      <c r="F119" s="340" t="s">
        <v>58</v>
      </c>
      <c r="G119" s="340" t="s">
        <v>59</v>
      </c>
      <c r="H119" s="340" t="s">
        <v>60</v>
      </c>
      <c r="I119" s="340" t="s">
        <v>61</v>
      </c>
      <c r="J119" s="340" t="s">
        <v>1142</v>
      </c>
      <c r="K119" s="340" t="s">
        <v>1143</v>
      </c>
      <c r="L119" s="345" t="str">
        <f>VLOOKUP(K119,'20260309 suivi sites'!F:F,1,0)</f>
        <v>68MULH011AOP</v>
      </c>
      <c r="M119" s="340" t="s">
        <v>64</v>
      </c>
      <c r="N119" s="340" t="s">
        <v>65</v>
      </c>
      <c r="O119" s="340" t="s">
        <v>64</v>
      </c>
      <c r="P119" s="341">
        <v>43811</v>
      </c>
      <c r="Q119" s="341">
        <v>45428</v>
      </c>
      <c r="R119" s="347" t="b">
        <f t="shared" si="3"/>
        <v>0</v>
      </c>
      <c r="S119" s="347" t="str">
        <f t="shared" si="2"/>
        <v>change</v>
      </c>
      <c r="T119" s="342" t="s">
        <v>56</v>
      </c>
      <c r="U119" s="342" t="s">
        <v>1144</v>
      </c>
      <c r="V119" s="342" t="s">
        <v>1145</v>
      </c>
      <c r="W119" s="342" t="s">
        <v>426</v>
      </c>
      <c r="X119" s="342" t="s">
        <v>69</v>
      </c>
      <c r="Y119" s="349" t="s">
        <v>1146</v>
      </c>
      <c r="Z119" s="342" t="s">
        <v>71</v>
      </c>
      <c r="AA119" s="342" t="s">
        <v>72</v>
      </c>
      <c r="AB119" s="342" t="s">
        <v>73</v>
      </c>
      <c r="AC119" s="342" t="s">
        <v>74</v>
      </c>
      <c r="AD119" s="342"/>
      <c r="AE119" s="342" t="s">
        <v>1147</v>
      </c>
      <c r="AF119" s="349" t="s">
        <v>3769</v>
      </c>
      <c r="AG119" s="342" t="s">
        <v>74</v>
      </c>
      <c r="AH119" s="342" t="s">
        <v>76</v>
      </c>
      <c r="AI119" s="342" t="s">
        <v>74</v>
      </c>
      <c r="AJ119" s="342" t="s">
        <v>77</v>
      </c>
      <c r="AK119" s="342" t="s">
        <v>78</v>
      </c>
      <c r="AL119" s="342" t="s">
        <v>79</v>
      </c>
      <c r="AM119" s="342" t="s">
        <v>166</v>
      </c>
      <c r="AN119" s="342" t="s">
        <v>1148</v>
      </c>
      <c r="AO119" s="342" t="s">
        <v>1149</v>
      </c>
      <c r="AP119" s="342" t="s">
        <v>81</v>
      </c>
      <c r="AQ119" s="349" t="s">
        <v>200</v>
      </c>
      <c r="AR119" s="342" t="s">
        <v>83</v>
      </c>
      <c r="AS119" s="342" t="s">
        <v>84</v>
      </c>
      <c r="AT119" s="342" t="s">
        <v>45</v>
      </c>
      <c r="AU119" s="342" t="s">
        <v>85</v>
      </c>
      <c r="AV119" s="342"/>
      <c r="AW119" s="342"/>
      <c r="AX119" s="343" t="str">
        <f>IF(OR(Tableau3[[#This Row],[Option GTR]]&lt;&gt;"",Tableau3[[#This Row],[GTR spécifique]]&lt;&gt;""),"GTRS1","GTRS2")</f>
        <v>GTRS2</v>
      </c>
      <c r="AY119" s="342" t="s">
        <v>86</v>
      </c>
      <c r="AZ119" s="342"/>
      <c r="BA119" s="342" t="s">
        <v>1150</v>
      </c>
    </row>
    <row r="120" spans="1:53" s="326" customFormat="1" ht="18.149999999999999" customHeight="1" x14ac:dyDescent="0.3">
      <c r="A120" s="340" t="s">
        <v>53</v>
      </c>
      <c r="B120" s="340" t="s">
        <v>54</v>
      </c>
      <c r="C120" s="340" t="s">
        <v>932</v>
      </c>
      <c r="D120" s="340" t="s">
        <v>56</v>
      </c>
      <c r="E120" s="340" t="s">
        <v>57</v>
      </c>
      <c r="F120" s="340" t="s">
        <v>58</v>
      </c>
      <c r="G120" s="340" t="s">
        <v>59</v>
      </c>
      <c r="H120" s="340" t="s">
        <v>60</v>
      </c>
      <c r="I120" s="340" t="s">
        <v>61</v>
      </c>
      <c r="J120" s="340" t="s">
        <v>1151</v>
      </c>
      <c r="K120" s="340" t="s">
        <v>1152</v>
      </c>
      <c r="L120" s="345" t="str">
        <f>VLOOKUP(K120,'20260309 suivi sites'!F:F,1,0)</f>
        <v>69VILL011AOG</v>
      </c>
      <c r="M120" s="340" t="s">
        <v>64</v>
      </c>
      <c r="N120" s="340" t="s">
        <v>65</v>
      </c>
      <c r="O120" s="340" t="s">
        <v>64</v>
      </c>
      <c r="P120" s="341">
        <v>43620</v>
      </c>
      <c r="Q120" s="341">
        <v>45803</v>
      </c>
      <c r="R120" s="347" t="b">
        <f t="shared" si="3"/>
        <v>0</v>
      </c>
      <c r="S120" s="347" t="str">
        <f t="shared" si="2"/>
        <v>change</v>
      </c>
      <c r="T120" s="342" t="s">
        <v>56</v>
      </c>
      <c r="U120" s="342" t="s">
        <v>1153</v>
      </c>
      <c r="V120" s="342" t="s">
        <v>1154</v>
      </c>
      <c r="W120" s="342" t="s">
        <v>1155</v>
      </c>
      <c r="X120" s="342" t="s">
        <v>69</v>
      </c>
      <c r="Y120" s="349" t="s">
        <v>1156</v>
      </c>
      <c r="Z120" s="342" t="s">
        <v>71</v>
      </c>
      <c r="AA120" s="342" t="s">
        <v>72</v>
      </c>
      <c r="AB120" s="342" t="s">
        <v>73</v>
      </c>
      <c r="AC120" s="342" t="s">
        <v>74</v>
      </c>
      <c r="AD120" s="342"/>
      <c r="AE120" s="342" t="s">
        <v>1157</v>
      </c>
      <c r="AF120" s="349" t="s">
        <v>3765</v>
      </c>
      <c r="AG120" s="342" t="s">
        <v>74</v>
      </c>
      <c r="AH120" s="342" t="s">
        <v>76</v>
      </c>
      <c r="AI120" s="342" t="s">
        <v>74</v>
      </c>
      <c r="AJ120" s="342" t="s">
        <v>77</v>
      </c>
      <c r="AK120" s="342" t="s">
        <v>1158</v>
      </c>
      <c r="AL120" s="342" t="s">
        <v>79</v>
      </c>
      <c r="AM120" s="342" t="s">
        <v>74</v>
      </c>
      <c r="AN120" s="342"/>
      <c r="AO120" s="342" t="s">
        <v>1159</v>
      </c>
      <c r="AP120" s="342" t="s">
        <v>81</v>
      </c>
      <c r="AQ120" s="349" t="s">
        <v>200</v>
      </c>
      <c r="AR120" s="342" t="s">
        <v>83</v>
      </c>
      <c r="AS120" s="342" t="s">
        <v>84</v>
      </c>
      <c r="AT120" s="342" t="s">
        <v>45</v>
      </c>
      <c r="AU120" s="342" t="s">
        <v>85</v>
      </c>
      <c r="AV120" s="342"/>
      <c r="AW120" s="342"/>
      <c r="AX120" s="343" t="str">
        <f>IF(OR(Tableau3[[#This Row],[Option GTR]]&lt;&gt;"",Tableau3[[#This Row],[GTR spécifique]]&lt;&gt;""),"GTRS1","GTRS2")</f>
        <v>GTRS2</v>
      </c>
      <c r="AY120" s="342" t="s">
        <v>86</v>
      </c>
      <c r="AZ120" s="342"/>
      <c r="BA120" s="342" t="s">
        <v>1160</v>
      </c>
    </row>
    <row r="121" spans="1:53" s="326" customFormat="1" ht="18.149999999999999" customHeight="1" x14ac:dyDescent="0.3">
      <c r="A121" s="340" t="s">
        <v>53</v>
      </c>
      <c r="B121" s="340" t="s">
        <v>54</v>
      </c>
      <c r="C121" s="340" t="s">
        <v>932</v>
      </c>
      <c r="D121" s="340" t="s">
        <v>56</v>
      </c>
      <c r="E121" s="340" t="s">
        <v>57</v>
      </c>
      <c r="F121" s="340" t="s">
        <v>58</v>
      </c>
      <c r="G121" s="340" t="s">
        <v>59</v>
      </c>
      <c r="H121" s="340" t="s">
        <v>60</v>
      </c>
      <c r="I121" s="340" t="s">
        <v>61</v>
      </c>
      <c r="J121" s="340" t="s">
        <v>1161</v>
      </c>
      <c r="K121" s="340" t="s">
        <v>1162</v>
      </c>
      <c r="L121" s="345" t="str">
        <f>VLOOKUP(K121,'20260309 suivi sites'!F:F,1,0)</f>
        <v>73MONT011AOS</v>
      </c>
      <c r="M121" s="340" t="s">
        <v>64</v>
      </c>
      <c r="N121" s="340" t="s">
        <v>65</v>
      </c>
      <c r="O121" s="340" t="s">
        <v>64</v>
      </c>
      <c r="P121" s="341">
        <v>43558</v>
      </c>
      <c r="Q121" s="341">
        <v>45805</v>
      </c>
      <c r="R121" s="347" t="b">
        <f t="shared" si="3"/>
        <v>0</v>
      </c>
      <c r="S121" s="347" t="str">
        <f t="shared" si="2"/>
        <v>change</v>
      </c>
      <c r="T121" s="342" t="s">
        <v>56</v>
      </c>
      <c r="U121" s="342" t="s">
        <v>1163</v>
      </c>
      <c r="V121" s="342" t="s">
        <v>1164</v>
      </c>
      <c r="W121" s="342" t="s">
        <v>1165</v>
      </c>
      <c r="X121" s="342" t="s">
        <v>69</v>
      </c>
      <c r="Y121" s="349" t="s">
        <v>1166</v>
      </c>
      <c r="Z121" s="342" t="s">
        <v>71</v>
      </c>
      <c r="AA121" s="342" t="s">
        <v>72</v>
      </c>
      <c r="AB121" s="342" t="s">
        <v>73</v>
      </c>
      <c r="AC121" s="342" t="s">
        <v>74</v>
      </c>
      <c r="AD121" s="342"/>
      <c r="AE121" s="342" t="s">
        <v>1167</v>
      </c>
      <c r="AF121" s="349" t="s">
        <v>3770</v>
      </c>
      <c r="AG121" s="342" t="s">
        <v>74</v>
      </c>
      <c r="AH121" s="342" t="s">
        <v>76</v>
      </c>
      <c r="AI121" s="342" t="s">
        <v>76</v>
      </c>
      <c r="AJ121" s="342" t="s">
        <v>77</v>
      </c>
      <c r="AK121" s="342" t="s">
        <v>97</v>
      </c>
      <c r="AL121" s="342" t="s">
        <v>79</v>
      </c>
      <c r="AM121" s="342" t="s">
        <v>74</v>
      </c>
      <c r="AN121" s="342"/>
      <c r="AO121" s="342" t="s">
        <v>1168</v>
      </c>
      <c r="AP121" s="342" t="s">
        <v>81</v>
      </c>
      <c r="AQ121" s="349" t="s">
        <v>210</v>
      </c>
      <c r="AR121" s="342" t="s">
        <v>83</v>
      </c>
      <c r="AS121" s="342" t="s">
        <v>84</v>
      </c>
      <c r="AT121" s="342" t="s">
        <v>45</v>
      </c>
      <c r="AU121" s="342" t="s">
        <v>85</v>
      </c>
      <c r="AV121" s="342"/>
      <c r="AW121" s="342"/>
      <c r="AX121" s="343" t="str">
        <f>IF(OR(Tableau3[[#This Row],[Option GTR]]&lt;&gt;"",Tableau3[[#This Row],[GTR spécifique]]&lt;&gt;""),"GTRS1","GTRS2")</f>
        <v>GTRS2</v>
      </c>
      <c r="AY121" s="342" t="s">
        <v>143</v>
      </c>
      <c r="AZ121" s="342"/>
      <c r="BA121" s="342" t="s">
        <v>1169</v>
      </c>
    </row>
    <row r="122" spans="1:53" s="326" customFormat="1" ht="18.149999999999999" customHeight="1" x14ac:dyDescent="0.3">
      <c r="A122" s="340" t="s">
        <v>53</v>
      </c>
      <c r="B122" s="340" t="s">
        <v>54</v>
      </c>
      <c r="C122" s="340" t="s">
        <v>932</v>
      </c>
      <c r="D122" s="340" t="s">
        <v>56</v>
      </c>
      <c r="E122" s="340" t="s">
        <v>57</v>
      </c>
      <c r="F122" s="340" t="s">
        <v>58</v>
      </c>
      <c r="G122" s="340" t="s">
        <v>59</v>
      </c>
      <c r="H122" s="340" t="s">
        <v>60</v>
      </c>
      <c r="I122" s="340" t="s">
        <v>61</v>
      </c>
      <c r="J122" s="340" t="s">
        <v>1170</v>
      </c>
      <c r="K122" s="340" t="s">
        <v>1171</v>
      </c>
      <c r="L122" s="345" t="str">
        <f>VLOOKUP(K122,'20260309 suivi sites'!F:F,1,0)</f>
        <v>74CLUS011AOS</v>
      </c>
      <c r="M122" s="340" t="s">
        <v>64</v>
      </c>
      <c r="N122" s="340" t="s">
        <v>65</v>
      </c>
      <c r="O122" s="340" t="s">
        <v>64</v>
      </c>
      <c r="P122" s="341">
        <v>43564</v>
      </c>
      <c r="Q122" s="341">
        <v>46010</v>
      </c>
      <c r="R122" s="347" t="b">
        <f t="shared" si="3"/>
        <v>0</v>
      </c>
      <c r="S122" s="347" t="str">
        <f t="shared" si="2"/>
        <v>change</v>
      </c>
      <c r="T122" s="342" t="s">
        <v>56</v>
      </c>
      <c r="U122" s="342" t="s">
        <v>1172</v>
      </c>
      <c r="V122" s="342" t="s">
        <v>1173</v>
      </c>
      <c r="W122" s="342" t="s">
        <v>1174</v>
      </c>
      <c r="X122" s="342" t="s">
        <v>69</v>
      </c>
      <c r="Y122" s="349" t="s">
        <v>1175</v>
      </c>
      <c r="Z122" s="342" t="s">
        <v>71</v>
      </c>
      <c r="AA122" s="342" t="s">
        <v>72</v>
      </c>
      <c r="AB122" s="342" t="s">
        <v>73</v>
      </c>
      <c r="AC122" s="342" t="s">
        <v>74</v>
      </c>
      <c r="AD122" s="342"/>
      <c r="AE122" s="342" t="s">
        <v>1176</v>
      </c>
      <c r="AF122" s="349" t="s">
        <v>3770</v>
      </c>
      <c r="AG122" s="342" t="s">
        <v>74</v>
      </c>
      <c r="AH122" s="342" t="s">
        <v>76</v>
      </c>
      <c r="AI122" s="342" t="s">
        <v>74</v>
      </c>
      <c r="AJ122" s="342" t="s">
        <v>77</v>
      </c>
      <c r="AK122" s="342" t="s">
        <v>97</v>
      </c>
      <c r="AL122" s="342" t="s">
        <v>79</v>
      </c>
      <c r="AM122" s="342" t="s">
        <v>74</v>
      </c>
      <c r="AN122" s="342"/>
      <c r="AO122" s="342" t="s">
        <v>1177</v>
      </c>
      <c r="AP122" s="342" t="s">
        <v>81</v>
      </c>
      <c r="AQ122" s="349" t="s">
        <v>210</v>
      </c>
      <c r="AR122" s="342" t="s">
        <v>83</v>
      </c>
      <c r="AS122" s="342" t="s">
        <v>84</v>
      </c>
      <c r="AT122" s="342" t="s">
        <v>45</v>
      </c>
      <c r="AU122" s="342" t="s">
        <v>85</v>
      </c>
      <c r="AV122" s="342"/>
      <c r="AW122" s="342"/>
      <c r="AX122" s="343" t="str">
        <f>IF(OR(Tableau3[[#This Row],[Option GTR]]&lt;&gt;"",Tableau3[[#This Row],[GTR spécifique]]&lt;&gt;""),"GTRS1","GTRS2")</f>
        <v>GTRS2</v>
      </c>
      <c r="AY122" s="342" t="s">
        <v>143</v>
      </c>
      <c r="AZ122" s="342"/>
      <c r="BA122" s="342" t="s">
        <v>1178</v>
      </c>
    </row>
    <row r="123" spans="1:53" s="326" customFormat="1" ht="18.149999999999999" customHeight="1" x14ac:dyDescent="0.3">
      <c r="A123" s="340" t="s">
        <v>53</v>
      </c>
      <c r="B123" s="340" t="s">
        <v>54</v>
      </c>
      <c r="C123" s="340" t="s">
        <v>932</v>
      </c>
      <c r="D123" s="340" t="s">
        <v>56</v>
      </c>
      <c r="E123" s="340" t="s">
        <v>57</v>
      </c>
      <c r="F123" s="340" t="s">
        <v>58</v>
      </c>
      <c r="G123" s="340" t="s">
        <v>59</v>
      </c>
      <c r="H123" s="340" t="s">
        <v>60</v>
      </c>
      <c r="I123" s="340" t="s">
        <v>61</v>
      </c>
      <c r="J123" s="340" t="s">
        <v>1179</v>
      </c>
      <c r="K123" s="340" t="s">
        <v>1180</v>
      </c>
      <c r="L123" s="345" t="str">
        <f>VLOOKUP(K123,'20260309 suivi sites'!F:F,1,0)</f>
        <v>74THON011AOB</v>
      </c>
      <c r="M123" s="340" t="s">
        <v>64</v>
      </c>
      <c r="N123" s="340" t="s">
        <v>65</v>
      </c>
      <c r="O123" s="340" t="s">
        <v>104</v>
      </c>
      <c r="P123" s="341">
        <v>43634</v>
      </c>
      <c r="Q123" s="341"/>
      <c r="R123" s="347" t="b">
        <f t="shared" si="3"/>
        <v>0</v>
      </c>
      <c r="S123" s="347" t="str">
        <f t="shared" si="2"/>
        <v>change</v>
      </c>
      <c r="T123" s="342" t="s">
        <v>1181</v>
      </c>
      <c r="U123" s="342" t="s">
        <v>1182</v>
      </c>
      <c r="V123" s="342" t="s">
        <v>1183</v>
      </c>
      <c r="W123" s="342" t="s">
        <v>1184</v>
      </c>
      <c r="X123" s="342" t="s">
        <v>69</v>
      </c>
      <c r="Y123" s="349" t="s">
        <v>1185</v>
      </c>
      <c r="Z123" s="342" t="s">
        <v>71</v>
      </c>
      <c r="AA123" s="342" t="s">
        <v>218</v>
      </c>
      <c r="AB123" s="342" t="s">
        <v>152</v>
      </c>
      <c r="AC123" s="342" t="s">
        <v>74</v>
      </c>
      <c r="AD123" s="342"/>
      <c r="AE123" s="342" t="s">
        <v>1186</v>
      </c>
      <c r="AF123" s="349" t="s">
        <v>3770</v>
      </c>
      <c r="AG123" s="342" t="s">
        <v>74</v>
      </c>
      <c r="AH123" s="342" t="s">
        <v>76</v>
      </c>
      <c r="AI123" s="342" t="s">
        <v>74</v>
      </c>
      <c r="AJ123" s="342" t="s">
        <v>77</v>
      </c>
      <c r="AK123" s="342" t="s">
        <v>220</v>
      </c>
      <c r="AL123" s="342" t="s">
        <v>79</v>
      </c>
      <c r="AM123" s="342" t="s">
        <v>74</v>
      </c>
      <c r="AN123" s="342"/>
      <c r="AO123" s="342" t="s">
        <v>1187</v>
      </c>
      <c r="AP123" s="342" t="s">
        <v>81</v>
      </c>
      <c r="AQ123" s="349" t="s">
        <v>210</v>
      </c>
      <c r="AR123" s="342" t="s">
        <v>83</v>
      </c>
      <c r="AS123" s="342" t="s">
        <v>84</v>
      </c>
      <c r="AT123" s="342" t="s">
        <v>45</v>
      </c>
      <c r="AU123" s="342" t="s">
        <v>85</v>
      </c>
      <c r="AV123" s="342"/>
      <c r="AW123" s="342"/>
      <c r="AX123" s="343" t="str">
        <f>IF(OR(Tableau3[[#This Row],[Option GTR]]&lt;&gt;"",Tableau3[[#This Row],[GTR spécifique]]&lt;&gt;""),"GTRS1","GTRS2")</f>
        <v>GTRS2</v>
      </c>
      <c r="AY123" s="342" t="s">
        <v>1188</v>
      </c>
      <c r="AZ123" s="342"/>
      <c r="BA123" s="342" t="s">
        <v>1189</v>
      </c>
    </row>
    <row r="124" spans="1:53" s="326" customFormat="1" ht="18.149999999999999" customHeight="1" x14ac:dyDescent="0.3">
      <c r="A124" s="340" t="s">
        <v>53</v>
      </c>
      <c r="B124" s="340" t="s">
        <v>54</v>
      </c>
      <c r="C124" s="340" t="s">
        <v>932</v>
      </c>
      <c r="D124" s="340" t="s">
        <v>56</v>
      </c>
      <c r="E124" s="340" t="s">
        <v>57</v>
      </c>
      <c r="F124" s="340" t="s">
        <v>58</v>
      </c>
      <c r="G124" s="340" t="s">
        <v>59</v>
      </c>
      <c r="H124" s="340" t="s">
        <v>60</v>
      </c>
      <c r="I124" s="340" t="s">
        <v>61</v>
      </c>
      <c r="J124" s="340" t="s">
        <v>1190</v>
      </c>
      <c r="K124" s="340" t="s">
        <v>1191</v>
      </c>
      <c r="L124" s="345" t="str">
        <f>VLOOKUP(K124,'20260309 suivi sites'!F:F,1,0)</f>
        <v>81ALBI011AOG</v>
      </c>
      <c r="M124" s="340" t="s">
        <v>64</v>
      </c>
      <c r="N124" s="340" t="s">
        <v>65</v>
      </c>
      <c r="O124" s="340" t="s">
        <v>64</v>
      </c>
      <c r="P124" s="341">
        <v>43558</v>
      </c>
      <c r="Q124" s="341">
        <v>45344</v>
      </c>
      <c r="R124" s="347" t="b">
        <f t="shared" si="3"/>
        <v>0</v>
      </c>
      <c r="S124" s="347" t="str">
        <f t="shared" si="2"/>
        <v>change</v>
      </c>
      <c r="T124" s="342" t="s">
        <v>56</v>
      </c>
      <c r="U124" s="342" t="s">
        <v>1192</v>
      </c>
      <c r="V124" s="342" t="s">
        <v>1193</v>
      </c>
      <c r="W124" s="342" t="s">
        <v>1194</v>
      </c>
      <c r="X124" s="342" t="s">
        <v>69</v>
      </c>
      <c r="Y124" s="349" t="s">
        <v>1195</v>
      </c>
      <c r="Z124" s="342" t="s">
        <v>71</v>
      </c>
      <c r="AA124" s="342" t="s">
        <v>72</v>
      </c>
      <c r="AB124" s="342" t="s">
        <v>73</v>
      </c>
      <c r="AC124" s="342" t="s">
        <v>74</v>
      </c>
      <c r="AD124" s="342"/>
      <c r="AE124" s="342" t="s">
        <v>1196</v>
      </c>
      <c r="AF124" s="349" t="s">
        <v>3771</v>
      </c>
      <c r="AG124" s="342" t="s">
        <v>74</v>
      </c>
      <c r="AH124" s="342" t="s">
        <v>76</v>
      </c>
      <c r="AI124" s="342" t="s">
        <v>74</v>
      </c>
      <c r="AJ124" s="342" t="s">
        <v>77</v>
      </c>
      <c r="AK124" s="342" t="s">
        <v>97</v>
      </c>
      <c r="AL124" s="342" t="s">
        <v>79</v>
      </c>
      <c r="AM124" s="342" t="s">
        <v>74</v>
      </c>
      <c r="AN124" s="342"/>
      <c r="AO124" s="342" t="s">
        <v>1197</v>
      </c>
      <c r="AP124" s="342" t="s">
        <v>81</v>
      </c>
      <c r="AQ124" s="349" t="s">
        <v>222</v>
      </c>
      <c r="AR124" s="342" t="s">
        <v>83</v>
      </c>
      <c r="AS124" s="342" t="s">
        <v>84</v>
      </c>
      <c r="AT124" s="342" t="s">
        <v>45</v>
      </c>
      <c r="AU124" s="342" t="s">
        <v>85</v>
      </c>
      <c r="AV124" s="342"/>
      <c r="AW124" s="342"/>
      <c r="AX124" s="343" t="str">
        <f>IF(OR(Tableau3[[#This Row],[Option GTR]]&lt;&gt;"",Tableau3[[#This Row],[GTR spécifique]]&lt;&gt;""),"GTRS1","GTRS2")</f>
        <v>GTRS2</v>
      </c>
      <c r="AY124" s="342" t="s">
        <v>100</v>
      </c>
      <c r="AZ124" s="342"/>
      <c r="BA124" s="342" t="s">
        <v>1198</v>
      </c>
    </row>
    <row r="125" spans="1:53" s="326" customFormat="1" ht="18.149999999999999" customHeight="1" x14ac:dyDescent="0.3">
      <c r="A125" s="340" t="s">
        <v>53</v>
      </c>
      <c r="B125" s="340" t="s">
        <v>54</v>
      </c>
      <c r="C125" s="340" t="s">
        <v>932</v>
      </c>
      <c r="D125" s="340" t="s">
        <v>56</v>
      </c>
      <c r="E125" s="340" t="s">
        <v>57</v>
      </c>
      <c r="F125" s="340" t="s">
        <v>58</v>
      </c>
      <c r="G125" s="340" t="s">
        <v>59</v>
      </c>
      <c r="H125" s="340" t="s">
        <v>60</v>
      </c>
      <c r="I125" s="340" t="s">
        <v>61</v>
      </c>
      <c r="J125" s="340" t="s">
        <v>1199</v>
      </c>
      <c r="K125" s="340" t="s">
        <v>1200</v>
      </c>
      <c r="L125" s="345" t="str">
        <f>VLOOKUP(K125,'20260309 suivi sites'!F:F,1,0)</f>
        <v>81CAST011AOG</v>
      </c>
      <c r="M125" s="340" t="s">
        <v>64</v>
      </c>
      <c r="N125" s="340" t="s">
        <v>65</v>
      </c>
      <c r="O125" s="340" t="s">
        <v>64</v>
      </c>
      <c r="P125" s="341">
        <v>43566</v>
      </c>
      <c r="Q125" s="341">
        <v>45735</v>
      </c>
      <c r="R125" s="347" t="b">
        <f t="shared" si="3"/>
        <v>0</v>
      </c>
      <c r="S125" s="347" t="str">
        <f t="shared" si="2"/>
        <v>change</v>
      </c>
      <c r="T125" s="342" t="s">
        <v>56</v>
      </c>
      <c r="U125" s="342" t="s">
        <v>1201</v>
      </c>
      <c r="V125" s="342" t="s">
        <v>1202</v>
      </c>
      <c r="W125" s="342" t="s">
        <v>1203</v>
      </c>
      <c r="X125" s="342" t="s">
        <v>69</v>
      </c>
      <c r="Y125" s="349" t="s">
        <v>1204</v>
      </c>
      <c r="Z125" s="342" t="s">
        <v>71</v>
      </c>
      <c r="AA125" s="342" t="s">
        <v>72</v>
      </c>
      <c r="AB125" s="342" t="s">
        <v>73</v>
      </c>
      <c r="AC125" s="342" t="s">
        <v>74</v>
      </c>
      <c r="AD125" s="342"/>
      <c r="AE125" s="342" t="s">
        <v>1205</v>
      </c>
      <c r="AF125" s="349" t="s">
        <v>3771</v>
      </c>
      <c r="AG125" s="342" t="s">
        <v>74</v>
      </c>
      <c r="AH125" s="342" t="s">
        <v>76</v>
      </c>
      <c r="AI125" s="342" t="s">
        <v>74</v>
      </c>
      <c r="AJ125" s="342" t="s">
        <v>77</v>
      </c>
      <c r="AK125" s="342" t="s">
        <v>97</v>
      </c>
      <c r="AL125" s="342" t="s">
        <v>79</v>
      </c>
      <c r="AM125" s="342" t="s">
        <v>74</v>
      </c>
      <c r="AN125" s="342"/>
      <c r="AO125" s="342" t="s">
        <v>1206</v>
      </c>
      <c r="AP125" s="342" t="s">
        <v>81</v>
      </c>
      <c r="AQ125" s="349" t="s">
        <v>222</v>
      </c>
      <c r="AR125" s="342" t="s">
        <v>83</v>
      </c>
      <c r="AS125" s="342" t="s">
        <v>84</v>
      </c>
      <c r="AT125" s="342" t="s">
        <v>45</v>
      </c>
      <c r="AU125" s="342" t="s">
        <v>85</v>
      </c>
      <c r="AV125" s="342"/>
      <c r="AW125" s="342"/>
      <c r="AX125" s="343" t="str">
        <f>IF(OR(Tableau3[[#This Row],[Option GTR]]&lt;&gt;"",Tableau3[[#This Row],[GTR spécifique]]&lt;&gt;""),"GTRS1","GTRS2")</f>
        <v>GTRS2</v>
      </c>
      <c r="AY125" s="342" t="s">
        <v>100</v>
      </c>
      <c r="AZ125" s="342"/>
      <c r="BA125" s="342" t="s">
        <v>1207</v>
      </c>
    </row>
    <row r="126" spans="1:53" s="326" customFormat="1" ht="18.149999999999999" customHeight="1" x14ac:dyDescent="0.3">
      <c r="A126" s="340" t="s">
        <v>53</v>
      </c>
      <c r="B126" s="340" t="s">
        <v>54</v>
      </c>
      <c r="C126" s="340" t="s">
        <v>932</v>
      </c>
      <c r="D126" s="340" t="s">
        <v>56</v>
      </c>
      <c r="E126" s="340" t="s">
        <v>57</v>
      </c>
      <c r="F126" s="340" t="s">
        <v>58</v>
      </c>
      <c r="G126" s="340" t="s">
        <v>59</v>
      </c>
      <c r="H126" s="340" t="s">
        <v>60</v>
      </c>
      <c r="I126" s="340" t="s">
        <v>61</v>
      </c>
      <c r="J126" s="340" t="s">
        <v>1208</v>
      </c>
      <c r="K126" s="340" t="s">
        <v>1209</v>
      </c>
      <c r="L126" s="345" t="str">
        <f>VLOOKUP(K126,'20260309 suivi sites'!F:F,1,0)</f>
        <v>81GAIL011AOG</v>
      </c>
      <c r="M126" s="340" t="s">
        <v>64</v>
      </c>
      <c r="N126" s="340" t="s">
        <v>65</v>
      </c>
      <c r="O126" s="340" t="s">
        <v>64</v>
      </c>
      <c r="P126" s="341">
        <v>43552</v>
      </c>
      <c r="Q126" s="341">
        <v>46078</v>
      </c>
      <c r="R126" s="347" t="b">
        <f t="shared" si="3"/>
        <v>0</v>
      </c>
      <c r="S126" s="347" t="str">
        <f t="shared" si="2"/>
        <v>change</v>
      </c>
      <c r="T126" s="342" t="s">
        <v>56</v>
      </c>
      <c r="U126" s="342" t="s">
        <v>1210</v>
      </c>
      <c r="V126" s="342" t="s">
        <v>1211</v>
      </c>
      <c r="W126" s="342" t="s">
        <v>1212</v>
      </c>
      <c r="X126" s="342" t="s">
        <v>69</v>
      </c>
      <c r="Y126" s="349" t="s">
        <v>1213</v>
      </c>
      <c r="Z126" s="342" t="s">
        <v>71</v>
      </c>
      <c r="AA126" s="342" t="s">
        <v>72</v>
      </c>
      <c r="AB126" s="342" t="s">
        <v>73</v>
      </c>
      <c r="AC126" s="342" t="s">
        <v>74</v>
      </c>
      <c r="AD126" s="342"/>
      <c r="AE126" s="342" t="s">
        <v>1214</v>
      </c>
      <c r="AF126" s="349" t="s">
        <v>3770</v>
      </c>
      <c r="AG126" s="342" t="s">
        <v>74</v>
      </c>
      <c r="AH126" s="342" t="s">
        <v>76</v>
      </c>
      <c r="AI126" s="342" t="s">
        <v>74</v>
      </c>
      <c r="AJ126" s="342" t="s">
        <v>77</v>
      </c>
      <c r="AK126" s="342" t="s">
        <v>97</v>
      </c>
      <c r="AL126" s="342" t="s">
        <v>79</v>
      </c>
      <c r="AM126" s="342" t="s">
        <v>74</v>
      </c>
      <c r="AN126" s="342"/>
      <c r="AO126" s="342" t="s">
        <v>1215</v>
      </c>
      <c r="AP126" s="342" t="s">
        <v>81</v>
      </c>
      <c r="AQ126" s="349" t="s">
        <v>210</v>
      </c>
      <c r="AR126" s="342" t="s">
        <v>83</v>
      </c>
      <c r="AS126" s="342" t="s">
        <v>84</v>
      </c>
      <c r="AT126" s="342" t="s">
        <v>45</v>
      </c>
      <c r="AU126" s="342" t="s">
        <v>85</v>
      </c>
      <c r="AV126" s="342"/>
      <c r="AW126" s="342"/>
      <c r="AX126" s="343" t="str">
        <f>IF(OR(Tableau3[[#This Row],[Option GTR]]&lt;&gt;"",Tableau3[[#This Row],[GTR spécifique]]&lt;&gt;""),"GTRS1","GTRS2")</f>
        <v>GTRS2</v>
      </c>
      <c r="AY126" s="342" t="s">
        <v>143</v>
      </c>
      <c r="AZ126" s="342"/>
      <c r="BA126" s="342" t="s">
        <v>3802</v>
      </c>
    </row>
    <row r="127" spans="1:53" s="326" customFormat="1" ht="18.149999999999999" customHeight="1" x14ac:dyDescent="0.3">
      <c r="A127" s="340" t="s">
        <v>53</v>
      </c>
      <c r="B127" s="340" t="s">
        <v>54</v>
      </c>
      <c r="C127" s="340" t="s">
        <v>932</v>
      </c>
      <c r="D127" s="340" t="s">
        <v>56</v>
      </c>
      <c r="E127" s="340" t="s">
        <v>57</v>
      </c>
      <c r="F127" s="340" t="s">
        <v>58</v>
      </c>
      <c r="G127" s="340" t="s">
        <v>59</v>
      </c>
      <c r="H127" s="340" t="s">
        <v>60</v>
      </c>
      <c r="I127" s="340" t="s">
        <v>61</v>
      </c>
      <c r="J127" s="340" t="s">
        <v>1216</v>
      </c>
      <c r="K127" s="340" t="s">
        <v>1217</v>
      </c>
      <c r="L127" s="345" t="str">
        <f>VLOOKUP(K127,'20260309 suivi sites'!F:F,1,0)</f>
        <v>93NOIS011AOG</v>
      </c>
      <c r="M127" s="340" t="s">
        <v>64</v>
      </c>
      <c r="N127" s="340" t="s">
        <v>1258</v>
      </c>
      <c r="O127" s="340" t="s">
        <v>104</v>
      </c>
      <c r="P127" s="341">
        <v>43557</v>
      </c>
      <c r="Q127" s="341"/>
      <c r="R127" s="347" t="b">
        <f t="shared" si="3"/>
        <v>0</v>
      </c>
      <c r="S127" s="347" t="str">
        <f t="shared" si="2"/>
        <v>change</v>
      </c>
      <c r="T127" s="342" t="s">
        <v>56</v>
      </c>
      <c r="U127" s="342" t="s">
        <v>1218</v>
      </c>
      <c r="V127" s="342" t="s">
        <v>1219</v>
      </c>
      <c r="W127" s="342" t="s">
        <v>1220</v>
      </c>
      <c r="X127" s="342" t="s">
        <v>69</v>
      </c>
      <c r="Y127" s="349" t="s">
        <v>3195</v>
      </c>
      <c r="Z127" s="342" t="s">
        <v>71</v>
      </c>
      <c r="AA127" s="342" t="s">
        <v>72</v>
      </c>
      <c r="AB127" s="342" t="s">
        <v>73</v>
      </c>
      <c r="AC127" s="342" t="s">
        <v>74</v>
      </c>
      <c r="AD127" s="342"/>
      <c r="AE127" s="342"/>
      <c r="AF127" s="349"/>
      <c r="AG127" s="342"/>
      <c r="AH127" s="342"/>
      <c r="AI127" s="342"/>
      <c r="AJ127" s="342"/>
      <c r="AK127" s="342"/>
      <c r="AL127" s="342" t="s">
        <v>79</v>
      </c>
      <c r="AM127" s="342" t="s">
        <v>74</v>
      </c>
      <c r="AN127" s="342"/>
      <c r="AO127" s="342"/>
      <c r="AP127" s="342"/>
      <c r="AQ127" s="349"/>
      <c r="AR127" s="342" t="s">
        <v>83</v>
      </c>
      <c r="AS127" s="342" t="s">
        <v>84</v>
      </c>
      <c r="AT127" s="342" t="s">
        <v>45</v>
      </c>
      <c r="AU127" s="342" t="s">
        <v>85</v>
      </c>
      <c r="AV127" s="342"/>
      <c r="AW127" s="342"/>
      <c r="AX127" s="343" t="str">
        <f>IF(OR(Tableau3[[#This Row],[Option GTR]]&lt;&gt;"",Tableau3[[#This Row],[GTR spécifique]]&lt;&gt;""),"GTRS1","GTRS2")</f>
        <v>GTRS2</v>
      </c>
      <c r="AY127" s="342" t="s">
        <v>86</v>
      </c>
      <c r="AZ127" s="342"/>
      <c r="BA127" s="342" t="s">
        <v>3803</v>
      </c>
    </row>
    <row r="128" spans="1:53" s="326" customFormat="1" ht="18.149999999999999" customHeight="1" x14ac:dyDescent="0.3">
      <c r="A128" s="340" t="s">
        <v>53</v>
      </c>
      <c r="B128" s="340" t="s">
        <v>54</v>
      </c>
      <c r="C128" s="340" t="s">
        <v>932</v>
      </c>
      <c r="D128" s="340" t="s">
        <v>56</v>
      </c>
      <c r="E128" s="340" t="s">
        <v>57</v>
      </c>
      <c r="F128" s="340" t="s">
        <v>58</v>
      </c>
      <c r="G128" s="340" t="s">
        <v>59</v>
      </c>
      <c r="H128" s="340" t="s">
        <v>60</v>
      </c>
      <c r="I128" s="340" t="s">
        <v>61</v>
      </c>
      <c r="J128" s="340" t="s">
        <v>1216</v>
      </c>
      <c r="K128" s="340" t="s">
        <v>1217</v>
      </c>
      <c r="L128" s="345" t="str">
        <f>VLOOKUP(K128,'20260309 suivi sites'!F:F,1,0)</f>
        <v>93NOIS011AOG</v>
      </c>
      <c r="M128" s="340" t="s">
        <v>64</v>
      </c>
      <c r="N128" s="340" t="s">
        <v>771</v>
      </c>
      <c r="O128" s="340" t="s">
        <v>64</v>
      </c>
      <c r="P128" s="341">
        <v>45030</v>
      </c>
      <c r="Q128" s="341">
        <v>45030</v>
      </c>
      <c r="R128" s="347" t="b">
        <f t="shared" si="3"/>
        <v>1</v>
      </c>
      <c r="S128" s="347" t="str">
        <f t="shared" si="2"/>
        <v>création</v>
      </c>
      <c r="T128" s="342" t="s">
        <v>56</v>
      </c>
      <c r="U128" s="342" t="s">
        <v>1218</v>
      </c>
      <c r="V128" s="342" t="s">
        <v>1219</v>
      </c>
      <c r="W128" s="342" t="s">
        <v>1220</v>
      </c>
      <c r="X128" s="342" t="s">
        <v>69</v>
      </c>
      <c r="Y128" s="349" t="s">
        <v>1221</v>
      </c>
      <c r="Z128" s="342" t="s">
        <v>71</v>
      </c>
      <c r="AA128" s="342" t="s">
        <v>72</v>
      </c>
      <c r="AB128" s="342" t="s">
        <v>73</v>
      </c>
      <c r="AC128" s="342" t="s">
        <v>74</v>
      </c>
      <c r="AD128" s="342"/>
      <c r="AE128" s="342" t="s">
        <v>1222</v>
      </c>
      <c r="AF128" s="349" t="s">
        <v>3770</v>
      </c>
      <c r="AG128" s="342" t="s">
        <v>74</v>
      </c>
      <c r="AH128" s="342" t="s">
        <v>76</v>
      </c>
      <c r="AI128" s="342" t="s">
        <v>74</v>
      </c>
      <c r="AJ128" s="342" t="s">
        <v>77</v>
      </c>
      <c r="AK128" s="342" t="s">
        <v>97</v>
      </c>
      <c r="AL128" s="342" t="s">
        <v>79</v>
      </c>
      <c r="AM128" s="342" t="s">
        <v>74</v>
      </c>
      <c r="AN128" s="342"/>
      <c r="AO128" s="342" t="s">
        <v>1223</v>
      </c>
      <c r="AP128" s="342" t="s">
        <v>81</v>
      </c>
      <c r="AQ128" s="349" t="s">
        <v>210</v>
      </c>
      <c r="AR128" s="342" t="s">
        <v>83</v>
      </c>
      <c r="AS128" s="342" t="s">
        <v>84</v>
      </c>
      <c r="AT128" s="342" t="s">
        <v>45</v>
      </c>
      <c r="AU128" s="342" t="s">
        <v>85</v>
      </c>
      <c r="AV128" s="342"/>
      <c r="AW128" s="342"/>
      <c r="AX128" s="343" t="str">
        <f>IF(OR(Tableau3[[#This Row],[Option GTR]]&lt;&gt;"",Tableau3[[#This Row],[GTR spécifique]]&lt;&gt;""),"GTRS1","GTRS2")</f>
        <v>GTRS2</v>
      </c>
      <c r="AY128" s="342" t="s">
        <v>86</v>
      </c>
      <c r="AZ128" s="342"/>
      <c r="BA128" s="342" t="s">
        <v>1224</v>
      </c>
    </row>
    <row r="129" spans="1:53" s="326" customFormat="1" ht="18.149999999999999" customHeight="1" x14ac:dyDescent="0.3">
      <c r="A129" s="340" t="s">
        <v>53</v>
      </c>
      <c r="B129" s="340" t="s">
        <v>54</v>
      </c>
      <c r="C129" s="340" t="s">
        <v>932</v>
      </c>
      <c r="D129" s="340" t="s">
        <v>56</v>
      </c>
      <c r="E129" s="340" t="s">
        <v>57</v>
      </c>
      <c r="F129" s="340" t="s">
        <v>58</v>
      </c>
      <c r="G129" s="340" t="s">
        <v>59</v>
      </c>
      <c r="H129" s="340" t="s">
        <v>60</v>
      </c>
      <c r="I129" s="340" t="s">
        <v>61</v>
      </c>
      <c r="J129" s="340" t="s">
        <v>1225</v>
      </c>
      <c r="K129" s="340" t="s">
        <v>1226</v>
      </c>
      <c r="L129" s="345" t="str">
        <f>VLOOKUP(K129,'20260309 suivi sites'!F:F,1,0)</f>
        <v>06NICE011AOG</v>
      </c>
      <c r="M129" s="340" t="s">
        <v>64</v>
      </c>
      <c r="N129" s="340" t="s">
        <v>65</v>
      </c>
      <c r="O129" s="340" t="s">
        <v>64</v>
      </c>
      <c r="P129" s="341">
        <v>43627</v>
      </c>
      <c r="Q129" s="341">
        <v>44134</v>
      </c>
      <c r="R129" s="347" t="b">
        <f t="shared" si="3"/>
        <v>0</v>
      </c>
      <c r="S129" s="347" t="str">
        <f t="shared" si="2"/>
        <v>change</v>
      </c>
      <c r="T129" s="342" t="s">
        <v>56</v>
      </c>
      <c r="U129" s="342" t="s">
        <v>1227</v>
      </c>
      <c r="V129" s="342" t="s">
        <v>1228</v>
      </c>
      <c r="W129" s="342" t="s">
        <v>1229</v>
      </c>
      <c r="X129" s="342" t="s">
        <v>69</v>
      </c>
      <c r="Y129" s="349" t="s">
        <v>1230</v>
      </c>
      <c r="Z129" s="342" t="s">
        <v>71</v>
      </c>
      <c r="AA129" s="342" t="s">
        <v>72</v>
      </c>
      <c r="AB129" s="342" t="s">
        <v>73</v>
      </c>
      <c r="AC129" s="342" t="s">
        <v>74</v>
      </c>
      <c r="AD129" s="342"/>
      <c r="AE129" s="342" t="s">
        <v>1231</v>
      </c>
      <c r="AF129" s="349" t="s">
        <v>3769</v>
      </c>
      <c r="AG129" s="342" t="s">
        <v>74</v>
      </c>
      <c r="AH129" s="342" t="s">
        <v>76</v>
      </c>
      <c r="AI129" s="342" t="s">
        <v>74</v>
      </c>
      <c r="AJ129" s="342" t="s">
        <v>77</v>
      </c>
      <c r="AK129" s="342" t="s">
        <v>78</v>
      </c>
      <c r="AL129" s="342" t="s">
        <v>79</v>
      </c>
      <c r="AM129" s="342" t="s">
        <v>74</v>
      </c>
      <c r="AN129" s="342"/>
      <c r="AO129" s="342" t="s">
        <v>1232</v>
      </c>
      <c r="AP129" s="342" t="s">
        <v>81</v>
      </c>
      <c r="AQ129" s="349" t="s">
        <v>200</v>
      </c>
      <c r="AR129" s="342" t="s">
        <v>83</v>
      </c>
      <c r="AS129" s="342" t="s">
        <v>84</v>
      </c>
      <c r="AT129" s="342" t="s">
        <v>45</v>
      </c>
      <c r="AU129" s="342" t="s">
        <v>85</v>
      </c>
      <c r="AV129" s="342" t="s">
        <v>120</v>
      </c>
      <c r="AW129" s="342"/>
      <c r="AX129" s="343" t="str">
        <f>IF(OR(Tableau3[[#This Row],[Option GTR]]&lt;&gt;"",Tableau3[[#This Row],[GTR spécifique]]&lt;&gt;""),"GTRS1","GTRS2")</f>
        <v>GTRS1</v>
      </c>
      <c r="AY129" s="342" t="s">
        <v>86</v>
      </c>
      <c r="AZ129" s="342"/>
      <c r="BA129" s="344" t="s">
        <v>1233</v>
      </c>
    </row>
    <row r="130" spans="1:53" s="326" customFormat="1" ht="18.149999999999999" customHeight="1" x14ac:dyDescent="0.3">
      <c r="A130" s="340" t="s">
        <v>53</v>
      </c>
      <c r="B130" s="340" t="s">
        <v>54</v>
      </c>
      <c r="C130" s="340" t="s">
        <v>932</v>
      </c>
      <c r="D130" s="340" t="s">
        <v>56</v>
      </c>
      <c r="E130" s="340" t="s">
        <v>57</v>
      </c>
      <c r="F130" s="340" t="s">
        <v>58</v>
      </c>
      <c r="G130" s="340" t="s">
        <v>59</v>
      </c>
      <c r="H130" s="340" t="s">
        <v>60</v>
      </c>
      <c r="I130" s="340" t="s">
        <v>61</v>
      </c>
      <c r="J130" s="340" t="s">
        <v>1234</v>
      </c>
      <c r="K130" s="340" t="s">
        <v>1235</v>
      </c>
      <c r="L130" s="345" t="str">
        <f>VLOOKUP(K130,'20260309 suivi sites'!F:F,1,0)</f>
        <v>06NICE021AOG</v>
      </c>
      <c r="M130" s="340" t="s">
        <v>64</v>
      </c>
      <c r="N130" s="340" t="s">
        <v>65</v>
      </c>
      <c r="O130" s="340" t="s">
        <v>64</v>
      </c>
      <c r="P130" s="341">
        <v>43594</v>
      </c>
      <c r="Q130" s="341">
        <v>45827</v>
      </c>
      <c r="R130" s="347" t="b">
        <f t="shared" si="3"/>
        <v>0</v>
      </c>
      <c r="S130" s="347" t="str">
        <f t="shared" ref="S130:S193" si="4">IF(R130=FALSE,"change","création")</f>
        <v>change</v>
      </c>
      <c r="T130" s="342" t="s">
        <v>56</v>
      </c>
      <c r="U130" s="342" t="s">
        <v>1236</v>
      </c>
      <c r="V130" s="342" t="s">
        <v>1228</v>
      </c>
      <c r="W130" s="342" t="s">
        <v>1229</v>
      </c>
      <c r="X130" s="342" t="s">
        <v>69</v>
      </c>
      <c r="Y130" s="349" t="s">
        <v>1237</v>
      </c>
      <c r="Z130" s="342" t="s">
        <v>71</v>
      </c>
      <c r="AA130" s="342" t="s">
        <v>72</v>
      </c>
      <c r="AB130" s="342" t="s">
        <v>73</v>
      </c>
      <c r="AC130" s="342" t="s">
        <v>74</v>
      </c>
      <c r="AD130" s="342"/>
      <c r="AE130" s="342" t="s">
        <v>1238</v>
      </c>
      <c r="AF130" s="349" t="s">
        <v>3770</v>
      </c>
      <c r="AG130" s="342" t="s">
        <v>74</v>
      </c>
      <c r="AH130" s="342" t="s">
        <v>76</v>
      </c>
      <c r="AI130" s="342" t="s">
        <v>74</v>
      </c>
      <c r="AJ130" s="342" t="s">
        <v>77</v>
      </c>
      <c r="AK130" s="342" t="s">
        <v>97</v>
      </c>
      <c r="AL130" s="342" t="s">
        <v>79</v>
      </c>
      <c r="AM130" s="342" t="s">
        <v>74</v>
      </c>
      <c r="AN130" s="342"/>
      <c r="AO130" s="342" t="s">
        <v>1239</v>
      </c>
      <c r="AP130" s="342" t="s">
        <v>81</v>
      </c>
      <c r="AQ130" s="349" t="s">
        <v>210</v>
      </c>
      <c r="AR130" s="342" t="s">
        <v>83</v>
      </c>
      <c r="AS130" s="342" t="s">
        <v>84</v>
      </c>
      <c r="AT130" s="342" t="s">
        <v>45</v>
      </c>
      <c r="AU130" s="342" t="s">
        <v>85</v>
      </c>
      <c r="AV130" s="342"/>
      <c r="AW130" s="342"/>
      <c r="AX130" s="343" t="str">
        <f>IF(OR(Tableau3[[#This Row],[Option GTR]]&lt;&gt;"",Tableau3[[#This Row],[GTR spécifique]]&lt;&gt;""),"GTRS1","GTRS2")</f>
        <v>GTRS2</v>
      </c>
      <c r="AY130" s="342" t="s">
        <v>86</v>
      </c>
      <c r="AZ130" s="342"/>
      <c r="BA130" s="342" t="s">
        <v>1240</v>
      </c>
    </row>
    <row r="131" spans="1:53" s="326" customFormat="1" ht="18.149999999999999" customHeight="1" x14ac:dyDescent="0.3">
      <c r="A131" s="340" t="s">
        <v>53</v>
      </c>
      <c r="B131" s="340" t="s">
        <v>54</v>
      </c>
      <c r="C131" s="340" t="s">
        <v>932</v>
      </c>
      <c r="D131" s="340" t="s">
        <v>56</v>
      </c>
      <c r="E131" s="340" t="s">
        <v>57</v>
      </c>
      <c r="F131" s="340" t="s">
        <v>58</v>
      </c>
      <c r="G131" s="340" t="s">
        <v>59</v>
      </c>
      <c r="H131" s="340" t="s">
        <v>60</v>
      </c>
      <c r="I131" s="340" t="s">
        <v>61</v>
      </c>
      <c r="J131" s="340" t="s">
        <v>1241</v>
      </c>
      <c r="K131" s="340" t="s">
        <v>1242</v>
      </c>
      <c r="L131" s="345" t="str">
        <f>VLOOKUP(K131,'20260309 suivi sites'!F:F,1,0)</f>
        <v>11AXAT011AOG</v>
      </c>
      <c r="M131" s="340" t="s">
        <v>64</v>
      </c>
      <c r="N131" s="340" t="s">
        <v>65</v>
      </c>
      <c r="O131" s="340" t="s">
        <v>64</v>
      </c>
      <c r="P131" s="341">
        <v>43566</v>
      </c>
      <c r="Q131" s="341">
        <v>45735</v>
      </c>
      <c r="R131" s="347" t="b">
        <f t="shared" ref="R131:R194" si="5">Q131=P131</f>
        <v>0</v>
      </c>
      <c r="S131" s="347" t="str">
        <f t="shared" si="4"/>
        <v>change</v>
      </c>
      <c r="T131" s="342" t="s">
        <v>56</v>
      </c>
      <c r="U131" s="342" t="s">
        <v>1243</v>
      </c>
      <c r="V131" s="342" t="s">
        <v>1244</v>
      </c>
      <c r="W131" s="342" t="s">
        <v>1245</v>
      </c>
      <c r="X131" s="342" t="s">
        <v>69</v>
      </c>
      <c r="Y131" s="349" t="s">
        <v>1246</v>
      </c>
      <c r="Z131" s="342" t="s">
        <v>71</v>
      </c>
      <c r="AA131" s="342" t="s">
        <v>72</v>
      </c>
      <c r="AB131" s="342" t="s">
        <v>73</v>
      </c>
      <c r="AC131" s="342" t="s">
        <v>74</v>
      </c>
      <c r="AD131" s="342"/>
      <c r="AE131" s="342" t="s">
        <v>1247</v>
      </c>
      <c r="AF131" s="349" t="s">
        <v>3771</v>
      </c>
      <c r="AG131" s="342" t="s">
        <v>74</v>
      </c>
      <c r="AH131" s="342" t="s">
        <v>76</v>
      </c>
      <c r="AI131" s="342" t="s">
        <v>74</v>
      </c>
      <c r="AJ131" s="342" t="s">
        <v>77</v>
      </c>
      <c r="AK131" s="342" t="s">
        <v>97</v>
      </c>
      <c r="AL131" s="342" t="s">
        <v>79</v>
      </c>
      <c r="AM131" s="342" t="s">
        <v>74</v>
      </c>
      <c r="AN131" s="342"/>
      <c r="AO131" s="342" t="s">
        <v>1248</v>
      </c>
      <c r="AP131" s="342" t="s">
        <v>81</v>
      </c>
      <c r="AQ131" s="349" t="s">
        <v>222</v>
      </c>
      <c r="AR131" s="342" t="s">
        <v>83</v>
      </c>
      <c r="AS131" s="342" t="s">
        <v>84</v>
      </c>
      <c r="AT131" s="342" t="s">
        <v>45</v>
      </c>
      <c r="AU131" s="342" t="s">
        <v>85</v>
      </c>
      <c r="AV131" s="342"/>
      <c r="AW131" s="342"/>
      <c r="AX131" s="343" t="str">
        <f>IF(OR(Tableau3[[#This Row],[Option GTR]]&lt;&gt;"",Tableau3[[#This Row],[GTR spécifique]]&lt;&gt;""),"GTRS1","GTRS2")</f>
        <v>GTRS2</v>
      </c>
      <c r="AY131" s="342" t="s">
        <v>143</v>
      </c>
      <c r="AZ131" s="342"/>
      <c r="BA131" s="342" t="s">
        <v>1249</v>
      </c>
    </row>
    <row r="132" spans="1:53" s="326" customFormat="1" ht="18.149999999999999" customHeight="1" x14ac:dyDescent="0.3">
      <c r="A132" s="340" t="s">
        <v>53</v>
      </c>
      <c r="B132" s="340" t="s">
        <v>54</v>
      </c>
      <c r="C132" s="340" t="s">
        <v>932</v>
      </c>
      <c r="D132" s="340" t="s">
        <v>56</v>
      </c>
      <c r="E132" s="340" t="s">
        <v>57</v>
      </c>
      <c r="F132" s="340" t="s">
        <v>58</v>
      </c>
      <c r="G132" s="340" t="s">
        <v>59</v>
      </c>
      <c r="H132" s="340" t="s">
        <v>60</v>
      </c>
      <c r="I132" s="340" t="s">
        <v>61</v>
      </c>
      <c r="J132" s="340" t="s">
        <v>1250</v>
      </c>
      <c r="K132" s="340" t="s">
        <v>1251</v>
      </c>
      <c r="L132" s="345" t="str">
        <f>VLOOKUP(K132,'20260309 suivi sites'!F:F,1,0)</f>
        <v>59LILL011AOG</v>
      </c>
      <c r="M132" s="340" t="s">
        <v>64</v>
      </c>
      <c r="N132" s="340" t="s">
        <v>65</v>
      </c>
      <c r="O132" s="340" t="s">
        <v>64</v>
      </c>
      <c r="P132" s="341">
        <v>43657</v>
      </c>
      <c r="Q132" s="341">
        <v>44088</v>
      </c>
      <c r="R132" s="347" t="b">
        <f t="shared" si="5"/>
        <v>0</v>
      </c>
      <c r="S132" s="347" t="str">
        <f t="shared" si="4"/>
        <v>change</v>
      </c>
      <c r="T132" s="342" t="s">
        <v>56</v>
      </c>
      <c r="U132" s="342" t="s">
        <v>1252</v>
      </c>
      <c r="V132" s="342" t="s">
        <v>724</v>
      </c>
      <c r="W132" s="342" t="s">
        <v>725</v>
      </c>
      <c r="X132" s="342" t="s">
        <v>69</v>
      </c>
      <c r="Y132" s="349" t="s">
        <v>1253</v>
      </c>
      <c r="Z132" s="342" t="s">
        <v>71</v>
      </c>
      <c r="AA132" s="342" t="s">
        <v>72</v>
      </c>
      <c r="AB132" s="342" t="s">
        <v>73</v>
      </c>
      <c r="AC132" s="342" t="s">
        <v>74</v>
      </c>
      <c r="AD132" s="342"/>
      <c r="AE132" s="342" t="s">
        <v>1254</v>
      </c>
      <c r="AF132" s="349" t="s">
        <v>3769</v>
      </c>
      <c r="AG132" s="342" t="s">
        <v>74</v>
      </c>
      <c r="AH132" s="342" t="s">
        <v>76</v>
      </c>
      <c r="AI132" s="342" t="s">
        <v>74</v>
      </c>
      <c r="AJ132" s="342" t="s">
        <v>77</v>
      </c>
      <c r="AK132" s="342" t="s">
        <v>78</v>
      </c>
      <c r="AL132" s="342" t="s">
        <v>79</v>
      </c>
      <c r="AM132" s="342" t="s">
        <v>74</v>
      </c>
      <c r="AN132" s="342"/>
      <c r="AO132" s="342" t="s">
        <v>1255</v>
      </c>
      <c r="AP132" s="342" t="s">
        <v>81</v>
      </c>
      <c r="AQ132" s="349" t="s">
        <v>200</v>
      </c>
      <c r="AR132" s="342" t="s">
        <v>83</v>
      </c>
      <c r="AS132" s="342" t="s">
        <v>84</v>
      </c>
      <c r="AT132" s="342" t="s">
        <v>45</v>
      </c>
      <c r="AU132" s="342" t="s">
        <v>85</v>
      </c>
      <c r="AV132" s="342"/>
      <c r="AW132" s="342"/>
      <c r="AX132" s="343" t="str">
        <f>IF(OR(Tableau3[[#This Row],[Option GTR]]&lt;&gt;"",Tableau3[[#This Row],[GTR spécifique]]&lt;&gt;""),"GTRS1","GTRS2")</f>
        <v>GTRS2</v>
      </c>
      <c r="AY132" s="342" t="s">
        <v>86</v>
      </c>
      <c r="AZ132" s="342"/>
      <c r="BA132" s="342" t="s">
        <v>241</v>
      </c>
    </row>
    <row r="133" spans="1:53" s="326" customFormat="1" ht="18.149999999999999" customHeight="1" x14ac:dyDescent="0.3">
      <c r="A133" s="340" t="s">
        <v>53</v>
      </c>
      <c r="B133" s="340" t="s">
        <v>54</v>
      </c>
      <c r="C133" s="340" t="s">
        <v>932</v>
      </c>
      <c r="D133" s="340" t="s">
        <v>56</v>
      </c>
      <c r="E133" s="340" t="s">
        <v>57</v>
      </c>
      <c r="F133" s="340" t="s">
        <v>58</v>
      </c>
      <c r="G133" s="340" t="s">
        <v>59</v>
      </c>
      <c r="H133" s="340" t="s">
        <v>60</v>
      </c>
      <c r="I133" s="340" t="s">
        <v>61</v>
      </c>
      <c r="J133" s="340" t="s">
        <v>1256</v>
      </c>
      <c r="K133" s="340" t="s">
        <v>1257</v>
      </c>
      <c r="L133" s="345" t="e">
        <f>VLOOKUP(K133,'20260309 suivi sites'!F:F,1,0)</f>
        <v>#N/A</v>
      </c>
      <c r="M133" s="340" t="s">
        <v>64</v>
      </c>
      <c r="N133" s="340" t="s">
        <v>1258</v>
      </c>
      <c r="O133" s="340" t="s">
        <v>104</v>
      </c>
      <c r="P133" s="341">
        <v>43617</v>
      </c>
      <c r="Q133" s="341"/>
      <c r="R133" s="347" t="b">
        <f t="shared" si="5"/>
        <v>0</v>
      </c>
      <c r="S133" s="347" t="str">
        <f t="shared" si="4"/>
        <v>change</v>
      </c>
      <c r="T133" s="342" t="s">
        <v>56</v>
      </c>
      <c r="U133" s="342" t="s">
        <v>1259</v>
      </c>
      <c r="V133" s="342" t="s">
        <v>1260</v>
      </c>
      <c r="W133" s="342" t="s">
        <v>1261</v>
      </c>
      <c r="X133" s="342" t="s">
        <v>69</v>
      </c>
      <c r="Y133" s="349" t="s">
        <v>1262</v>
      </c>
      <c r="Z133" s="342" t="s">
        <v>71</v>
      </c>
      <c r="AA133" s="342" t="s">
        <v>72</v>
      </c>
      <c r="AB133" s="342" t="s">
        <v>73</v>
      </c>
      <c r="AC133" s="342" t="s">
        <v>74</v>
      </c>
      <c r="AD133" s="342"/>
      <c r="AE133" s="342"/>
      <c r="AF133" s="349"/>
      <c r="AG133" s="342"/>
      <c r="AH133" s="342"/>
      <c r="AI133" s="342"/>
      <c r="AJ133" s="342"/>
      <c r="AK133" s="342"/>
      <c r="AL133" s="342" t="s">
        <v>79</v>
      </c>
      <c r="AM133" s="342" t="s">
        <v>74</v>
      </c>
      <c r="AN133" s="342"/>
      <c r="AO133" s="342"/>
      <c r="AP133" s="342"/>
      <c r="AQ133" s="349"/>
      <c r="AR133" s="342" t="s">
        <v>83</v>
      </c>
      <c r="AS133" s="342" t="s">
        <v>84</v>
      </c>
      <c r="AT133" s="342" t="s">
        <v>45</v>
      </c>
      <c r="AU133" s="342" t="s">
        <v>85</v>
      </c>
      <c r="AV133" s="342" t="s">
        <v>120</v>
      </c>
      <c r="AW133" s="342"/>
      <c r="AX133" s="343" t="str">
        <f>IF(OR(Tableau3[[#This Row],[Option GTR]]&lt;&gt;"",Tableau3[[#This Row],[GTR spécifique]]&lt;&gt;""),"GTRS1","GTRS2")</f>
        <v>GTRS1</v>
      </c>
      <c r="AY133" s="342" t="s">
        <v>100</v>
      </c>
      <c r="AZ133" s="342"/>
      <c r="BA133" s="342" t="s">
        <v>1263</v>
      </c>
    </row>
    <row r="134" spans="1:53" s="326" customFormat="1" ht="18.149999999999999" customHeight="1" x14ac:dyDescent="0.3">
      <c r="A134" s="340" t="s">
        <v>53</v>
      </c>
      <c r="B134" s="340" t="s">
        <v>54</v>
      </c>
      <c r="C134" s="340" t="s">
        <v>932</v>
      </c>
      <c r="D134" s="340" t="s">
        <v>56</v>
      </c>
      <c r="E134" s="340" t="s">
        <v>57</v>
      </c>
      <c r="F134" s="340" t="s">
        <v>58</v>
      </c>
      <c r="G134" s="340" t="s">
        <v>59</v>
      </c>
      <c r="H134" s="340" t="s">
        <v>60</v>
      </c>
      <c r="I134" s="340" t="s">
        <v>61</v>
      </c>
      <c r="J134" s="340" t="s">
        <v>1264</v>
      </c>
      <c r="K134" s="340" t="s">
        <v>1265</v>
      </c>
      <c r="L134" s="345" t="str">
        <f>VLOOKUP(K134,'20260309 suivi sites'!F:F,1,0)</f>
        <v>87AMBA011AOS</v>
      </c>
      <c r="M134" s="340" t="s">
        <v>64</v>
      </c>
      <c r="N134" s="340" t="s">
        <v>65</v>
      </c>
      <c r="O134" s="340" t="s">
        <v>64</v>
      </c>
      <c r="P134" s="341">
        <v>43537</v>
      </c>
      <c r="Q134" s="341">
        <v>45758</v>
      </c>
      <c r="R134" s="347" t="b">
        <f t="shared" si="5"/>
        <v>0</v>
      </c>
      <c r="S134" s="347" t="str">
        <f t="shared" si="4"/>
        <v>change</v>
      </c>
      <c r="T134" s="342" t="s">
        <v>56</v>
      </c>
      <c r="U134" s="342" t="s">
        <v>1192</v>
      </c>
      <c r="V134" s="342" t="s">
        <v>1266</v>
      </c>
      <c r="W134" s="342" t="s">
        <v>1267</v>
      </c>
      <c r="X134" s="342" t="s">
        <v>69</v>
      </c>
      <c r="Y134" s="349" t="s">
        <v>1268</v>
      </c>
      <c r="Z134" s="342" t="s">
        <v>71</v>
      </c>
      <c r="AA134" s="342" t="s">
        <v>72</v>
      </c>
      <c r="AB134" s="342" t="s">
        <v>73</v>
      </c>
      <c r="AC134" s="342" t="s">
        <v>74</v>
      </c>
      <c r="AD134" s="342"/>
      <c r="AE134" s="342" t="s">
        <v>1269</v>
      </c>
      <c r="AF134" s="349" t="s">
        <v>3771</v>
      </c>
      <c r="AG134" s="342" t="s">
        <v>74</v>
      </c>
      <c r="AH134" s="342" t="s">
        <v>76</v>
      </c>
      <c r="AI134" s="342" t="s">
        <v>74</v>
      </c>
      <c r="AJ134" s="342" t="s">
        <v>77</v>
      </c>
      <c r="AK134" s="342" t="s">
        <v>97</v>
      </c>
      <c r="AL134" s="342" t="s">
        <v>79</v>
      </c>
      <c r="AM134" s="342" t="s">
        <v>74</v>
      </c>
      <c r="AN134" s="342"/>
      <c r="AO134" s="342" t="s">
        <v>1270</v>
      </c>
      <c r="AP134" s="342" t="s">
        <v>81</v>
      </c>
      <c r="AQ134" s="349" t="s">
        <v>222</v>
      </c>
      <c r="AR134" s="342" t="s">
        <v>83</v>
      </c>
      <c r="AS134" s="342" t="s">
        <v>84</v>
      </c>
      <c r="AT134" s="342" t="s">
        <v>45</v>
      </c>
      <c r="AU134" s="342" t="s">
        <v>85</v>
      </c>
      <c r="AV134" s="342"/>
      <c r="AW134" s="342"/>
      <c r="AX134" s="343" t="str">
        <f>IF(OR(Tableau3[[#This Row],[Option GTR]]&lt;&gt;"",Tableau3[[#This Row],[GTR spécifique]]&lt;&gt;""),"GTRS1","GTRS2")</f>
        <v>GTRS2</v>
      </c>
      <c r="AY134" s="342" t="s">
        <v>143</v>
      </c>
      <c r="AZ134" s="342"/>
      <c r="BA134" s="342" t="s">
        <v>1271</v>
      </c>
    </row>
    <row r="135" spans="1:53" s="326" customFormat="1" ht="18.149999999999999" customHeight="1" x14ac:dyDescent="0.3">
      <c r="A135" s="340" t="s">
        <v>53</v>
      </c>
      <c r="B135" s="340" t="s">
        <v>54</v>
      </c>
      <c r="C135" s="340" t="s">
        <v>932</v>
      </c>
      <c r="D135" s="340" t="s">
        <v>56</v>
      </c>
      <c r="E135" s="340" t="s">
        <v>57</v>
      </c>
      <c r="F135" s="340" t="s">
        <v>58</v>
      </c>
      <c r="G135" s="340" t="s">
        <v>59</v>
      </c>
      <c r="H135" s="340" t="s">
        <v>60</v>
      </c>
      <c r="I135" s="340" t="s">
        <v>61</v>
      </c>
      <c r="J135" s="340" t="s">
        <v>1272</v>
      </c>
      <c r="K135" s="340" t="s">
        <v>1273</v>
      </c>
      <c r="L135" s="345" t="str">
        <f>VLOOKUP(K135,'20260309 suivi sites'!F:F,1,0)</f>
        <v>80AMIE011AOG</v>
      </c>
      <c r="M135" s="340" t="s">
        <v>64</v>
      </c>
      <c r="N135" s="340" t="s">
        <v>65</v>
      </c>
      <c r="O135" s="340" t="s">
        <v>64</v>
      </c>
      <c r="P135" s="341">
        <v>43669</v>
      </c>
      <c r="Q135" s="341">
        <v>44088</v>
      </c>
      <c r="R135" s="347" t="b">
        <f t="shared" si="5"/>
        <v>0</v>
      </c>
      <c r="S135" s="347" t="str">
        <f t="shared" si="4"/>
        <v>change</v>
      </c>
      <c r="T135" s="342" t="s">
        <v>56</v>
      </c>
      <c r="U135" s="342" t="s">
        <v>1274</v>
      </c>
      <c r="V135" s="342" t="s">
        <v>1275</v>
      </c>
      <c r="W135" s="342" t="s">
        <v>1276</v>
      </c>
      <c r="X135" s="342" t="s">
        <v>69</v>
      </c>
      <c r="Y135" s="349" t="s">
        <v>1277</v>
      </c>
      <c r="Z135" s="342" t="s">
        <v>71</v>
      </c>
      <c r="AA135" s="342" t="s">
        <v>72</v>
      </c>
      <c r="AB135" s="342" t="s">
        <v>73</v>
      </c>
      <c r="AC135" s="342" t="s">
        <v>74</v>
      </c>
      <c r="AD135" s="342"/>
      <c r="AE135" s="342" t="s">
        <v>1278</v>
      </c>
      <c r="AF135" s="349" t="s">
        <v>3764</v>
      </c>
      <c r="AG135" s="342" t="s">
        <v>74</v>
      </c>
      <c r="AH135" s="342" t="s">
        <v>76</v>
      </c>
      <c r="AI135" s="342" t="s">
        <v>74</v>
      </c>
      <c r="AJ135" s="342" t="s">
        <v>77</v>
      </c>
      <c r="AK135" s="342" t="s">
        <v>97</v>
      </c>
      <c r="AL135" s="342" t="s">
        <v>79</v>
      </c>
      <c r="AM135" s="342" t="s">
        <v>74</v>
      </c>
      <c r="AN135" s="342"/>
      <c r="AO135" s="342" t="s">
        <v>1279</v>
      </c>
      <c r="AP135" s="342" t="s">
        <v>81</v>
      </c>
      <c r="AQ135" s="349" t="s">
        <v>99</v>
      </c>
      <c r="AR135" s="342" t="s">
        <v>83</v>
      </c>
      <c r="AS135" s="342" t="s">
        <v>84</v>
      </c>
      <c r="AT135" s="342" t="s">
        <v>45</v>
      </c>
      <c r="AU135" s="342" t="s">
        <v>85</v>
      </c>
      <c r="AV135" s="342"/>
      <c r="AW135" s="342"/>
      <c r="AX135" s="343" t="str">
        <f>IF(OR(Tableau3[[#This Row],[Option GTR]]&lt;&gt;"",Tableau3[[#This Row],[GTR spécifique]]&lt;&gt;""),"GTRS1","GTRS2")</f>
        <v>GTRS2</v>
      </c>
      <c r="AY135" s="342" t="s">
        <v>86</v>
      </c>
      <c r="AZ135" s="342"/>
      <c r="BA135" s="342" t="s">
        <v>241</v>
      </c>
    </row>
    <row r="136" spans="1:53" s="326" customFormat="1" ht="18.149999999999999" customHeight="1" x14ac:dyDescent="0.3">
      <c r="A136" s="340" t="s">
        <v>53</v>
      </c>
      <c r="B136" s="340" t="s">
        <v>54</v>
      </c>
      <c r="C136" s="340" t="s">
        <v>932</v>
      </c>
      <c r="D136" s="340" t="s">
        <v>56</v>
      </c>
      <c r="E136" s="340" t="s">
        <v>57</v>
      </c>
      <c r="F136" s="340" t="s">
        <v>58</v>
      </c>
      <c r="G136" s="340" t="s">
        <v>59</v>
      </c>
      <c r="H136" s="340" t="s">
        <v>60</v>
      </c>
      <c r="I136" s="340" t="s">
        <v>61</v>
      </c>
      <c r="J136" s="340" t="s">
        <v>1280</v>
      </c>
      <c r="K136" s="340" t="s">
        <v>1281</v>
      </c>
      <c r="L136" s="345" t="e">
        <f>VLOOKUP(K136,'20260309 suivi sites'!F:F,1,0)</f>
        <v>#N/A</v>
      </c>
      <c r="M136" s="340" t="s">
        <v>64</v>
      </c>
      <c r="N136" s="340" t="s">
        <v>1258</v>
      </c>
      <c r="O136" s="340" t="s">
        <v>104</v>
      </c>
      <c r="P136" s="341">
        <v>43617</v>
      </c>
      <c r="Q136" s="341"/>
      <c r="R136" s="347" t="b">
        <f t="shared" si="5"/>
        <v>0</v>
      </c>
      <c r="S136" s="347" t="str">
        <f t="shared" si="4"/>
        <v>change</v>
      </c>
      <c r="T136" s="342" t="s">
        <v>56</v>
      </c>
      <c r="U136" s="342" t="s">
        <v>1282</v>
      </c>
      <c r="V136" s="342" t="s">
        <v>1283</v>
      </c>
      <c r="W136" s="342" t="s">
        <v>1284</v>
      </c>
      <c r="X136" s="342" t="s">
        <v>69</v>
      </c>
      <c r="Y136" s="349" t="s">
        <v>1285</v>
      </c>
      <c r="Z136" s="342" t="s">
        <v>71</v>
      </c>
      <c r="AA136" s="342" t="s">
        <v>72</v>
      </c>
      <c r="AB136" s="342" t="s">
        <v>73</v>
      </c>
      <c r="AC136" s="342" t="s">
        <v>74</v>
      </c>
      <c r="AD136" s="342"/>
      <c r="AE136" s="342"/>
      <c r="AF136" s="349"/>
      <c r="AG136" s="342"/>
      <c r="AH136" s="342"/>
      <c r="AI136" s="342"/>
      <c r="AJ136" s="342"/>
      <c r="AK136" s="342"/>
      <c r="AL136" s="342" t="s">
        <v>79</v>
      </c>
      <c r="AM136" s="342" t="s">
        <v>74</v>
      </c>
      <c r="AN136" s="342"/>
      <c r="AO136" s="342"/>
      <c r="AP136" s="342"/>
      <c r="AQ136" s="349"/>
      <c r="AR136" s="342" t="s">
        <v>83</v>
      </c>
      <c r="AS136" s="342" t="s">
        <v>84</v>
      </c>
      <c r="AT136" s="342" t="s">
        <v>45</v>
      </c>
      <c r="AU136" s="342" t="s">
        <v>85</v>
      </c>
      <c r="AV136" s="342" t="s">
        <v>120</v>
      </c>
      <c r="AW136" s="342"/>
      <c r="AX136" s="343" t="str">
        <f>IF(OR(Tableau3[[#This Row],[Option GTR]]&lt;&gt;"",Tableau3[[#This Row],[GTR spécifique]]&lt;&gt;""),"GTRS1","GTRS2")</f>
        <v>GTRS1</v>
      </c>
      <c r="AY136" s="342" t="s">
        <v>86</v>
      </c>
      <c r="AZ136" s="342"/>
      <c r="BA136" s="342" t="s">
        <v>1286</v>
      </c>
    </row>
    <row r="137" spans="1:53" s="326" customFormat="1" ht="18.149999999999999" customHeight="1" x14ac:dyDescent="0.3">
      <c r="A137" s="340" t="s">
        <v>53</v>
      </c>
      <c r="B137" s="340" t="s">
        <v>54</v>
      </c>
      <c r="C137" s="340" t="s">
        <v>932</v>
      </c>
      <c r="D137" s="340" t="s">
        <v>56</v>
      </c>
      <c r="E137" s="340" t="s">
        <v>57</v>
      </c>
      <c r="F137" s="340" t="s">
        <v>58</v>
      </c>
      <c r="G137" s="340" t="s">
        <v>59</v>
      </c>
      <c r="H137" s="340" t="s">
        <v>60</v>
      </c>
      <c r="I137" s="340" t="s">
        <v>61</v>
      </c>
      <c r="J137" s="340" t="s">
        <v>1287</v>
      </c>
      <c r="K137" s="340" t="s">
        <v>1288</v>
      </c>
      <c r="L137" s="345" t="str">
        <f>VLOOKUP(K137,'20260309 suivi sites'!F:F,1,0)</f>
        <v>31ESTA011AOG</v>
      </c>
      <c r="M137" s="340" t="s">
        <v>64</v>
      </c>
      <c r="N137" s="340" t="s">
        <v>65</v>
      </c>
      <c r="O137" s="340" t="s">
        <v>64</v>
      </c>
      <c r="P137" s="341">
        <v>43556</v>
      </c>
      <c r="Q137" s="341">
        <v>44558</v>
      </c>
      <c r="R137" s="347" t="b">
        <f t="shared" si="5"/>
        <v>0</v>
      </c>
      <c r="S137" s="347" t="str">
        <f t="shared" si="4"/>
        <v>change</v>
      </c>
      <c r="T137" s="342" t="s">
        <v>56</v>
      </c>
      <c r="U137" s="342" t="s">
        <v>1289</v>
      </c>
      <c r="V137" s="342" t="s">
        <v>1290</v>
      </c>
      <c r="W137" s="342" t="s">
        <v>1291</v>
      </c>
      <c r="X137" s="342" t="s">
        <v>69</v>
      </c>
      <c r="Y137" s="349" t="s">
        <v>1292</v>
      </c>
      <c r="Z137" s="342" t="s">
        <v>71</v>
      </c>
      <c r="AA137" s="342" t="s">
        <v>72</v>
      </c>
      <c r="AB137" s="342" t="s">
        <v>73</v>
      </c>
      <c r="AC137" s="342" t="s">
        <v>74</v>
      </c>
      <c r="AD137" s="342"/>
      <c r="AE137" s="342" t="s">
        <v>1293</v>
      </c>
      <c r="AF137" s="349" t="s">
        <v>3771</v>
      </c>
      <c r="AG137" s="342" t="s">
        <v>74</v>
      </c>
      <c r="AH137" s="342" t="s">
        <v>76</v>
      </c>
      <c r="AI137" s="342" t="s">
        <v>74</v>
      </c>
      <c r="AJ137" s="342" t="s">
        <v>77</v>
      </c>
      <c r="AK137" s="342" t="s">
        <v>97</v>
      </c>
      <c r="AL137" s="342" t="s">
        <v>79</v>
      </c>
      <c r="AM137" s="342" t="s">
        <v>74</v>
      </c>
      <c r="AN137" s="342"/>
      <c r="AO137" s="342" t="s">
        <v>1294</v>
      </c>
      <c r="AP137" s="342" t="s">
        <v>81</v>
      </c>
      <c r="AQ137" s="349" t="s">
        <v>222</v>
      </c>
      <c r="AR137" s="342" t="s">
        <v>83</v>
      </c>
      <c r="AS137" s="342" t="s">
        <v>84</v>
      </c>
      <c r="AT137" s="342" t="s">
        <v>45</v>
      </c>
      <c r="AU137" s="342" t="s">
        <v>85</v>
      </c>
      <c r="AV137" s="342"/>
      <c r="AW137" s="342"/>
      <c r="AX137" s="343" t="str">
        <f>IF(OR(Tableau3[[#This Row],[Option GTR]]&lt;&gt;"",Tableau3[[#This Row],[GTR spécifique]]&lt;&gt;""),"GTRS1","GTRS2")</f>
        <v>GTRS2</v>
      </c>
      <c r="AY137" s="342" t="s">
        <v>143</v>
      </c>
      <c r="AZ137" s="342"/>
      <c r="BA137" s="342" t="s">
        <v>1295</v>
      </c>
    </row>
    <row r="138" spans="1:53" s="326" customFormat="1" ht="18.149999999999999" customHeight="1" x14ac:dyDescent="0.3">
      <c r="A138" s="340" t="s">
        <v>53</v>
      </c>
      <c r="B138" s="340" t="s">
        <v>54</v>
      </c>
      <c r="C138" s="340" t="s">
        <v>932</v>
      </c>
      <c r="D138" s="340" t="s">
        <v>56</v>
      </c>
      <c r="E138" s="340" t="s">
        <v>57</v>
      </c>
      <c r="F138" s="340" t="s">
        <v>58</v>
      </c>
      <c r="G138" s="340" t="s">
        <v>59</v>
      </c>
      <c r="H138" s="340" t="s">
        <v>60</v>
      </c>
      <c r="I138" s="340" t="s">
        <v>61</v>
      </c>
      <c r="J138" s="340" t="s">
        <v>1296</v>
      </c>
      <c r="K138" s="340" t="s">
        <v>1297</v>
      </c>
      <c r="L138" s="345" t="str">
        <f>VLOOKUP(K138,'20260309 suivi sites'!F:F,1,0)</f>
        <v>59LILL031AOG</v>
      </c>
      <c r="M138" s="340" t="s">
        <v>64</v>
      </c>
      <c r="N138" s="340" t="s">
        <v>65</v>
      </c>
      <c r="O138" s="340" t="s">
        <v>64</v>
      </c>
      <c r="P138" s="341">
        <v>43894</v>
      </c>
      <c r="Q138" s="341">
        <v>44077</v>
      </c>
      <c r="R138" s="347" t="b">
        <f t="shared" si="5"/>
        <v>0</v>
      </c>
      <c r="S138" s="347" t="str">
        <f t="shared" si="4"/>
        <v>change</v>
      </c>
      <c r="T138" s="342" t="s">
        <v>56</v>
      </c>
      <c r="U138" s="342" t="s">
        <v>1298</v>
      </c>
      <c r="V138" s="342" t="s">
        <v>1299</v>
      </c>
      <c r="W138" s="342" t="s">
        <v>725</v>
      </c>
      <c r="X138" s="342" t="s">
        <v>69</v>
      </c>
      <c r="Y138" s="349" t="s">
        <v>1300</v>
      </c>
      <c r="Z138" s="342" t="s">
        <v>71</v>
      </c>
      <c r="AA138" s="342" t="s">
        <v>72</v>
      </c>
      <c r="AB138" s="342" t="s">
        <v>73</v>
      </c>
      <c r="AC138" s="342" t="s">
        <v>74</v>
      </c>
      <c r="AD138" s="342"/>
      <c r="AE138" s="342" t="s">
        <v>1301</v>
      </c>
      <c r="AF138" s="349" t="s">
        <v>3764</v>
      </c>
      <c r="AG138" s="342" t="s">
        <v>74</v>
      </c>
      <c r="AH138" s="342" t="s">
        <v>76</v>
      </c>
      <c r="AI138" s="342" t="s">
        <v>74</v>
      </c>
      <c r="AJ138" s="342" t="s">
        <v>77</v>
      </c>
      <c r="AK138" s="342" t="s">
        <v>97</v>
      </c>
      <c r="AL138" s="342" t="s">
        <v>79</v>
      </c>
      <c r="AM138" s="342" t="s">
        <v>74</v>
      </c>
      <c r="AN138" s="342"/>
      <c r="AO138" s="342" t="s">
        <v>1302</v>
      </c>
      <c r="AP138" s="342" t="s">
        <v>81</v>
      </c>
      <c r="AQ138" s="349" t="s">
        <v>1303</v>
      </c>
      <c r="AR138" s="342" t="s">
        <v>83</v>
      </c>
      <c r="AS138" s="342" t="s">
        <v>84</v>
      </c>
      <c r="AT138" s="342" t="s">
        <v>45</v>
      </c>
      <c r="AU138" s="342" t="s">
        <v>85</v>
      </c>
      <c r="AV138" s="342"/>
      <c r="AW138" s="342"/>
      <c r="AX138" s="343" t="str">
        <f>IF(OR(Tableau3[[#This Row],[Option GTR]]&lt;&gt;"",Tableau3[[#This Row],[GTR spécifique]]&lt;&gt;""),"GTRS1","GTRS2")</f>
        <v>GTRS2</v>
      </c>
      <c r="AY138" s="342" t="s">
        <v>86</v>
      </c>
      <c r="AZ138" s="342"/>
      <c r="BA138" s="342" t="s">
        <v>393</v>
      </c>
    </row>
    <row r="139" spans="1:53" s="326" customFormat="1" ht="18.149999999999999" customHeight="1" x14ac:dyDescent="0.3">
      <c r="A139" s="340" t="s">
        <v>53</v>
      </c>
      <c r="B139" s="340" t="s">
        <v>54</v>
      </c>
      <c r="C139" s="340" t="s">
        <v>932</v>
      </c>
      <c r="D139" s="340" t="s">
        <v>56</v>
      </c>
      <c r="E139" s="340" t="s">
        <v>57</v>
      </c>
      <c r="F139" s="340" t="s">
        <v>58</v>
      </c>
      <c r="G139" s="340" t="s">
        <v>59</v>
      </c>
      <c r="H139" s="340" t="s">
        <v>60</v>
      </c>
      <c r="I139" s="340" t="s">
        <v>61</v>
      </c>
      <c r="J139" s="340" t="s">
        <v>1304</v>
      </c>
      <c r="K139" s="340" t="s">
        <v>1305</v>
      </c>
      <c r="L139" s="345" t="str">
        <f>VLOOKUP(K139,'20260309 suivi sites'!F:F,1,0)</f>
        <v>69LYON021AOM</v>
      </c>
      <c r="M139" s="340" t="s">
        <v>64</v>
      </c>
      <c r="N139" s="340" t="s">
        <v>65</v>
      </c>
      <c r="O139" s="340" t="s">
        <v>64</v>
      </c>
      <c r="P139" s="341">
        <v>43752</v>
      </c>
      <c r="Q139" s="341">
        <v>45015</v>
      </c>
      <c r="R139" s="347" t="b">
        <f t="shared" si="5"/>
        <v>0</v>
      </c>
      <c r="S139" s="347" t="str">
        <f t="shared" si="4"/>
        <v>change</v>
      </c>
      <c r="T139" s="342" t="s">
        <v>56</v>
      </c>
      <c r="U139" s="342" t="s">
        <v>1306</v>
      </c>
      <c r="V139" s="342" t="s">
        <v>1307</v>
      </c>
      <c r="W139" s="342" t="s">
        <v>1308</v>
      </c>
      <c r="X139" s="342" t="s">
        <v>69</v>
      </c>
      <c r="Y139" s="349" t="s">
        <v>1309</v>
      </c>
      <c r="Z139" s="342" t="s">
        <v>71</v>
      </c>
      <c r="AA139" s="342" t="s">
        <v>218</v>
      </c>
      <c r="AB139" s="342" t="s">
        <v>152</v>
      </c>
      <c r="AC139" s="342" t="s">
        <v>74</v>
      </c>
      <c r="AD139" s="342"/>
      <c r="AE139" s="342" t="s">
        <v>1310</v>
      </c>
      <c r="AF139" s="349" t="s">
        <v>3778</v>
      </c>
      <c r="AG139" s="342" t="s">
        <v>74</v>
      </c>
      <c r="AH139" s="342" t="s">
        <v>76</v>
      </c>
      <c r="AI139" s="342" t="s">
        <v>74</v>
      </c>
      <c r="AJ139" s="342" t="s">
        <v>77</v>
      </c>
      <c r="AK139" s="342" t="s">
        <v>78</v>
      </c>
      <c r="AL139" s="342" t="s">
        <v>152</v>
      </c>
      <c r="AM139" s="342" t="s">
        <v>74</v>
      </c>
      <c r="AN139" s="342"/>
      <c r="AO139" s="342" t="s">
        <v>1311</v>
      </c>
      <c r="AP139" s="342" t="s">
        <v>81</v>
      </c>
      <c r="AQ139" s="349" t="s">
        <v>1312</v>
      </c>
      <c r="AR139" s="342" t="s">
        <v>83</v>
      </c>
      <c r="AS139" s="342" t="s">
        <v>84</v>
      </c>
      <c r="AT139" s="342" t="s">
        <v>45</v>
      </c>
      <c r="AU139" s="342" t="s">
        <v>85</v>
      </c>
      <c r="AV139" s="342" t="s">
        <v>480</v>
      </c>
      <c r="AW139" s="342"/>
      <c r="AX139" s="343" t="str">
        <f>IF(OR(Tableau3[[#This Row],[Option GTR]]&lt;&gt;"",Tableau3[[#This Row],[GTR spécifique]]&lt;&gt;""),"GTRS1","GTRS2")</f>
        <v>GTRS1</v>
      </c>
      <c r="AY139" s="342" t="s">
        <v>481</v>
      </c>
      <c r="AZ139" s="342"/>
      <c r="BA139" s="342" t="s">
        <v>1314</v>
      </c>
    </row>
    <row r="140" spans="1:53" s="326" customFormat="1" ht="18.149999999999999" customHeight="1" x14ac:dyDescent="0.3">
      <c r="A140" s="340" t="s">
        <v>53</v>
      </c>
      <c r="B140" s="340" t="s">
        <v>54</v>
      </c>
      <c r="C140" s="340" t="s">
        <v>932</v>
      </c>
      <c r="D140" s="340" t="s">
        <v>56</v>
      </c>
      <c r="E140" s="340" t="s">
        <v>57</v>
      </c>
      <c r="F140" s="340" t="s">
        <v>58</v>
      </c>
      <c r="G140" s="340" t="s">
        <v>59</v>
      </c>
      <c r="H140" s="340" t="s">
        <v>60</v>
      </c>
      <c r="I140" s="340" t="s">
        <v>61</v>
      </c>
      <c r="J140" s="340" t="s">
        <v>1315</v>
      </c>
      <c r="K140" s="340" t="s">
        <v>1316</v>
      </c>
      <c r="L140" s="345" t="str">
        <f>VLOOKUP(K140,'20260309 suivi sites'!F:F,1,0)</f>
        <v>69LYON031AOM</v>
      </c>
      <c r="M140" s="340" t="s">
        <v>64</v>
      </c>
      <c r="N140" s="340" t="s">
        <v>65</v>
      </c>
      <c r="O140" s="340" t="s">
        <v>64</v>
      </c>
      <c r="P140" s="341">
        <v>43752</v>
      </c>
      <c r="Q140" s="341">
        <v>45015</v>
      </c>
      <c r="R140" s="347" t="b">
        <f t="shared" si="5"/>
        <v>0</v>
      </c>
      <c r="S140" s="347" t="str">
        <f t="shared" si="4"/>
        <v>change</v>
      </c>
      <c r="T140" s="342" t="s">
        <v>56</v>
      </c>
      <c r="U140" s="342" t="s">
        <v>1317</v>
      </c>
      <c r="V140" s="342" t="s">
        <v>1318</v>
      </c>
      <c r="W140" s="342" t="s">
        <v>1308</v>
      </c>
      <c r="X140" s="342" t="s">
        <v>69</v>
      </c>
      <c r="Y140" s="349" t="s">
        <v>1319</v>
      </c>
      <c r="Z140" s="342" t="s">
        <v>71</v>
      </c>
      <c r="AA140" s="342" t="s">
        <v>218</v>
      </c>
      <c r="AB140" s="342" t="s">
        <v>152</v>
      </c>
      <c r="AC140" s="342" t="s">
        <v>74</v>
      </c>
      <c r="AD140" s="342"/>
      <c r="AE140" s="342" t="s">
        <v>1320</v>
      </c>
      <c r="AF140" s="349" t="s">
        <v>3778</v>
      </c>
      <c r="AG140" s="342" t="s">
        <v>74</v>
      </c>
      <c r="AH140" s="342" t="s">
        <v>76</v>
      </c>
      <c r="AI140" s="342" t="s">
        <v>74</v>
      </c>
      <c r="AJ140" s="342" t="s">
        <v>77</v>
      </c>
      <c r="AK140" s="342" t="s">
        <v>78</v>
      </c>
      <c r="AL140" s="342" t="s">
        <v>152</v>
      </c>
      <c r="AM140" s="342" t="s">
        <v>74</v>
      </c>
      <c r="AN140" s="342"/>
      <c r="AO140" s="342" t="s">
        <v>1321</v>
      </c>
      <c r="AP140" s="342" t="s">
        <v>81</v>
      </c>
      <c r="AQ140" s="349" t="s">
        <v>1312</v>
      </c>
      <c r="AR140" s="342" t="s">
        <v>83</v>
      </c>
      <c r="AS140" s="342" t="s">
        <v>84</v>
      </c>
      <c r="AT140" s="342" t="s">
        <v>45</v>
      </c>
      <c r="AU140" s="342" t="s">
        <v>85</v>
      </c>
      <c r="AV140" s="342" t="s">
        <v>480</v>
      </c>
      <c r="AW140" s="342"/>
      <c r="AX140" s="343" t="str">
        <f>IF(OR(Tableau3[[#This Row],[Option GTR]]&lt;&gt;"",Tableau3[[#This Row],[GTR spécifique]]&lt;&gt;""),"GTRS1","GTRS2")</f>
        <v>GTRS1</v>
      </c>
      <c r="AY140" s="342" t="s">
        <v>481</v>
      </c>
      <c r="AZ140" s="342"/>
      <c r="BA140" s="342" t="s">
        <v>1322</v>
      </c>
    </row>
    <row r="141" spans="1:53" s="326" customFormat="1" ht="18.149999999999999" customHeight="1" x14ac:dyDescent="0.3">
      <c r="A141" s="340" t="s">
        <v>53</v>
      </c>
      <c r="B141" s="340" t="s">
        <v>54</v>
      </c>
      <c r="C141" s="340" t="s">
        <v>932</v>
      </c>
      <c r="D141" s="340" t="s">
        <v>56</v>
      </c>
      <c r="E141" s="340" t="s">
        <v>57</v>
      </c>
      <c r="F141" s="340" t="s">
        <v>58</v>
      </c>
      <c r="G141" s="340" t="s">
        <v>59</v>
      </c>
      <c r="H141" s="340" t="s">
        <v>60</v>
      </c>
      <c r="I141" s="340" t="s">
        <v>61</v>
      </c>
      <c r="J141" s="340" t="s">
        <v>1323</v>
      </c>
      <c r="K141" s="340" t="s">
        <v>1324</v>
      </c>
      <c r="L141" s="345" t="str">
        <f>VLOOKUP(K141,'20260309 suivi sites'!F:F,1,0)</f>
        <v>76ROUE021AOG</v>
      </c>
      <c r="M141" s="340" t="s">
        <v>64</v>
      </c>
      <c r="N141" s="340" t="s">
        <v>65</v>
      </c>
      <c r="O141" s="340" t="s">
        <v>64</v>
      </c>
      <c r="P141" s="341">
        <v>43676</v>
      </c>
      <c r="Q141" s="341">
        <v>44139</v>
      </c>
      <c r="R141" s="347" t="b">
        <f t="shared" si="5"/>
        <v>0</v>
      </c>
      <c r="S141" s="347" t="str">
        <f t="shared" si="4"/>
        <v>change</v>
      </c>
      <c r="T141" s="342" t="s">
        <v>56</v>
      </c>
      <c r="U141" s="342" t="s">
        <v>1325</v>
      </c>
      <c r="V141" s="342" t="s">
        <v>1326</v>
      </c>
      <c r="W141" s="342" t="s">
        <v>876</v>
      </c>
      <c r="X141" s="342" t="s">
        <v>69</v>
      </c>
      <c r="Y141" s="349" t="s">
        <v>1327</v>
      </c>
      <c r="Z141" s="342" t="s">
        <v>71</v>
      </c>
      <c r="AA141" s="342" t="s">
        <v>72</v>
      </c>
      <c r="AB141" s="342" t="s">
        <v>73</v>
      </c>
      <c r="AC141" s="342" t="s">
        <v>74</v>
      </c>
      <c r="AD141" s="342"/>
      <c r="AE141" s="342" t="s">
        <v>1328</v>
      </c>
      <c r="AF141" s="349" t="s">
        <v>3770</v>
      </c>
      <c r="AG141" s="342" t="s">
        <v>74</v>
      </c>
      <c r="AH141" s="342" t="s">
        <v>76</v>
      </c>
      <c r="AI141" s="342" t="s">
        <v>74</v>
      </c>
      <c r="AJ141" s="342" t="s">
        <v>77</v>
      </c>
      <c r="AK141" s="342" t="s">
        <v>97</v>
      </c>
      <c r="AL141" s="342" t="s">
        <v>79</v>
      </c>
      <c r="AM141" s="342" t="s">
        <v>74</v>
      </c>
      <c r="AN141" s="342"/>
      <c r="AO141" s="342" t="s">
        <v>1329</v>
      </c>
      <c r="AP141" s="342" t="s">
        <v>81</v>
      </c>
      <c r="AQ141" s="349" t="s">
        <v>210</v>
      </c>
      <c r="AR141" s="342" t="s">
        <v>83</v>
      </c>
      <c r="AS141" s="342" t="s">
        <v>290</v>
      </c>
      <c r="AT141" s="342" t="s">
        <v>45</v>
      </c>
      <c r="AU141" s="342" t="s">
        <v>85</v>
      </c>
      <c r="AV141" s="342"/>
      <c r="AW141" s="342"/>
      <c r="AX141" s="343" t="str">
        <f>IF(OR(Tableau3[[#This Row],[Option GTR]]&lt;&gt;"",Tableau3[[#This Row],[GTR spécifique]]&lt;&gt;""),"GTRS1","GTRS2")</f>
        <v>GTRS2</v>
      </c>
      <c r="AY141" s="342" t="s">
        <v>86</v>
      </c>
      <c r="AZ141" s="342"/>
      <c r="BA141" s="344" t="s">
        <v>1330</v>
      </c>
    </row>
    <row r="142" spans="1:53" s="326" customFormat="1" ht="18.149999999999999" customHeight="1" x14ac:dyDescent="0.3">
      <c r="A142" s="340" t="s">
        <v>53</v>
      </c>
      <c r="B142" s="340" t="s">
        <v>54</v>
      </c>
      <c r="C142" s="340" t="s">
        <v>932</v>
      </c>
      <c r="D142" s="340" t="s">
        <v>56</v>
      </c>
      <c r="E142" s="340" t="s">
        <v>57</v>
      </c>
      <c r="F142" s="340" t="s">
        <v>58</v>
      </c>
      <c r="G142" s="340" t="s">
        <v>59</v>
      </c>
      <c r="H142" s="340" t="s">
        <v>60</v>
      </c>
      <c r="I142" s="340" t="s">
        <v>61</v>
      </c>
      <c r="J142" s="340" t="s">
        <v>1331</v>
      </c>
      <c r="K142" s="340" t="s">
        <v>1332</v>
      </c>
      <c r="L142" s="345" t="str">
        <f>VLOOKUP(K142,'20260309 suivi sites'!F:F,1,0)</f>
        <v>68COLM011AOG</v>
      </c>
      <c r="M142" s="340" t="s">
        <v>64</v>
      </c>
      <c r="N142" s="340" t="s">
        <v>65</v>
      </c>
      <c r="O142" s="340" t="s">
        <v>64</v>
      </c>
      <c r="P142" s="341">
        <v>43539</v>
      </c>
      <c r="Q142" s="341">
        <v>43823</v>
      </c>
      <c r="R142" s="347" t="b">
        <f t="shared" si="5"/>
        <v>0</v>
      </c>
      <c r="S142" s="347" t="str">
        <f t="shared" si="4"/>
        <v>change</v>
      </c>
      <c r="T142" s="342" t="s">
        <v>56</v>
      </c>
      <c r="U142" s="342" t="s">
        <v>1333</v>
      </c>
      <c r="V142" s="342" t="s">
        <v>1334</v>
      </c>
      <c r="W142" s="342" t="s">
        <v>1335</v>
      </c>
      <c r="X142" s="342" t="s">
        <v>69</v>
      </c>
      <c r="Y142" s="349" t="s">
        <v>1336</v>
      </c>
      <c r="Z142" s="342" t="s">
        <v>71</v>
      </c>
      <c r="AA142" s="342" t="s">
        <v>72</v>
      </c>
      <c r="AB142" s="342" t="s">
        <v>73</v>
      </c>
      <c r="AC142" s="342" t="s">
        <v>74</v>
      </c>
      <c r="AD142" s="342"/>
      <c r="AE142" s="342" t="s">
        <v>1337</v>
      </c>
      <c r="AF142" s="349" t="s">
        <v>3771</v>
      </c>
      <c r="AG142" s="342" t="s">
        <v>74</v>
      </c>
      <c r="AH142" s="342" t="s">
        <v>76</v>
      </c>
      <c r="AI142" s="342" t="s">
        <v>74</v>
      </c>
      <c r="AJ142" s="342" t="s">
        <v>77</v>
      </c>
      <c r="AK142" s="342" t="s">
        <v>97</v>
      </c>
      <c r="AL142" s="342" t="s">
        <v>79</v>
      </c>
      <c r="AM142" s="342" t="s">
        <v>74</v>
      </c>
      <c r="AN142" s="342"/>
      <c r="AO142" s="342" t="s">
        <v>1338</v>
      </c>
      <c r="AP142" s="342" t="s">
        <v>81</v>
      </c>
      <c r="AQ142" s="349" t="s">
        <v>927</v>
      </c>
      <c r="AR142" s="342" t="s">
        <v>83</v>
      </c>
      <c r="AS142" s="342" t="s">
        <v>84</v>
      </c>
      <c r="AT142" s="342" t="s">
        <v>45</v>
      </c>
      <c r="AU142" s="342" t="s">
        <v>85</v>
      </c>
      <c r="AV142" s="342"/>
      <c r="AW142" s="342"/>
      <c r="AX142" s="343" t="str">
        <f>IF(OR(Tableau3[[#This Row],[Option GTR]]&lt;&gt;"",Tableau3[[#This Row],[GTR spécifique]]&lt;&gt;""),"GTRS1","GTRS2")</f>
        <v>GTRS2</v>
      </c>
      <c r="AY142" s="342" t="s">
        <v>100</v>
      </c>
      <c r="AZ142" s="342"/>
      <c r="BA142" s="342" t="s">
        <v>365</v>
      </c>
    </row>
    <row r="143" spans="1:53" s="326" customFormat="1" ht="18.149999999999999" customHeight="1" x14ac:dyDescent="0.3">
      <c r="A143" s="340" t="s">
        <v>53</v>
      </c>
      <c r="B143" s="340" t="s">
        <v>54</v>
      </c>
      <c r="C143" s="340" t="s">
        <v>932</v>
      </c>
      <c r="D143" s="340" t="s">
        <v>56</v>
      </c>
      <c r="E143" s="340" t="s">
        <v>57</v>
      </c>
      <c r="F143" s="340" t="s">
        <v>58</v>
      </c>
      <c r="G143" s="340" t="s">
        <v>59</v>
      </c>
      <c r="H143" s="340" t="s">
        <v>60</v>
      </c>
      <c r="I143" s="340" t="s">
        <v>61</v>
      </c>
      <c r="J143" s="340" t="s">
        <v>1339</v>
      </c>
      <c r="K143" s="340" t="s">
        <v>1340</v>
      </c>
      <c r="L143" s="345" t="str">
        <f>VLOOKUP(K143,'20260309 suivi sites'!F:F,1,0)</f>
        <v>38PONT011AOM</v>
      </c>
      <c r="M143" s="340" t="s">
        <v>64</v>
      </c>
      <c r="N143" s="340" t="s">
        <v>65</v>
      </c>
      <c r="O143" s="340" t="s">
        <v>64</v>
      </c>
      <c r="P143" s="341">
        <v>43606</v>
      </c>
      <c r="Q143" s="341">
        <v>45728</v>
      </c>
      <c r="R143" s="347" t="b">
        <f t="shared" si="5"/>
        <v>0</v>
      </c>
      <c r="S143" s="347" t="str">
        <f t="shared" si="4"/>
        <v>change</v>
      </c>
      <c r="T143" s="342" t="s">
        <v>56</v>
      </c>
      <c r="U143" s="342" t="s">
        <v>1341</v>
      </c>
      <c r="V143" s="342" t="s">
        <v>1342</v>
      </c>
      <c r="W143" s="342" t="s">
        <v>1343</v>
      </c>
      <c r="X143" s="342" t="s">
        <v>69</v>
      </c>
      <c r="Y143" s="349" t="s">
        <v>1344</v>
      </c>
      <c r="Z143" s="342" t="s">
        <v>71</v>
      </c>
      <c r="AA143" s="342" t="s">
        <v>218</v>
      </c>
      <c r="AB143" s="342" t="s">
        <v>152</v>
      </c>
      <c r="AC143" s="342" t="s">
        <v>74</v>
      </c>
      <c r="AD143" s="342"/>
      <c r="AE143" s="342" t="s">
        <v>1345</v>
      </c>
      <c r="AF143" s="349" t="s">
        <v>3770</v>
      </c>
      <c r="AG143" s="342" t="s">
        <v>74</v>
      </c>
      <c r="AH143" s="342" t="s">
        <v>76</v>
      </c>
      <c r="AI143" s="342" t="s">
        <v>74</v>
      </c>
      <c r="AJ143" s="342" t="s">
        <v>77</v>
      </c>
      <c r="AK143" s="342" t="s">
        <v>97</v>
      </c>
      <c r="AL143" s="342" t="s">
        <v>152</v>
      </c>
      <c r="AM143" s="342" t="s">
        <v>74</v>
      </c>
      <c r="AN143" s="342"/>
      <c r="AO143" s="342" t="s">
        <v>1346</v>
      </c>
      <c r="AP143" s="342" t="s">
        <v>81</v>
      </c>
      <c r="AQ143" s="349" t="s">
        <v>210</v>
      </c>
      <c r="AR143" s="342" t="s">
        <v>83</v>
      </c>
      <c r="AS143" s="342" t="s">
        <v>84</v>
      </c>
      <c r="AT143" s="342" t="s">
        <v>45</v>
      </c>
      <c r="AU143" s="342" t="s">
        <v>85</v>
      </c>
      <c r="AV143" s="342"/>
      <c r="AW143" s="342"/>
      <c r="AX143" s="343" t="str">
        <f>IF(OR(Tableau3[[#This Row],[Option GTR]]&lt;&gt;"",Tableau3[[#This Row],[GTR spécifique]]&lt;&gt;""),"GTRS1","GTRS2")</f>
        <v>GTRS2</v>
      </c>
      <c r="AY143" s="342" t="s">
        <v>355</v>
      </c>
      <c r="AZ143" s="342"/>
      <c r="BA143" s="342" t="s">
        <v>1347</v>
      </c>
    </row>
    <row r="144" spans="1:53" s="326" customFormat="1" ht="18.149999999999999" customHeight="1" x14ac:dyDescent="0.3">
      <c r="A144" s="340" t="s">
        <v>53</v>
      </c>
      <c r="B144" s="340" t="s">
        <v>54</v>
      </c>
      <c r="C144" s="340" t="s">
        <v>932</v>
      </c>
      <c r="D144" s="340" t="s">
        <v>56</v>
      </c>
      <c r="E144" s="340" t="s">
        <v>57</v>
      </c>
      <c r="F144" s="340" t="s">
        <v>58</v>
      </c>
      <c r="G144" s="340" t="s">
        <v>59</v>
      </c>
      <c r="H144" s="340" t="s">
        <v>60</v>
      </c>
      <c r="I144" s="340" t="s">
        <v>61</v>
      </c>
      <c r="J144" s="340" t="s">
        <v>1348</v>
      </c>
      <c r="K144" s="340" t="s">
        <v>1349</v>
      </c>
      <c r="L144" s="345" t="str">
        <f>VLOOKUP(K144,'20260309 suivi sites'!F:F,1,0)</f>
        <v>97CAYE031AOG</v>
      </c>
      <c r="M144" s="340" t="s">
        <v>64</v>
      </c>
      <c r="N144" s="340" t="s">
        <v>65</v>
      </c>
      <c r="O144" s="340" t="s">
        <v>64</v>
      </c>
      <c r="P144" s="341">
        <v>43670</v>
      </c>
      <c r="Q144" s="341">
        <v>44412</v>
      </c>
      <c r="R144" s="347" t="b">
        <f t="shared" si="5"/>
        <v>0</v>
      </c>
      <c r="S144" s="347" t="str">
        <f t="shared" si="4"/>
        <v>change</v>
      </c>
      <c r="T144" s="342" t="s">
        <v>56</v>
      </c>
      <c r="U144" s="342" t="s">
        <v>1350</v>
      </c>
      <c r="V144" s="342" t="s">
        <v>600</v>
      </c>
      <c r="W144" s="342" t="s">
        <v>601</v>
      </c>
      <c r="X144" s="342" t="s">
        <v>69</v>
      </c>
      <c r="Y144" s="349" t="s">
        <v>1351</v>
      </c>
      <c r="Z144" s="342" t="s">
        <v>71</v>
      </c>
      <c r="AA144" s="342" t="s">
        <v>72</v>
      </c>
      <c r="AB144" s="342" t="s">
        <v>73</v>
      </c>
      <c r="AC144" s="342" t="s">
        <v>74</v>
      </c>
      <c r="AD144" s="342"/>
      <c r="AE144" s="342" t="s">
        <v>1352</v>
      </c>
      <c r="AF144" s="349" t="s">
        <v>3775</v>
      </c>
      <c r="AG144" s="342" t="s">
        <v>74</v>
      </c>
      <c r="AH144" s="342" t="s">
        <v>74</v>
      </c>
      <c r="AI144" s="342" t="s">
        <v>74</v>
      </c>
      <c r="AJ144" s="342" t="s">
        <v>77</v>
      </c>
      <c r="AK144" s="342" t="s">
        <v>97</v>
      </c>
      <c r="AL144" s="342" t="s">
        <v>79</v>
      </c>
      <c r="AM144" s="342" t="s">
        <v>74</v>
      </c>
      <c r="AN144" s="342"/>
      <c r="AO144" s="342" t="s">
        <v>1353</v>
      </c>
      <c r="AP144" s="342" t="s">
        <v>81</v>
      </c>
      <c r="AQ144" s="349" t="s">
        <v>509</v>
      </c>
      <c r="AR144" s="342" t="s">
        <v>83</v>
      </c>
      <c r="AS144" s="342" t="s">
        <v>84</v>
      </c>
      <c r="AT144" s="342" t="s">
        <v>45</v>
      </c>
      <c r="AU144" s="342" t="s">
        <v>85</v>
      </c>
      <c r="AV144" s="342"/>
      <c r="AW144" s="342" t="s">
        <v>131</v>
      </c>
      <c r="AX144" s="343" t="str">
        <f>IF(OR(Tableau3[[#This Row],[Option GTR]]&lt;&gt;"",Tableau3[[#This Row],[GTR spécifique]]&lt;&gt;""),"GTRS1","GTRS2")</f>
        <v>GTRS1</v>
      </c>
      <c r="AY144" s="342" t="s">
        <v>632</v>
      </c>
      <c r="AZ144" s="342"/>
      <c r="BA144" s="342" t="s">
        <v>686</v>
      </c>
    </row>
    <row r="145" spans="1:53" s="326" customFormat="1" ht="18.149999999999999" customHeight="1" x14ac:dyDescent="0.3">
      <c r="A145" s="340" t="s">
        <v>53</v>
      </c>
      <c r="B145" s="340" t="s">
        <v>54</v>
      </c>
      <c r="C145" s="340" t="s">
        <v>932</v>
      </c>
      <c r="D145" s="340" t="s">
        <v>56</v>
      </c>
      <c r="E145" s="340" t="s">
        <v>57</v>
      </c>
      <c r="F145" s="340" t="s">
        <v>58</v>
      </c>
      <c r="G145" s="340" t="s">
        <v>59</v>
      </c>
      <c r="H145" s="340" t="s">
        <v>60</v>
      </c>
      <c r="I145" s="340" t="s">
        <v>61</v>
      </c>
      <c r="J145" s="340" t="s">
        <v>1354</v>
      </c>
      <c r="K145" s="340" t="s">
        <v>1355</v>
      </c>
      <c r="L145" s="345" t="str">
        <f>VLOOKUP(K145,'20260309 suivi sites'!F:F,1,0)</f>
        <v>97MATO021AOG</v>
      </c>
      <c r="M145" s="340" t="s">
        <v>64</v>
      </c>
      <c r="N145" s="340" t="s">
        <v>65</v>
      </c>
      <c r="O145" s="340" t="s">
        <v>64</v>
      </c>
      <c r="P145" s="341">
        <v>43635</v>
      </c>
      <c r="Q145" s="341">
        <v>45875</v>
      </c>
      <c r="R145" s="347" t="b">
        <f t="shared" si="5"/>
        <v>0</v>
      </c>
      <c r="S145" s="347" t="str">
        <f t="shared" si="4"/>
        <v>change</v>
      </c>
      <c r="T145" s="342" t="s">
        <v>56</v>
      </c>
      <c r="U145" s="342" t="s">
        <v>1356</v>
      </c>
      <c r="V145" s="342" t="s">
        <v>136</v>
      </c>
      <c r="W145" s="342" t="s">
        <v>137</v>
      </c>
      <c r="X145" s="342" t="s">
        <v>69</v>
      </c>
      <c r="Y145" s="349" t="s">
        <v>1357</v>
      </c>
      <c r="Z145" s="342" t="s">
        <v>71</v>
      </c>
      <c r="AA145" s="342" t="s">
        <v>72</v>
      </c>
      <c r="AB145" s="342" t="s">
        <v>73</v>
      </c>
      <c r="AC145" s="342" t="s">
        <v>74</v>
      </c>
      <c r="AD145" s="342"/>
      <c r="AE145" s="342" t="s">
        <v>1358</v>
      </c>
      <c r="AF145" s="349" t="s">
        <v>3775</v>
      </c>
      <c r="AG145" s="342" t="s">
        <v>74</v>
      </c>
      <c r="AH145" s="342" t="s">
        <v>76</v>
      </c>
      <c r="AI145" s="342" t="s">
        <v>76</v>
      </c>
      <c r="AJ145" s="342" t="s">
        <v>140</v>
      </c>
      <c r="AK145" s="342" t="s">
        <v>97</v>
      </c>
      <c r="AL145" s="342" t="s">
        <v>79</v>
      </c>
      <c r="AM145" s="342" t="s">
        <v>74</v>
      </c>
      <c r="AN145" s="342"/>
      <c r="AO145" s="342" t="s">
        <v>1359</v>
      </c>
      <c r="AP145" s="342" t="s">
        <v>81</v>
      </c>
      <c r="AQ145" s="349" t="s">
        <v>822</v>
      </c>
      <c r="AR145" s="342" t="s">
        <v>83</v>
      </c>
      <c r="AS145" s="342" t="s">
        <v>84</v>
      </c>
      <c r="AT145" s="342" t="s">
        <v>45</v>
      </c>
      <c r="AU145" s="342" t="s">
        <v>85</v>
      </c>
      <c r="AV145" s="342"/>
      <c r="AW145" s="342" t="s">
        <v>131</v>
      </c>
      <c r="AX145" s="343" t="str">
        <f>IF(OR(Tableau3[[#This Row],[Option GTR]]&lt;&gt;"",Tableau3[[#This Row],[GTR spécifique]]&lt;&gt;""),"GTRS1","GTRS2")</f>
        <v>GTRS1</v>
      </c>
      <c r="AY145" s="342" t="s">
        <v>143</v>
      </c>
      <c r="AZ145" s="342"/>
      <c r="BA145" s="342" t="s">
        <v>1360</v>
      </c>
    </row>
    <row r="146" spans="1:53" s="326" customFormat="1" ht="18.149999999999999" customHeight="1" x14ac:dyDescent="0.3">
      <c r="A146" s="340" t="s">
        <v>53</v>
      </c>
      <c r="B146" s="340" t="s">
        <v>54</v>
      </c>
      <c r="C146" s="340" t="s">
        <v>932</v>
      </c>
      <c r="D146" s="340" t="s">
        <v>56</v>
      </c>
      <c r="E146" s="340" t="s">
        <v>57</v>
      </c>
      <c r="F146" s="340" t="s">
        <v>58</v>
      </c>
      <c r="G146" s="340" t="s">
        <v>59</v>
      </c>
      <c r="H146" s="340" t="s">
        <v>60</v>
      </c>
      <c r="I146" s="340" t="s">
        <v>61</v>
      </c>
      <c r="J146" s="340" t="s">
        <v>1361</v>
      </c>
      <c r="K146" s="340" t="s">
        <v>1362</v>
      </c>
      <c r="L146" s="345" t="str">
        <f>VLOOKUP(K146,'20260309 suivi sites'!F:F,1,0)</f>
        <v>97STLA021AOG</v>
      </c>
      <c r="M146" s="340" t="s">
        <v>64</v>
      </c>
      <c r="N146" s="340" t="s">
        <v>65</v>
      </c>
      <c r="O146" s="340" t="s">
        <v>64</v>
      </c>
      <c r="P146" s="341">
        <v>43621</v>
      </c>
      <c r="Q146" s="341">
        <v>45700</v>
      </c>
      <c r="R146" s="347" t="b">
        <f t="shared" si="5"/>
        <v>0</v>
      </c>
      <c r="S146" s="347" t="str">
        <f t="shared" si="4"/>
        <v>change</v>
      </c>
      <c r="T146" s="342" t="s">
        <v>56</v>
      </c>
      <c r="U146" s="342" t="s">
        <v>1363</v>
      </c>
      <c r="V146" s="342" t="s">
        <v>646</v>
      </c>
      <c r="W146" s="342" t="s">
        <v>647</v>
      </c>
      <c r="X146" s="342" t="s">
        <v>69</v>
      </c>
      <c r="Y146" s="349" t="s">
        <v>1364</v>
      </c>
      <c r="Z146" s="342" t="s">
        <v>71</v>
      </c>
      <c r="AA146" s="342" t="s">
        <v>72</v>
      </c>
      <c r="AB146" s="342" t="s">
        <v>73</v>
      </c>
      <c r="AC146" s="342" t="s">
        <v>74</v>
      </c>
      <c r="AD146" s="342"/>
      <c r="AE146" s="342" t="s">
        <v>1365</v>
      </c>
      <c r="AF146" s="349" t="s">
        <v>3776</v>
      </c>
      <c r="AG146" s="342" t="s">
        <v>74</v>
      </c>
      <c r="AH146" s="342" t="s">
        <v>76</v>
      </c>
      <c r="AI146" s="342" t="s">
        <v>74</v>
      </c>
      <c r="AJ146" s="342" t="s">
        <v>77</v>
      </c>
      <c r="AK146" s="342" t="s">
        <v>97</v>
      </c>
      <c r="AL146" s="342" t="s">
        <v>79</v>
      </c>
      <c r="AM146" s="342" t="s">
        <v>74</v>
      </c>
      <c r="AN146" s="342"/>
      <c r="AO146" s="342" t="s">
        <v>1366</v>
      </c>
      <c r="AP146" s="342" t="s">
        <v>81</v>
      </c>
      <c r="AQ146" s="349" t="s">
        <v>949</v>
      </c>
      <c r="AR146" s="342" t="s">
        <v>83</v>
      </c>
      <c r="AS146" s="342" t="s">
        <v>84</v>
      </c>
      <c r="AT146" s="342" t="s">
        <v>45</v>
      </c>
      <c r="AU146" s="342" t="s">
        <v>85</v>
      </c>
      <c r="AV146" s="342"/>
      <c r="AW146" s="342" t="s">
        <v>131</v>
      </c>
      <c r="AX146" s="343" t="str">
        <f>IF(OR(Tableau3[[#This Row],[Option GTR]]&lt;&gt;"",Tableau3[[#This Row],[GTR spécifique]]&lt;&gt;""),"GTRS1","GTRS2")</f>
        <v>GTRS1</v>
      </c>
      <c r="AY146" s="342" t="s">
        <v>143</v>
      </c>
      <c r="AZ146" s="342"/>
      <c r="BA146" s="342" t="s">
        <v>1367</v>
      </c>
    </row>
    <row r="147" spans="1:53" s="326" customFormat="1" ht="18.149999999999999" customHeight="1" x14ac:dyDescent="0.3">
      <c r="A147" s="340" t="s">
        <v>53</v>
      </c>
      <c r="B147" s="340" t="s">
        <v>54</v>
      </c>
      <c r="C147" s="340" t="s">
        <v>932</v>
      </c>
      <c r="D147" s="340" t="s">
        <v>56</v>
      </c>
      <c r="E147" s="340" t="s">
        <v>57</v>
      </c>
      <c r="F147" s="340" t="s">
        <v>58</v>
      </c>
      <c r="G147" s="340" t="s">
        <v>59</v>
      </c>
      <c r="H147" s="340" t="s">
        <v>60</v>
      </c>
      <c r="I147" s="340" t="s">
        <v>61</v>
      </c>
      <c r="J147" s="340" t="s">
        <v>1368</v>
      </c>
      <c r="K147" s="340" t="s">
        <v>1369</v>
      </c>
      <c r="L147" s="345" t="str">
        <f>VLOOKUP(K147,'20260309 suivi sites'!F:F,1,0)</f>
        <v>31MURE011AOS</v>
      </c>
      <c r="M147" s="340" t="s">
        <v>64</v>
      </c>
      <c r="N147" s="340" t="s">
        <v>65</v>
      </c>
      <c r="O147" s="340" t="s">
        <v>64</v>
      </c>
      <c r="P147" s="341">
        <v>43545</v>
      </c>
      <c r="Q147" s="341">
        <v>45244</v>
      </c>
      <c r="R147" s="347" t="b">
        <f t="shared" si="5"/>
        <v>0</v>
      </c>
      <c r="S147" s="347" t="str">
        <f t="shared" si="4"/>
        <v>change</v>
      </c>
      <c r="T147" s="342" t="s">
        <v>56</v>
      </c>
      <c r="U147" s="342" t="s">
        <v>1370</v>
      </c>
      <c r="V147" s="342" t="s">
        <v>1371</v>
      </c>
      <c r="W147" s="342" t="s">
        <v>1372</v>
      </c>
      <c r="X147" s="342" t="s">
        <v>69</v>
      </c>
      <c r="Y147" s="349" t="s">
        <v>1373</v>
      </c>
      <c r="Z147" s="342" t="s">
        <v>71</v>
      </c>
      <c r="AA147" s="342" t="s">
        <v>72</v>
      </c>
      <c r="AB147" s="342" t="s">
        <v>73</v>
      </c>
      <c r="AC147" s="342" t="s">
        <v>74</v>
      </c>
      <c r="AD147" s="342"/>
      <c r="AE147" s="342" t="s">
        <v>1374</v>
      </c>
      <c r="AF147" s="349" t="s">
        <v>3770</v>
      </c>
      <c r="AG147" s="342" t="s">
        <v>74</v>
      </c>
      <c r="AH147" s="342" t="s">
        <v>76</v>
      </c>
      <c r="AI147" s="342" t="s">
        <v>74</v>
      </c>
      <c r="AJ147" s="342" t="s">
        <v>77</v>
      </c>
      <c r="AK147" s="342" t="s">
        <v>97</v>
      </c>
      <c r="AL147" s="342" t="s">
        <v>79</v>
      </c>
      <c r="AM147" s="342" t="s">
        <v>74</v>
      </c>
      <c r="AN147" s="342"/>
      <c r="AO147" s="342" t="s">
        <v>1375</v>
      </c>
      <c r="AP147" s="342" t="s">
        <v>81</v>
      </c>
      <c r="AQ147" s="349" t="s">
        <v>210</v>
      </c>
      <c r="AR147" s="342" t="s">
        <v>83</v>
      </c>
      <c r="AS147" s="342" t="s">
        <v>84</v>
      </c>
      <c r="AT147" s="342" t="s">
        <v>45</v>
      </c>
      <c r="AU147" s="342" t="s">
        <v>85</v>
      </c>
      <c r="AV147" s="342"/>
      <c r="AW147" s="342"/>
      <c r="AX147" s="343" t="str">
        <f>IF(OR(Tableau3[[#This Row],[Option GTR]]&lt;&gt;"",Tableau3[[#This Row],[GTR spécifique]]&lt;&gt;""),"GTRS1","GTRS2")</f>
        <v>GTRS2</v>
      </c>
      <c r="AY147" s="342" t="s">
        <v>143</v>
      </c>
      <c r="AZ147" s="342"/>
      <c r="BA147" s="342" t="s">
        <v>1376</v>
      </c>
    </row>
    <row r="148" spans="1:53" s="326" customFormat="1" ht="18.149999999999999" customHeight="1" x14ac:dyDescent="0.3">
      <c r="A148" s="340" t="s">
        <v>53</v>
      </c>
      <c r="B148" s="340" t="s">
        <v>54</v>
      </c>
      <c r="C148" s="340" t="s">
        <v>932</v>
      </c>
      <c r="D148" s="340" t="s">
        <v>56</v>
      </c>
      <c r="E148" s="340" t="s">
        <v>57</v>
      </c>
      <c r="F148" s="340" t="s">
        <v>58</v>
      </c>
      <c r="G148" s="340" t="s">
        <v>59</v>
      </c>
      <c r="H148" s="340" t="s">
        <v>60</v>
      </c>
      <c r="I148" s="340" t="s">
        <v>61</v>
      </c>
      <c r="J148" s="340" t="s">
        <v>1377</v>
      </c>
      <c r="K148" s="340" t="s">
        <v>1378</v>
      </c>
      <c r="L148" s="345" t="str">
        <f>VLOOKUP(K148,'20260309 suivi sites'!F:F,1,0)</f>
        <v>42STET011AOG</v>
      </c>
      <c r="M148" s="340" t="s">
        <v>64</v>
      </c>
      <c r="N148" s="340" t="s">
        <v>65</v>
      </c>
      <c r="O148" s="340" t="s">
        <v>64</v>
      </c>
      <c r="P148" s="341">
        <v>43585</v>
      </c>
      <c r="Q148" s="341">
        <v>46050</v>
      </c>
      <c r="R148" s="347" t="b">
        <f t="shared" si="5"/>
        <v>0</v>
      </c>
      <c r="S148" s="347" t="str">
        <f t="shared" si="4"/>
        <v>change</v>
      </c>
      <c r="T148" s="342" t="s">
        <v>56</v>
      </c>
      <c r="U148" s="342" t="s">
        <v>1379</v>
      </c>
      <c r="V148" s="342" t="s">
        <v>1380</v>
      </c>
      <c r="W148" s="342" t="s">
        <v>1381</v>
      </c>
      <c r="X148" s="342" t="s">
        <v>69</v>
      </c>
      <c r="Y148" s="349" t="s">
        <v>1382</v>
      </c>
      <c r="Z148" s="342" t="s">
        <v>71</v>
      </c>
      <c r="AA148" s="342" t="s">
        <v>72</v>
      </c>
      <c r="AB148" s="342" t="s">
        <v>73</v>
      </c>
      <c r="AC148" s="342" t="s">
        <v>74</v>
      </c>
      <c r="AD148" s="342"/>
      <c r="AE148" s="342" t="s">
        <v>1383</v>
      </c>
      <c r="AF148" s="349" t="s">
        <v>3770</v>
      </c>
      <c r="AG148" s="342" t="s">
        <v>74</v>
      </c>
      <c r="AH148" s="342" t="s">
        <v>76</v>
      </c>
      <c r="AI148" s="342" t="s">
        <v>74</v>
      </c>
      <c r="AJ148" s="342" t="s">
        <v>77</v>
      </c>
      <c r="AK148" s="342" t="s">
        <v>97</v>
      </c>
      <c r="AL148" s="342" t="s">
        <v>79</v>
      </c>
      <c r="AM148" s="342" t="s">
        <v>74</v>
      </c>
      <c r="AN148" s="342"/>
      <c r="AO148" s="342" t="s">
        <v>1384</v>
      </c>
      <c r="AP148" s="342" t="s">
        <v>81</v>
      </c>
      <c r="AQ148" s="349" t="s">
        <v>210</v>
      </c>
      <c r="AR148" s="342" t="s">
        <v>83</v>
      </c>
      <c r="AS148" s="342" t="s">
        <v>84</v>
      </c>
      <c r="AT148" s="342" t="s">
        <v>45</v>
      </c>
      <c r="AU148" s="342" t="s">
        <v>85</v>
      </c>
      <c r="AV148" s="342"/>
      <c r="AW148" s="342"/>
      <c r="AX148" s="343" t="str">
        <f>IF(OR(Tableau3[[#This Row],[Option GTR]]&lt;&gt;"",Tableau3[[#This Row],[GTR spécifique]]&lt;&gt;""),"GTRS1","GTRS2")</f>
        <v>GTRS2</v>
      </c>
      <c r="AY148" s="342" t="s">
        <v>86</v>
      </c>
      <c r="AZ148" s="342"/>
      <c r="BA148" s="342" t="s">
        <v>3804</v>
      </c>
    </row>
    <row r="149" spans="1:53" s="326" customFormat="1" ht="18.149999999999999" customHeight="1" x14ac:dyDescent="0.3">
      <c r="A149" s="340" t="s">
        <v>53</v>
      </c>
      <c r="B149" s="340" t="s">
        <v>54</v>
      </c>
      <c r="C149" s="340" t="s">
        <v>932</v>
      </c>
      <c r="D149" s="340" t="s">
        <v>56</v>
      </c>
      <c r="E149" s="340" t="s">
        <v>57</v>
      </c>
      <c r="F149" s="340" t="s">
        <v>58</v>
      </c>
      <c r="G149" s="340" t="s">
        <v>59</v>
      </c>
      <c r="H149" s="340" t="s">
        <v>60</v>
      </c>
      <c r="I149" s="340" t="s">
        <v>61</v>
      </c>
      <c r="J149" s="340" t="s">
        <v>1385</v>
      </c>
      <c r="K149" s="340" t="s">
        <v>1386</v>
      </c>
      <c r="L149" s="345" t="str">
        <f>VLOOKUP(K149,'20260309 suivi sites'!F:F,1,0)</f>
        <v>29GUIP011AOG</v>
      </c>
      <c r="M149" s="340" t="s">
        <v>64</v>
      </c>
      <c r="N149" s="340" t="s">
        <v>65</v>
      </c>
      <c r="O149" s="340" t="s">
        <v>64</v>
      </c>
      <c r="P149" s="341">
        <v>43612</v>
      </c>
      <c r="Q149" s="341">
        <v>44774</v>
      </c>
      <c r="R149" s="347" t="b">
        <f t="shared" si="5"/>
        <v>0</v>
      </c>
      <c r="S149" s="347" t="str">
        <f t="shared" si="4"/>
        <v>change</v>
      </c>
      <c r="T149" s="342" t="s">
        <v>56</v>
      </c>
      <c r="U149" s="342" t="s">
        <v>1387</v>
      </c>
      <c r="V149" s="342" t="s">
        <v>1388</v>
      </c>
      <c r="W149" s="342" t="s">
        <v>1389</v>
      </c>
      <c r="X149" s="342" t="s">
        <v>69</v>
      </c>
      <c r="Y149" s="349" t="s">
        <v>1390</v>
      </c>
      <c r="Z149" s="342" t="s">
        <v>71</v>
      </c>
      <c r="AA149" s="342" t="s">
        <v>72</v>
      </c>
      <c r="AB149" s="342" t="s">
        <v>73</v>
      </c>
      <c r="AC149" s="342" t="s">
        <v>74</v>
      </c>
      <c r="AD149" s="342"/>
      <c r="AE149" s="342" t="s">
        <v>1391</v>
      </c>
      <c r="AF149" s="349" t="s">
        <v>3766</v>
      </c>
      <c r="AG149" s="342" t="s">
        <v>74</v>
      </c>
      <c r="AH149" s="342" t="s">
        <v>76</v>
      </c>
      <c r="AI149" s="342" t="s">
        <v>74</v>
      </c>
      <c r="AJ149" s="342" t="s">
        <v>77</v>
      </c>
      <c r="AK149" s="342" t="s">
        <v>97</v>
      </c>
      <c r="AL149" s="342" t="s">
        <v>79</v>
      </c>
      <c r="AM149" s="342" t="s">
        <v>74</v>
      </c>
      <c r="AN149" s="342"/>
      <c r="AO149" s="342" t="s">
        <v>1392</v>
      </c>
      <c r="AP149" s="342" t="s">
        <v>81</v>
      </c>
      <c r="AQ149" s="349" t="s">
        <v>142</v>
      </c>
      <c r="AR149" s="342" t="s">
        <v>83</v>
      </c>
      <c r="AS149" s="342" t="s">
        <v>84</v>
      </c>
      <c r="AT149" s="342" t="s">
        <v>45</v>
      </c>
      <c r="AU149" s="342" t="s">
        <v>85</v>
      </c>
      <c r="AV149" s="342"/>
      <c r="AW149" s="342"/>
      <c r="AX149" s="343" t="str">
        <f>IF(OR(Tableau3[[#This Row],[Option GTR]]&lt;&gt;"",Tableau3[[#This Row],[GTR spécifique]]&lt;&gt;""),"GTRS1","GTRS2")</f>
        <v>GTRS2</v>
      </c>
      <c r="AY149" s="342" t="s">
        <v>86</v>
      </c>
      <c r="AZ149" s="342"/>
      <c r="BA149" s="342" t="s">
        <v>1393</v>
      </c>
    </row>
    <row r="150" spans="1:53" s="326" customFormat="1" ht="18.149999999999999" customHeight="1" x14ac:dyDescent="0.3">
      <c r="A150" s="340" t="s">
        <v>53</v>
      </c>
      <c r="B150" s="340" t="s">
        <v>54</v>
      </c>
      <c r="C150" s="340" t="s">
        <v>932</v>
      </c>
      <c r="D150" s="340" t="s">
        <v>56</v>
      </c>
      <c r="E150" s="340" t="s">
        <v>57</v>
      </c>
      <c r="F150" s="340" t="s">
        <v>58</v>
      </c>
      <c r="G150" s="340" t="s">
        <v>59</v>
      </c>
      <c r="H150" s="340" t="s">
        <v>60</v>
      </c>
      <c r="I150" s="340" t="s">
        <v>61</v>
      </c>
      <c r="J150" s="340" t="s">
        <v>1394</v>
      </c>
      <c r="K150" s="340" t="s">
        <v>1395</v>
      </c>
      <c r="L150" s="345" t="str">
        <f>VLOOKUP(K150,'20260309 suivi sites'!F:F,1,0)</f>
        <v>30NIME011AOG</v>
      </c>
      <c r="M150" s="340" t="s">
        <v>64</v>
      </c>
      <c r="N150" s="340" t="s">
        <v>65</v>
      </c>
      <c r="O150" s="340" t="s">
        <v>64</v>
      </c>
      <c r="P150" s="341">
        <v>43595</v>
      </c>
      <c r="Q150" s="341">
        <v>44088</v>
      </c>
      <c r="R150" s="347" t="b">
        <f t="shared" si="5"/>
        <v>0</v>
      </c>
      <c r="S150" s="347" t="str">
        <f t="shared" si="4"/>
        <v>change</v>
      </c>
      <c r="T150" s="342" t="s">
        <v>56</v>
      </c>
      <c r="U150" s="342" t="s">
        <v>1396</v>
      </c>
      <c r="V150" s="342" t="s">
        <v>1397</v>
      </c>
      <c r="W150" s="342" t="s">
        <v>1398</v>
      </c>
      <c r="X150" s="342" t="s">
        <v>69</v>
      </c>
      <c r="Y150" s="349" t="s">
        <v>1399</v>
      </c>
      <c r="Z150" s="342" t="s">
        <v>71</v>
      </c>
      <c r="AA150" s="342" t="s">
        <v>72</v>
      </c>
      <c r="AB150" s="342" t="s">
        <v>73</v>
      </c>
      <c r="AC150" s="342" t="s">
        <v>74</v>
      </c>
      <c r="AD150" s="342"/>
      <c r="AE150" s="342" t="s">
        <v>1400</v>
      </c>
      <c r="AF150" s="349" t="s">
        <v>3770</v>
      </c>
      <c r="AG150" s="342" t="s">
        <v>74</v>
      </c>
      <c r="AH150" s="342" t="s">
        <v>76</v>
      </c>
      <c r="AI150" s="342" t="s">
        <v>74</v>
      </c>
      <c r="AJ150" s="342" t="s">
        <v>77</v>
      </c>
      <c r="AK150" s="342" t="s">
        <v>97</v>
      </c>
      <c r="AL150" s="342" t="s">
        <v>79</v>
      </c>
      <c r="AM150" s="342" t="s">
        <v>74</v>
      </c>
      <c r="AN150" s="342"/>
      <c r="AO150" s="342" t="s">
        <v>1401</v>
      </c>
      <c r="AP150" s="342" t="s">
        <v>81</v>
      </c>
      <c r="AQ150" s="349" t="s">
        <v>210</v>
      </c>
      <c r="AR150" s="342" t="s">
        <v>83</v>
      </c>
      <c r="AS150" s="342" t="s">
        <v>84</v>
      </c>
      <c r="AT150" s="342" t="s">
        <v>45</v>
      </c>
      <c r="AU150" s="342" t="s">
        <v>85</v>
      </c>
      <c r="AV150" s="342"/>
      <c r="AW150" s="342"/>
      <c r="AX150" s="343" t="str">
        <f>IF(OR(Tableau3[[#This Row],[Option GTR]]&lt;&gt;"",Tableau3[[#This Row],[GTR spécifique]]&lt;&gt;""),"GTRS1","GTRS2")</f>
        <v>GTRS2</v>
      </c>
      <c r="AY150" s="342" t="s">
        <v>86</v>
      </c>
      <c r="AZ150" s="342"/>
      <c r="BA150" s="342" t="s">
        <v>241</v>
      </c>
    </row>
    <row r="151" spans="1:53" s="326" customFormat="1" ht="18.149999999999999" customHeight="1" x14ac:dyDescent="0.3">
      <c r="A151" s="340" t="s">
        <v>53</v>
      </c>
      <c r="B151" s="340" t="s">
        <v>54</v>
      </c>
      <c r="C151" s="340" t="s">
        <v>932</v>
      </c>
      <c r="D151" s="340" t="s">
        <v>56</v>
      </c>
      <c r="E151" s="340" t="s">
        <v>57</v>
      </c>
      <c r="F151" s="340" t="s">
        <v>58</v>
      </c>
      <c r="G151" s="340" t="s">
        <v>59</v>
      </c>
      <c r="H151" s="340" t="s">
        <v>60</v>
      </c>
      <c r="I151" s="340" t="s">
        <v>61</v>
      </c>
      <c r="J151" s="340" t="s">
        <v>1402</v>
      </c>
      <c r="K151" s="340" t="s">
        <v>1403</v>
      </c>
      <c r="L151" s="345" t="str">
        <f>VLOOKUP(K151,'20260309 suivi sites'!F:F,1,0)</f>
        <v>20BAST041AOG</v>
      </c>
      <c r="M151" s="340" t="s">
        <v>64</v>
      </c>
      <c r="N151" s="340" t="s">
        <v>65</v>
      </c>
      <c r="O151" s="340" t="s">
        <v>64</v>
      </c>
      <c r="P151" s="341">
        <v>43606</v>
      </c>
      <c r="Q151" s="341">
        <v>44662</v>
      </c>
      <c r="R151" s="347" t="b">
        <f t="shared" si="5"/>
        <v>0</v>
      </c>
      <c r="S151" s="347" t="str">
        <f t="shared" si="4"/>
        <v>change</v>
      </c>
      <c r="T151" s="342" t="s">
        <v>56</v>
      </c>
      <c r="U151" s="342" t="s">
        <v>1404</v>
      </c>
      <c r="V151" s="342" t="s">
        <v>1405</v>
      </c>
      <c r="W151" s="342" t="s">
        <v>560</v>
      </c>
      <c r="X151" s="342" t="s">
        <v>69</v>
      </c>
      <c r="Y151" s="349" t="s">
        <v>1406</v>
      </c>
      <c r="Z151" s="342" t="s">
        <v>71</v>
      </c>
      <c r="AA151" s="342" t="s">
        <v>72</v>
      </c>
      <c r="AB151" s="342" t="s">
        <v>73</v>
      </c>
      <c r="AC151" s="342" t="s">
        <v>74</v>
      </c>
      <c r="AD151" s="342"/>
      <c r="AE151" s="342" t="s">
        <v>1407</v>
      </c>
      <c r="AF151" s="349" t="s">
        <v>3764</v>
      </c>
      <c r="AG151" s="342" t="s">
        <v>74</v>
      </c>
      <c r="AH151" s="342" t="s">
        <v>76</v>
      </c>
      <c r="AI151" s="342" t="s">
        <v>74</v>
      </c>
      <c r="AJ151" s="342" t="s">
        <v>77</v>
      </c>
      <c r="AK151" s="342" t="s">
        <v>97</v>
      </c>
      <c r="AL151" s="342" t="s">
        <v>79</v>
      </c>
      <c r="AM151" s="342" t="s">
        <v>74</v>
      </c>
      <c r="AN151" s="342"/>
      <c r="AO151" s="342" t="s">
        <v>1408</v>
      </c>
      <c r="AP151" s="342" t="s">
        <v>81</v>
      </c>
      <c r="AQ151" s="349" t="s">
        <v>99</v>
      </c>
      <c r="AR151" s="342" t="s">
        <v>83</v>
      </c>
      <c r="AS151" s="342" t="s">
        <v>84</v>
      </c>
      <c r="AT151" s="342" t="s">
        <v>45</v>
      </c>
      <c r="AU151" s="342" t="s">
        <v>85</v>
      </c>
      <c r="AV151" s="342" t="s">
        <v>120</v>
      </c>
      <c r="AW151" s="342"/>
      <c r="AX151" s="343" t="str">
        <f>IF(OR(Tableau3[[#This Row],[Option GTR]]&lt;&gt;"",Tableau3[[#This Row],[GTR spécifique]]&lt;&gt;""),"GTRS1","GTRS2")</f>
        <v>GTRS1</v>
      </c>
      <c r="AY151" s="342" t="s">
        <v>100</v>
      </c>
      <c r="AZ151" s="342"/>
      <c r="BA151" s="342" t="s">
        <v>1409</v>
      </c>
    </row>
    <row r="152" spans="1:53" s="326" customFormat="1" ht="18.149999999999999" customHeight="1" x14ac:dyDescent="0.3">
      <c r="A152" s="340" t="s">
        <v>53</v>
      </c>
      <c r="B152" s="340" t="s">
        <v>54</v>
      </c>
      <c r="C152" s="340" t="s">
        <v>932</v>
      </c>
      <c r="D152" s="340" t="s">
        <v>56</v>
      </c>
      <c r="E152" s="340" t="s">
        <v>57</v>
      </c>
      <c r="F152" s="340" t="s">
        <v>58</v>
      </c>
      <c r="G152" s="340" t="s">
        <v>59</v>
      </c>
      <c r="H152" s="340" t="s">
        <v>60</v>
      </c>
      <c r="I152" s="340" t="s">
        <v>61</v>
      </c>
      <c r="J152" s="340" t="s">
        <v>1410</v>
      </c>
      <c r="K152" s="340" t="s">
        <v>1411</v>
      </c>
      <c r="L152" s="345" t="str">
        <f>VLOOKUP(K152,'20260309 suivi sites'!F:F,1,0)</f>
        <v>20BORG011AOB</v>
      </c>
      <c r="M152" s="340" t="s">
        <v>64</v>
      </c>
      <c r="N152" s="340" t="s">
        <v>65</v>
      </c>
      <c r="O152" s="340" t="s">
        <v>64</v>
      </c>
      <c r="P152" s="341">
        <v>43818</v>
      </c>
      <c r="Q152" s="341">
        <v>45937</v>
      </c>
      <c r="R152" s="347" t="b">
        <f t="shared" si="5"/>
        <v>0</v>
      </c>
      <c r="S152" s="347" t="str">
        <f t="shared" si="4"/>
        <v>change</v>
      </c>
      <c r="T152" s="342" t="s">
        <v>56</v>
      </c>
      <c r="U152" s="342" t="s">
        <v>1412</v>
      </c>
      <c r="V152" s="342" t="s">
        <v>1413</v>
      </c>
      <c r="W152" s="342" t="s">
        <v>1414</v>
      </c>
      <c r="X152" s="342" t="s">
        <v>69</v>
      </c>
      <c r="Y152" s="349" t="s">
        <v>1415</v>
      </c>
      <c r="Z152" s="342" t="s">
        <v>71</v>
      </c>
      <c r="AA152" s="342" t="s">
        <v>218</v>
      </c>
      <c r="AB152" s="342" t="s">
        <v>152</v>
      </c>
      <c r="AC152" s="342" t="s">
        <v>74</v>
      </c>
      <c r="AD152" s="342"/>
      <c r="AE152" s="342" t="s">
        <v>1416</v>
      </c>
      <c r="AF152" s="349" t="s">
        <v>3771</v>
      </c>
      <c r="AG152" s="342" t="s">
        <v>74</v>
      </c>
      <c r="AH152" s="342" t="s">
        <v>76</v>
      </c>
      <c r="AI152" s="342" t="s">
        <v>74</v>
      </c>
      <c r="AJ152" s="342" t="s">
        <v>77</v>
      </c>
      <c r="AK152" s="342" t="s">
        <v>97</v>
      </c>
      <c r="AL152" s="342" t="s">
        <v>152</v>
      </c>
      <c r="AM152" s="342" t="s">
        <v>74</v>
      </c>
      <c r="AN152" s="342"/>
      <c r="AO152" s="342" t="s">
        <v>1417</v>
      </c>
      <c r="AP152" s="342" t="s">
        <v>81</v>
      </c>
      <c r="AQ152" s="349" t="s">
        <v>222</v>
      </c>
      <c r="AR152" s="342" t="s">
        <v>83</v>
      </c>
      <c r="AS152" s="342" t="s">
        <v>84</v>
      </c>
      <c r="AT152" s="342" t="s">
        <v>45</v>
      </c>
      <c r="AU152" s="342" t="s">
        <v>85</v>
      </c>
      <c r="AV152" s="342"/>
      <c r="AW152" s="342"/>
      <c r="AX152" s="343" t="str">
        <f>IF(OR(Tableau3[[#This Row],[Option GTR]]&lt;&gt;"",Tableau3[[#This Row],[GTR spécifique]]&lt;&gt;""),"GTRS1","GTRS2")</f>
        <v>GTRS2</v>
      </c>
      <c r="AY152" s="342" t="s">
        <v>355</v>
      </c>
      <c r="AZ152" s="342"/>
      <c r="BA152" s="342" t="s">
        <v>1418</v>
      </c>
    </row>
    <row r="153" spans="1:53" s="326" customFormat="1" ht="18.149999999999999" customHeight="1" x14ac:dyDescent="0.3">
      <c r="A153" s="340" t="s">
        <v>53</v>
      </c>
      <c r="B153" s="340" t="s">
        <v>54</v>
      </c>
      <c r="C153" s="340" t="s">
        <v>932</v>
      </c>
      <c r="D153" s="340" t="s">
        <v>56</v>
      </c>
      <c r="E153" s="340" t="s">
        <v>57</v>
      </c>
      <c r="F153" s="340" t="s">
        <v>58</v>
      </c>
      <c r="G153" s="340" t="s">
        <v>59</v>
      </c>
      <c r="H153" s="340" t="s">
        <v>60</v>
      </c>
      <c r="I153" s="340" t="s">
        <v>61</v>
      </c>
      <c r="J153" s="340" t="s">
        <v>1419</v>
      </c>
      <c r="K153" s="340" t="s">
        <v>1420</v>
      </c>
      <c r="L153" s="345" t="str">
        <f>VLOOKUP(K153,'20260309 suivi sites'!F:F,1,0)</f>
        <v>20AJAC071AOG</v>
      </c>
      <c r="M153" s="340" t="s">
        <v>64</v>
      </c>
      <c r="N153" s="340" t="s">
        <v>65</v>
      </c>
      <c r="O153" s="340" t="s">
        <v>64</v>
      </c>
      <c r="P153" s="341">
        <v>43872</v>
      </c>
      <c r="Q153" s="341">
        <v>45406</v>
      </c>
      <c r="R153" s="347" t="b">
        <f t="shared" si="5"/>
        <v>0</v>
      </c>
      <c r="S153" s="347" t="str">
        <f t="shared" si="4"/>
        <v>change</v>
      </c>
      <c r="T153" s="342" t="s">
        <v>56</v>
      </c>
      <c r="U153" s="342" t="s">
        <v>1421</v>
      </c>
      <c r="V153" s="342" t="s">
        <v>1422</v>
      </c>
      <c r="W153" s="342" t="s">
        <v>1423</v>
      </c>
      <c r="X153" s="342" t="s">
        <v>69</v>
      </c>
      <c r="Y153" s="349" t="s">
        <v>1424</v>
      </c>
      <c r="Z153" s="342" t="s">
        <v>71</v>
      </c>
      <c r="AA153" s="342" t="s">
        <v>72</v>
      </c>
      <c r="AB153" s="342" t="s">
        <v>73</v>
      </c>
      <c r="AC153" s="342" t="s">
        <v>74</v>
      </c>
      <c r="AD153" s="342"/>
      <c r="AE153" s="342" t="s">
        <v>1425</v>
      </c>
      <c r="AF153" s="349" t="s">
        <v>3771</v>
      </c>
      <c r="AG153" s="342" t="s">
        <v>74</v>
      </c>
      <c r="AH153" s="342" t="s">
        <v>76</v>
      </c>
      <c r="AI153" s="342" t="s">
        <v>74</v>
      </c>
      <c r="AJ153" s="342" t="s">
        <v>77</v>
      </c>
      <c r="AK153" s="342" t="s">
        <v>97</v>
      </c>
      <c r="AL153" s="342" t="s">
        <v>79</v>
      </c>
      <c r="AM153" s="342" t="s">
        <v>74</v>
      </c>
      <c r="AN153" s="342"/>
      <c r="AO153" s="342" t="s">
        <v>1426</v>
      </c>
      <c r="AP153" s="342" t="s">
        <v>81</v>
      </c>
      <c r="AQ153" s="349" t="s">
        <v>130</v>
      </c>
      <c r="AR153" s="342" t="s">
        <v>83</v>
      </c>
      <c r="AS153" s="342" t="s">
        <v>84</v>
      </c>
      <c r="AT153" s="342" t="s">
        <v>45</v>
      </c>
      <c r="AU153" s="342" t="s">
        <v>85</v>
      </c>
      <c r="AV153" s="342"/>
      <c r="AW153" s="342"/>
      <c r="AX153" s="343" t="str">
        <f>IF(OR(Tableau3[[#This Row],[Option GTR]]&lt;&gt;"",Tableau3[[#This Row],[GTR spécifique]]&lt;&gt;""),"GTRS1","GTRS2")</f>
        <v>GTRS2</v>
      </c>
      <c r="AY153" s="342" t="s">
        <v>100</v>
      </c>
      <c r="AZ153" s="342"/>
      <c r="BA153" s="342" t="s">
        <v>1427</v>
      </c>
    </row>
    <row r="154" spans="1:53" s="326" customFormat="1" ht="18.149999999999999" customHeight="1" x14ac:dyDescent="0.3">
      <c r="A154" s="340" t="s">
        <v>53</v>
      </c>
      <c r="B154" s="340" t="s">
        <v>54</v>
      </c>
      <c r="C154" s="340" t="s">
        <v>932</v>
      </c>
      <c r="D154" s="340" t="s">
        <v>56</v>
      </c>
      <c r="E154" s="340" t="s">
        <v>57</v>
      </c>
      <c r="F154" s="340" t="s">
        <v>58</v>
      </c>
      <c r="G154" s="340" t="s">
        <v>59</v>
      </c>
      <c r="H154" s="340" t="s">
        <v>60</v>
      </c>
      <c r="I154" s="340" t="s">
        <v>61</v>
      </c>
      <c r="J154" s="340" t="s">
        <v>1428</v>
      </c>
      <c r="K154" s="340" t="s">
        <v>1429</v>
      </c>
      <c r="L154" s="345" t="str">
        <f>VLOOKUP(K154,'20260309 suivi sites'!F:F,1,0)</f>
        <v>74ANNE011AOG</v>
      </c>
      <c r="M154" s="340" t="s">
        <v>64</v>
      </c>
      <c r="N154" s="340" t="s">
        <v>65</v>
      </c>
      <c r="O154" s="340" t="s">
        <v>64</v>
      </c>
      <c r="P154" s="341">
        <v>43630</v>
      </c>
      <c r="Q154" s="341">
        <v>44041</v>
      </c>
      <c r="R154" s="347" t="b">
        <f t="shared" si="5"/>
        <v>0</v>
      </c>
      <c r="S154" s="347" t="str">
        <f t="shared" si="4"/>
        <v>change</v>
      </c>
      <c r="T154" s="342" t="s">
        <v>61</v>
      </c>
      <c r="U154" s="342" t="s">
        <v>1430</v>
      </c>
      <c r="V154" s="342" t="s">
        <v>1431</v>
      </c>
      <c r="W154" s="342" t="s">
        <v>1432</v>
      </c>
      <c r="X154" s="342" t="s">
        <v>69</v>
      </c>
      <c r="Y154" s="349" t="s">
        <v>1433</v>
      </c>
      <c r="Z154" s="342" t="s">
        <v>71</v>
      </c>
      <c r="AA154" s="342" t="s">
        <v>72</v>
      </c>
      <c r="AB154" s="342" t="s">
        <v>73</v>
      </c>
      <c r="AC154" s="342" t="s">
        <v>74</v>
      </c>
      <c r="AD154" s="342"/>
      <c r="AE154" s="342" t="s">
        <v>1434</v>
      </c>
      <c r="AF154" s="349" t="s">
        <v>3771</v>
      </c>
      <c r="AG154" s="342" t="s">
        <v>74</v>
      </c>
      <c r="AH154" s="342" t="s">
        <v>76</v>
      </c>
      <c r="AI154" s="342" t="s">
        <v>74</v>
      </c>
      <c r="AJ154" s="342" t="s">
        <v>77</v>
      </c>
      <c r="AK154" s="342" t="s">
        <v>97</v>
      </c>
      <c r="AL154" s="342" t="s">
        <v>79</v>
      </c>
      <c r="AM154" s="342" t="s">
        <v>74</v>
      </c>
      <c r="AN154" s="342"/>
      <c r="AO154" s="342" t="s">
        <v>1435</v>
      </c>
      <c r="AP154" s="342" t="s">
        <v>81</v>
      </c>
      <c r="AQ154" s="349" t="s">
        <v>222</v>
      </c>
      <c r="AR154" s="342" t="s">
        <v>83</v>
      </c>
      <c r="AS154" s="342" t="s">
        <v>84</v>
      </c>
      <c r="AT154" s="342" t="s">
        <v>45</v>
      </c>
      <c r="AU154" s="342" t="s">
        <v>85</v>
      </c>
      <c r="AV154" s="342"/>
      <c r="AW154" s="342"/>
      <c r="AX154" s="343" t="str">
        <f>IF(OR(Tableau3[[#This Row],[Option GTR]]&lt;&gt;"",Tableau3[[#This Row],[GTR spécifique]]&lt;&gt;""),"GTRS1","GTRS2")</f>
        <v>GTRS2</v>
      </c>
      <c r="AY154" s="342" t="s">
        <v>86</v>
      </c>
      <c r="AZ154" s="342"/>
      <c r="BA154" s="344" t="s">
        <v>1436</v>
      </c>
    </row>
    <row r="155" spans="1:53" s="326" customFormat="1" ht="18.149999999999999" customHeight="1" x14ac:dyDescent="0.3">
      <c r="A155" s="340" t="s">
        <v>53</v>
      </c>
      <c r="B155" s="340" t="s">
        <v>54</v>
      </c>
      <c r="C155" s="340" t="s">
        <v>932</v>
      </c>
      <c r="D155" s="340" t="s">
        <v>56</v>
      </c>
      <c r="E155" s="340" t="s">
        <v>57</v>
      </c>
      <c r="F155" s="340" t="s">
        <v>58</v>
      </c>
      <c r="G155" s="340" t="s">
        <v>59</v>
      </c>
      <c r="H155" s="340" t="s">
        <v>60</v>
      </c>
      <c r="I155" s="340" t="s">
        <v>61</v>
      </c>
      <c r="J155" s="340" t="s">
        <v>1437</v>
      </c>
      <c r="K155" s="340" t="s">
        <v>1438</v>
      </c>
      <c r="L155" s="345" t="str">
        <f>VLOOKUP(K155,'20260309 suivi sites'!F:F,1,0)</f>
        <v>20AJAC041AOS</v>
      </c>
      <c r="M155" s="340" t="s">
        <v>64</v>
      </c>
      <c r="N155" s="340" t="s">
        <v>65</v>
      </c>
      <c r="O155" s="340" t="s">
        <v>64</v>
      </c>
      <c r="P155" s="341">
        <v>44011</v>
      </c>
      <c r="Q155" s="341">
        <v>45369</v>
      </c>
      <c r="R155" s="347" t="b">
        <f t="shared" si="5"/>
        <v>0</v>
      </c>
      <c r="S155" s="347" t="str">
        <f t="shared" si="4"/>
        <v>change</v>
      </c>
      <c r="T155" s="342" t="s">
        <v>1439</v>
      </c>
      <c r="U155" s="342" t="s">
        <v>1440</v>
      </c>
      <c r="V155" s="342" t="s">
        <v>1422</v>
      </c>
      <c r="W155" s="342" t="s">
        <v>1423</v>
      </c>
      <c r="X155" s="342" t="s">
        <v>69</v>
      </c>
      <c r="Y155" s="349" t="s">
        <v>1441</v>
      </c>
      <c r="Z155" s="342" t="s">
        <v>71</v>
      </c>
      <c r="AA155" s="342" t="s">
        <v>72</v>
      </c>
      <c r="AB155" s="342" t="s">
        <v>73</v>
      </c>
      <c r="AC155" s="342" t="s">
        <v>74</v>
      </c>
      <c r="AD155" s="342"/>
      <c r="AE155" s="342" t="s">
        <v>1442</v>
      </c>
      <c r="AF155" s="349" t="s">
        <v>3766</v>
      </c>
      <c r="AG155" s="342" t="s">
        <v>74</v>
      </c>
      <c r="AH155" s="342" t="s">
        <v>74</v>
      </c>
      <c r="AI155" s="342" t="s">
        <v>74</v>
      </c>
      <c r="AJ155" s="342" t="s">
        <v>77</v>
      </c>
      <c r="AK155" s="342" t="s">
        <v>97</v>
      </c>
      <c r="AL155" s="342" t="s">
        <v>79</v>
      </c>
      <c r="AM155" s="342" t="s">
        <v>74</v>
      </c>
      <c r="AN155" s="342"/>
      <c r="AO155" s="342" t="s">
        <v>1443</v>
      </c>
      <c r="AP155" s="342" t="s">
        <v>81</v>
      </c>
      <c r="AQ155" s="349" t="s">
        <v>1444</v>
      </c>
      <c r="AR155" s="342" t="s">
        <v>83</v>
      </c>
      <c r="AS155" s="342" t="s">
        <v>84</v>
      </c>
      <c r="AT155" s="342" t="s">
        <v>45</v>
      </c>
      <c r="AU155" s="342" t="s">
        <v>85</v>
      </c>
      <c r="AV155" s="342"/>
      <c r="AW155" s="342"/>
      <c r="AX155" s="343" t="str">
        <f>IF(OR(Tableau3[[#This Row],[Option GTR]]&lt;&gt;"",Tableau3[[#This Row],[GTR spécifique]]&lt;&gt;""),"GTRS1","GTRS2")</f>
        <v>GTRS2</v>
      </c>
      <c r="AY155" s="342" t="s">
        <v>143</v>
      </c>
      <c r="AZ155" s="342"/>
      <c r="BA155" s="342" t="s">
        <v>1445</v>
      </c>
    </row>
    <row r="156" spans="1:53" s="326" customFormat="1" ht="18.149999999999999" customHeight="1" x14ac:dyDescent="0.3">
      <c r="A156" s="340" t="s">
        <v>53</v>
      </c>
      <c r="B156" s="340" t="s">
        <v>54</v>
      </c>
      <c r="C156" s="340" t="s">
        <v>932</v>
      </c>
      <c r="D156" s="340" t="s">
        <v>56</v>
      </c>
      <c r="E156" s="340" t="s">
        <v>57</v>
      </c>
      <c r="F156" s="340" t="s">
        <v>58</v>
      </c>
      <c r="G156" s="340" t="s">
        <v>59</v>
      </c>
      <c r="H156" s="340" t="s">
        <v>60</v>
      </c>
      <c r="I156" s="340" t="s">
        <v>61</v>
      </c>
      <c r="J156" s="340" t="s">
        <v>1447</v>
      </c>
      <c r="K156" s="340" t="s">
        <v>1448</v>
      </c>
      <c r="L156" s="345" t="str">
        <f>VLOOKUP(K156,'20260309 suivi sites'!F:F,1,0)</f>
        <v>56VANN011AOG</v>
      </c>
      <c r="M156" s="340" t="s">
        <v>64</v>
      </c>
      <c r="N156" s="340" t="s">
        <v>65</v>
      </c>
      <c r="O156" s="340" t="s">
        <v>64</v>
      </c>
      <c r="P156" s="341">
        <v>44085</v>
      </c>
      <c r="Q156" s="341">
        <v>45646</v>
      </c>
      <c r="R156" s="347" t="b">
        <f t="shared" si="5"/>
        <v>0</v>
      </c>
      <c r="S156" s="347" t="str">
        <f t="shared" si="4"/>
        <v>change</v>
      </c>
      <c r="T156" s="342" t="s">
        <v>1439</v>
      </c>
      <c r="U156" s="342" t="s">
        <v>1449</v>
      </c>
      <c r="V156" s="342" t="s">
        <v>1450</v>
      </c>
      <c r="W156" s="342" t="s">
        <v>1451</v>
      </c>
      <c r="X156" s="342" t="s">
        <v>69</v>
      </c>
      <c r="Y156" s="349" t="s">
        <v>1452</v>
      </c>
      <c r="Z156" s="342" t="s">
        <v>71</v>
      </c>
      <c r="AA156" s="342" t="s">
        <v>72</v>
      </c>
      <c r="AB156" s="342" t="s">
        <v>73</v>
      </c>
      <c r="AC156" s="342" t="s">
        <v>74</v>
      </c>
      <c r="AD156" s="342"/>
      <c r="AE156" s="342" t="s">
        <v>1453</v>
      </c>
      <c r="AF156" s="349" t="s">
        <v>3770</v>
      </c>
      <c r="AG156" s="342" t="s">
        <v>74</v>
      </c>
      <c r="AH156" s="342" t="s">
        <v>76</v>
      </c>
      <c r="AI156" s="342" t="s">
        <v>74</v>
      </c>
      <c r="AJ156" s="342" t="s">
        <v>77</v>
      </c>
      <c r="AK156" s="342" t="s">
        <v>97</v>
      </c>
      <c r="AL156" s="342" t="s">
        <v>79</v>
      </c>
      <c r="AM156" s="342" t="s">
        <v>74</v>
      </c>
      <c r="AN156" s="342"/>
      <c r="AO156" s="342" t="s">
        <v>1454</v>
      </c>
      <c r="AP156" s="342" t="s">
        <v>81</v>
      </c>
      <c r="AQ156" s="349" t="s">
        <v>210</v>
      </c>
      <c r="AR156" s="342" t="s">
        <v>83</v>
      </c>
      <c r="AS156" s="342" t="s">
        <v>84</v>
      </c>
      <c r="AT156" s="342" t="s">
        <v>45</v>
      </c>
      <c r="AU156" s="342" t="s">
        <v>85</v>
      </c>
      <c r="AV156" s="342" t="s">
        <v>120</v>
      </c>
      <c r="AW156" s="342"/>
      <c r="AX156" s="343" t="str">
        <f>IF(OR(Tableau3[[#This Row],[Option GTR]]&lt;&gt;"",Tableau3[[#This Row],[GTR spécifique]]&lt;&gt;""),"GTRS1","GTRS2")</f>
        <v>GTRS1</v>
      </c>
      <c r="AY156" s="342" t="s">
        <v>86</v>
      </c>
      <c r="AZ156" s="342" t="s">
        <v>1455</v>
      </c>
      <c r="BA156" s="342" t="s">
        <v>1456</v>
      </c>
    </row>
    <row r="157" spans="1:53" s="326" customFormat="1" ht="18.149999999999999" customHeight="1" x14ac:dyDescent="0.3">
      <c r="A157" s="340" t="s">
        <v>53</v>
      </c>
      <c r="B157" s="340" t="s">
        <v>54</v>
      </c>
      <c r="C157" s="340" t="s">
        <v>932</v>
      </c>
      <c r="D157" s="340" t="s">
        <v>56</v>
      </c>
      <c r="E157" s="340" t="s">
        <v>57</v>
      </c>
      <c r="F157" s="340" t="s">
        <v>58</v>
      </c>
      <c r="G157" s="340" t="s">
        <v>59</v>
      </c>
      <c r="H157" s="340" t="s">
        <v>60</v>
      </c>
      <c r="I157" s="340" t="s">
        <v>61</v>
      </c>
      <c r="J157" s="340" t="s">
        <v>1457</v>
      </c>
      <c r="K157" s="340" t="s">
        <v>1458</v>
      </c>
      <c r="L157" s="345" t="str">
        <f>VLOOKUP(K157,'20260309 suivi sites'!F:F,1,0)</f>
        <v>64PAUZ021AOG</v>
      </c>
      <c r="M157" s="340" t="s">
        <v>64</v>
      </c>
      <c r="N157" s="340" t="s">
        <v>65</v>
      </c>
      <c r="O157" s="340" t="s">
        <v>64</v>
      </c>
      <c r="P157" s="341">
        <v>43878</v>
      </c>
      <c r="Q157" s="341">
        <v>45625</v>
      </c>
      <c r="R157" s="347" t="b">
        <f t="shared" si="5"/>
        <v>0</v>
      </c>
      <c r="S157" s="347" t="str">
        <f t="shared" si="4"/>
        <v>change</v>
      </c>
      <c r="T157" s="342" t="s">
        <v>1439</v>
      </c>
      <c r="U157" s="342" t="s">
        <v>1459</v>
      </c>
      <c r="V157" s="342" t="s">
        <v>1460</v>
      </c>
      <c r="W157" s="342" t="s">
        <v>1461</v>
      </c>
      <c r="X157" s="342" t="s">
        <v>69</v>
      </c>
      <c r="Y157" s="349" t="s">
        <v>1462</v>
      </c>
      <c r="Z157" s="342" t="s">
        <v>71</v>
      </c>
      <c r="AA157" s="342" t="s">
        <v>72</v>
      </c>
      <c r="AB157" s="342" t="s">
        <v>73</v>
      </c>
      <c r="AC157" s="342" t="s">
        <v>74</v>
      </c>
      <c r="AD157" s="342"/>
      <c r="AE157" s="342" t="s">
        <v>1463</v>
      </c>
      <c r="AF157" s="349" t="s">
        <v>3771</v>
      </c>
      <c r="AG157" s="342" t="s">
        <v>74</v>
      </c>
      <c r="AH157" s="342" t="s">
        <v>74</v>
      </c>
      <c r="AI157" s="342" t="s">
        <v>74</v>
      </c>
      <c r="AJ157" s="342" t="s">
        <v>77</v>
      </c>
      <c r="AK157" s="342" t="s">
        <v>97</v>
      </c>
      <c r="AL157" s="342" t="s">
        <v>79</v>
      </c>
      <c r="AM157" s="342" t="s">
        <v>74</v>
      </c>
      <c r="AN157" s="342"/>
      <c r="AO157" s="342" t="s">
        <v>1464</v>
      </c>
      <c r="AP157" s="342" t="s">
        <v>81</v>
      </c>
      <c r="AQ157" s="349" t="s">
        <v>222</v>
      </c>
      <c r="AR157" s="342" t="s">
        <v>83</v>
      </c>
      <c r="AS157" s="342" t="s">
        <v>84</v>
      </c>
      <c r="AT157" s="342" t="s">
        <v>45</v>
      </c>
      <c r="AU157" s="342" t="s">
        <v>85</v>
      </c>
      <c r="AV157" s="342"/>
      <c r="AW157" s="342"/>
      <c r="AX157" s="343" t="str">
        <f>IF(OR(Tableau3[[#This Row],[Option GTR]]&lt;&gt;"",Tableau3[[#This Row],[GTR spécifique]]&lt;&gt;""),"GTRS1","GTRS2")</f>
        <v>GTRS2</v>
      </c>
      <c r="AY157" s="342" t="s">
        <v>86</v>
      </c>
      <c r="AZ157" s="342"/>
      <c r="BA157" s="342" t="s">
        <v>1465</v>
      </c>
    </row>
    <row r="158" spans="1:53" s="326" customFormat="1" ht="18.149999999999999" customHeight="1" x14ac:dyDescent="0.3">
      <c r="A158" s="340" t="s">
        <v>53</v>
      </c>
      <c r="B158" s="340" t="s">
        <v>54</v>
      </c>
      <c r="C158" s="340" t="s">
        <v>932</v>
      </c>
      <c r="D158" s="340" t="s">
        <v>56</v>
      </c>
      <c r="E158" s="340" t="s">
        <v>57</v>
      </c>
      <c r="F158" s="340" t="s">
        <v>58</v>
      </c>
      <c r="G158" s="340" t="s">
        <v>59</v>
      </c>
      <c r="H158" s="340" t="s">
        <v>60</v>
      </c>
      <c r="I158" s="340" t="s">
        <v>61</v>
      </c>
      <c r="J158" s="340" t="s">
        <v>1466</v>
      </c>
      <c r="K158" s="340" t="s">
        <v>1467</v>
      </c>
      <c r="L158" s="345" t="str">
        <f>VLOOKUP(K158,'20260309 suivi sites'!F:F,1,0)</f>
        <v>25BESA011AOB</v>
      </c>
      <c r="M158" s="340" t="s">
        <v>64</v>
      </c>
      <c r="N158" s="340" t="s">
        <v>65</v>
      </c>
      <c r="O158" s="340" t="s">
        <v>64</v>
      </c>
      <c r="P158" s="341">
        <v>43880</v>
      </c>
      <c r="Q158" s="341">
        <v>46077</v>
      </c>
      <c r="R158" s="347" t="b">
        <f t="shared" si="5"/>
        <v>0</v>
      </c>
      <c r="S158" s="347" t="str">
        <f t="shared" si="4"/>
        <v>change</v>
      </c>
      <c r="T158" s="342" t="s">
        <v>1439</v>
      </c>
      <c r="U158" s="342" t="s">
        <v>1468</v>
      </c>
      <c r="V158" s="342" t="s">
        <v>1469</v>
      </c>
      <c r="W158" s="342" t="s">
        <v>1470</v>
      </c>
      <c r="X158" s="342" t="s">
        <v>69</v>
      </c>
      <c r="Y158" s="349" t="s">
        <v>1471</v>
      </c>
      <c r="Z158" s="342" t="s">
        <v>71</v>
      </c>
      <c r="AA158" s="342" t="s">
        <v>218</v>
      </c>
      <c r="AB158" s="342" t="s">
        <v>152</v>
      </c>
      <c r="AC158" s="342" t="s">
        <v>74</v>
      </c>
      <c r="AD158" s="342"/>
      <c r="AE158" s="342" t="s">
        <v>1472</v>
      </c>
      <c r="AF158" s="349" t="s">
        <v>3775</v>
      </c>
      <c r="AG158" s="342" t="s">
        <v>74</v>
      </c>
      <c r="AH158" s="342" t="s">
        <v>76</v>
      </c>
      <c r="AI158" s="342" t="s">
        <v>74</v>
      </c>
      <c r="AJ158" s="342" t="s">
        <v>382</v>
      </c>
      <c r="AK158" s="342" t="s">
        <v>97</v>
      </c>
      <c r="AL158" s="342" t="s">
        <v>152</v>
      </c>
      <c r="AM158" s="342" t="s">
        <v>74</v>
      </c>
      <c r="AN158" s="342"/>
      <c r="AO158" s="342" t="s">
        <v>1473</v>
      </c>
      <c r="AP158" s="342" t="s">
        <v>81</v>
      </c>
      <c r="AQ158" s="349" t="s">
        <v>822</v>
      </c>
      <c r="AR158" s="342" t="s">
        <v>83</v>
      </c>
      <c r="AS158" s="342" t="s">
        <v>84</v>
      </c>
      <c r="AT158" s="342" t="s">
        <v>45</v>
      </c>
      <c r="AU158" s="342" t="s">
        <v>85</v>
      </c>
      <c r="AV158" s="342"/>
      <c r="AW158" s="342"/>
      <c r="AX158" s="343" t="str">
        <f>IF(OR(Tableau3[[#This Row],[Option GTR]]&lt;&gt;"",Tableau3[[#This Row],[GTR spécifique]]&lt;&gt;""),"GTRS1","GTRS2")</f>
        <v>GTRS2</v>
      </c>
      <c r="AY158" s="342" t="s">
        <v>481</v>
      </c>
      <c r="AZ158" s="342"/>
      <c r="BA158" s="342" t="s">
        <v>3805</v>
      </c>
    </row>
    <row r="159" spans="1:53" s="326" customFormat="1" ht="18.149999999999999" customHeight="1" x14ac:dyDescent="0.3">
      <c r="A159" s="340" t="s">
        <v>53</v>
      </c>
      <c r="B159" s="340" t="s">
        <v>54</v>
      </c>
      <c r="C159" s="340" t="s">
        <v>932</v>
      </c>
      <c r="D159" s="340" t="s">
        <v>56</v>
      </c>
      <c r="E159" s="340" t="s">
        <v>57</v>
      </c>
      <c r="F159" s="340" t="s">
        <v>58</v>
      </c>
      <c r="G159" s="340" t="s">
        <v>59</v>
      </c>
      <c r="H159" s="340" t="s">
        <v>60</v>
      </c>
      <c r="I159" s="340" t="s">
        <v>61</v>
      </c>
      <c r="J159" s="340" t="s">
        <v>1474</v>
      </c>
      <c r="K159" s="340" t="s">
        <v>1475</v>
      </c>
      <c r="L159" s="345" t="str">
        <f>VLOOKUP(K159,'20260309 suivi sites'!F:F,1,0)</f>
        <v>33MERI021AOS</v>
      </c>
      <c r="M159" s="340" t="s">
        <v>64</v>
      </c>
      <c r="N159" s="340" t="s">
        <v>65</v>
      </c>
      <c r="O159" s="340" t="s">
        <v>64</v>
      </c>
      <c r="P159" s="341">
        <v>43802</v>
      </c>
      <c r="Q159" s="341">
        <v>46014</v>
      </c>
      <c r="R159" s="347" t="b">
        <f t="shared" si="5"/>
        <v>0</v>
      </c>
      <c r="S159" s="347" t="str">
        <f t="shared" si="4"/>
        <v>change</v>
      </c>
      <c r="T159" s="342" t="s">
        <v>1439</v>
      </c>
      <c r="U159" s="342" t="s">
        <v>1476</v>
      </c>
      <c r="V159" s="342" t="s">
        <v>1477</v>
      </c>
      <c r="W159" s="342" t="s">
        <v>1478</v>
      </c>
      <c r="X159" s="342" t="s">
        <v>69</v>
      </c>
      <c r="Y159" s="349" t="s">
        <v>1479</v>
      </c>
      <c r="Z159" s="342" t="s">
        <v>71</v>
      </c>
      <c r="AA159" s="342" t="s">
        <v>72</v>
      </c>
      <c r="AB159" s="342" t="s">
        <v>73</v>
      </c>
      <c r="AC159" s="342" t="s">
        <v>74</v>
      </c>
      <c r="AD159" s="342"/>
      <c r="AE159" s="342" t="s">
        <v>1480</v>
      </c>
      <c r="AF159" s="349" t="s">
        <v>3770</v>
      </c>
      <c r="AG159" s="342" t="s">
        <v>74</v>
      </c>
      <c r="AH159" s="342" t="s">
        <v>76</v>
      </c>
      <c r="AI159" s="342" t="s">
        <v>74</v>
      </c>
      <c r="AJ159" s="342" t="s">
        <v>77</v>
      </c>
      <c r="AK159" s="342" t="s">
        <v>97</v>
      </c>
      <c r="AL159" s="342" t="s">
        <v>79</v>
      </c>
      <c r="AM159" s="342" t="s">
        <v>74</v>
      </c>
      <c r="AN159" s="342"/>
      <c r="AO159" s="342" t="s">
        <v>1481</v>
      </c>
      <c r="AP159" s="342" t="s">
        <v>81</v>
      </c>
      <c r="AQ159" s="349" t="s">
        <v>210</v>
      </c>
      <c r="AR159" s="342" t="s">
        <v>83</v>
      </c>
      <c r="AS159" s="342" t="s">
        <v>84</v>
      </c>
      <c r="AT159" s="342" t="s">
        <v>45</v>
      </c>
      <c r="AU159" s="342" t="s">
        <v>85</v>
      </c>
      <c r="AV159" s="342"/>
      <c r="AW159" s="342"/>
      <c r="AX159" s="343" t="str">
        <f>IF(OR(Tableau3[[#This Row],[Option GTR]]&lt;&gt;"",Tableau3[[#This Row],[GTR spécifique]]&lt;&gt;""),"GTRS1","GTRS2")</f>
        <v>GTRS2</v>
      </c>
      <c r="AY159" s="342" t="s">
        <v>86</v>
      </c>
      <c r="AZ159" s="342"/>
      <c r="BA159" s="342" t="s">
        <v>1482</v>
      </c>
    </row>
    <row r="160" spans="1:53" s="326" customFormat="1" ht="18.149999999999999" customHeight="1" x14ac:dyDescent="0.3">
      <c r="A160" s="340" t="s">
        <v>53</v>
      </c>
      <c r="B160" s="340" t="s">
        <v>54</v>
      </c>
      <c r="C160" s="340" t="s">
        <v>932</v>
      </c>
      <c r="D160" s="340" t="s">
        <v>56</v>
      </c>
      <c r="E160" s="340" t="s">
        <v>57</v>
      </c>
      <c r="F160" s="340" t="s">
        <v>58</v>
      </c>
      <c r="G160" s="340" t="s">
        <v>59</v>
      </c>
      <c r="H160" s="340" t="s">
        <v>60</v>
      </c>
      <c r="I160" s="340" t="s">
        <v>61</v>
      </c>
      <c r="J160" s="340" t="s">
        <v>1483</v>
      </c>
      <c r="K160" s="340" t="s">
        <v>1484</v>
      </c>
      <c r="L160" s="345" t="str">
        <f>VLOOKUP(K160,'20260309 suivi sites'!F:F,1,0)</f>
        <v>42STJU011AOG</v>
      </c>
      <c r="M160" s="340" t="s">
        <v>64</v>
      </c>
      <c r="N160" s="340" t="s">
        <v>65</v>
      </c>
      <c r="O160" s="340" t="s">
        <v>64</v>
      </c>
      <c r="P160" s="341">
        <v>43748</v>
      </c>
      <c r="Q160" s="341">
        <v>45386</v>
      </c>
      <c r="R160" s="347" t="b">
        <f t="shared" si="5"/>
        <v>0</v>
      </c>
      <c r="S160" s="347" t="str">
        <f t="shared" si="4"/>
        <v>change</v>
      </c>
      <c r="T160" s="342" t="s">
        <v>1439</v>
      </c>
      <c r="U160" s="342" t="s">
        <v>1485</v>
      </c>
      <c r="V160" s="342" t="s">
        <v>1486</v>
      </c>
      <c r="W160" s="342" t="s">
        <v>1487</v>
      </c>
      <c r="X160" s="342" t="s">
        <v>69</v>
      </c>
      <c r="Y160" s="349" t="s">
        <v>1488</v>
      </c>
      <c r="Z160" s="342" t="s">
        <v>71</v>
      </c>
      <c r="AA160" s="342" t="s">
        <v>72</v>
      </c>
      <c r="AB160" s="342" t="s">
        <v>73</v>
      </c>
      <c r="AC160" s="342" t="s">
        <v>74</v>
      </c>
      <c r="AD160" s="342"/>
      <c r="AE160" s="342" t="s">
        <v>1489</v>
      </c>
      <c r="AF160" s="349" t="s">
        <v>3776</v>
      </c>
      <c r="AG160" s="342" t="s">
        <v>74</v>
      </c>
      <c r="AH160" s="342" t="s">
        <v>74</v>
      </c>
      <c r="AI160" s="342" t="s">
        <v>74</v>
      </c>
      <c r="AJ160" s="342" t="s">
        <v>77</v>
      </c>
      <c r="AK160" s="342" t="s">
        <v>97</v>
      </c>
      <c r="AL160" s="342" t="s">
        <v>79</v>
      </c>
      <c r="AM160" s="342" t="s">
        <v>74</v>
      </c>
      <c r="AN160" s="342"/>
      <c r="AO160" s="342" t="s">
        <v>1490</v>
      </c>
      <c r="AP160" s="342" t="s">
        <v>81</v>
      </c>
      <c r="AQ160" s="349" t="s">
        <v>130</v>
      </c>
      <c r="AR160" s="342" t="s">
        <v>83</v>
      </c>
      <c r="AS160" s="342" t="s">
        <v>84</v>
      </c>
      <c r="AT160" s="342" t="s">
        <v>45</v>
      </c>
      <c r="AU160" s="342" t="s">
        <v>85</v>
      </c>
      <c r="AV160" s="342"/>
      <c r="AW160" s="342"/>
      <c r="AX160" s="343" t="str">
        <f>IF(OR(Tableau3[[#This Row],[Option GTR]]&lt;&gt;"",Tableau3[[#This Row],[GTR spécifique]]&lt;&gt;""),"GTRS1","GTRS2")</f>
        <v>GTRS2</v>
      </c>
      <c r="AY160" s="342" t="s">
        <v>100</v>
      </c>
      <c r="AZ160" s="342"/>
      <c r="BA160" s="342" t="s">
        <v>1491</v>
      </c>
    </row>
    <row r="161" spans="1:53" s="326" customFormat="1" ht="18.149999999999999" customHeight="1" x14ac:dyDescent="0.3">
      <c r="A161" s="340" t="s">
        <v>53</v>
      </c>
      <c r="B161" s="340" t="s">
        <v>54</v>
      </c>
      <c r="C161" s="340" t="s">
        <v>932</v>
      </c>
      <c r="D161" s="340" t="s">
        <v>56</v>
      </c>
      <c r="E161" s="340" t="s">
        <v>57</v>
      </c>
      <c r="F161" s="340" t="s">
        <v>58</v>
      </c>
      <c r="G161" s="340" t="s">
        <v>59</v>
      </c>
      <c r="H161" s="340" t="s">
        <v>60</v>
      </c>
      <c r="I161" s="340" t="s">
        <v>61</v>
      </c>
      <c r="J161" s="340" t="s">
        <v>1492</v>
      </c>
      <c r="K161" s="340" t="s">
        <v>1493</v>
      </c>
      <c r="L161" s="345" t="str">
        <f>VLOOKUP(K161,'20260309 suivi sites'!F:F,1,0)</f>
        <v>26VALE021AOG</v>
      </c>
      <c r="M161" s="340" t="s">
        <v>64</v>
      </c>
      <c r="N161" s="340" t="s">
        <v>65</v>
      </c>
      <c r="O161" s="340" t="s">
        <v>64</v>
      </c>
      <c r="P161" s="341">
        <v>44216</v>
      </c>
      <c r="Q161" s="341">
        <v>44839</v>
      </c>
      <c r="R161" s="347" t="b">
        <f t="shared" si="5"/>
        <v>0</v>
      </c>
      <c r="S161" s="347" t="str">
        <f t="shared" si="4"/>
        <v>change</v>
      </c>
      <c r="T161" s="342" t="s">
        <v>61</v>
      </c>
      <c r="U161" s="342" t="s">
        <v>1494</v>
      </c>
      <c r="V161" s="342" t="s">
        <v>1495</v>
      </c>
      <c r="W161" s="342" t="s">
        <v>1496</v>
      </c>
      <c r="X161" s="342" t="s">
        <v>69</v>
      </c>
      <c r="Y161" s="349" t="s">
        <v>1497</v>
      </c>
      <c r="Z161" s="342" t="s">
        <v>71</v>
      </c>
      <c r="AA161" s="342" t="s">
        <v>72</v>
      </c>
      <c r="AB161" s="342" t="s">
        <v>73</v>
      </c>
      <c r="AC161" s="342" t="s">
        <v>74</v>
      </c>
      <c r="AD161" s="342"/>
      <c r="AE161" s="342" t="s">
        <v>1498</v>
      </c>
      <c r="AF161" s="349" t="s">
        <v>3764</v>
      </c>
      <c r="AG161" s="342" t="s">
        <v>74</v>
      </c>
      <c r="AH161" s="342" t="s">
        <v>76</v>
      </c>
      <c r="AI161" s="342" t="s">
        <v>74</v>
      </c>
      <c r="AJ161" s="342" t="s">
        <v>77</v>
      </c>
      <c r="AK161" s="342" t="s">
        <v>97</v>
      </c>
      <c r="AL161" s="342" t="s">
        <v>79</v>
      </c>
      <c r="AM161" s="342" t="s">
        <v>74</v>
      </c>
      <c r="AN161" s="342"/>
      <c r="AO161" s="342" t="s">
        <v>1499</v>
      </c>
      <c r="AP161" s="342" t="s">
        <v>81</v>
      </c>
      <c r="AQ161" s="349" t="s">
        <v>99</v>
      </c>
      <c r="AR161" s="342" t="s">
        <v>83</v>
      </c>
      <c r="AS161" s="342" t="s">
        <v>84</v>
      </c>
      <c r="AT161" s="342" t="s">
        <v>45</v>
      </c>
      <c r="AU161" s="342"/>
      <c r="AV161" s="342"/>
      <c r="AW161" s="342"/>
      <c r="AX161" s="343" t="str">
        <f>IF(OR(Tableau3[[#This Row],[Option GTR]]&lt;&gt;"",Tableau3[[#This Row],[GTR spécifique]]&lt;&gt;""),"GTRS1","GTRS2")</f>
        <v>GTRS2</v>
      </c>
      <c r="AY161" s="342" t="s">
        <v>86</v>
      </c>
      <c r="AZ161" s="342"/>
      <c r="BA161" s="342" t="s">
        <v>1500</v>
      </c>
    </row>
    <row r="162" spans="1:53" s="326" customFormat="1" ht="18.149999999999999" customHeight="1" x14ac:dyDescent="0.3">
      <c r="A162" s="340" t="s">
        <v>53</v>
      </c>
      <c r="B162" s="340" t="s">
        <v>54</v>
      </c>
      <c r="C162" s="340" t="s">
        <v>932</v>
      </c>
      <c r="D162" s="340" t="s">
        <v>56</v>
      </c>
      <c r="E162" s="340" t="s">
        <v>57</v>
      </c>
      <c r="F162" s="340" t="s">
        <v>58</v>
      </c>
      <c r="G162" s="340" t="s">
        <v>59</v>
      </c>
      <c r="H162" s="340" t="s">
        <v>60</v>
      </c>
      <c r="I162" s="340" t="s">
        <v>61</v>
      </c>
      <c r="J162" s="340" t="s">
        <v>1501</v>
      </c>
      <c r="K162" s="340" t="s">
        <v>1502</v>
      </c>
      <c r="L162" s="345" t="str">
        <f>VLOOKUP(K162,'20260309 suivi sites'!F:F,1,0)</f>
        <v>12GOLI011AOB</v>
      </c>
      <c r="M162" s="340" t="s">
        <v>64</v>
      </c>
      <c r="N162" s="340" t="s">
        <v>771</v>
      </c>
      <c r="O162" s="340" t="s">
        <v>64</v>
      </c>
      <c r="P162" s="341">
        <v>43986</v>
      </c>
      <c r="Q162" s="341">
        <v>43986</v>
      </c>
      <c r="R162" s="347" t="b">
        <f t="shared" si="5"/>
        <v>1</v>
      </c>
      <c r="S162" s="347" t="str">
        <f t="shared" si="4"/>
        <v>création</v>
      </c>
      <c r="T162" s="342" t="s">
        <v>61</v>
      </c>
      <c r="U162" s="342" t="s">
        <v>1503</v>
      </c>
      <c r="V162" s="342" t="s">
        <v>971</v>
      </c>
      <c r="W162" s="342" t="s">
        <v>1504</v>
      </c>
      <c r="X162" s="342" t="s">
        <v>69</v>
      </c>
      <c r="Y162" s="349" t="s">
        <v>1505</v>
      </c>
      <c r="Z162" s="342" t="s">
        <v>71</v>
      </c>
      <c r="AA162" s="342" t="s">
        <v>218</v>
      </c>
      <c r="AB162" s="342" t="s">
        <v>152</v>
      </c>
      <c r="AC162" s="342" t="s">
        <v>74</v>
      </c>
      <c r="AD162" s="342"/>
      <c r="AE162" s="342" t="s">
        <v>1506</v>
      </c>
      <c r="AF162" s="349" t="s">
        <v>3773</v>
      </c>
      <c r="AG162" s="342" t="s">
        <v>74</v>
      </c>
      <c r="AH162" s="342" t="s">
        <v>76</v>
      </c>
      <c r="AI162" s="342" t="s">
        <v>74</v>
      </c>
      <c r="AJ162" s="342" t="s">
        <v>77</v>
      </c>
      <c r="AK162" s="342" t="s">
        <v>97</v>
      </c>
      <c r="AL162" s="342" t="s">
        <v>79</v>
      </c>
      <c r="AM162" s="342" t="s">
        <v>74</v>
      </c>
      <c r="AN162" s="342"/>
      <c r="AO162" s="342" t="s">
        <v>1507</v>
      </c>
      <c r="AP162" s="342" t="s">
        <v>81</v>
      </c>
      <c r="AQ162" s="349" t="s">
        <v>748</v>
      </c>
      <c r="AR162" s="342" t="s">
        <v>83</v>
      </c>
      <c r="AS162" s="342" t="s">
        <v>84</v>
      </c>
      <c r="AT162" s="342" t="s">
        <v>45</v>
      </c>
      <c r="AU162" s="342"/>
      <c r="AV162" s="342"/>
      <c r="AW162" s="342"/>
      <c r="AX162" s="343" t="str">
        <f>IF(OR(Tableau3[[#This Row],[Option GTR]]&lt;&gt;"",Tableau3[[#This Row],[GTR spécifique]]&lt;&gt;""),"GTRS1","GTRS2")</f>
        <v>GTRS2</v>
      </c>
      <c r="AY162" s="342" t="s">
        <v>794</v>
      </c>
      <c r="AZ162" s="342"/>
      <c r="BA162" s="344" t="s">
        <v>1508</v>
      </c>
    </row>
    <row r="163" spans="1:53" s="326" customFormat="1" ht="18.149999999999999" customHeight="1" x14ac:dyDescent="0.3">
      <c r="A163" s="340" t="s">
        <v>53</v>
      </c>
      <c r="B163" s="340" t="s">
        <v>54</v>
      </c>
      <c r="C163" s="340" t="s">
        <v>932</v>
      </c>
      <c r="D163" s="340" t="s">
        <v>56</v>
      </c>
      <c r="E163" s="340" t="s">
        <v>57</v>
      </c>
      <c r="F163" s="340" t="s">
        <v>58</v>
      </c>
      <c r="G163" s="340" t="s">
        <v>59</v>
      </c>
      <c r="H163" s="340" t="s">
        <v>60</v>
      </c>
      <c r="I163" s="340" t="s">
        <v>61</v>
      </c>
      <c r="J163" s="340" t="s">
        <v>1509</v>
      </c>
      <c r="K163" s="340" t="s">
        <v>1510</v>
      </c>
      <c r="L163" s="345" t="str">
        <f>VLOOKUP(K163,'20260309 suivi sites'!F:F,1,0)</f>
        <v>31LABA011AOB</v>
      </c>
      <c r="M163" s="340" t="s">
        <v>64</v>
      </c>
      <c r="N163" s="340" t="s">
        <v>65</v>
      </c>
      <c r="O163" s="340" t="s">
        <v>64</v>
      </c>
      <c r="P163" s="341">
        <v>44049</v>
      </c>
      <c r="Q163" s="341">
        <v>44049</v>
      </c>
      <c r="R163" s="347" t="b">
        <f t="shared" si="5"/>
        <v>1</v>
      </c>
      <c r="S163" s="347" t="str">
        <f t="shared" si="4"/>
        <v>création</v>
      </c>
      <c r="T163" s="342" t="s">
        <v>61</v>
      </c>
      <c r="U163" s="342" t="s">
        <v>1511</v>
      </c>
      <c r="V163" s="342" t="s">
        <v>1512</v>
      </c>
      <c r="W163" s="342" t="s">
        <v>1513</v>
      </c>
      <c r="X163" s="342" t="s">
        <v>69</v>
      </c>
      <c r="Y163" s="349" t="s">
        <v>1514</v>
      </c>
      <c r="Z163" s="342" t="s">
        <v>71</v>
      </c>
      <c r="AA163" s="342" t="s">
        <v>218</v>
      </c>
      <c r="AB163" s="342" t="s">
        <v>152</v>
      </c>
      <c r="AC163" s="342" t="s">
        <v>74</v>
      </c>
      <c r="AD163" s="342"/>
      <c r="AE163" s="342" t="s">
        <v>1515</v>
      </c>
      <c r="AF163" s="349" t="s">
        <v>3774</v>
      </c>
      <c r="AG163" s="342" t="s">
        <v>74</v>
      </c>
      <c r="AH163" s="342" t="s">
        <v>76</v>
      </c>
      <c r="AI163" s="342" t="s">
        <v>74</v>
      </c>
      <c r="AJ163" s="342" t="s">
        <v>77</v>
      </c>
      <c r="AK163" s="342" t="s">
        <v>97</v>
      </c>
      <c r="AL163" s="342" t="s">
        <v>79</v>
      </c>
      <c r="AM163" s="342" t="s">
        <v>74</v>
      </c>
      <c r="AN163" s="342"/>
      <c r="AO163" s="342" t="s">
        <v>1516</v>
      </c>
      <c r="AP163" s="342" t="s">
        <v>81</v>
      </c>
      <c r="AQ163" s="349" t="s">
        <v>510</v>
      </c>
      <c r="AR163" s="342" t="s">
        <v>83</v>
      </c>
      <c r="AS163" s="342" t="s">
        <v>84</v>
      </c>
      <c r="AT163" s="342" t="s">
        <v>45</v>
      </c>
      <c r="AU163" s="342"/>
      <c r="AV163" s="342"/>
      <c r="AW163" s="342"/>
      <c r="AX163" s="343" t="str">
        <f>IF(OR(Tableau3[[#This Row],[Option GTR]]&lt;&gt;"",Tableau3[[#This Row],[GTR spécifique]]&lt;&gt;""),"GTRS1","GTRS2")</f>
        <v>GTRS2</v>
      </c>
      <c r="AY163" s="342" t="s">
        <v>738</v>
      </c>
      <c r="AZ163" s="342"/>
      <c r="BA163" s="344" t="s">
        <v>1517</v>
      </c>
    </row>
    <row r="164" spans="1:53" s="326" customFormat="1" ht="18.149999999999999" customHeight="1" x14ac:dyDescent="0.3">
      <c r="A164" s="340" t="s">
        <v>53</v>
      </c>
      <c r="B164" s="340" t="s">
        <v>54</v>
      </c>
      <c r="C164" s="340" t="s">
        <v>932</v>
      </c>
      <c r="D164" s="340" t="s">
        <v>56</v>
      </c>
      <c r="E164" s="340" t="s">
        <v>57</v>
      </c>
      <c r="F164" s="340" t="s">
        <v>58</v>
      </c>
      <c r="G164" s="340" t="s">
        <v>59</v>
      </c>
      <c r="H164" s="340" t="s">
        <v>60</v>
      </c>
      <c r="I164" s="340" t="s">
        <v>61</v>
      </c>
      <c r="J164" s="340" t="s">
        <v>1518</v>
      </c>
      <c r="K164" s="340" t="s">
        <v>1519</v>
      </c>
      <c r="L164" s="345" t="str">
        <f>VLOOKUP(K164,'20260309 suivi sites'!F:F,1,0)</f>
        <v>78CHAT012AOG</v>
      </c>
      <c r="M164" s="340" t="s">
        <v>64</v>
      </c>
      <c r="N164" s="340" t="s">
        <v>65</v>
      </c>
      <c r="O164" s="340" t="s">
        <v>64</v>
      </c>
      <c r="P164" s="341">
        <v>44132</v>
      </c>
      <c r="Q164" s="341">
        <v>44169</v>
      </c>
      <c r="R164" s="347" t="b">
        <f t="shared" si="5"/>
        <v>0</v>
      </c>
      <c r="S164" s="347" t="str">
        <f t="shared" si="4"/>
        <v>change</v>
      </c>
      <c r="T164" s="342" t="s">
        <v>61</v>
      </c>
      <c r="U164" s="342" t="s">
        <v>262</v>
      </c>
      <c r="V164" s="342" t="s">
        <v>263</v>
      </c>
      <c r="W164" s="342" t="s">
        <v>264</v>
      </c>
      <c r="X164" s="342" t="s">
        <v>69</v>
      </c>
      <c r="Y164" s="349" t="s">
        <v>1520</v>
      </c>
      <c r="Z164" s="342" t="s">
        <v>71</v>
      </c>
      <c r="AA164" s="342" t="s">
        <v>72</v>
      </c>
      <c r="AB164" s="342" t="s">
        <v>73</v>
      </c>
      <c r="AC164" s="342" t="s">
        <v>74</v>
      </c>
      <c r="AD164" s="342"/>
      <c r="AE164" s="342" t="s">
        <v>1521</v>
      </c>
      <c r="AF164" s="349" t="s">
        <v>3764</v>
      </c>
      <c r="AG164" s="342" t="s">
        <v>74</v>
      </c>
      <c r="AH164" s="342" t="s">
        <v>76</v>
      </c>
      <c r="AI164" s="342" t="s">
        <v>74</v>
      </c>
      <c r="AJ164" s="342" t="s">
        <v>77</v>
      </c>
      <c r="AK164" s="342" t="s">
        <v>97</v>
      </c>
      <c r="AL164" s="342" t="s">
        <v>79</v>
      </c>
      <c r="AM164" s="342" t="s">
        <v>74</v>
      </c>
      <c r="AN164" s="342"/>
      <c r="AO164" s="342" t="s">
        <v>1522</v>
      </c>
      <c r="AP164" s="342" t="s">
        <v>81</v>
      </c>
      <c r="AQ164" s="349" t="s">
        <v>99</v>
      </c>
      <c r="AR164" s="342" t="s">
        <v>83</v>
      </c>
      <c r="AS164" s="342" t="s">
        <v>84</v>
      </c>
      <c r="AT164" s="342" t="s">
        <v>45</v>
      </c>
      <c r="AU164" s="342"/>
      <c r="AV164" s="342"/>
      <c r="AW164" s="342"/>
      <c r="AX164" s="343" t="str">
        <f>IF(OR(Tableau3[[#This Row],[Option GTR]]&lt;&gt;"",Tableau3[[#This Row],[GTR spécifique]]&lt;&gt;""),"GTRS1","GTRS2")</f>
        <v>GTRS2</v>
      </c>
      <c r="AY164" s="342" t="s">
        <v>86</v>
      </c>
      <c r="AZ164" s="342"/>
      <c r="BA164" s="342" t="s">
        <v>1523</v>
      </c>
    </row>
    <row r="165" spans="1:53" s="326" customFormat="1" ht="18.149999999999999" customHeight="1" x14ac:dyDescent="0.3">
      <c r="A165" s="340" t="s">
        <v>53</v>
      </c>
      <c r="B165" s="340" t="s">
        <v>54</v>
      </c>
      <c r="C165" s="340" t="s">
        <v>932</v>
      </c>
      <c r="D165" s="340" t="s">
        <v>56</v>
      </c>
      <c r="E165" s="340" t="s">
        <v>57</v>
      </c>
      <c r="F165" s="340" t="s">
        <v>58</v>
      </c>
      <c r="G165" s="340" t="s">
        <v>59</v>
      </c>
      <c r="H165" s="340" t="s">
        <v>60</v>
      </c>
      <c r="I165" s="340" t="s">
        <v>61</v>
      </c>
      <c r="J165" s="340" t="s">
        <v>1524</v>
      </c>
      <c r="K165" s="340" t="s">
        <v>1525</v>
      </c>
      <c r="L165" s="345" t="str">
        <f>VLOOKUP(K165,'20260309 suivi sites'!F:F,1,0)</f>
        <v>77ORVA011AOG</v>
      </c>
      <c r="M165" s="340" t="s">
        <v>64</v>
      </c>
      <c r="N165" s="340" t="s">
        <v>65</v>
      </c>
      <c r="O165" s="340" t="s">
        <v>64</v>
      </c>
      <c r="P165" s="341">
        <v>44138</v>
      </c>
      <c r="Q165" s="341">
        <v>44169</v>
      </c>
      <c r="R165" s="347" t="b">
        <f t="shared" si="5"/>
        <v>0</v>
      </c>
      <c r="S165" s="347" t="str">
        <f t="shared" si="4"/>
        <v>change</v>
      </c>
      <c r="T165" s="342" t="s">
        <v>61</v>
      </c>
      <c r="U165" s="342" t="s">
        <v>1526</v>
      </c>
      <c r="V165" s="342" t="s">
        <v>1527</v>
      </c>
      <c r="W165" s="342" t="s">
        <v>1528</v>
      </c>
      <c r="X165" s="342" t="s">
        <v>69</v>
      </c>
      <c r="Y165" s="349" t="s">
        <v>1529</v>
      </c>
      <c r="Z165" s="342" t="s">
        <v>71</v>
      </c>
      <c r="AA165" s="342" t="s">
        <v>72</v>
      </c>
      <c r="AB165" s="342" t="s">
        <v>73</v>
      </c>
      <c r="AC165" s="342" t="s">
        <v>74</v>
      </c>
      <c r="AD165" s="342"/>
      <c r="AE165" s="342" t="s">
        <v>1530</v>
      </c>
      <c r="AF165" s="349" t="s">
        <v>3764</v>
      </c>
      <c r="AG165" s="342" t="s">
        <v>74</v>
      </c>
      <c r="AH165" s="342" t="s">
        <v>76</v>
      </c>
      <c r="AI165" s="342" t="s">
        <v>74</v>
      </c>
      <c r="AJ165" s="342" t="s">
        <v>77</v>
      </c>
      <c r="AK165" s="342" t="s">
        <v>97</v>
      </c>
      <c r="AL165" s="342" t="s">
        <v>79</v>
      </c>
      <c r="AM165" s="342" t="s">
        <v>74</v>
      </c>
      <c r="AN165" s="342"/>
      <c r="AO165" s="342" t="s">
        <v>1531</v>
      </c>
      <c r="AP165" s="342" t="s">
        <v>81</v>
      </c>
      <c r="AQ165" s="349" t="s">
        <v>99</v>
      </c>
      <c r="AR165" s="342" t="s">
        <v>83</v>
      </c>
      <c r="AS165" s="342" t="s">
        <v>84</v>
      </c>
      <c r="AT165" s="342" t="s">
        <v>45</v>
      </c>
      <c r="AU165" s="342" t="s">
        <v>85</v>
      </c>
      <c r="AV165" s="342"/>
      <c r="AW165" s="342"/>
      <c r="AX165" s="343" t="str">
        <f>IF(OR(Tableau3[[#This Row],[Option GTR]]&lt;&gt;"",Tableau3[[#This Row],[GTR spécifique]]&lt;&gt;""),"GTRS1","GTRS2")</f>
        <v>GTRS2</v>
      </c>
      <c r="AY165" s="342" t="s">
        <v>100</v>
      </c>
      <c r="AZ165" s="342"/>
      <c r="BA165" s="342" t="s">
        <v>1532</v>
      </c>
    </row>
    <row r="166" spans="1:53" s="326" customFormat="1" ht="18.149999999999999" customHeight="1" x14ac:dyDescent="0.3">
      <c r="A166" s="340" t="s">
        <v>53</v>
      </c>
      <c r="B166" s="340" t="s">
        <v>54</v>
      </c>
      <c r="C166" s="340" t="s">
        <v>932</v>
      </c>
      <c r="D166" s="340" t="s">
        <v>56</v>
      </c>
      <c r="E166" s="340" t="s">
        <v>57</v>
      </c>
      <c r="F166" s="340" t="s">
        <v>58</v>
      </c>
      <c r="G166" s="340" t="s">
        <v>59</v>
      </c>
      <c r="H166" s="340" t="s">
        <v>60</v>
      </c>
      <c r="I166" s="340" t="s">
        <v>61</v>
      </c>
      <c r="J166" s="340" t="s">
        <v>1533</v>
      </c>
      <c r="K166" s="340" t="s">
        <v>1534</v>
      </c>
      <c r="L166" s="345" t="str">
        <f>VLOOKUP(K166,'20260309 suivi sites'!F:F,1,0)</f>
        <v>55BARL011AOB</v>
      </c>
      <c r="M166" s="340" t="s">
        <v>64</v>
      </c>
      <c r="N166" s="340" t="s">
        <v>771</v>
      </c>
      <c r="O166" s="340" t="s">
        <v>64</v>
      </c>
      <c r="P166" s="341">
        <v>44014</v>
      </c>
      <c r="Q166" s="341">
        <v>44014</v>
      </c>
      <c r="R166" s="347" t="b">
        <f t="shared" si="5"/>
        <v>1</v>
      </c>
      <c r="S166" s="347" t="str">
        <f t="shared" si="4"/>
        <v>création</v>
      </c>
      <c r="T166" s="342" t="s">
        <v>61</v>
      </c>
      <c r="U166" s="342" t="s">
        <v>1535</v>
      </c>
      <c r="V166" s="342" t="s">
        <v>1536</v>
      </c>
      <c r="W166" s="342" t="s">
        <v>1537</v>
      </c>
      <c r="X166" s="342" t="s">
        <v>69</v>
      </c>
      <c r="Y166" s="349" t="s">
        <v>1538</v>
      </c>
      <c r="Z166" s="342" t="s">
        <v>71</v>
      </c>
      <c r="AA166" s="342" t="s">
        <v>218</v>
      </c>
      <c r="AB166" s="342" t="s">
        <v>152</v>
      </c>
      <c r="AC166" s="342" t="s">
        <v>74</v>
      </c>
      <c r="AD166" s="342"/>
      <c r="AE166" s="342" t="s">
        <v>1539</v>
      </c>
      <c r="AF166" s="349" t="s">
        <v>3773</v>
      </c>
      <c r="AG166" s="342" t="s">
        <v>74</v>
      </c>
      <c r="AH166" s="342" t="s">
        <v>76</v>
      </c>
      <c r="AI166" s="342" t="s">
        <v>74</v>
      </c>
      <c r="AJ166" s="342" t="s">
        <v>77</v>
      </c>
      <c r="AK166" s="342" t="s">
        <v>97</v>
      </c>
      <c r="AL166" s="342" t="s">
        <v>79</v>
      </c>
      <c r="AM166" s="342" t="s">
        <v>74</v>
      </c>
      <c r="AN166" s="342"/>
      <c r="AO166" s="342" t="s">
        <v>1540</v>
      </c>
      <c r="AP166" s="342" t="s">
        <v>81</v>
      </c>
      <c r="AQ166" s="349" t="s">
        <v>748</v>
      </c>
      <c r="AR166" s="342" t="s">
        <v>83</v>
      </c>
      <c r="AS166" s="342" t="s">
        <v>84</v>
      </c>
      <c r="AT166" s="342" t="s">
        <v>45</v>
      </c>
      <c r="AU166" s="342"/>
      <c r="AV166" s="342"/>
      <c r="AW166" s="342"/>
      <c r="AX166" s="343" t="str">
        <f>IF(OR(Tableau3[[#This Row],[Option GTR]]&lt;&gt;"",Tableau3[[#This Row],[GTR spécifique]]&lt;&gt;""),"GTRS1","GTRS2")</f>
        <v>GTRS2</v>
      </c>
      <c r="AY166" s="342" t="s">
        <v>738</v>
      </c>
      <c r="AZ166" s="342"/>
      <c r="BA166" s="344" t="s">
        <v>1541</v>
      </c>
    </row>
    <row r="167" spans="1:53" s="326" customFormat="1" ht="18.149999999999999" customHeight="1" x14ac:dyDescent="0.3">
      <c r="A167" s="340" t="s">
        <v>53</v>
      </c>
      <c r="B167" s="340" t="s">
        <v>54</v>
      </c>
      <c r="C167" s="340" t="s">
        <v>932</v>
      </c>
      <c r="D167" s="340" t="s">
        <v>56</v>
      </c>
      <c r="E167" s="340" t="s">
        <v>57</v>
      </c>
      <c r="F167" s="340" t="s">
        <v>58</v>
      </c>
      <c r="G167" s="340" t="s">
        <v>59</v>
      </c>
      <c r="H167" s="340" t="s">
        <v>60</v>
      </c>
      <c r="I167" s="340" t="s">
        <v>61</v>
      </c>
      <c r="J167" s="340" t="s">
        <v>1542</v>
      </c>
      <c r="K167" s="340" t="s">
        <v>1543</v>
      </c>
      <c r="L167" s="345" t="str">
        <f>VLOOKUP(K167,'20260309 suivi sites'!F:F,1,0)</f>
        <v>47VILL011AOB</v>
      </c>
      <c r="M167" s="340" t="s">
        <v>64</v>
      </c>
      <c r="N167" s="340" t="s">
        <v>65</v>
      </c>
      <c r="O167" s="340" t="s">
        <v>64</v>
      </c>
      <c r="P167" s="341">
        <v>43977</v>
      </c>
      <c r="Q167" s="341">
        <v>45692</v>
      </c>
      <c r="R167" s="347" t="b">
        <f t="shared" si="5"/>
        <v>0</v>
      </c>
      <c r="S167" s="347" t="str">
        <f t="shared" si="4"/>
        <v>change</v>
      </c>
      <c r="T167" s="342" t="s">
        <v>61</v>
      </c>
      <c r="U167" s="342" t="s">
        <v>1544</v>
      </c>
      <c r="V167" s="342" t="s">
        <v>1545</v>
      </c>
      <c r="W167" s="342" t="s">
        <v>1546</v>
      </c>
      <c r="X167" s="342" t="s">
        <v>69</v>
      </c>
      <c r="Y167" s="349" t="s">
        <v>1547</v>
      </c>
      <c r="Z167" s="342" t="s">
        <v>71</v>
      </c>
      <c r="AA167" s="342" t="s">
        <v>218</v>
      </c>
      <c r="AB167" s="342" t="s">
        <v>152</v>
      </c>
      <c r="AC167" s="342" t="s">
        <v>74</v>
      </c>
      <c r="AD167" s="342"/>
      <c r="AE167" s="342" t="s">
        <v>1548</v>
      </c>
      <c r="AF167" s="349" t="s">
        <v>3775</v>
      </c>
      <c r="AG167" s="342" t="s">
        <v>74</v>
      </c>
      <c r="AH167" s="342" t="s">
        <v>76</v>
      </c>
      <c r="AI167" s="342" t="s">
        <v>74</v>
      </c>
      <c r="AJ167" s="342" t="s">
        <v>382</v>
      </c>
      <c r="AK167" s="342" t="s">
        <v>97</v>
      </c>
      <c r="AL167" s="342" t="s">
        <v>79</v>
      </c>
      <c r="AM167" s="342" t="s">
        <v>74</v>
      </c>
      <c r="AN167" s="342"/>
      <c r="AO167" s="342" t="s">
        <v>1549</v>
      </c>
      <c r="AP167" s="342" t="s">
        <v>81</v>
      </c>
      <c r="AQ167" s="349" t="s">
        <v>822</v>
      </c>
      <c r="AR167" s="342" t="s">
        <v>83</v>
      </c>
      <c r="AS167" s="342" t="s">
        <v>84</v>
      </c>
      <c r="AT167" s="342" t="s">
        <v>45</v>
      </c>
      <c r="AU167" s="342"/>
      <c r="AV167" s="342"/>
      <c r="AW167" s="342"/>
      <c r="AX167" s="343" t="str">
        <f>IF(OR(Tableau3[[#This Row],[Option GTR]]&lt;&gt;"",Tableau3[[#This Row],[GTR spécifique]]&lt;&gt;""),"GTRS1","GTRS2")</f>
        <v>GTRS2</v>
      </c>
      <c r="AY167" s="342" t="s">
        <v>355</v>
      </c>
      <c r="AZ167" s="342"/>
      <c r="BA167" s="342" t="s">
        <v>1550</v>
      </c>
    </row>
    <row r="168" spans="1:53" s="326" customFormat="1" ht="18.149999999999999" customHeight="1" x14ac:dyDescent="0.3">
      <c r="A168" s="340" t="s">
        <v>53</v>
      </c>
      <c r="B168" s="340" t="s">
        <v>54</v>
      </c>
      <c r="C168" s="340" t="s">
        <v>932</v>
      </c>
      <c r="D168" s="340" t="s">
        <v>56</v>
      </c>
      <c r="E168" s="340" t="s">
        <v>57</v>
      </c>
      <c r="F168" s="340" t="s">
        <v>58</v>
      </c>
      <c r="G168" s="340" t="s">
        <v>59</v>
      </c>
      <c r="H168" s="340" t="s">
        <v>60</v>
      </c>
      <c r="I168" s="340" t="s">
        <v>61</v>
      </c>
      <c r="J168" s="340" t="s">
        <v>1551</v>
      </c>
      <c r="K168" s="340" t="s">
        <v>1552</v>
      </c>
      <c r="L168" s="345" t="str">
        <f>VLOOKUP(K168,'20260309 suivi sites'!F:F,1,0)</f>
        <v>01BOUR011AOB</v>
      </c>
      <c r="M168" s="340" t="s">
        <v>64</v>
      </c>
      <c r="N168" s="340" t="s">
        <v>65</v>
      </c>
      <c r="O168" s="340" t="s">
        <v>64</v>
      </c>
      <c r="P168" s="341">
        <v>44068</v>
      </c>
      <c r="Q168" s="341">
        <v>45600</v>
      </c>
      <c r="R168" s="347" t="b">
        <f t="shared" si="5"/>
        <v>0</v>
      </c>
      <c r="S168" s="347" t="str">
        <f t="shared" si="4"/>
        <v>change</v>
      </c>
      <c r="T168" s="342" t="s">
        <v>61</v>
      </c>
      <c r="U168" s="342" t="s">
        <v>1553</v>
      </c>
      <c r="V168" s="342" t="s">
        <v>1554</v>
      </c>
      <c r="W168" s="342" t="s">
        <v>1555</v>
      </c>
      <c r="X168" s="342" t="s">
        <v>69</v>
      </c>
      <c r="Y168" s="349" t="s">
        <v>1556</v>
      </c>
      <c r="Z168" s="342" t="s">
        <v>71</v>
      </c>
      <c r="AA168" s="342" t="s">
        <v>218</v>
      </c>
      <c r="AB168" s="342" t="s">
        <v>152</v>
      </c>
      <c r="AC168" s="342" t="s">
        <v>74</v>
      </c>
      <c r="AD168" s="342"/>
      <c r="AE168" s="342" t="s">
        <v>1557</v>
      </c>
      <c r="AF168" s="349" t="s">
        <v>3767</v>
      </c>
      <c r="AG168" s="342" t="s">
        <v>74</v>
      </c>
      <c r="AH168" s="342" t="s">
        <v>76</v>
      </c>
      <c r="AI168" s="342" t="s">
        <v>74</v>
      </c>
      <c r="AJ168" s="342" t="s">
        <v>382</v>
      </c>
      <c r="AK168" s="342" t="s">
        <v>97</v>
      </c>
      <c r="AL168" s="342" t="s">
        <v>152</v>
      </c>
      <c r="AM168" s="342" t="s">
        <v>74</v>
      </c>
      <c r="AN168" s="342"/>
      <c r="AO168" s="342" t="s">
        <v>1558</v>
      </c>
      <c r="AP168" s="342" t="s">
        <v>81</v>
      </c>
      <c r="AQ168" s="349" t="s">
        <v>154</v>
      </c>
      <c r="AR168" s="342" t="s">
        <v>83</v>
      </c>
      <c r="AS168" s="342" t="s">
        <v>84</v>
      </c>
      <c r="AT168" s="342" t="s">
        <v>45</v>
      </c>
      <c r="AU168" s="342" t="s">
        <v>85</v>
      </c>
      <c r="AV168" s="342"/>
      <c r="AW168" s="342"/>
      <c r="AX168" s="343" t="str">
        <f>IF(OR(Tableau3[[#This Row],[Option GTR]]&lt;&gt;"",Tableau3[[#This Row],[GTR spécifique]]&lt;&gt;""),"GTRS1","GTRS2")</f>
        <v>GTRS2</v>
      </c>
      <c r="AY168" s="342" t="s">
        <v>481</v>
      </c>
      <c r="AZ168" s="342"/>
      <c r="BA168" s="342" t="s">
        <v>1559</v>
      </c>
    </row>
    <row r="169" spans="1:53" s="326" customFormat="1" ht="18.149999999999999" customHeight="1" x14ac:dyDescent="0.3">
      <c r="A169" s="340" t="s">
        <v>53</v>
      </c>
      <c r="B169" s="340" t="s">
        <v>54</v>
      </c>
      <c r="C169" s="340" t="s">
        <v>932</v>
      </c>
      <c r="D169" s="340" t="s">
        <v>56</v>
      </c>
      <c r="E169" s="340" t="s">
        <v>57</v>
      </c>
      <c r="F169" s="340" t="s">
        <v>58</v>
      </c>
      <c r="G169" s="340" t="s">
        <v>59</v>
      </c>
      <c r="H169" s="340" t="s">
        <v>60</v>
      </c>
      <c r="I169" s="340" t="s">
        <v>61</v>
      </c>
      <c r="J169" s="340" t="s">
        <v>1560</v>
      </c>
      <c r="K169" s="340" t="s">
        <v>1561</v>
      </c>
      <c r="L169" s="345" t="str">
        <f>VLOOKUP(K169,'20260309 suivi sites'!F:F,1,0)</f>
        <v>45FLEU011AOG</v>
      </c>
      <c r="M169" s="340" t="s">
        <v>64</v>
      </c>
      <c r="N169" s="340" t="s">
        <v>771</v>
      </c>
      <c r="O169" s="340" t="s">
        <v>64</v>
      </c>
      <c r="P169" s="341">
        <v>44109</v>
      </c>
      <c r="Q169" s="341">
        <v>44109</v>
      </c>
      <c r="R169" s="347" t="b">
        <f t="shared" si="5"/>
        <v>1</v>
      </c>
      <c r="S169" s="347" t="str">
        <f t="shared" si="4"/>
        <v>création</v>
      </c>
      <c r="T169" s="342" t="s">
        <v>89</v>
      </c>
      <c r="U169" s="342" t="s">
        <v>1562</v>
      </c>
      <c r="V169" s="342" t="s">
        <v>1563</v>
      </c>
      <c r="W169" s="342" t="s">
        <v>1564</v>
      </c>
      <c r="X169" s="342" t="s">
        <v>69</v>
      </c>
      <c r="Y169" s="349" t="s">
        <v>1565</v>
      </c>
      <c r="Z169" s="342" t="s">
        <v>71</v>
      </c>
      <c r="AA169" s="342" t="s">
        <v>72</v>
      </c>
      <c r="AB169" s="342" t="s">
        <v>73</v>
      </c>
      <c r="AC169" s="342" t="s">
        <v>74</v>
      </c>
      <c r="AD169" s="342"/>
      <c r="AE169" s="342" t="s">
        <v>1566</v>
      </c>
      <c r="AF169" s="349" t="s">
        <v>3771</v>
      </c>
      <c r="AG169" s="342" t="s">
        <v>74</v>
      </c>
      <c r="AH169" s="342" t="s">
        <v>76</v>
      </c>
      <c r="AI169" s="342" t="s">
        <v>76</v>
      </c>
      <c r="AJ169" s="342" t="s">
        <v>77</v>
      </c>
      <c r="AK169" s="342" t="s">
        <v>97</v>
      </c>
      <c r="AL169" s="342" t="s">
        <v>79</v>
      </c>
      <c r="AM169" s="342" t="s">
        <v>74</v>
      </c>
      <c r="AN169" s="342"/>
      <c r="AO169" s="342" t="s">
        <v>1567</v>
      </c>
      <c r="AP169" s="342" t="s">
        <v>81</v>
      </c>
      <c r="AQ169" s="349" t="s">
        <v>222</v>
      </c>
      <c r="AR169" s="342" t="s">
        <v>83</v>
      </c>
      <c r="AS169" s="342" t="s">
        <v>84</v>
      </c>
      <c r="AT169" s="342" t="s">
        <v>45</v>
      </c>
      <c r="AU169" s="342" t="s">
        <v>85</v>
      </c>
      <c r="AV169" s="342"/>
      <c r="AW169" s="342"/>
      <c r="AX169" s="343" t="str">
        <f>IF(OR(Tableau3[[#This Row],[Option GTR]]&lt;&gt;"",Tableau3[[#This Row],[GTR spécifique]]&lt;&gt;""),"GTRS1","GTRS2")</f>
        <v>GTRS2</v>
      </c>
      <c r="AY169" s="342" t="s">
        <v>86</v>
      </c>
      <c r="AZ169" s="342"/>
      <c r="BA169" s="344" t="s">
        <v>1568</v>
      </c>
    </row>
    <row r="170" spans="1:53" s="326" customFormat="1" ht="18.149999999999999" customHeight="1" x14ac:dyDescent="0.3">
      <c r="A170" s="340" t="s">
        <v>53</v>
      </c>
      <c r="B170" s="340" t="s">
        <v>54</v>
      </c>
      <c r="C170" s="340" t="s">
        <v>932</v>
      </c>
      <c r="D170" s="340" t="s">
        <v>56</v>
      </c>
      <c r="E170" s="340" t="s">
        <v>57</v>
      </c>
      <c r="F170" s="340" t="s">
        <v>58</v>
      </c>
      <c r="G170" s="340" t="s">
        <v>59</v>
      </c>
      <c r="H170" s="340" t="s">
        <v>60</v>
      </c>
      <c r="I170" s="340" t="s">
        <v>61</v>
      </c>
      <c r="J170" s="340" t="s">
        <v>1569</v>
      </c>
      <c r="K170" s="340" t="s">
        <v>1570</v>
      </c>
      <c r="L170" s="345" t="str">
        <f>VLOOKUP(K170,'20260309 suivi sites'!F:F,1,0)</f>
        <v>67STRA031AOG</v>
      </c>
      <c r="M170" s="340" t="s">
        <v>64</v>
      </c>
      <c r="N170" s="340" t="s">
        <v>65</v>
      </c>
      <c r="O170" s="340" t="s">
        <v>64</v>
      </c>
      <c r="P170" s="341">
        <v>44281</v>
      </c>
      <c r="Q170" s="341">
        <v>44281</v>
      </c>
      <c r="R170" s="347" t="b">
        <f t="shared" si="5"/>
        <v>1</v>
      </c>
      <c r="S170" s="347" t="str">
        <f t="shared" si="4"/>
        <v>création</v>
      </c>
      <c r="T170" s="342" t="s">
        <v>89</v>
      </c>
      <c r="U170" s="342" t="s">
        <v>1571</v>
      </c>
      <c r="V170" s="342" t="s">
        <v>1572</v>
      </c>
      <c r="W170" s="342" t="s">
        <v>1573</v>
      </c>
      <c r="X170" s="342" t="s">
        <v>69</v>
      </c>
      <c r="Y170" s="349" t="s">
        <v>1574</v>
      </c>
      <c r="Z170" s="342" t="s">
        <v>71</v>
      </c>
      <c r="AA170" s="342" t="s">
        <v>72</v>
      </c>
      <c r="AB170" s="342" t="s">
        <v>73</v>
      </c>
      <c r="AC170" s="342" t="s">
        <v>74</v>
      </c>
      <c r="AD170" s="342"/>
      <c r="AE170" s="342" t="s">
        <v>1575</v>
      </c>
      <c r="AF170" s="349" t="s">
        <v>3771</v>
      </c>
      <c r="AG170" s="342" t="s">
        <v>74</v>
      </c>
      <c r="AH170" s="342" t="s">
        <v>76</v>
      </c>
      <c r="AI170" s="342" t="s">
        <v>74</v>
      </c>
      <c r="AJ170" s="342" t="s">
        <v>77</v>
      </c>
      <c r="AK170" s="342" t="s">
        <v>97</v>
      </c>
      <c r="AL170" s="342" t="s">
        <v>79</v>
      </c>
      <c r="AM170" s="342" t="s">
        <v>74</v>
      </c>
      <c r="AN170" s="342"/>
      <c r="AO170" s="342" t="s">
        <v>1576</v>
      </c>
      <c r="AP170" s="342" t="s">
        <v>81</v>
      </c>
      <c r="AQ170" s="349" t="s">
        <v>222</v>
      </c>
      <c r="AR170" s="342" t="s">
        <v>83</v>
      </c>
      <c r="AS170" s="342" t="s">
        <v>84</v>
      </c>
      <c r="AT170" s="342" t="s">
        <v>45</v>
      </c>
      <c r="AU170" s="342" t="s">
        <v>85</v>
      </c>
      <c r="AV170" s="342" t="s">
        <v>120</v>
      </c>
      <c r="AW170" s="342"/>
      <c r="AX170" s="343" t="str">
        <f>IF(OR(Tableau3[[#This Row],[Option GTR]]&lt;&gt;"",Tableau3[[#This Row],[GTR spécifique]]&lt;&gt;""),"GTRS1","GTRS2")</f>
        <v>GTRS1</v>
      </c>
      <c r="AY170" s="342" t="s">
        <v>86</v>
      </c>
      <c r="AZ170" s="342"/>
      <c r="BA170" s="344" t="s">
        <v>1577</v>
      </c>
    </row>
    <row r="171" spans="1:53" s="326" customFormat="1" ht="18.149999999999999" customHeight="1" x14ac:dyDescent="0.3">
      <c r="A171" s="340" t="s">
        <v>53</v>
      </c>
      <c r="B171" s="340" t="s">
        <v>54</v>
      </c>
      <c r="C171" s="340" t="s">
        <v>932</v>
      </c>
      <c r="D171" s="340" t="s">
        <v>56</v>
      </c>
      <c r="E171" s="340" t="s">
        <v>57</v>
      </c>
      <c r="F171" s="340" t="s">
        <v>58</v>
      </c>
      <c r="G171" s="340" t="s">
        <v>59</v>
      </c>
      <c r="H171" s="340" t="s">
        <v>60</v>
      </c>
      <c r="I171" s="340" t="s">
        <v>61</v>
      </c>
      <c r="J171" s="340" t="s">
        <v>1578</v>
      </c>
      <c r="K171" s="340" t="s">
        <v>1579</v>
      </c>
      <c r="L171" s="345" t="str">
        <f>VLOOKUP(K171,'20260309 suivi sites'!F:F,1,0)</f>
        <v>97MIQU011AOB</v>
      </c>
      <c r="M171" s="340" t="s">
        <v>64</v>
      </c>
      <c r="N171" s="340" t="s">
        <v>65</v>
      </c>
      <c r="O171" s="340" t="s">
        <v>64</v>
      </c>
      <c r="P171" s="341">
        <v>44377</v>
      </c>
      <c r="Q171" s="341">
        <v>44477</v>
      </c>
      <c r="R171" s="347" t="b">
        <f t="shared" si="5"/>
        <v>0</v>
      </c>
      <c r="S171" s="347" t="str">
        <f t="shared" si="4"/>
        <v>change</v>
      </c>
      <c r="T171" s="342" t="s">
        <v>61</v>
      </c>
      <c r="U171" s="342" t="s">
        <v>1580</v>
      </c>
      <c r="V171" s="342" t="s">
        <v>1581</v>
      </c>
      <c r="W171" s="342" t="s">
        <v>1582</v>
      </c>
      <c r="X171" s="342" t="s">
        <v>1583</v>
      </c>
      <c r="Y171" s="349" t="s">
        <v>1584</v>
      </c>
      <c r="Z171" s="342" t="s">
        <v>1585</v>
      </c>
      <c r="AA171" s="342" t="s">
        <v>1586</v>
      </c>
      <c r="AB171" s="342" t="s">
        <v>1587</v>
      </c>
      <c r="AC171" s="342" t="s">
        <v>74</v>
      </c>
      <c r="AD171" s="342"/>
      <c r="AE171" s="342" t="s">
        <v>1588</v>
      </c>
      <c r="AF171" s="349" t="s">
        <v>1589</v>
      </c>
      <c r="AG171" s="342" t="s">
        <v>74</v>
      </c>
      <c r="AH171" s="342" t="s">
        <v>76</v>
      </c>
      <c r="AI171" s="342" t="s">
        <v>76</v>
      </c>
      <c r="AJ171" s="342"/>
      <c r="AK171" s="342" t="s">
        <v>97</v>
      </c>
      <c r="AL171" s="342" t="s">
        <v>152</v>
      </c>
      <c r="AM171" s="342"/>
      <c r="AN171" s="342"/>
      <c r="AO171" s="342"/>
      <c r="AP171" s="342"/>
      <c r="AQ171" s="349"/>
      <c r="AR171" s="342" t="s">
        <v>83</v>
      </c>
      <c r="AS171" s="342" t="s">
        <v>84</v>
      </c>
      <c r="AT171" s="342"/>
      <c r="AU171" s="342"/>
      <c r="AV171" s="342"/>
      <c r="AW171" s="342"/>
      <c r="AX171" s="343" t="str">
        <f>IF(OR(Tableau3[[#This Row],[Option GTR]]&lt;&gt;"",Tableau3[[#This Row],[GTR spécifique]]&lt;&gt;""),"GTRS1","GTRS2")</f>
        <v>GTRS2</v>
      </c>
      <c r="AY171" s="342" t="s">
        <v>1590</v>
      </c>
      <c r="AZ171" s="342"/>
      <c r="BA171" s="342" t="s">
        <v>1591</v>
      </c>
    </row>
    <row r="172" spans="1:53" s="326" customFormat="1" ht="18.149999999999999" customHeight="1" x14ac:dyDescent="0.3">
      <c r="A172" s="340" t="s">
        <v>53</v>
      </c>
      <c r="B172" s="340" t="s">
        <v>54</v>
      </c>
      <c r="C172" s="340" t="s">
        <v>932</v>
      </c>
      <c r="D172" s="340" t="s">
        <v>56</v>
      </c>
      <c r="E172" s="340" t="s">
        <v>57</v>
      </c>
      <c r="F172" s="340" t="s">
        <v>58</v>
      </c>
      <c r="G172" s="340" t="s">
        <v>59</v>
      </c>
      <c r="H172" s="340" t="s">
        <v>60</v>
      </c>
      <c r="I172" s="340" t="s">
        <v>61</v>
      </c>
      <c r="J172" s="340" t="s">
        <v>1592</v>
      </c>
      <c r="K172" s="340" t="s">
        <v>1593</v>
      </c>
      <c r="L172" s="345" t="str">
        <f>VLOOKUP(K172,'20260309 suivi sites'!F:F,1,0)</f>
        <v>97STPI011AOB</v>
      </c>
      <c r="M172" s="340" t="s">
        <v>64</v>
      </c>
      <c r="N172" s="340" t="s">
        <v>65</v>
      </c>
      <c r="O172" s="340" t="s">
        <v>64</v>
      </c>
      <c r="P172" s="341">
        <v>44377</v>
      </c>
      <c r="Q172" s="341">
        <v>44477</v>
      </c>
      <c r="R172" s="347" t="b">
        <f t="shared" si="5"/>
        <v>0</v>
      </c>
      <c r="S172" s="347" t="str">
        <f t="shared" si="4"/>
        <v>change</v>
      </c>
      <c r="T172" s="342" t="s">
        <v>61</v>
      </c>
      <c r="U172" s="342" t="s">
        <v>1594</v>
      </c>
      <c r="V172" s="342" t="s">
        <v>1581</v>
      </c>
      <c r="W172" s="342" t="s">
        <v>1582</v>
      </c>
      <c r="X172" s="342" t="s">
        <v>1583</v>
      </c>
      <c r="Y172" s="349" t="s">
        <v>1595</v>
      </c>
      <c r="Z172" s="342" t="s">
        <v>1585</v>
      </c>
      <c r="AA172" s="342" t="s">
        <v>1586</v>
      </c>
      <c r="AB172" s="342" t="s">
        <v>1587</v>
      </c>
      <c r="AC172" s="342" t="s">
        <v>74</v>
      </c>
      <c r="AD172" s="342"/>
      <c r="AE172" s="342" t="s">
        <v>1596</v>
      </c>
      <c r="AF172" s="349" t="s">
        <v>1589</v>
      </c>
      <c r="AG172" s="342" t="s">
        <v>74</v>
      </c>
      <c r="AH172" s="342" t="s">
        <v>76</v>
      </c>
      <c r="AI172" s="342" t="s">
        <v>76</v>
      </c>
      <c r="AJ172" s="342"/>
      <c r="AK172" s="342" t="s">
        <v>97</v>
      </c>
      <c r="AL172" s="342" t="s">
        <v>152</v>
      </c>
      <c r="AM172" s="342"/>
      <c r="AN172" s="342"/>
      <c r="AO172" s="342"/>
      <c r="AP172" s="342"/>
      <c r="AQ172" s="349"/>
      <c r="AR172" s="342" t="s">
        <v>83</v>
      </c>
      <c r="AS172" s="342" t="s">
        <v>84</v>
      </c>
      <c r="AT172" s="342"/>
      <c r="AU172" s="342"/>
      <c r="AV172" s="342"/>
      <c r="AW172" s="342"/>
      <c r="AX172" s="343" t="str">
        <f>IF(OR(Tableau3[[#This Row],[Option GTR]]&lt;&gt;"",Tableau3[[#This Row],[GTR spécifique]]&lt;&gt;""),"GTRS1","GTRS2")</f>
        <v>GTRS2</v>
      </c>
      <c r="AY172" s="342" t="s">
        <v>1590</v>
      </c>
      <c r="AZ172" s="342"/>
      <c r="BA172" s="342" t="s">
        <v>1591</v>
      </c>
    </row>
    <row r="173" spans="1:53" s="326" customFormat="1" ht="18.149999999999999" customHeight="1" x14ac:dyDescent="0.3">
      <c r="A173" s="340" t="s">
        <v>53</v>
      </c>
      <c r="B173" s="340" t="s">
        <v>54</v>
      </c>
      <c r="C173" s="340" t="s">
        <v>932</v>
      </c>
      <c r="D173" s="340" t="s">
        <v>56</v>
      </c>
      <c r="E173" s="340" t="s">
        <v>57</v>
      </c>
      <c r="F173" s="340" t="s">
        <v>58</v>
      </c>
      <c r="G173" s="340" t="s">
        <v>59</v>
      </c>
      <c r="H173" s="340" t="s">
        <v>60</v>
      </c>
      <c r="I173" s="340" t="s">
        <v>61</v>
      </c>
      <c r="J173" s="340" t="s">
        <v>1597</v>
      </c>
      <c r="K173" s="340" t="s">
        <v>1598</v>
      </c>
      <c r="L173" s="345" t="str">
        <f>VLOOKUP(K173,'20260309 suivi sites'!F:F,1,0)</f>
        <v>06STMA022AOB</v>
      </c>
      <c r="M173" s="340" t="s">
        <v>64</v>
      </c>
      <c r="N173" s="340" t="s">
        <v>65</v>
      </c>
      <c r="O173" s="340" t="s">
        <v>64</v>
      </c>
      <c r="P173" s="341">
        <v>44188</v>
      </c>
      <c r="Q173" s="341">
        <v>45819</v>
      </c>
      <c r="R173" s="347" t="b">
        <f t="shared" si="5"/>
        <v>0</v>
      </c>
      <c r="S173" s="347" t="str">
        <f t="shared" si="4"/>
        <v>change</v>
      </c>
      <c r="T173" s="342" t="s">
        <v>89</v>
      </c>
      <c r="U173" s="342" t="s">
        <v>1599</v>
      </c>
      <c r="V173" s="342" t="s">
        <v>1600</v>
      </c>
      <c r="W173" s="342" t="s">
        <v>1601</v>
      </c>
      <c r="X173" s="342" t="s">
        <v>69</v>
      </c>
      <c r="Y173" s="349" t="s">
        <v>1602</v>
      </c>
      <c r="Z173" s="342" t="s">
        <v>71</v>
      </c>
      <c r="AA173" s="342" t="s">
        <v>218</v>
      </c>
      <c r="AB173" s="342" t="s">
        <v>152</v>
      </c>
      <c r="AC173" s="342" t="s">
        <v>74</v>
      </c>
      <c r="AD173" s="342"/>
      <c r="AE173" s="342" t="s">
        <v>1603</v>
      </c>
      <c r="AF173" s="349" t="s">
        <v>3764</v>
      </c>
      <c r="AG173" s="342" t="s">
        <v>74</v>
      </c>
      <c r="AH173" s="342" t="s">
        <v>76</v>
      </c>
      <c r="AI173" s="342" t="s">
        <v>74</v>
      </c>
      <c r="AJ173" s="342" t="s">
        <v>77</v>
      </c>
      <c r="AK173" s="342" t="s">
        <v>97</v>
      </c>
      <c r="AL173" s="342" t="s">
        <v>79</v>
      </c>
      <c r="AM173" s="342" t="s">
        <v>74</v>
      </c>
      <c r="AN173" s="342"/>
      <c r="AO173" s="342" t="s">
        <v>1604</v>
      </c>
      <c r="AP173" s="342" t="s">
        <v>81</v>
      </c>
      <c r="AQ173" s="349" t="s">
        <v>99</v>
      </c>
      <c r="AR173" s="342" t="s">
        <v>83</v>
      </c>
      <c r="AS173" s="342" t="s">
        <v>84</v>
      </c>
      <c r="AT173" s="342" t="s">
        <v>45</v>
      </c>
      <c r="AU173" s="342" t="s">
        <v>85</v>
      </c>
      <c r="AV173" s="342"/>
      <c r="AW173" s="342"/>
      <c r="AX173" s="343" t="str">
        <f>IF(OR(Tableau3[[#This Row],[Option GTR]]&lt;&gt;"",Tableau3[[#This Row],[GTR spécifique]]&lt;&gt;""),"GTRS1","GTRS2")</f>
        <v>GTRS2</v>
      </c>
      <c r="AY173" s="342" t="s">
        <v>355</v>
      </c>
      <c r="AZ173" s="342"/>
      <c r="BA173" s="342" t="s">
        <v>1605</v>
      </c>
    </row>
    <row r="174" spans="1:53" s="326" customFormat="1" ht="18.149999999999999" customHeight="1" x14ac:dyDescent="0.3">
      <c r="A174" s="340" t="s">
        <v>53</v>
      </c>
      <c r="B174" s="340" t="s">
        <v>54</v>
      </c>
      <c r="C174" s="340" t="s">
        <v>932</v>
      </c>
      <c r="D174" s="340" t="s">
        <v>56</v>
      </c>
      <c r="E174" s="340" t="s">
        <v>57</v>
      </c>
      <c r="F174" s="340" t="s">
        <v>58</v>
      </c>
      <c r="G174" s="340" t="s">
        <v>59</v>
      </c>
      <c r="H174" s="340" t="s">
        <v>60</v>
      </c>
      <c r="I174" s="340" t="s">
        <v>61</v>
      </c>
      <c r="J174" s="340" t="s">
        <v>1606</v>
      </c>
      <c r="K174" s="340" t="s">
        <v>1607</v>
      </c>
      <c r="L174" s="345" t="str">
        <f>VLOOKUP(K174,'20260309 suivi sites'!F:F,1,0)</f>
        <v>92MONT032AOP</v>
      </c>
      <c r="M174" s="340" t="s">
        <v>64</v>
      </c>
      <c r="N174" s="340" t="s">
        <v>65</v>
      </c>
      <c r="O174" s="340" t="s">
        <v>104</v>
      </c>
      <c r="P174" s="341">
        <v>44351</v>
      </c>
      <c r="Q174" s="341"/>
      <c r="R174" s="347" t="b">
        <f t="shared" si="5"/>
        <v>0</v>
      </c>
      <c r="S174" s="347" t="str">
        <f t="shared" si="4"/>
        <v>change</v>
      </c>
      <c r="T174" s="342" t="s">
        <v>61</v>
      </c>
      <c r="U174" s="342" t="s">
        <v>1608</v>
      </c>
      <c r="V174" s="342" t="s">
        <v>1609</v>
      </c>
      <c r="W174" s="342" t="s">
        <v>1610</v>
      </c>
      <c r="X174" s="342" t="s">
        <v>69</v>
      </c>
      <c r="Y174" s="349" t="s">
        <v>1611</v>
      </c>
      <c r="Z174" s="342" t="s">
        <v>71</v>
      </c>
      <c r="AA174" s="342" t="s">
        <v>72</v>
      </c>
      <c r="AB174" s="342" t="s">
        <v>73</v>
      </c>
      <c r="AC174" s="342" t="s">
        <v>74</v>
      </c>
      <c r="AD174" s="342"/>
      <c r="AE174" s="342" t="s">
        <v>1612</v>
      </c>
      <c r="AF174" s="349" t="s">
        <v>3778</v>
      </c>
      <c r="AG174" s="342" t="s">
        <v>74</v>
      </c>
      <c r="AH174" s="342" t="s">
        <v>76</v>
      </c>
      <c r="AI174" s="342" t="s">
        <v>74</v>
      </c>
      <c r="AJ174" s="342" t="s">
        <v>77</v>
      </c>
      <c r="AK174" s="342" t="s">
        <v>78</v>
      </c>
      <c r="AL174" s="342" t="s">
        <v>79</v>
      </c>
      <c r="AM174" s="342" t="s">
        <v>166</v>
      </c>
      <c r="AN174" s="342" t="s">
        <v>1613</v>
      </c>
      <c r="AO174" s="342" t="s">
        <v>1614</v>
      </c>
      <c r="AP174" s="342" t="s">
        <v>81</v>
      </c>
      <c r="AQ174" s="349" t="s">
        <v>1615</v>
      </c>
      <c r="AR174" s="342" t="s">
        <v>83</v>
      </c>
      <c r="AS174" s="342" t="s">
        <v>84</v>
      </c>
      <c r="AT174" s="342" t="s">
        <v>45</v>
      </c>
      <c r="AU174" s="342" t="s">
        <v>85</v>
      </c>
      <c r="AV174" s="342" t="s">
        <v>170</v>
      </c>
      <c r="AW174" s="342"/>
      <c r="AX174" s="343" t="str">
        <f>IF(OR(Tableau3[[#This Row],[Option GTR]]&lt;&gt;"",Tableau3[[#This Row],[GTR spécifique]]&lt;&gt;""),"GTRS1","GTRS2")</f>
        <v>GTRS1</v>
      </c>
      <c r="AY174" s="342" t="s">
        <v>86</v>
      </c>
      <c r="AZ174" s="342"/>
      <c r="BA174" s="342" t="s">
        <v>1616</v>
      </c>
    </row>
    <row r="175" spans="1:53" s="326" customFormat="1" ht="18.149999999999999" customHeight="1" x14ac:dyDescent="0.3">
      <c r="A175" s="340" t="s">
        <v>53</v>
      </c>
      <c r="B175" s="340" t="s">
        <v>54</v>
      </c>
      <c r="C175" s="340" t="s">
        <v>932</v>
      </c>
      <c r="D175" s="340" t="s">
        <v>56</v>
      </c>
      <c r="E175" s="340" t="s">
        <v>57</v>
      </c>
      <c r="F175" s="340" t="s">
        <v>58</v>
      </c>
      <c r="G175" s="340" t="s">
        <v>59</v>
      </c>
      <c r="H175" s="340" t="s">
        <v>60</v>
      </c>
      <c r="I175" s="340" t="s">
        <v>61</v>
      </c>
      <c r="J175" s="340" t="s">
        <v>1617</v>
      </c>
      <c r="K175" s="340" t="s">
        <v>1618</v>
      </c>
      <c r="L175" s="345" t="str">
        <f>VLOOKUP(K175,'20260309 suivi sites'!F:F,1,0)</f>
        <v>13AIXE033AOG</v>
      </c>
      <c r="M175" s="340" t="s">
        <v>64</v>
      </c>
      <c r="N175" s="340" t="s">
        <v>65</v>
      </c>
      <c r="O175" s="340" t="s">
        <v>64</v>
      </c>
      <c r="P175" s="341">
        <v>44386</v>
      </c>
      <c r="Q175" s="341">
        <v>44386</v>
      </c>
      <c r="R175" s="347" t="b">
        <f t="shared" si="5"/>
        <v>1</v>
      </c>
      <c r="S175" s="347" t="str">
        <f t="shared" si="4"/>
        <v>création</v>
      </c>
      <c r="T175" s="342" t="s">
        <v>61</v>
      </c>
      <c r="U175" s="342" t="s">
        <v>1619</v>
      </c>
      <c r="V175" s="342" t="s">
        <v>1620</v>
      </c>
      <c r="W175" s="342" t="s">
        <v>1621</v>
      </c>
      <c r="X175" s="342" t="s">
        <v>69</v>
      </c>
      <c r="Y175" s="349" t="s">
        <v>1622</v>
      </c>
      <c r="Z175" s="342" t="s">
        <v>71</v>
      </c>
      <c r="AA175" s="342" t="s">
        <v>72</v>
      </c>
      <c r="AB175" s="342" t="s">
        <v>73</v>
      </c>
      <c r="AC175" s="342" t="s">
        <v>74</v>
      </c>
      <c r="AD175" s="342"/>
      <c r="AE175" s="342" t="s">
        <v>1623</v>
      </c>
      <c r="AF175" s="349" t="s">
        <v>3763</v>
      </c>
      <c r="AG175" s="342" t="s">
        <v>74</v>
      </c>
      <c r="AH175" s="342" t="s">
        <v>76</v>
      </c>
      <c r="AI175" s="342" t="s">
        <v>74</v>
      </c>
      <c r="AJ175" s="342" t="s">
        <v>77</v>
      </c>
      <c r="AK175" s="342" t="s">
        <v>78</v>
      </c>
      <c r="AL175" s="342" t="s">
        <v>79</v>
      </c>
      <c r="AM175" s="342" t="s">
        <v>74</v>
      </c>
      <c r="AN175" s="342"/>
      <c r="AO175" s="342" t="s">
        <v>1624</v>
      </c>
      <c r="AP175" s="342" t="s">
        <v>81</v>
      </c>
      <c r="AQ175" s="349" t="s">
        <v>82</v>
      </c>
      <c r="AR175" s="342" t="s">
        <v>83</v>
      </c>
      <c r="AS175" s="342" t="s">
        <v>84</v>
      </c>
      <c r="AT175" s="342" t="s">
        <v>45</v>
      </c>
      <c r="AU175" s="342" t="s">
        <v>85</v>
      </c>
      <c r="AV175" s="342"/>
      <c r="AW175" s="342"/>
      <c r="AX175" s="343" t="str">
        <f>IF(OR(Tableau3[[#This Row],[Option GTR]]&lt;&gt;"",Tableau3[[#This Row],[GTR spécifique]]&lt;&gt;""),"GTRS1","GTRS2")</f>
        <v>GTRS2</v>
      </c>
      <c r="AY175" s="342" t="s">
        <v>86</v>
      </c>
      <c r="AZ175" s="342"/>
      <c r="BA175" s="344" t="s">
        <v>1625</v>
      </c>
    </row>
    <row r="176" spans="1:53" s="326" customFormat="1" ht="18.149999999999999" customHeight="1" x14ac:dyDescent="0.3">
      <c r="A176" s="340" t="s">
        <v>53</v>
      </c>
      <c r="B176" s="340" t="s">
        <v>54</v>
      </c>
      <c r="C176" s="340" t="s">
        <v>932</v>
      </c>
      <c r="D176" s="340" t="s">
        <v>56</v>
      </c>
      <c r="E176" s="340" t="s">
        <v>57</v>
      </c>
      <c r="F176" s="340" t="s">
        <v>58</v>
      </c>
      <c r="G176" s="340" t="s">
        <v>59</v>
      </c>
      <c r="H176" s="340" t="s">
        <v>60</v>
      </c>
      <c r="I176" s="340" t="s">
        <v>61</v>
      </c>
      <c r="J176" s="340" t="s">
        <v>1626</v>
      </c>
      <c r="K176" s="340" t="s">
        <v>1627</v>
      </c>
      <c r="L176" s="345" t="str">
        <f>VLOOKUP(K176,'20260309 suivi sites'!F:F,1,0)</f>
        <v>69LYON041AOP</v>
      </c>
      <c r="M176" s="340" t="s">
        <v>64</v>
      </c>
      <c r="N176" s="340" t="s">
        <v>65</v>
      </c>
      <c r="O176" s="340" t="s">
        <v>64</v>
      </c>
      <c r="P176" s="341">
        <v>44557</v>
      </c>
      <c r="Q176" s="341">
        <v>45462</v>
      </c>
      <c r="R176" s="347" t="b">
        <f t="shared" si="5"/>
        <v>0</v>
      </c>
      <c r="S176" s="347" t="str">
        <f t="shared" si="4"/>
        <v>change</v>
      </c>
      <c r="T176" s="342" t="s">
        <v>61</v>
      </c>
      <c r="U176" s="342" t="s">
        <v>1628</v>
      </c>
      <c r="V176" s="342" t="s">
        <v>1629</v>
      </c>
      <c r="W176" s="342" t="s">
        <v>1308</v>
      </c>
      <c r="X176" s="342" t="s">
        <v>69</v>
      </c>
      <c r="Y176" s="349" t="s">
        <v>1630</v>
      </c>
      <c r="Z176" s="342" t="s">
        <v>71</v>
      </c>
      <c r="AA176" s="342" t="s">
        <v>72</v>
      </c>
      <c r="AB176" s="342" t="s">
        <v>73</v>
      </c>
      <c r="AC176" s="342" t="s">
        <v>74</v>
      </c>
      <c r="AD176" s="342"/>
      <c r="AE176" s="342" t="s">
        <v>1631</v>
      </c>
      <c r="AF176" s="349" t="s">
        <v>3779</v>
      </c>
      <c r="AG176" s="342" t="s">
        <v>74</v>
      </c>
      <c r="AH176" s="342" t="s">
        <v>76</v>
      </c>
      <c r="AI176" s="342" t="s">
        <v>74</v>
      </c>
      <c r="AJ176" s="342" t="s">
        <v>77</v>
      </c>
      <c r="AK176" s="342" t="s">
        <v>78</v>
      </c>
      <c r="AL176" s="342" t="s">
        <v>79</v>
      </c>
      <c r="AM176" s="342" t="s">
        <v>74</v>
      </c>
      <c r="AN176" s="342" t="s">
        <v>1632</v>
      </c>
      <c r="AO176" s="342" t="s">
        <v>1633</v>
      </c>
      <c r="AP176" s="342" t="s">
        <v>81</v>
      </c>
      <c r="AQ176" s="349" t="s">
        <v>1634</v>
      </c>
      <c r="AR176" s="342" t="s">
        <v>83</v>
      </c>
      <c r="AS176" s="342" t="s">
        <v>290</v>
      </c>
      <c r="AT176" s="342" t="s">
        <v>45</v>
      </c>
      <c r="AU176" s="342" t="s">
        <v>85</v>
      </c>
      <c r="AV176" s="342"/>
      <c r="AW176" s="342"/>
      <c r="AX176" s="343" t="str">
        <f>IF(OR(Tableau3[[#This Row],[Option GTR]]&lt;&gt;"",Tableau3[[#This Row],[GTR spécifique]]&lt;&gt;""),"GTRS1","GTRS2")</f>
        <v>GTRS2</v>
      </c>
      <c r="AY176" s="342" t="s">
        <v>86</v>
      </c>
      <c r="AZ176" s="342"/>
      <c r="BA176" s="342" t="s">
        <v>291</v>
      </c>
    </row>
    <row r="177" spans="1:53" s="326" customFormat="1" ht="18.149999999999999" customHeight="1" x14ac:dyDescent="0.3">
      <c r="A177" s="340" t="s">
        <v>53</v>
      </c>
      <c r="B177" s="340" t="s">
        <v>54</v>
      </c>
      <c r="C177" s="340" t="s">
        <v>932</v>
      </c>
      <c r="D177" s="340" t="s">
        <v>56</v>
      </c>
      <c r="E177" s="340" t="s">
        <v>57</v>
      </c>
      <c r="F177" s="340" t="s">
        <v>58</v>
      </c>
      <c r="G177" s="340" t="s">
        <v>59</v>
      </c>
      <c r="H177" s="340" t="s">
        <v>60</v>
      </c>
      <c r="I177" s="340" t="s">
        <v>61</v>
      </c>
      <c r="J177" s="340" t="s">
        <v>1635</v>
      </c>
      <c r="K177" s="340" t="s">
        <v>1636</v>
      </c>
      <c r="L177" s="345" t="str">
        <f>VLOOKUP(K177,'20260309 suivi sites'!F:F,1,0)</f>
        <v>38CHAT011AOB</v>
      </c>
      <c r="M177" s="340" t="s">
        <v>64</v>
      </c>
      <c r="N177" s="340" t="s">
        <v>65</v>
      </c>
      <c r="O177" s="340" t="s">
        <v>64</v>
      </c>
      <c r="P177" s="341">
        <v>44691</v>
      </c>
      <c r="Q177" s="341">
        <v>44691</v>
      </c>
      <c r="R177" s="347" t="b">
        <f t="shared" si="5"/>
        <v>1</v>
      </c>
      <c r="S177" s="347" t="str">
        <f t="shared" si="4"/>
        <v>création</v>
      </c>
      <c r="T177" s="342" t="s">
        <v>61</v>
      </c>
      <c r="U177" s="342" t="s">
        <v>1637</v>
      </c>
      <c r="V177" s="342" t="s">
        <v>1638</v>
      </c>
      <c r="W177" s="342" t="s">
        <v>1639</v>
      </c>
      <c r="X177" s="342" t="s">
        <v>69</v>
      </c>
      <c r="Y177" s="349" t="s">
        <v>1640</v>
      </c>
      <c r="Z177" s="342" t="s">
        <v>71</v>
      </c>
      <c r="AA177" s="342" t="s">
        <v>218</v>
      </c>
      <c r="AB177" s="342" t="s">
        <v>152</v>
      </c>
      <c r="AC177" s="342" t="s">
        <v>74</v>
      </c>
      <c r="AD177" s="342"/>
      <c r="AE177" s="342" t="s">
        <v>1641</v>
      </c>
      <c r="AF177" s="349" t="s">
        <v>3766</v>
      </c>
      <c r="AG177" s="342" t="s">
        <v>74</v>
      </c>
      <c r="AH177" s="342" t="s">
        <v>76</v>
      </c>
      <c r="AI177" s="342" t="s">
        <v>74</v>
      </c>
      <c r="AJ177" s="342" t="s">
        <v>382</v>
      </c>
      <c r="AK177" s="342" t="s">
        <v>97</v>
      </c>
      <c r="AL177" s="342" t="s">
        <v>79</v>
      </c>
      <c r="AM177" s="342" t="s">
        <v>74</v>
      </c>
      <c r="AN177" s="342"/>
      <c r="AO177" s="342" t="s">
        <v>1642</v>
      </c>
      <c r="AP177" s="342" t="s">
        <v>81</v>
      </c>
      <c r="AQ177" s="349" t="s">
        <v>130</v>
      </c>
      <c r="AR177" s="342" t="s">
        <v>83</v>
      </c>
      <c r="AS177" s="342" t="s">
        <v>84</v>
      </c>
      <c r="AT177" s="342" t="s">
        <v>45</v>
      </c>
      <c r="AU177" s="342" t="s">
        <v>85</v>
      </c>
      <c r="AV177" s="342"/>
      <c r="AW177" s="342"/>
      <c r="AX177" s="343" t="str">
        <f>IF(OR(Tableau3[[#This Row],[Option GTR]]&lt;&gt;"",Tableau3[[#This Row],[GTR spécifique]]&lt;&gt;""),"GTRS1","GTRS2")</f>
        <v>GTRS2</v>
      </c>
      <c r="AY177" s="342" t="s">
        <v>355</v>
      </c>
      <c r="AZ177" s="342"/>
      <c r="BA177" s="342" t="s">
        <v>1643</v>
      </c>
    </row>
    <row r="178" spans="1:53" s="326" customFormat="1" ht="18.149999999999999" customHeight="1" x14ac:dyDescent="0.3">
      <c r="A178" s="340" t="s">
        <v>53</v>
      </c>
      <c r="B178" s="340" t="s">
        <v>54</v>
      </c>
      <c r="C178" s="340" t="s">
        <v>932</v>
      </c>
      <c r="D178" s="340" t="s">
        <v>56</v>
      </c>
      <c r="E178" s="340" t="s">
        <v>57</v>
      </c>
      <c r="F178" s="340" t="s">
        <v>58</v>
      </c>
      <c r="G178" s="340" t="s">
        <v>59</v>
      </c>
      <c r="H178" s="340" t="s">
        <v>60</v>
      </c>
      <c r="I178" s="340" t="s">
        <v>61</v>
      </c>
      <c r="J178" s="340" t="s">
        <v>1644</v>
      </c>
      <c r="K178" s="340" t="s">
        <v>1645</v>
      </c>
      <c r="L178" s="345" t="str">
        <f>VLOOKUP(K178,'20260309 suivi sites'!F:F,1,0)</f>
        <v>37BEAU031AOS</v>
      </c>
      <c r="M178" s="340" t="s">
        <v>64</v>
      </c>
      <c r="N178" s="340" t="s">
        <v>1646</v>
      </c>
      <c r="O178" s="340" t="s">
        <v>64</v>
      </c>
      <c r="P178" s="341">
        <v>44490</v>
      </c>
      <c r="Q178" s="341">
        <v>45595</v>
      </c>
      <c r="R178" s="347" t="b">
        <f t="shared" si="5"/>
        <v>0</v>
      </c>
      <c r="S178" s="347" t="str">
        <f t="shared" si="4"/>
        <v>change</v>
      </c>
      <c r="T178" s="342" t="s">
        <v>61</v>
      </c>
      <c r="U178" s="342" t="s">
        <v>1647</v>
      </c>
      <c r="V178" s="342" t="s">
        <v>1648</v>
      </c>
      <c r="W178" s="342" t="s">
        <v>1649</v>
      </c>
      <c r="X178" s="342" t="s">
        <v>69</v>
      </c>
      <c r="Y178" s="349" t="s">
        <v>1650</v>
      </c>
      <c r="Z178" s="342" t="s">
        <v>71</v>
      </c>
      <c r="AA178" s="342" t="s">
        <v>72</v>
      </c>
      <c r="AB178" s="342" t="s">
        <v>73</v>
      </c>
      <c r="AC178" s="342" t="s">
        <v>74</v>
      </c>
      <c r="AD178" s="342"/>
      <c r="AE178" s="342" t="s">
        <v>1651</v>
      </c>
      <c r="AF178" s="349" t="s">
        <v>3769</v>
      </c>
      <c r="AG178" s="342" t="s">
        <v>74</v>
      </c>
      <c r="AH178" s="342" t="s">
        <v>76</v>
      </c>
      <c r="AI178" s="342" t="s">
        <v>74</v>
      </c>
      <c r="AJ178" s="342" t="s">
        <v>77</v>
      </c>
      <c r="AK178" s="342" t="s">
        <v>1652</v>
      </c>
      <c r="AL178" s="342" t="s">
        <v>79</v>
      </c>
      <c r="AM178" s="342" t="s">
        <v>74</v>
      </c>
      <c r="AN178" s="342"/>
      <c r="AO178" s="342" t="s">
        <v>1653</v>
      </c>
      <c r="AP178" s="342" t="s">
        <v>81</v>
      </c>
      <c r="AQ178" s="349" t="s">
        <v>200</v>
      </c>
      <c r="AR178" s="342" t="s">
        <v>83</v>
      </c>
      <c r="AS178" s="342" t="s">
        <v>84</v>
      </c>
      <c r="AT178" s="342" t="s">
        <v>45</v>
      </c>
      <c r="AU178" s="342" t="s">
        <v>85</v>
      </c>
      <c r="AV178" s="342"/>
      <c r="AW178" s="342"/>
      <c r="AX178" s="343" t="str">
        <f>IF(OR(Tableau3[[#This Row],[Option GTR]]&lt;&gt;"",Tableau3[[#This Row],[GTR spécifique]]&lt;&gt;""),"GTRS1","GTRS2")</f>
        <v>GTRS2</v>
      </c>
      <c r="AY178" s="342" t="s">
        <v>143</v>
      </c>
      <c r="AZ178" s="342" t="s">
        <v>1654</v>
      </c>
      <c r="BA178" s="342"/>
    </row>
    <row r="179" spans="1:53" s="326" customFormat="1" ht="18.149999999999999" customHeight="1" x14ac:dyDescent="0.3">
      <c r="A179" s="340" t="s">
        <v>53</v>
      </c>
      <c r="B179" s="340" t="s">
        <v>54</v>
      </c>
      <c r="C179" s="340" t="s">
        <v>932</v>
      </c>
      <c r="D179" s="340" t="s">
        <v>56</v>
      </c>
      <c r="E179" s="340" t="s">
        <v>57</v>
      </c>
      <c r="F179" s="340" t="s">
        <v>58</v>
      </c>
      <c r="G179" s="340" t="s">
        <v>59</v>
      </c>
      <c r="H179" s="340" t="s">
        <v>60</v>
      </c>
      <c r="I179" s="340" t="s">
        <v>61</v>
      </c>
      <c r="J179" s="340" t="s">
        <v>1655</v>
      </c>
      <c r="K179" s="340" t="s">
        <v>1656</v>
      </c>
      <c r="L179" s="345" t="str">
        <f>VLOOKUP(K179,'20260309 suivi sites'!F:F,1,0)</f>
        <v>38LEPE011AOB</v>
      </c>
      <c r="M179" s="340" t="s">
        <v>64</v>
      </c>
      <c r="N179" s="340" t="s">
        <v>65</v>
      </c>
      <c r="O179" s="340" t="s">
        <v>64</v>
      </c>
      <c r="P179" s="341">
        <v>44830</v>
      </c>
      <c r="Q179" s="341">
        <v>44830</v>
      </c>
      <c r="R179" s="347" t="b">
        <f t="shared" si="5"/>
        <v>1</v>
      </c>
      <c r="S179" s="347" t="str">
        <f t="shared" si="4"/>
        <v>création</v>
      </c>
      <c r="T179" s="342" t="s">
        <v>89</v>
      </c>
      <c r="U179" s="342" t="s">
        <v>1657</v>
      </c>
      <c r="V179" s="342" t="s">
        <v>1658</v>
      </c>
      <c r="W179" s="342" t="s">
        <v>1659</v>
      </c>
      <c r="X179" s="342" t="s">
        <v>69</v>
      </c>
      <c r="Y179" s="349" t="s">
        <v>1660</v>
      </c>
      <c r="Z179" s="342" t="s">
        <v>71</v>
      </c>
      <c r="AA179" s="342" t="s">
        <v>218</v>
      </c>
      <c r="AB179" s="342" t="s">
        <v>152</v>
      </c>
      <c r="AC179" s="342" t="s">
        <v>74</v>
      </c>
      <c r="AD179" s="342"/>
      <c r="AE179" s="342" t="s">
        <v>1661</v>
      </c>
      <c r="AF179" s="349" t="s">
        <v>3775</v>
      </c>
      <c r="AG179" s="342" t="s">
        <v>74</v>
      </c>
      <c r="AH179" s="342" t="s">
        <v>76</v>
      </c>
      <c r="AI179" s="342" t="s">
        <v>74</v>
      </c>
      <c r="AJ179" s="342" t="s">
        <v>382</v>
      </c>
      <c r="AK179" s="342" t="s">
        <v>97</v>
      </c>
      <c r="AL179" s="342" t="s">
        <v>79</v>
      </c>
      <c r="AM179" s="342" t="s">
        <v>74</v>
      </c>
      <c r="AN179" s="342"/>
      <c r="AO179" s="342" t="s">
        <v>1662</v>
      </c>
      <c r="AP179" s="342" t="s">
        <v>81</v>
      </c>
      <c r="AQ179" s="349" t="s">
        <v>822</v>
      </c>
      <c r="AR179" s="342" t="s">
        <v>83</v>
      </c>
      <c r="AS179" s="342" t="s">
        <v>84</v>
      </c>
      <c r="AT179" s="342" t="s">
        <v>45</v>
      </c>
      <c r="AU179" s="342" t="s">
        <v>85</v>
      </c>
      <c r="AV179" s="342"/>
      <c r="AW179" s="342"/>
      <c r="AX179" s="343" t="str">
        <f>IF(OR(Tableau3[[#This Row],[Option GTR]]&lt;&gt;"",Tableau3[[#This Row],[GTR spécifique]]&lt;&gt;""),"GTRS1","GTRS2")</f>
        <v>GTRS2</v>
      </c>
      <c r="AY179" s="342" t="s">
        <v>355</v>
      </c>
      <c r="AZ179" s="342"/>
      <c r="BA179" s="342" t="s">
        <v>1663</v>
      </c>
    </row>
    <row r="180" spans="1:53" s="326" customFormat="1" ht="18.149999999999999" customHeight="1" x14ac:dyDescent="0.3">
      <c r="A180" s="340" t="s">
        <v>53</v>
      </c>
      <c r="B180" s="340" t="s">
        <v>54</v>
      </c>
      <c r="C180" s="340" t="s">
        <v>932</v>
      </c>
      <c r="D180" s="340" t="s">
        <v>56</v>
      </c>
      <c r="E180" s="340" t="s">
        <v>57</v>
      </c>
      <c r="F180" s="340" t="s">
        <v>58</v>
      </c>
      <c r="G180" s="340" t="s">
        <v>59</v>
      </c>
      <c r="H180" s="340" t="s">
        <v>60</v>
      </c>
      <c r="I180" s="340" t="s">
        <v>61</v>
      </c>
      <c r="J180" s="340" t="s">
        <v>1664</v>
      </c>
      <c r="K180" s="340" t="s">
        <v>1665</v>
      </c>
      <c r="L180" s="345" t="str">
        <f>VLOOKUP(K180,'20260309 suivi sites'!F:F,1,0)</f>
        <v>29ILED011AOB</v>
      </c>
      <c r="M180" s="340" t="s">
        <v>64</v>
      </c>
      <c r="N180" s="340" t="s">
        <v>65</v>
      </c>
      <c r="O180" s="340" t="s">
        <v>64</v>
      </c>
      <c r="P180" s="341">
        <v>44691</v>
      </c>
      <c r="Q180" s="341">
        <v>44691</v>
      </c>
      <c r="R180" s="347" t="b">
        <f t="shared" si="5"/>
        <v>1</v>
      </c>
      <c r="S180" s="347" t="str">
        <f t="shared" si="4"/>
        <v>création</v>
      </c>
      <c r="T180" s="342" t="s">
        <v>61</v>
      </c>
      <c r="U180" s="342" t="s">
        <v>1666</v>
      </c>
      <c r="V180" s="342" t="s">
        <v>1667</v>
      </c>
      <c r="W180" s="342" t="s">
        <v>1668</v>
      </c>
      <c r="X180" s="342" t="s">
        <v>69</v>
      </c>
      <c r="Y180" s="349" t="s">
        <v>1669</v>
      </c>
      <c r="Z180" s="342" t="s">
        <v>71</v>
      </c>
      <c r="AA180" s="342" t="s">
        <v>218</v>
      </c>
      <c r="AB180" s="342" t="s">
        <v>152</v>
      </c>
      <c r="AC180" s="342" t="s">
        <v>74</v>
      </c>
      <c r="AD180" s="342"/>
      <c r="AE180" s="342" t="s">
        <v>1670</v>
      </c>
      <c r="AF180" s="349" t="s">
        <v>3775</v>
      </c>
      <c r="AG180" s="342" t="s">
        <v>74</v>
      </c>
      <c r="AH180" s="342" t="s">
        <v>76</v>
      </c>
      <c r="AI180" s="342" t="s">
        <v>74</v>
      </c>
      <c r="AJ180" s="342" t="s">
        <v>77</v>
      </c>
      <c r="AK180" s="342" t="s">
        <v>97</v>
      </c>
      <c r="AL180" s="342" t="s">
        <v>79</v>
      </c>
      <c r="AM180" s="342" t="s">
        <v>74</v>
      </c>
      <c r="AN180" s="342"/>
      <c r="AO180" s="342" t="s">
        <v>1671</v>
      </c>
      <c r="AP180" s="342" t="s">
        <v>81</v>
      </c>
      <c r="AQ180" s="349" t="s">
        <v>509</v>
      </c>
      <c r="AR180" s="342" t="s">
        <v>83</v>
      </c>
      <c r="AS180" s="342" t="s">
        <v>84</v>
      </c>
      <c r="AT180" s="342" t="s">
        <v>45</v>
      </c>
      <c r="AU180" s="342" t="s">
        <v>85</v>
      </c>
      <c r="AV180" s="342"/>
      <c r="AW180" s="342"/>
      <c r="AX180" s="343" t="str">
        <f>IF(OR(Tableau3[[#This Row],[Option GTR]]&lt;&gt;"",Tableau3[[#This Row],[GTR spécifique]]&lt;&gt;""),"GTRS1","GTRS2")</f>
        <v>GTRS2</v>
      </c>
      <c r="AY180" s="342" t="s">
        <v>738</v>
      </c>
      <c r="AZ180" s="342"/>
      <c r="BA180" s="342" t="s">
        <v>1672</v>
      </c>
    </row>
    <row r="181" spans="1:53" s="326" customFormat="1" ht="18.149999999999999" customHeight="1" x14ac:dyDescent="0.3">
      <c r="A181" s="340" t="s">
        <v>53</v>
      </c>
      <c r="B181" s="340" t="s">
        <v>54</v>
      </c>
      <c r="C181" s="340" t="s">
        <v>932</v>
      </c>
      <c r="D181" s="340" t="s">
        <v>56</v>
      </c>
      <c r="E181" s="340" t="s">
        <v>57</v>
      </c>
      <c r="F181" s="340" t="s">
        <v>58</v>
      </c>
      <c r="G181" s="340" t="s">
        <v>59</v>
      </c>
      <c r="H181" s="340" t="s">
        <v>60</v>
      </c>
      <c r="I181" s="340" t="s">
        <v>61</v>
      </c>
      <c r="J181" s="340" t="s">
        <v>1673</v>
      </c>
      <c r="K181" s="340" t="s">
        <v>1674</v>
      </c>
      <c r="L181" s="345" t="str">
        <f>VLOOKUP(K181,'20260309 suivi sites'!F:F,1,0)</f>
        <v>69LYON051AOP</v>
      </c>
      <c r="M181" s="340" t="s">
        <v>64</v>
      </c>
      <c r="N181" s="340" t="s">
        <v>65</v>
      </c>
      <c r="O181" s="340" t="s">
        <v>64</v>
      </c>
      <c r="P181" s="341">
        <v>44802</v>
      </c>
      <c r="Q181" s="341">
        <v>45177</v>
      </c>
      <c r="R181" s="347" t="b">
        <f t="shared" si="5"/>
        <v>0</v>
      </c>
      <c r="S181" s="347" t="str">
        <f t="shared" si="4"/>
        <v>change</v>
      </c>
      <c r="T181" s="342" t="s">
        <v>61</v>
      </c>
      <c r="U181" s="342" t="s">
        <v>1675</v>
      </c>
      <c r="V181" s="342" t="s">
        <v>1629</v>
      </c>
      <c r="W181" s="342" t="s">
        <v>1308</v>
      </c>
      <c r="X181" s="342" t="s">
        <v>69</v>
      </c>
      <c r="Y181" s="349" t="s">
        <v>1676</v>
      </c>
      <c r="Z181" s="342" t="s">
        <v>71</v>
      </c>
      <c r="AA181" s="342" t="s">
        <v>72</v>
      </c>
      <c r="AB181" s="342" t="s">
        <v>73</v>
      </c>
      <c r="AC181" s="342" t="s">
        <v>74</v>
      </c>
      <c r="AD181" s="342"/>
      <c r="AE181" s="342" t="s">
        <v>1677</v>
      </c>
      <c r="AF181" s="349" t="s">
        <v>3780</v>
      </c>
      <c r="AG181" s="342" t="s">
        <v>74</v>
      </c>
      <c r="AH181" s="342" t="s">
        <v>76</v>
      </c>
      <c r="AI181" s="342" t="s">
        <v>74</v>
      </c>
      <c r="AJ181" s="342" t="s">
        <v>77</v>
      </c>
      <c r="AK181" s="342" t="s">
        <v>78</v>
      </c>
      <c r="AL181" s="342" t="s">
        <v>79</v>
      </c>
      <c r="AM181" s="342" t="s">
        <v>166</v>
      </c>
      <c r="AN181" s="342" t="s">
        <v>1678</v>
      </c>
      <c r="AO181" s="342" t="s">
        <v>1679</v>
      </c>
      <c r="AP181" s="342" t="s">
        <v>81</v>
      </c>
      <c r="AQ181" s="349" t="s">
        <v>1680</v>
      </c>
      <c r="AR181" s="342" t="s">
        <v>83</v>
      </c>
      <c r="AS181" s="342" t="s">
        <v>84</v>
      </c>
      <c r="AT181" s="342" t="s">
        <v>45</v>
      </c>
      <c r="AU181" s="342" t="s">
        <v>85</v>
      </c>
      <c r="AV181" s="342"/>
      <c r="AW181" s="342"/>
      <c r="AX181" s="343" t="str">
        <f>IF(OR(Tableau3[[#This Row],[Option GTR]]&lt;&gt;"",Tableau3[[#This Row],[GTR spécifique]]&lt;&gt;""),"GTRS1","GTRS2")</f>
        <v>GTRS2</v>
      </c>
      <c r="AY181" s="342" t="s">
        <v>86</v>
      </c>
      <c r="AZ181" s="342"/>
      <c r="BA181" s="342" t="s">
        <v>1681</v>
      </c>
    </row>
    <row r="182" spans="1:53" s="326" customFormat="1" ht="18.149999999999999" customHeight="1" x14ac:dyDescent="0.3">
      <c r="A182" s="340" t="s">
        <v>53</v>
      </c>
      <c r="B182" s="340" t="s">
        <v>54</v>
      </c>
      <c r="C182" s="340" t="s">
        <v>932</v>
      </c>
      <c r="D182" s="340" t="s">
        <v>56</v>
      </c>
      <c r="E182" s="340" t="s">
        <v>57</v>
      </c>
      <c r="F182" s="340" t="s">
        <v>58</v>
      </c>
      <c r="G182" s="340" t="s">
        <v>59</v>
      </c>
      <c r="H182" s="340" t="s">
        <v>60</v>
      </c>
      <c r="I182" s="340" t="s">
        <v>61</v>
      </c>
      <c r="J182" s="340" t="s">
        <v>1682</v>
      </c>
      <c r="K182" s="340" t="s">
        <v>1683</v>
      </c>
      <c r="L182" s="345" t="str">
        <f>VLOOKUP(K182,'20260309 suivi sites'!F:F,1,0)</f>
        <v>76PENL011AOP</v>
      </c>
      <c r="M182" s="340" t="s">
        <v>64</v>
      </c>
      <c r="N182" s="340" t="s">
        <v>65</v>
      </c>
      <c r="O182" s="340" t="s">
        <v>64</v>
      </c>
      <c r="P182" s="341">
        <v>45205</v>
      </c>
      <c r="Q182" s="341">
        <v>45995</v>
      </c>
      <c r="R182" s="347" t="b">
        <f t="shared" si="5"/>
        <v>0</v>
      </c>
      <c r="S182" s="347" t="str">
        <f t="shared" si="4"/>
        <v>change</v>
      </c>
      <c r="T182" s="342" t="s">
        <v>56</v>
      </c>
      <c r="U182" s="342" t="s">
        <v>1684</v>
      </c>
      <c r="V182" s="342" t="s">
        <v>1685</v>
      </c>
      <c r="W182" s="342" t="s">
        <v>1686</v>
      </c>
      <c r="X182" s="342" t="s">
        <v>69</v>
      </c>
      <c r="Y182" s="349" t="s">
        <v>1687</v>
      </c>
      <c r="Z182" s="342" t="s">
        <v>71</v>
      </c>
      <c r="AA182" s="342" t="s">
        <v>72</v>
      </c>
      <c r="AB182" s="342" t="s">
        <v>73</v>
      </c>
      <c r="AC182" s="342" t="s">
        <v>74</v>
      </c>
      <c r="AD182" s="342"/>
      <c r="AE182" s="342" t="s">
        <v>1688</v>
      </c>
      <c r="AF182" s="349" t="s">
        <v>3781</v>
      </c>
      <c r="AG182" s="342" t="s">
        <v>74</v>
      </c>
      <c r="AH182" s="342" t="s">
        <v>76</v>
      </c>
      <c r="AI182" s="342" t="s">
        <v>74</v>
      </c>
      <c r="AJ182" s="342" t="s">
        <v>77</v>
      </c>
      <c r="AK182" s="342" t="s">
        <v>78</v>
      </c>
      <c r="AL182" s="342" t="s">
        <v>79</v>
      </c>
      <c r="AM182" s="342" t="s">
        <v>166</v>
      </c>
      <c r="AN182" s="342" t="s">
        <v>1689</v>
      </c>
      <c r="AO182" s="342" t="s">
        <v>1690</v>
      </c>
      <c r="AP182" s="342" t="s">
        <v>81</v>
      </c>
      <c r="AQ182" s="349" t="s">
        <v>1691</v>
      </c>
      <c r="AR182" s="342" t="s">
        <v>83</v>
      </c>
      <c r="AS182" s="342" t="s">
        <v>84</v>
      </c>
      <c r="AT182" s="342" t="s">
        <v>45</v>
      </c>
      <c r="AU182" s="342" t="s">
        <v>85</v>
      </c>
      <c r="AV182" s="342" t="s">
        <v>120</v>
      </c>
      <c r="AW182" s="342"/>
      <c r="AX182" s="343" t="str">
        <f>IF(OR(Tableau3[[#This Row],[Option GTR]]&lt;&gt;"",Tableau3[[#This Row],[GTR spécifique]]&lt;&gt;""),"GTRS1","GTRS2")</f>
        <v>GTRS1</v>
      </c>
      <c r="AY182" s="342" t="s">
        <v>143</v>
      </c>
      <c r="AZ182" s="342"/>
      <c r="BA182" s="344" t="s">
        <v>1692</v>
      </c>
    </row>
    <row r="183" spans="1:53" s="326" customFormat="1" ht="18.149999999999999" customHeight="1" x14ac:dyDescent="0.3">
      <c r="A183" s="340" t="s">
        <v>53</v>
      </c>
      <c r="B183" s="340" t="s">
        <v>54</v>
      </c>
      <c r="C183" s="340" t="s">
        <v>932</v>
      </c>
      <c r="D183" s="340" t="s">
        <v>56</v>
      </c>
      <c r="E183" s="340" t="s">
        <v>57</v>
      </c>
      <c r="F183" s="340" t="s">
        <v>58</v>
      </c>
      <c r="G183" s="340" t="s">
        <v>59</v>
      </c>
      <c r="H183" s="340" t="s">
        <v>60</v>
      </c>
      <c r="I183" s="340" t="s">
        <v>61</v>
      </c>
      <c r="J183" s="340" t="s">
        <v>1693</v>
      </c>
      <c r="K183" s="340" t="s">
        <v>1694</v>
      </c>
      <c r="L183" s="345" t="str">
        <f>VLOOKUP(K183,'20260309 suivi sites'!F:F,1,0)</f>
        <v>37TOUR031AOG</v>
      </c>
      <c r="M183" s="340" t="s">
        <v>64</v>
      </c>
      <c r="N183" s="340" t="s">
        <v>65</v>
      </c>
      <c r="O183" s="340" t="s">
        <v>64</v>
      </c>
      <c r="P183" s="341">
        <v>45187</v>
      </c>
      <c r="Q183" s="341">
        <v>45187</v>
      </c>
      <c r="R183" s="347" t="b">
        <f t="shared" si="5"/>
        <v>1</v>
      </c>
      <c r="S183" s="347" t="str">
        <f t="shared" si="4"/>
        <v>création</v>
      </c>
      <c r="T183" s="342" t="s">
        <v>56</v>
      </c>
      <c r="U183" s="342" t="s">
        <v>1695</v>
      </c>
      <c r="V183" s="342" t="s">
        <v>762</v>
      </c>
      <c r="W183" s="342" t="s">
        <v>763</v>
      </c>
      <c r="X183" s="342" t="s">
        <v>69</v>
      </c>
      <c r="Y183" s="349" t="s">
        <v>1696</v>
      </c>
      <c r="Z183" s="342" t="s">
        <v>71</v>
      </c>
      <c r="AA183" s="342" t="s">
        <v>72</v>
      </c>
      <c r="AB183" s="342" t="s">
        <v>73</v>
      </c>
      <c r="AC183" s="342" t="s">
        <v>74</v>
      </c>
      <c r="AD183" s="342"/>
      <c r="AE183" s="342" t="s">
        <v>1697</v>
      </c>
      <c r="AF183" s="349" t="s">
        <v>3769</v>
      </c>
      <c r="AG183" s="342" t="s">
        <v>74</v>
      </c>
      <c r="AH183" s="342" t="s">
        <v>76</v>
      </c>
      <c r="AI183" s="342" t="s">
        <v>74</v>
      </c>
      <c r="AJ183" s="342" t="s">
        <v>77</v>
      </c>
      <c r="AK183" s="342" t="s">
        <v>78</v>
      </c>
      <c r="AL183" s="342" t="s">
        <v>79</v>
      </c>
      <c r="AM183" s="342" t="s">
        <v>74</v>
      </c>
      <c r="AN183" s="342"/>
      <c r="AO183" s="342" t="s">
        <v>1698</v>
      </c>
      <c r="AP183" s="342" t="s">
        <v>81</v>
      </c>
      <c r="AQ183" s="349" t="s">
        <v>200</v>
      </c>
      <c r="AR183" s="342" t="s">
        <v>83</v>
      </c>
      <c r="AS183" s="342" t="s">
        <v>84</v>
      </c>
      <c r="AT183" s="342" t="s">
        <v>45</v>
      </c>
      <c r="AU183" s="342" t="s">
        <v>85</v>
      </c>
      <c r="AV183" s="342"/>
      <c r="AW183" s="342"/>
      <c r="AX183" s="343" t="str">
        <f>IF(OR(Tableau3[[#This Row],[Option GTR]]&lt;&gt;"",Tableau3[[#This Row],[GTR spécifique]]&lt;&gt;""),"GTRS1","GTRS2")</f>
        <v>GTRS2</v>
      </c>
      <c r="AY183" s="342" t="s">
        <v>86</v>
      </c>
      <c r="AZ183" s="342"/>
      <c r="BA183" s="344" t="s">
        <v>1699</v>
      </c>
    </row>
    <row r="184" spans="1:53" s="326" customFormat="1" ht="18.149999999999999" customHeight="1" x14ac:dyDescent="0.3">
      <c r="A184" s="340" t="s">
        <v>53</v>
      </c>
      <c r="B184" s="340" t="s">
        <v>54</v>
      </c>
      <c r="C184" s="340" t="s">
        <v>932</v>
      </c>
      <c r="D184" s="340" t="s">
        <v>56</v>
      </c>
      <c r="E184" s="340" t="s">
        <v>57</v>
      </c>
      <c r="F184" s="340" t="s">
        <v>58</v>
      </c>
      <c r="G184" s="340" t="s">
        <v>59</v>
      </c>
      <c r="H184" s="340" t="s">
        <v>60</v>
      </c>
      <c r="I184" s="340" t="s">
        <v>61</v>
      </c>
      <c r="J184" s="340" t="s">
        <v>1700</v>
      </c>
      <c r="K184" s="340" t="s">
        <v>1701</v>
      </c>
      <c r="L184" s="345" t="str">
        <f>VLOOKUP(K184,'20260309 suivi sites'!F:F,1,0)</f>
        <v>69LYON061AOP</v>
      </c>
      <c r="M184" s="340" t="s">
        <v>64</v>
      </c>
      <c r="N184" s="340" t="s">
        <v>65</v>
      </c>
      <c r="O184" s="340" t="s">
        <v>64</v>
      </c>
      <c r="P184" s="341">
        <v>45188</v>
      </c>
      <c r="Q184" s="341">
        <v>45462</v>
      </c>
      <c r="R184" s="347" t="b">
        <f t="shared" si="5"/>
        <v>0</v>
      </c>
      <c r="S184" s="347" t="str">
        <f t="shared" si="4"/>
        <v>change</v>
      </c>
      <c r="T184" s="342" t="s">
        <v>56</v>
      </c>
      <c r="U184" s="342" t="s">
        <v>1702</v>
      </c>
      <c r="V184" s="342" t="s">
        <v>1629</v>
      </c>
      <c r="W184" s="342" t="s">
        <v>1308</v>
      </c>
      <c r="X184" s="342" t="s">
        <v>69</v>
      </c>
      <c r="Y184" s="349" t="s">
        <v>1703</v>
      </c>
      <c r="Z184" s="342" t="s">
        <v>71</v>
      </c>
      <c r="AA184" s="342" t="s">
        <v>72</v>
      </c>
      <c r="AB184" s="342" t="s">
        <v>73</v>
      </c>
      <c r="AC184" s="342" t="s">
        <v>74</v>
      </c>
      <c r="AD184" s="342"/>
      <c r="AE184" s="342" t="s">
        <v>1704</v>
      </c>
      <c r="AF184" s="349" t="s">
        <v>3763</v>
      </c>
      <c r="AG184" s="342" t="s">
        <v>74</v>
      </c>
      <c r="AH184" s="342" t="s">
        <v>76</v>
      </c>
      <c r="AI184" s="342" t="s">
        <v>74</v>
      </c>
      <c r="AJ184" s="342" t="s">
        <v>77</v>
      </c>
      <c r="AK184" s="342" t="s">
        <v>78</v>
      </c>
      <c r="AL184" s="342" t="s">
        <v>79</v>
      </c>
      <c r="AM184" s="342" t="s">
        <v>166</v>
      </c>
      <c r="AN184" s="342" t="s">
        <v>1705</v>
      </c>
      <c r="AO184" s="342" t="s">
        <v>1706</v>
      </c>
      <c r="AP184" s="342" t="s">
        <v>81</v>
      </c>
      <c r="AQ184" s="349" t="s">
        <v>82</v>
      </c>
      <c r="AR184" s="342" t="s">
        <v>83</v>
      </c>
      <c r="AS184" s="342" t="s">
        <v>290</v>
      </c>
      <c r="AT184" s="342" t="s">
        <v>45</v>
      </c>
      <c r="AU184" s="342" t="s">
        <v>85</v>
      </c>
      <c r="AV184" s="342"/>
      <c r="AW184" s="342"/>
      <c r="AX184" s="343" t="str">
        <f>IF(OR(Tableau3[[#This Row],[Option GTR]]&lt;&gt;"",Tableau3[[#This Row],[GTR spécifique]]&lt;&gt;""),"GTRS1","GTRS2")</f>
        <v>GTRS2</v>
      </c>
      <c r="AY184" s="342" t="s">
        <v>86</v>
      </c>
      <c r="AZ184" s="342"/>
      <c r="BA184" s="342" t="s">
        <v>291</v>
      </c>
    </row>
    <row r="185" spans="1:53" s="326" customFormat="1" ht="18.149999999999999" customHeight="1" x14ac:dyDescent="0.3">
      <c r="A185" s="340" t="s">
        <v>53</v>
      </c>
      <c r="B185" s="340" t="s">
        <v>54</v>
      </c>
      <c r="C185" s="340" t="s">
        <v>932</v>
      </c>
      <c r="D185" s="340" t="s">
        <v>56</v>
      </c>
      <c r="E185" s="340" t="s">
        <v>57</v>
      </c>
      <c r="F185" s="340" t="s">
        <v>58</v>
      </c>
      <c r="G185" s="340" t="s">
        <v>59</v>
      </c>
      <c r="H185" s="340" t="s">
        <v>60</v>
      </c>
      <c r="I185" s="340" t="s">
        <v>61</v>
      </c>
      <c r="J185" s="340" t="s">
        <v>1707</v>
      </c>
      <c r="K185" s="340" t="s">
        <v>1708</v>
      </c>
      <c r="L185" s="345" t="str">
        <f>VLOOKUP(K185,'20260309 suivi sites'!F:F,1,0)</f>
        <v>69LYON071AOP</v>
      </c>
      <c r="M185" s="340" t="s">
        <v>64</v>
      </c>
      <c r="N185" s="340" t="s">
        <v>65</v>
      </c>
      <c r="O185" s="340" t="s">
        <v>64</v>
      </c>
      <c r="P185" s="341">
        <v>45323</v>
      </c>
      <c r="Q185" s="341">
        <v>45503</v>
      </c>
      <c r="R185" s="347" t="b">
        <f t="shared" si="5"/>
        <v>0</v>
      </c>
      <c r="S185" s="347" t="str">
        <f t="shared" si="4"/>
        <v>change</v>
      </c>
      <c r="T185" s="342" t="s">
        <v>56</v>
      </c>
      <c r="U185" s="342" t="s">
        <v>1709</v>
      </c>
      <c r="V185" s="342" t="s">
        <v>1307</v>
      </c>
      <c r="W185" s="342" t="s">
        <v>1308</v>
      </c>
      <c r="X185" s="342" t="s">
        <v>69</v>
      </c>
      <c r="Y185" s="349" t="s">
        <v>1710</v>
      </c>
      <c r="Z185" s="342" t="s">
        <v>71</v>
      </c>
      <c r="AA185" s="342" t="s">
        <v>72</v>
      </c>
      <c r="AB185" s="342" t="s">
        <v>73</v>
      </c>
      <c r="AC185" s="342" t="s">
        <v>74</v>
      </c>
      <c r="AD185" s="342"/>
      <c r="AE185" s="342" t="s">
        <v>1711</v>
      </c>
      <c r="AF185" s="349" t="s">
        <v>1313</v>
      </c>
      <c r="AG185" s="342" t="s">
        <v>74</v>
      </c>
      <c r="AH185" s="342" t="s">
        <v>76</v>
      </c>
      <c r="AI185" s="342" t="s">
        <v>74</v>
      </c>
      <c r="AJ185" s="342" t="s">
        <v>77</v>
      </c>
      <c r="AK185" s="342" t="s">
        <v>78</v>
      </c>
      <c r="AL185" s="342" t="s">
        <v>79</v>
      </c>
      <c r="AM185" s="342" t="s">
        <v>166</v>
      </c>
      <c r="AN185" s="342" t="s">
        <v>1712</v>
      </c>
      <c r="AO185" s="342" t="s">
        <v>1713</v>
      </c>
      <c r="AP185" s="342" t="s">
        <v>81</v>
      </c>
      <c r="AQ185" s="349" t="s">
        <v>278</v>
      </c>
      <c r="AR185" s="342" t="s">
        <v>83</v>
      </c>
      <c r="AS185" s="342" t="s">
        <v>290</v>
      </c>
      <c r="AT185" s="342" t="s">
        <v>45</v>
      </c>
      <c r="AU185" s="342" t="s">
        <v>85</v>
      </c>
      <c r="AV185" s="342"/>
      <c r="AW185" s="342"/>
      <c r="AX185" s="343" t="str">
        <f>IF(OR(Tableau3[[#This Row],[Option GTR]]&lt;&gt;"",Tableau3[[#This Row],[GTR spécifique]]&lt;&gt;""),"GTRS1","GTRS2")</f>
        <v>GTRS2</v>
      </c>
      <c r="AY185" s="342" t="s">
        <v>86</v>
      </c>
      <c r="AZ185" s="342"/>
      <c r="BA185" s="342" t="s">
        <v>1714</v>
      </c>
    </row>
    <row r="186" spans="1:53" s="326" customFormat="1" ht="18.149999999999999" customHeight="1" x14ac:dyDescent="0.3">
      <c r="A186" s="340" t="s">
        <v>53</v>
      </c>
      <c r="B186" s="340" t="s">
        <v>54</v>
      </c>
      <c r="C186" s="340" t="s">
        <v>932</v>
      </c>
      <c r="D186" s="340" t="s">
        <v>56</v>
      </c>
      <c r="E186" s="340" t="s">
        <v>57</v>
      </c>
      <c r="F186" s="340" t="s">
        <v>58</v>
      </c>
      <c r="G186" s="340" t="s">
        <v>59</v>
      </c>
      <c r="H186" s="340" t="s">
        <v>60</v>
      </c>
      <c r="I186" s="340" t="s">
        <v>61</v>
      </c>
      <c r="J186" s="340" t="s">
        <v>1715</v>
      </c>
      <c r="K186" s="340" t="s">
        <v>1716</v>
      </c>
      <c r="L186" s="345" t="str">
        <f>VLOOKUP(K186,'20260309 suivi sites'!F:F,1,0)</f>
        <v>97CAYE041AOG</v>
      </c>
      <c r="M186" s="340" t="s">
        <v>64</v>
      </c>
      <c r="N186" s="340" t="s">
        <v>771</v>
      </c>
      <c r="O186" s="340" t="s">
        <v>64</v>
      </c>
      <c r="P186" s="341">
        <v>45405</v>
      </c>
      <c r="Q186" s="341">
        <v>45405</v>
      </c>
      <c r="R186" s="347" t="b">
        <f t="shared" si="5"/>
        <v>1</v>
      </c>
      <c r="S186" s="347" t="str">
        <f t="shared" si="4"/>
        <v>création</v>
      </c>
      <c r="T186" s="342" t="s">
        <v>56</v>
      </c>
      <c r="U186" s="342" t="s">
        <v>1717</v>
      </c>
      <c r="V186" s="342" t="s">
        <v>600</v>
      </c>
      <c r="W186" s="342" t="s">
        <v>601</v>
      </c>
      <c r="X186" s="342" t="s">
        <v>69</v>
      </c>
      <c r="Y186" s="349" t="s">
        <v>1718</v>
      </c>
      <c r="Z186" s="342" t="s">
        <v>71</v>
      </c>
      <c r="AA186" s="342" t="s">
        <v>72</v>
      </c>
      <c r="AB186" s="342" t="s">
        <v>73</v>
      </c>
      <c r="AC186" s="342" t="s">
        <v>74</v>
      </c>
      <c r="AD186" s="342"/>
      <c r="AE186" s="342" t="s">
        <v>1719</v>
      </c>
      <c r="AF186" s="349" t="s">
        <v>3766</v>
      </c>
      <c r="AG186" s="342" t="s">
        <v>74</v>
      </c>
      <c r="AH186" s="342" t="s">
        <v>76</v>
      </c>
      <c r="AI186" s="342" t="s">
        <v>74</v>
      </c>
      <c r="AJ186" s="342" t="s">
        <v>77</v>
      </c>
      <c r="AK186" s="342" t="s">
        <v>97</v>
      </c>
      <c r="AL186" s="342" t="s">
        <v>79</v>
      </c>
      <c r="AM186" s="342" t="s">
        <v>74</v>
      </c>
      <c r="AN186" s="342"/>
      <c r="AO186" s="342" t="s">
        <v>1720</v>
      </c>
      <c r="AP186" s="342" t="s">
        <v>81</v>
      </c>
      <c r="AQ186" s="349" t="s">
        <v>142</v>
      </c>
      <c r="AR186" s="342" t="s">
        <v>83</v>
      </c>
      <c r="AS186" s="342" t="s">
        <v>84</v>
      </c>
      <c r="AT186" s="342" t="s">
        <v>45</v>
      </c>
      <c r="AU186" s="342" t="s">
        <v>85</v>
      </c>
      <c r="AV186" s="342" t="s">
        <v>170</v>
      </c>
      <c r="AW186" s="342"/>
      <c r="AX186" s="343" t="str">
        <f>IF(OR(Tableau3[[#This Row],[Option GTR]]&lt;&gt;"",Tableau3[[#This Row],[GTR spécifique]]&lt;&gt;""),"GTRS1","GTRS2")</f>
        <v>GTRS1</v>
      </c>
      <c r="AY186" s="342" t="s">
        <v>86</v>
      </c>
      <c r="AZ186" s="342"/>
      <c r="BA186" s="344" t="s">
        <v>1721</v>
      </c>
    </row>
    <row r="187" spans="1:53" s="326" customFormat="1" ht="18.149999999999999" customHeight="1" x14ac:dyDescent="0.3">
      <c r="A187" s="340" t="s">
        <v>53</v>
      </c>
      <c r="B187" s="340" t="s">
        <v>54</v>
      </c>
      <c r="C187" s="340" t="s">
        <v>932</v>
      </c>
      <c r="D187" s="340" t="s">
        <v>56</v>
      </c>
      <c r="E187" s="340" t="s">
        <v>57</v>
      </c>
      <c r="F187" s="340" t="s">
        <v>58</v>
      </c>
      <c r="G187" s="340" t="s">
        <v>59</v>
      </c>
      <c r="H187" s="340" t="s">
        <v>60</v>
      </c>
      <c r="I187" s="340" t="s">
        <v>61</v>
      </c>
      <c r="J187" s="340" t="s">
        <v>1722</v>
      </c>
      <c r="K187" s="340" t="s">
        <v>1723</v>
      </c>
      <c r="L187" s="345" t="str">
        <f>VLOOKUP(K187,'20260309 suivi sites'!F:F,1,0)</f>
        <v>69LYON081AOP</v>
      </c>
      <c r="M187" s="340" t="s">
        <v>64</v>
      </c>
      <c r="N187" s="340" t="s">
        <v>65</v>
      </c>
      <c r="O187" s="340" t="s">
        <v>64</v>
      </c>
      <c r="P187" s="341">
        <v>45203</v>
      </c>
      <c r="Q187" s="341">
        <v>45687</v>
      </c>
      <c r="R187" s="347" t="b">
        <f t="shared" si="5"/>
        <v>0</v>
      </c>
      <c r="S187" s="347" t="str">
        <f t="shared" si="4"/>
        <v>change</v>
      </c>
      <c r="T187" s="342" t="s">
        <v>56</v>
      </c>
      <c r="U187" s="342" t="s">
        <v>3782</v>
      </c>
      <c r="V187" s="342" t="s">
        <v>1629</v>
      </c>
      <c r="W187" s="342" t="s">
        <v>1308</v>
      </c>
      <c r="X187" s="342" t="s">
        <v>69</v>
      </c>
      <c r="Y187" s="349" t="s">
        <v>1724</v>
      </c>
      <c r="Z187" s="342" t="s">
        <v>71</v>
      </c>
      <c r="AA187" s="342" t="s">
        <v>72</v>
      </c>
      <c r="AB187" s="342" t="s">
        <v>73</v>
      </c>
      <c r="AC187" s="342" t="s">
        <v>74</v>
      </c>
      <c r="AD187" s="342"/>
      <c r="AE187" s="342" t="s">
        <v>1725</v>
      </c>
      <c r="AF187" s="349" t="s">
        <v>3783</v>
      </c>
      <c r="AG187" s="342" t="s">
        <v>74</v>
      </c>
      <c r="AH187" s="342" t="s">
        <v>76</v>
      </c>
      <c r="AI187" s="342" t="s">
        <v>74</v>
      </c>
      <c r="AJ187" s="342" t="s">
        <v>77</v>
      </c>
      <c r="AK187" s="342" t="s">
        <v>78</v>
      </c>
      <c r="AL187" s="342" t="s">
        <v>79</v>
      </c>
      <c r="AM187" s="342" t="s">
        <v>166</v>
      </c>
      <c r="AN187" s="342" t="s">
        <v>1726</v>
      </c>
      <c r="AO187" s="342" t="s">
        <v>1727</v>
      </c>
      <c r="AP187" s="342" t="s">
        <v>81</v>
      </c>
      <c r="AQ187" s="349" t="s">
        <v>278</v>
      </c>
      <c r="AR187" s="342" t="s">
        <v>83</v>
      </c>
      <c r="AS187" s="342" t="s">
        <v>84</v>
      </c>
      <c r="AT187" s="342" t="s">
        <v>45</v>
      </c>
      <c r="AU187" s="342" t="s">
        <v>85</v>
      </c>
      <c r="AV187" s="342" t="s">
        <v>1728</v>
      </c>
      <c r="AW187" s="342"/>
      <c r="AX187" s="343" t="str">
        <f>IF(OR(Tableau3[[#This Row],[Option GTR]]&lt;&gt;"",Tableau3[[#This Row],[GTR spécifique]]&lt;&gt;""),"GTRS1","GTRS2")</f>
        <v>GTRS1</v>
      </c>
      <c r="AY187" s="342" t="s">
        <v>86</v>
      </c>
      <c r="AZ187" s="342"/>
      <c r="BA187" s="342" t="s">
        <v>1729</v>
      </c>
    </row>
    <row r="188" spans="1:53" s="326" customFormat="1" ht="18.149999999999999" customHeight="1" x14ac:dyDescent="0.3">
      <c r="A188" s="340" t="s">
        <v>53</v>
      </c>
      <c r="B188" s="340" t="s">
        <v>54</v>
      </c>
      <c r="C188" s="340" t="s">
        <v>932</v>
      </c>
      <c r="D188" s="340" t="s">
        <v>56</v>
      </c>
      <c r="E188" s="340" t="s">
        <v>57</v>
      </c>
      <c r="F188" s="340" t="s">
        <v>58</v>
      </c>
      <c r="G188" s="340" t="s">
        <v>59</v>
      </c>
      <c r="H188" s="340" t="s">
        <v>60</v>
      </c>
      <c r="I188" s="340" t="s">
        <v>61</v>
      </c>
      <c r="J188" s="340" t="s">
        <v>1730</v>
      </c>
      <c r="K188" s="340" t="s">
        <v>1731</v>
      </c>
      <c r="L188" s="345" t="str">
        <f>VLOOKUP(K188,'20260309 suivi sites'!F:F,1,0)</f>
        <v>67GAMB013AOS</v>
      </c>
      <c r="M188" s="340" t="s">
        <v>64</v>
      </c>
      <c r="N188" s="340" t="s">
        <v>771</v>
      </c>
      <c r="O188" s="340" t="s">
        <v>64</v>
      </c>
      <c r="P188" s="341">
        <v>45440</v>
      </c>
      <c r="Q188" s="341">
        <v>45440</v>
      </c>
      <c r="R188" s="347" t="b">
        <f t="shared" si="5"/>
        <v>1</v>
      </c>
      <c r="S188" s="347" t="str">
        <f t="shared" si="4"/>
        <v>création</v>
      </c>
      <c r="T188" s="342" t="s">
        <v>56</v>
      </c>
      <c r="U188" s="342" t="s">
        <v>1732</v>
      </c>
      <c r="V188" s="342" t="s">
        <v>1733</v>
      </c>
      <c r="W188" s="342" t="s">
        <v>1734</v>
      </c>
      <c r="X188" s="342" t="s">
        <v>69</v>
      </c>
      <c r="Y188" s="349" t="s">
        <v>1735</v>
      </c>
      <c r="Z188" s="342" t="s">
        <v>71</v>
      </c>
      <c r="AA188" s="342" t="s">
        <v>72</v>
      </c>
      <c r="AB188" s="342" t="s">
        <v>73</v>
      </c>
      <c r="AC188" s="342" t="s">
        <v>74</v>
      </c>
      <c r="AD188" s="342"/>
      <c r="AE188" s="342" t="s">
        <v>1736</v>
      </c>
      <c r="AF188" s="349" t="s">
        <v>3771</v>
      </c>
      <c r="AG188" s="342" t="s">
        <v>74</v>
      </c>
      <c r="AH188" s="342" t="s">
        <v>76</v>
      </c>
      <c r="AI188" s="342" t="s">
        <v>74</v>
      </c>
      <c r="AJ188" s="342" t="s">
        <v>77</v>
      </c>
      <c r="AK188" s="342" t="s">
        <v>97</v>
      </c>
      <c r="AL188" s="342" t="s">
        <v>79</v>
      </c>
      <c r="AM188" s="342" t="s">
        <v>74</v>
      </c>
      <c r="AN188" s="342"/>
      <c r="AO188" s="342" t="s">
        <v>1737</v>
      </c>
      <c r="AP188" s="342" t="s">
        <v>81</v>
      </c>
      <c r="AQ188" s="349" t="s">
        <v>222</v>
      </c>
      <c r="AR188" s="342" t="s">
        <v>83</v>
      </c>
      <c r="AS188" s="342" t="s">
        <v>84</v>
      </c>
      <c r="AT188" s="342" t="s">
        <v>45</v>
      </c>
      <c r="AU188" s="342" t="s">
        <v>85</v>
      </c>
      <c r="AV188" s="342" t="s">
        <v>120</v>
      </c>
      <c r="AW188" s="342"/>
      <c r="AX188" s="343" t="str">
        <f>IF(OR(Tableau3[[#This Row],[Option GTR]]&lt;&gt;"",Tableau3[[#This Row],[GTR spécifique]]&lt;&gt;""),"GTRS1","GTRS2")</f>
        <v>GTRS1</v>
      </c>
      <c r="AY188" s="342" t="s">
        <v>143</v>
      </c>
      <c r="AZ188" s="342"/>
      <c r="BA188" s="342" t="s">
        <v>1738</v>
      </c>
    </row>
    <row r="189" spans="1:53" s="326" customFormat="1" ht="18.149999999999999" customHeight="1" x14ac:dyDescent="0.3">
      <c r="A189" s="340" t="s">
        <v>53</v>
      </c>
      <c r="B189" s="340" t="s">
        <v>54</v>
      </c>
      <c r="C189" s="340" t="s">
        <v>932</v>
      </c>
      <c r="D189" s="340" t="s">
        <v>56</v>
      </c>
      <c r="E189" s="340" t="s">
        <v>57</v>
      </c>
      <c r="F189" s="340" t="s">
        <v>58</v>
      </c>
      <c r="G189" s="340" t="s">
        <v>59</v>
      </c>
      <c r="H189" s="340" t="s">
        <v>60</v>
      </c>
      <c r="I189" s="340" t="s">
        <v>61</v>
      </c>
      <c r="J189" s="340" t="s">
        <v>1739</v>
      </c>
      <c r="K189" s="340" t="s">
        <v>1740</v>
      </c>
      <c r="L189" s="345" t="str">
        <f>VLOOKUP(K189,'20260309 suivi sites'!F:F,1,0)</f>
        <v>13MARS091AOS</v>
      </c>
      <c r="M189" s="340" t="s">
        <v>64</v>
      </c>
      <c r="N189" s="340" t="s">
        <v>771</v>
      </c>
      <c r="O189" s="340" t="s">
        <v>64</v>
      </c>
      <c r="P189" s="341">
        <v>45352</v>
      </c>
      <c r="Q189" s="341">
        <v>45352</v>
      </c>
      <c r="R189" s="347" t="b">
        <f t="shared" si="5"/>
        <v>1</v>
      </c>
      <c r="S189" s="347" t="str">
        <f t="shared" si="4"/>
        <v>création</v>
      </c>
      <c r="T189" s="342" t="s">
        <v>56</v>
      </c>
      <c r="U189" s="342" t="s">
        <v>1741</v>
      </c>
      <c r="V189" s="342" t="s">
        <v>1742</v>
      </c>
      <c r="W189" s="342" t="s">
        <v>305</v>
      </c>
      <c r="X189" s="342" t="s">
        <v>69</v>
      </c>
      <c r="Y189" s="349" t="s">
        <v>1743</v>
      </c>
      <c r="Z189" s="342" t="s">
        <v>71</v>
      </c>
      <c r="AA189" s="342" t="s">
        <v>72</v>
      </c>
      <c r="AB189" s="342" t="s">
        <v>73</v>
      </c>
      <c r="AC189" s="342" t="s">
        <v>74</v>
      </c>
      <c r="AD189" s="342"/>
      <c r="AE189" s="342" t="s">
        <v>1744</v>
      </c>
      <c r="AF189" s="349" t="s">
        <v>3763</v>
      </c>
      <c r="AG189" s="342" t="s">
        <v>74</v>
      </c>
      <c r="AH189" s="342" t="s">
        <v>76</v>
      </c>
      <c r="AI189" s="342" t="s">
        <v>74</v>
      </c>
      <c r="AJ189" s="342" t="s">
        <v>77</v>
      </c>
      <c r="AK189" s="342" t="s">
        <v>78</v>
      </c>
      <c r="AL189" s="342" t="s">
        <v>79</v>
      </c>
      <c r="AM189" s="342" t="s">
        <v>74</v>
      </c>
      <c r="AN189" s="342"/>
      <c r="AO189" s="342" t="s">
        <v>1745</v>
      </c>
      <c r="AP189" s="342" t="s">
        <v>81</v>
      </c>
      <c r="AQ189" s="349" t="s">
        <v>82</v>
      </c>
      <c r="AR189" s="342" t="s">
        <v>83</v>
      </c>
      <c r="AS189" s="342" t="s">
        <v>84</v>
      </c>
      <c r="AT189" s="342" t="s">
        <v>45</v>
      </c>
      <c r="AU189" s="342" t="s">
        <v>85</v>
      </c>
      <c r="AV189" s="342"/>
      <c r="AW189" s="342"/>
      <c r="AX189" s="343" t="str">
        <f>IF(OR(Tableau3[[#This Row],[Option GTR]]&lt;&gt;"",Tableau3[[#This Row],[GTR spécifique]]&lt;&gt;""),"GTRS1","GTRS2")</f>
        <v>GTRS2</v>
      </c>
      <c r="AY189" s="342" t="s">
        <v>86</v>
      </c>
      <c r="AZ189" s="342"/>
      <c r="BA189" s="342" t="s">
        <v>1746</v>
      </c>
    </row>
    <row r="190" spans="1:53" s="326" customFormat="1" ht="18.149999999999999" customHeight="1" x14ac:dyDescent="0.3">
      <c r="A190" s="340" t="s">
        <v>53</v>
      </c>
      <c r="B190" s="340" t="s">
        <v>54</v>
      </c>
      <c r="C190" s="340" t="s">
        <v>932</v>
      </c>
      <c r="D190" s="340" t="s">
        <v>56</v>
      </c>
      <c r="E190" s="340" t="s">
        <v>57</v>
      </c>
      <c r="F190" s="340" t="s">
        <v>58</v>
      </c>
      <c r="G190" s="340" t="s">
        <v>59</v>
      </c>
      <c r="H190" s="340" t="s">
        <v>60</v>
      </c>
      <c r="I190" s="340" t="s">
        <v>61</v>
      </c>
      <c r="J190" s="340" t="s">
        <v>1747</v>
      </c>
      <c r="K190" s="340" t="s">
        <v>1748</v>
      </c>
      <c r="L190" s="345" t="str">
        <f>VLOOKUP(K190,'20260309 suivi sites'!F:F,1,0)</f>
        <v>97BAIE031AOM</v>
      </c>
      <c r="M190" s="340" t="s">
        <v>64</v>
      </c>
      <c r="N190" s="340" t="s">
        <v>771</v>
      </c>
      <c r="O190" s="340" t="s">
        <v>64</v>
      </c>
      <c r="P190" s="341">
        <v>45645</v>
      </c>
      <c r="Q190" s="341">
        <v>45645</v>
      </c>
      <c r="R190" s="347" t="b">
        <f t="shared" si="5"/>
        <v>1</v>
      </c>
      <c r="S190" s="347" t="str">
        <f t="shared" si="4"/>
        <v>création</v>
      </c>
      <c r="T190" s="342" t="s">
        <v>61</v>
      </c>
      <c r="U190" s="342" t="s">
        <v>1749</v>
      </c>
      <c r="V190" s="342" t="s">
        <v>541</v>
      </c>
      <c r="W190" s="342" t="s">
        <v>542</v>
      </c>
      <c r="X190" s="342" t="s">
        <v>69</v>
      </c>
      <c r="Y190" s="349" t="s">
        <v>1750</v>
      </c>
      <c r="Z190" s="342" t="s">
        <v>71</v>
      </c>
      <c r="AA190" s="342" t="s">
        <v>218</v>
      </c>
      <c r="AB190" s="342" t="s">
        <v>152</v>
      </c>
      <c r="AC190" s="342" t="s">
        <v>74</v>
      </c>
      <c r="AD190" s="342"/>
      <c r="AE190" s="342" t="s">
        <v>1751</v>
      </c>
      <c r="AF190" s="349" t="s">
        <v>3772</v>
      </c>
      <c r="AG190" s="342" t="s">
        <v>74</v>
      </c>
      <c r="AH190" s="342" t="s">
        <v>76</v>
      </c>
      <c r="AI190" s="342" t="s">
        <v>76</v>
      </c>
      <c r="AJ190" s="342" t="s">
        <v>77</v>
      </c>
      <c r="AK190" s="342" t="s">
        <v>78</v>
      </c>
      <c r="AL190" s="342" t="s">
        <v>79</v>
      </c>
      <c r="AM190" s="342" t="s">
        <v>74</v>
      </c>
      <c r="AN190" s="342"/>
      <c r="AO190" s="342" t="s">
        <v>1752</v>
      </c>
      <c r="AP190" s="342" t="s">
        <v>81</v>
      </c>
      <c r="AQ190" s="349" t="s">
        <v>1680</v>
      </c>
      <c r="AR190" s="342" t="s">
        <v>83</v>
      </c>
      <c r="AS190" s="342" t="s">
        <v>84</v>
      </c>
      <c r="AT190" s="342" t="s">
        <v>45</v>
      </c>
      <c r="AU190" s="342" t="s">
        <v>85</v>
      </c>
      <c r="AV190" s="342" t="s">
        <v>480</v>
      </c>
      <c r="AW190" s="342"/>
      <c r="AX190" s="343" t="str">
        <f>IF(OR(Tableau3[[#This Row],[Option GTR]]&lt;&gt;"",Tableau3[[#This Row],[GTR spécifique]]&lt;&gt;""),"GTRS1","GTRS2")</f>
        <v>GTRS1</v>
      </c>
      <c r="AY190" s="342" t="s">
        <v>481</v>
      </c>
      <c r="AZ190" s="342"/>
      <c r="BA190" s="342" t="s">
        <v>1753</v>
      </c>
    </row>
    <row r="191" spans="1:53" s="326" customFormat="1" ht="18.149999999999999" customHeight="1" x14ac:dyDescent="0.3">
      <c r="A191" s="340" t="s">
        <v>53</v>
      </c>
      <c r="B191" s="340" t="s">
        <v>54</v>
      </c>
      <c r="C191" s="340" t="s">
        <v>932</v>
      </c>
      <c r="D191" s="340" t="s">
        <v>56</v>
      </c>
      <c r="E191" s="340" t="s">
        <v>57</v>
      </c>
      <c r="F191" s="340" t="s">
        <v>58</v>
      </c>
      <c r="G191" s="340" t="s">
        <v>59</v>
      </c>
      <c r="H191" s="340" t="s">
        <v>60</v>
      </c>
      <c r="I191" s="340" t="s">
        <v>61</v>
      </c>
      <c r="J191" s="340" t="s">
        <v>1754</v>
      </c>
      <c r="K191" s="340" t="s">
        <v>1755</v>
      </c>
      <c r="L191" s="345" t="str">
        <f>VLOOKUP(K191,'20260309 suivi sites'!F:F,1,0)</f>
        <v>44STHE011AOG</v>
      </c>
      <c r="M191" s="340" t="s">
        <v>64</v>
      </c>
      <c r="N191" s="340" t="s">
        <v>65</v>
      </c>
      <c r="O191" s="340" t="s">
        <v>64</v>
      </c>
      <c r="P191" s="341">
        <v>45687</v>
      </c>
      <c r="Q191" s="341">
        <v>45827</v>
      </c>
      <c r="R191" s="347" t="b">
        <f t="shared" si="5"/>
        <v>0</v>
      </c>
      <c r="S191" s="347" t="str">
        <f t="shared" si="4"/>
        <v>change</v>
      </c>
      <c r="T191" s="342" t="s">
        <v>56</v>
      </c>
      <c r="U191" s="342" t="s">
        <v>1756</v>
      </c>
      <c r="V191" s="342" t="s">
        <v>1757</v>
      </c>
      <c r="W191" s="342" t="s">
        <v>1758</v>
      </c>
      <c r="X191" s="342" t="s">
        <v>69</v>
      </c>
      <c r="Y191" s="349" t="s">
        <v>1759</v>
      </c>
      <c r="Z191" s="342" t="s">
        <v>71</v>
      </c>
      <c r="AA191" s="342" t="s">
        <v>72</v>
      </c>
      <c r="AB191" s="342" t="s">
        <v>73</v>
      </c>
      <c r="AC191" s="342" t="s">
        <v>74</v>
      </c>
      <c r="AD191" s="342"/>
      <c r="AE191" s="342" t="s">
        <v>1760</v>
      </c>
      <c r="AF191" s="349" t="s">
        <v>3772</v>
      </c>
      <c r="AG191" s="342" t="s">
        <v>74</v>
      </c>
      <c r="AH191" s="342" t="s">
        <v>76</v>
      </c>
      <c r="AI191" s="342" t="s">
        <v>74</v>
      </c>
      <c r="AJ191" s="342" t="s">
        <v>77</v>
      </c>
      <c r="AK191" s="342" t="s">
        <v>78</v>
      </c>
      <c r="AL191" s="342" t="s">
        <v>79</v>
      </c>
      <c r="AM191" s="342" t="s">
        <v>74</v>
      </c>
      <c r="AN191" s="342"/>
      <c r="AO191" s="342" t="s">
        <v>1761</v>
      </c>
      <c r="AP191" s="342" t="s">
        <v>81</v>
      </c>
      <c r="AQ191" s="349" t="s">
        <v>1680</v>
      </c>
      <c r="AR191" s="342" t="s">
        <v>83</v>
      </c>
      <c r="AS191" s="342" t="s">
        <v>84</v>
      </c>
      <c r="AT191" s="342" t="s">
        <v>45</v>
      </c>
      <c r="AU191" s="342" t="s">
        <v>85</v>
      </c>
      <c r="AV191" s="342" t="s">
        <v>170</v>
      </c>
      <c r="AW191" s="342"/>
      <c r="AX191" s="343" t="str">
        <f>IF(OR(Tableau3[[#This Row],[Option GTR]]&lt;&gt;"",Tableau3[[#This Row],[GTR spécifique]]&lt;&gt;""),"GTRS1","GTRS2")</f>
        <v>GTRS1</v>
      </c>
      <c r="AY191" s="342" t="s">
        <v>86</v>
      </c>
      <c r="AZ191" s="342"/>
      <c r="BA191" s="342" t="s">
        <v>1762</v>
      </c>
    </row>
    <row r="192" spans="1:53" s="326" customFormat="1" ht="18.149999999999999" customHeight="1" x14ac:dyDescent="0.3">
      <c r="A192" s="340" t="s">
        <v>53</v>
      </c>
      <c r="B192" s="340" t="s">
        <v>54</v>
      </c>
      <c r="C192" s="340" t="s">
        <v>932</v>
      </c>
      <c r="D192" s="340" t="s">
        <v>56</v>
      </c>
      <c r="E192" s="340" t="s">
        <v>57</v>
      </c>
      <c r="F192" s="340" t="s">
        <v>58</v>
      </c>
      <c r="G192" s="340" t="s">
        <v>59</v>
      </c>
      <c r="H192" s="340" t="s">
        <v>60</v>
      </c>
      <c r="I192" s="340" t="s">
        <v>61</v>
      </c>
      <c r="J192" s="340" t="s">
        <v>1763</v>
      </c>
      <c r="K192" s="340" t="s">
        <v>1764</v>
      </c>
      <c r="L192" s="345" t="str">
        <f>VLOOKUP(K192,'20260309 suivi sites'!F:F,1,0)</f>
        <v>35RENN021AOS</v>
      </c>
      <c r="M192" s="340" t="s">
        <v>64</v>
      </c>
      <c r="N192" s="340" t="s">
        <v>771</v>
      </c>
      <c r="O192" s="340" t="s">
        <v>64</v>
      </c>
      <c r="P192" s="341">
        <v>45425</v>
      </c>
      <c r="Q192" s="341">
        <v>45425</v>
      </c>
      <c r="R192" s="347" t="b">
        <f t="shared" si="5"/>
        <v>1</v>
      </c>
      <c r="S192" s="347" t="str">
        <f t="shared" si="4"/>
        <v>création</v>
      </c>
      <c r="T192" s="342" t="s">
        <v>56</v>
      </c>
      <c r="U192" s="342" t="s">
        <v>1765</v>
      </c>
      <c r="V192" s="342" t="s">
        <v>1766</v>
      </c>
      <c r="W192" s="342" t="s">
        <v>1767</v>
      </c>
      <c r="X192" s="342" t="s">
        <v>69</v>
      </c>
      <c r="Y192" s="349" t="s">
        <v>1768</v>
      </c>
      <c r="Z192" s="342" t="s">
        <v>71</v>
      </c>
      <c r="AA192" s="342" t="s">
        <v>72</v>
      </c>
      <c r="AB192" s="342" t="s">
        <v>73</v>
      </c>
      <c r="AC192" s="342" t="s">
        <v>74</v>
      </c>
      <c r="AD192" s="342"/>
      <c r="AE192" s="342" t="s">
        <v>1769</v>
      </c>
      <c r="AF192" s="349" t="s">
        <v>3770</v>
      </c>
      <c r="AG192" s="342" t="s">
        <v>74</v>
      </c>
      <c r="AH192" s="342" t="s">
        <v>76</v>
      </c>
      <c r="AI192" s="342" t="s">
        <v>74</v>
      </c>
      <c r="AJ192" s="342" t="s">
        <v>77</v>
      </c>
      <c r="AK192" s="342" t="s">
        <v>97</v>
      </c>
      <c r="AL192" s="342" t="s">
        <v>79</v>
      </c>
      <c r="AM192" s="342" t="s">
        <v>74</v>
      </c>
      <c r="AN192" s="342"/>
      <c r="AO192" s="342" t="s">
        <v>1770</v>
      </c>
      <c r="AP192" s="342" t="s">
        <v>81</v>
      </c>
      <c r="AQ192" s="349" t="s">
        <v>210</v>
      </c>
      <c r="AR192" s="342" t="s">
        <v>83</v>
      </c>
      <c r="AS192" s="342" t="s">
        <v>84</v>
      </c>
      <c r="AT192" s="342" t="s">
        <v>45</v>
      </c>
      <c r="AU192" s="342" t="s">
        <v>85</v>
      </c>
      <c r="AV192" s="342" t="s">
        <v>120</v>
      </c>
      <c r="AW192" s="342"/>
      <c r="AX192" s="343" t="str">
        <f>IF(OR(Tableau3[[#This Row],[Option GTR]]&lt;&gt;"",Tableau3[[#This Row],[GTR spécifique]]&lt;&gt;""),"GTRS1","GTRS2")</f>
        <v>GTRS1</v>
      </c>
      <c r="AY192" s="342" t="s">
        <v>86</v>
      </c>
      <c r="AZ192" s="342"/>
      <c r="BA192" s="342" t="s">
        <v>1771</v>
      </c>
    </row>
    <row r="193" spans="1:53" s="326" customFormat="1" ht="18.149999999999999" customHeight="1" x14ac:dyDescent="0.3">
      <c r="A193" s="340" t="s">
        <v>53</v>
      </c>
      <c r="B193" s="340" t="s">
        <v>54</v>
      </c>
      <c r="C193" s="340" t="s">
        <v>932</v>
      </c>
      <c r="D193" s="340" t="s">
        <v>56</v>
      </c>
      <c r="E193" s="340" t="s">
        <v>57</v>
      </c>
      <c r="F193" s="340" t="s">
        <v>58</v>
      </c>
      <c r="G193" s="340" t="s">
        <v>59</v>
      </c>
      <c r="H193" s="340" t="s">
        <v>60</v>
      </c>
      <c r="I193" s="340" t="s">
        <v>61</v>
      </c>
      <c r="J193" s="340" t="s">
        <v>1772</v>
      </c>
      <c r="K193" s="340" t="s">
        <v>1773</v>
      </c>
      <c r="L193" s="345" t="e">
        <f>VLOOKUP(K193,'20260309 suivi sites'!F:F,1,0)</f>
        <v>#N/A</v>
      </c>
      <c r="M193" s="340" t="s">
        <v>1774</v>
      </c>
      <c r="N193" s="340" t="s">
        <v>771</v>
      </c>
      <c r="O193" s="340" t="s">
        <v>104</v>
      </c>
      <c r="P193" s="338"/>
      <c r="Q193" s="341"/>
      <c r="R193" s="347" t="b">
        <f t="shared" si="5"/>
        <v>1</v>
      </c>
      <c r="S193" s="347" t="str">
        <f t="shared" si="4"/>
        <v>création</v>
      </c>
      <c r="T193" s="342" t="s">
        <v>56</v>
      </c>
      <c r="U193" s="342" t="s">
        <v>1775</v>
      </c>
      <c r="V193" s="342" t="s">
        <v>1776</v>
      </c>
      <c r="W193" s="342" t="s">
        <v>107</v>
      </c>
      <c r="X193" s="342" t="s">
        <v>69</v>
      </c>
      <c r="Y193" s="349" t="s">
        <v>1777</v>
      </c>
      <c r="Z193" s="342" t="s">
        <v>71</v>
      </c>
      <c r="AA193" s="342" t="s">
        <v>72</v>
      </c>
      <c r="AB193" s="342" t="s">
        <v>73</v>
      </c>
      <c r="AC193" s="342" t="s">
        <v>74</v>
      </c>
      <c r="AD193" s="342"/>
      <c r="AE193" s="342" t="s">
        <v>1778</v>
      </c>
      <c r="AF193" s="349" t="s">
        <v>3779</v>
      </c>
      <c r="AG193" s="342" t="s">
        <v>74</v>
      </c>
      <c r="AH193" s="342" t="s">
        <v>76</v>
      </c>
      <c r="AI193" s="342" t="s">
        <v>74</v>
      </c>
      <c r="AJ193" s="342" t="s">
        <v>77</v>
      </c>
      <c r="AK193" s="342" t="s">
        <v>78</v>
      </c>
      <c r="AL193" s="342" t="s">
        <v>79</v>
      </c>
      <c r="AM193" s="342" t="s">
        <v>166</v>
      </c>
      <c r="AN193" s="342" t="s">
        <v>1779</v>
      </c>
      <c r="AO193" s="342" t="s">
        <v>1780</v>
      </c>
      <c r="AP193" s="342" t="s">
        <v>81</v>
      </c>
      <c r="AQ193" s="349" t="s">
        <v>1634</v>
      </c>
      <c r="AR193" s="342" t="s">
        <v>83</v>
      </c>
      <c r="AS193" s="342" t="s">
        <v>84</v>
      </c>
      <c r="AT193" s="342" t="s">
        <v>45</v>
      </c>
      <c r="AU193" s="342" t="s">
        <v>85</v>
      </c>
      <c r="AV193" s="342" t="s">
        <v>170</v>
      </c>
      <c r="AW193" s="342"/>
      <c r="AX193" s="343" t="str">
        <f>IF(OR(Tableau3[[#This Row],[Option GTR]]&lt;&gt;"",Tableau3[[#This Row],[GTR spécifique]]&lt;&gt;""),"GTRS1","GTRS2")</f>
        <v>GTRS1</v>
      </c>
      <c r="AY193" s="342" t="s">
        <v>86</v>
      </c>
      <c r="AZ193" s="342"/>
      <c r="BA193" s="342" t="s">
        <v>1781</v>
      </c>
    </row>
    <row r="194" spans="1:53" s="326" customFormat="1" ht="18.149999999999999" customHeight="1" x14ac:dyDescent="0.3">
      <c r="A194" s="340" t="s">
        <v>53</v>
      </c>
      <c r="B194" s="340" t="s">
        <v>54</v>
      </c>
      <c r="C194" s="340" t="s">
        <v>932</v>
      </c>
      <c r="D194" s="340" t="s">
        <v>56</v>
      </c>
      <c r="E194" s="340" t="s">
        <v>57</v>
      </c>
      <c r="F194" s="340" t="s">
        <v>58</v>
      </c>
      <c r="G194" s="340" t="s">
        <v>59</v>
      </c>
      <c r="H194" s="340" t="s">
        <v>60</v>
      </c>
      <c r="I194" s="340" t="s">
        <v>61</v>
      </c>
      <c r="J194" s="340" t="s">
        <v>1782</v>
      </c>
      <c r="K194" s="340" t="s">
        <v>1783</v>
      </c>
      <c r="L194" s="345" t="str">
        <f>VLOOKUP(K194,'20260309 suivi sites'!F:F,1,0)</f>
        <v>97MATO051AOS</v>
      </c>
      <c r="M194" s="340" t="s">
        <v>64</v>
      </c>
      <c r="N194" s="340" t="s">
        <v>65</v>
      </c>
      <c r="O194" s="340" t="s">
        <v>64</v>
      </c>
      <c r="P194" s="338">
        <v>45946</v>
      </c>
      <c r="Q194" s="341">
        <v>45967</v>
      </c>
      <c r="R194" s="347" t="b">
        <f t="shared" si="5"/>
        <v>0</v>
      </c>
      <c r="S194" s="347" t="str">
        <f t="shared" ref="S194:S257" si="6">IF(R194=FALSE,"change","création")</f>
        <v>change</v>
      </c>
      <c r="T194" s="342" t="s">
        <v>56</v>
      </c>
      <c r="U194" s="342" t="s">
        <v>1784</v>
      </c>
      <c r="V194" s="342" t="s">
        <v>136</v>
      </c>
      <c r="W194" s="342" t="s">
        <v>137</v>
      </c>
      <c r="X194" s="342" t="s">
        <v>69</v>
      </c>
      <c r="Y194" s="349" t="s">
        <v>1785</v>
      </c>
      <c r="Z194" s="342" t="s">
        <v>71</v>
      </c>
      <c r="AA194" s="342" t="s">
        <v>72</v>
      </c>
      <c r="AB194" s="342" t="s">
        <v>73</v>
      </c>
      <c r="AC194" s="342" t="s">
        <v>74</v>
      </c>
      <c r="AD194" s="342"/>
      <c r="AE194" s="342" t="s">
        <v>1786</v>
      </c>
      <c r="AF194" s="349" t="s">
        <v>3771</v>
      </c>
      <c r="AG194" s="342" t="s">
        <v>74</v>
      </c>
      <c r="AH194" s="342" t="s">
        <v>76</v>
      </c>
      <c r="AI194" s="342" t="s">
        <v>74</v>
      </c>
      <c r="AJ194" s="342" t="s">
        <v>77</v>
      </c>
      <c r="AK194" s="342" t="s">
        <v>97</v>
      </c>
      <c r="AL194" s="342" t="s">
        <v>79</v>
      </c>
      <c r="AM194" s="342" t="s">
        <v>74</v>
      </c>
      <c r="AN194" s="342"/>
      <c r="AO194" s="342" t="s">
        <v>1787</v>
      </c>
      <c r="AP194" s="342" t="s">
        <v>81</v>
      </c>
      <c r="AQ194" s="349" t="s">
        <v>222</v>
      </c>
      <c r="AR194" s="342" t="s">
        <v>83</v>
      </c>
      <c r="AS194" s="342" t="s">
        <v>84</v>
      </c>
      <c r="AT194" s="342" t="s">
        <v>45</v>
      </c>
      <c r="AU194" s="342" t="s">
        <v>85</v>
      </c>
      <c r="AV194" s="342" t="s">
        <v>120</v>
      </c>
      <c r="AW194" s="342"/>
      <c r="AX194" s="343" t="str">
        <f>IF(OR(Tableau3[[#This Row],[Option GTR]]&lt;&gt;"",Tableau3[[#This Row],[GTR spécifique]]&lt;&gt;""),"GTRS1","GTRS2")</f>
        <v>GTRS1</v>
      </c>
      <c r="AY194" s="342" t="s">
        <v>143</v>
      </c>
      <c r="AZ194" s="342"/>
      <c r="BA194" s="342" t="s">
        <v>1788</v>
      </c>
    </row>
    <row r="195" spans="1:53" s="326" customFormat="1" ht="18.149999999999999" customHeight="1" x14ac:dyDescent="0.3">
      <c r="A195" s="340" t="s">
        <v>53</v>
      </c>
      <c r="B195" s="340" t="s">
        <v>54</v>
      </c>
      <c r="C195" s="340" t="s">
        <v>932</v>
      </c>
      <c r="D195" s="340" t="s">
        <v>56</v>
      </c>
      <c r="E195" s="340" t="s">
        <v>57</v>
      </c>
      <c r="F195" s="340" t="s">
        <v>58</v>
      </c>
      <c r="G195" s="340" t="s">
        <v>59</v>
      </c>
      <c r="H195" s="340" t="s">
        <v>60</v>
      </c>
      <c r="I195" s="340" t="s">
        <v>61</v>
      </c>
      <c r="J195" s="340" t="s">
        <v>1789</v>
      </c>
      <c r="K195" s="340" t="s">
        <v>1790</v>
      </c>
      <c r="L195" s="345" t="str">
        <f>VLOOKUP(K195,'20260309 suivi sites'!F:F,1,0)</f>
        <v>69LYON091AOP</v>
      </c>
      <c r="M195" s="340" t="s">
        <v>64</v>
      </c>
      <c r="N195" s="340" t="s">
        <v>771</v>
      </c>
      <c r="O195" s="340" t="s">
        <v>64</v>
      </c>
      <c r="P195" s="338">
        <v>45583</v>
      </c>
      <c r="Q195" s="341">
        <v>45583</v>
      </c>
      <c r="R195" s="347" t="b">
        <f t="shared" ref="R195:R258" si="7">Q195=P195</f>
        <v>1</v>
      </c>
      <c r="S195" s="347" t="str">
        <f t="shared" si="6"/>
        <v>création</v>
      </c>
      <c r="T195" s="342" t="s">
        <v>56</v>
      </c>
      <c r="U195" s="342" t="s">
        <v>1791</v>
      </c>
      <c r="V195" s="342" t="s">
        <v>1629</v>
      </c>
      <c r="W195" s="342" t="s">
        <v>1308</v>
      </c>
      <c r="X195" s="342" t="s">
        <v>69</v>
      </c>
      <c r="Y195" s="349" t="s">
        <v>1792</v>
      </c>
      <c r="Z195" s="342" t="s">
        <v>71</v>
      </c>
      <c r="AA195" s="342" t="s">
        <v>72</v>
      </c>
      <c r="AB195" s="342" t="s">
        <v>73</v>
      </c>
      <c r="AC195" s="342" t="s">
        <v>74</v>
      </c>
      <c r="AD195" s="342"/>
      <c r="AE195" s="342" t="s">
        <v>1793</v>
      </c>
      <c r="AF195" s="349" t="s">
        <v>3778</v>
      </c>
      <c r="AG195" s="342" t="s">
        <v>74</v>
      </c>
      <c r="AH195" s="342" t="s">
        <v>76</v>
      </c>
      <c r="AI195" s="342" t="s">
        <v>74</v>
      </c>
      <c r="AJ195" s="342" t="s">
        <v>77</v>
      </c>
      <c r="AK195" s="342" t="s">
        <v>78</v>
      </c>
      <c r="AL195" s="342" t="s">
        <v>79</v>
      </c>
      <c r="AM195" s="342" t="s">
        <v>166</v>
      </c>
      <c r="AN195" s="342" t="s">
        <v>1794</v>
      </c>
      <c r="AO195" s="342" t="s">
        <v>1795</v>
      </c>
      <c r="AP195" s="342" t="s">
        <v>81</v>
      </c>
      <c r="AQ195" s="349" t="s">
        <v>310</v>
      </c>
      <c r="AR195" s="342" t="s">
        <v>83</v>
      </c>
      <c r="AS195" s="342" t="s">
        <v>84</v>
      </c>
      <c r="AT195" s="342" t="s">
        <v>45</v>
      </c>
      <c r="AU195" s="342" t="s">
        <v>85</v>
      </c>
      <c r="AV195" s="342" t="s">
        <v>170</v>
      </c>
      <c r="AW195" s="342"/>
      <c r="AX195" s="343" t="str">
        <f>IF(OR(Tableau3[[#This Row],[Option GTR]]&lt;&gt;"",Tableau3[[#This Row],[GTR spécifique]]&lt;&gt;""),"GTRS1","GTRS2")</f>
        <v>GTRS1</v>
      </c>
      <c r="AY195" s="342" t="s">
        <v>86</v>
      </c>
      <c r="AZ195" s="342"/>
      <c r="BA195" s="342" t="s">
        <v>1796</v>
      </c>
    </row>
    <row r="196" spans="1:53" s="326" customFormat="1" ht="18.149999999999999" customHeight="1" x14ac:dyDescent="0.3">
      <c r="A196" s="340" t="s">
        <v>53</v>
      </c>
      <c r="B196" s="340" t="s">
        <v>54</v>
      </c>
      <c r="C196" s="340" t="s">
        <v>932</v>
      </c>
      <c r="D196" s="340" t="s">
        <v>56</v>
      </c>
      <c r="E196" s="340" t="s">
        <v>57</v>
      </c>
      <c r="F196" s="340" t="s">
        <v>58</v>
      </c>
      <c r="G196" s="340" t="s">
        <v>59</v>
      </c>
      <c r="H196" s="340" t="s">
        <v>60</v>
      </c>
      <c r="I196" s="340" t="s">
        <v>61</v>
      </c>
      <c r="J196" s="340" t="s">
        <v>1797</v>
      </c>
      <c r="K196" s="340" t="s">
        <v>1798</v>
      </c>
      <c r="L196" s="345" t="str">
        <f>VLOOKUP(K196,'20260309 suivi sites'!F:F,1,0)</f>
        <v>97BAIE041AOB</v>
      </c>
      <c r="M196" s="340" t="s">
        <v>64</v>
      </c>
      <c r="N196" s="340" t="s">
        <v>771</v>
      </c>
      <c r="O196" s="340" t="s">
        <v>64</v>
      </c>
      <c r="P196" s="338">
        <v>45547</v>
      </c>
      <c r="Q196" s="341">
        <v>45547</v>
      </c>
      <c r="R196" s="347" t="b">
        <f t="shared" si="7"/>
        <v>1</v>
      </c>
      <c r="S196" s="347" t="str">
        <f t="shared" si="6"/>
        <v>création</v>
      </c>
      <c r="T196" s="342" t="s">
        <v>56</v>
      </c>
      <c r="U196" s="342" t="s">
        <v>1799</v>
      </c>
      <c r="V196" s="342" t="s">
        <v>541</v>
      </c>
      <c r="W196" s="342" t="s">
        <v>542</v>
      </c>
      <c r="X196" s="342" t="s">
        <v>69</v>
      </c>
      <c r="Y196" s="349" t="s">
        <v>1800</v>
      </c>
      <c r="Z196" s="342" t="s">
        <v>71</v>
      </c>
      <c r="AA196" s="342" t="s">
        <v>218</v>
      </c>
      <c r="AB196" s="342" t="s">
        <v>152</v>
      </c>
      <c r="AC196" s="342" t="s">
        <v>74</v>
      </c>
      <c r="AD196" s="342"/>
      <c r="AE196" s="342" t="s">
        <v>1801</v>
      </c>
      <c r="AF196" s="349" t="s">
        <v>3766</v>
      </c>
      <c r="AG196" s="342" t="s">
        <v>74</v>
      </c>
      <c r="AH196" s="342" t="s">
        <v>76</v>
      </c>
      <c r="AI196" s="342" t="s">
        <v>74</v>
      </c>
      <c r="AJ196" s="342" t="s">
        <v>382</v>
      </c>
      <c r="AK196" s="342" t="s">
        <v>97</v>
      </c>
      <c r="AL196" s="342" t="s">
        <v>79</v>
      </c>
      <c r="AM196" s="342" t="s">
        <v>74</v>
      </c>
      <c r="AN196" s="342"/>
      <c r="AO196" s="342" t="s">
        <v>1802</v>
      </c>
      <c r="AP196" s="342" t="s">
        <v>81</v>
      </c>
      <c r="AQ196" s="349" t="s">
        <v>142</v>
      </c>
      <c r="AR196" s="342" t="s">
        <v>83</v>
      </c>
      <c r="AS196" s="342" t="s">
        <v>84</v>
      </c>
      <c r="AT196" s="342" t="s">
        <v>45</v>
      </c>
      <c r="AU196" s="342" t="s">
        <v>85</v>
      </c>
      <c r="AV196" s="342" t="s">
        <v>480</v>
      </c>
      <c r="AW196" s="342"/>
      <c r="AX196" s="343" t="str">
        <f>IF(OR(Tableau3[[#This Row],[Option GTR]]&lt;&gt;"",Tableau3[[#This Row],[GTR spécifique]]&lt;&gt;""),"GTRS1","GTRS2")</f>
        <v>GTRS1</v>
      </c>
      <c r="AY196" s="342" t="s">
        <v>481</v>
      </c>
      <c r="AZ196" s="342"/>
      <c r="BA196" s="342" t="s">
        <v>1803</v>
      </c>
    </row>
    <row r="197" spans="1:53" s="326" customFormat="1" ht="18.149999999999999" customHeight="1" x14ac:dyDescent="0.3">
      <c r="A197" s="340" t="s">
        <v>53</v>
      </c>
      <c r="B197" s="340" t="s">
        <v>54</v>
      </c>
      <c r="C197" s="340" t="s">
        <v>932</v>
      </c>
      <c r="D197" s="340" t="s">
        <v>56</v>
      </c>
      <c r="E197" s="340" t="s">
        <v>57</v>
      </c>
      <c r="F197" s="340" t="s">
        <v>58</v>
      </c>
      <c r="G197" s="340" t="s">
        <v>59</v>
      </c>
      <c r="H197" s="340" t="s">
        <v>60</v>
      </c>
      <c r="I197" s="340" t="s">
        <v>61</v>
      </c>
      <c r="J197" s="340" t="s">
        <v>1804</v>
      </c>
      <c r="K197" s="340" t="s">
        <v>1805</v>
      </c>
      <c r="L197" s="345" t="str">
        <f>VLOOKUP(K197,'20260309 suivi sites'!F:F,1,0)</f>
        <v>69LYON101AOG</v>
      </c>
      <c r="M197" s="340" t="s">
        <v>64</v>
      </c>
      <c r="N197" s="340" t="s">
        <v>771</v>
      </c>
      <c r="O197" s="340" t="s">
        <v>64</v>
      </c>
      <c r="P197" s="338">
        <v>45555</v>
      </c>
      <c r="Q197" s="341">
        <v>45555</v>
      </c>
      <c r="R197" s="347" t="b">
        <f t="shared" si="7"/>
        <v>1</v>
      </c>
      <c r="S197" s="347" t="str">
        <f t="shared" si="6"/>
        <v>création</v>
      </c>
      <c r="T197" s="342" t="s">
        <v>56</v>
      </c>
      <c r="U197" s="342" t="s">
        <v>1806</v>
      </c>
      <c r="V197" s="342" t="s">
        <v>1307</v>
      </c>
      <c r="W197" s="342" t="s">
        <v>1308</v>
      </c>
      <c r="X197" s="342" t="s">
        <v>69</v>
      </c>
      <c r="Y197" s="349" t="s">
        <v>1807</v>
      </c>
      <c r="Z197" s="342" t="s">
        <v>71</v>
      </c>
      <c r="AA197" s="342" t="s">
        <v>72</v>
      </c>
      <c r="AB197" s="342" t="s">
        <v>73</v>
      </c>
      <c r="AC197" s="342" t="s">
        <v>74</v>
      </c>
      <c r="AD197" s="342"/>
      <c r="AE197" s="342" t="s">
        <v>1808</v>
      </c>
      <c r="AF197" s="349" t="s">
        <v>3769</v>
      </c>
      <c r="AG197" s="342" t="s">
        <v>74</v>
      </c>
      <c r="AH197" s="342" t="s">
        <v>76</v>
      </c>
      <c r="AI197" s="342" t="s">
        <v>74</v>
      </c>
      <c r="AJ197" s="342" t="s">
        <v>77</v>
      </c>
      <c r="AK197" s="342" t="s">
        <v>78</v>
      </c>
      <c r="AL197" s="342" t="s">
        <v>79</v>
      </c>
      <c r="AM197" s="342" t="s">
        <v>74</v>
      </c>
      <c r="AN197" s="342"/>
      <c r="AO197" s="342" t="s">
        <v>1809</v>
      </c>
      <c r="AP197" s="342" t="s">
        <v>81</v>
      </c>
      <c r="AQ197" s="349" t="s">
        <v>200</v>
      </c>
      <c r="AR197" s="342" t="s">
        <v>83</v>
      </c>
      <c r="AS197" s="342" t="s">
        <v>84</v>
      </c>
      <c r="AT197" s="342" t="s">
        <v>45</v>
      </c>
      <c r="AU197" s="342" t="s">
        <v>85</v>
      </c>
      <c r="AV197" s="342" t="s">
        <v>120</v>
      </c>
      <c r="AW197" s="342"/>
      <c r="AX197" s="343" t="str">
        <f>IF(OR(Tableau3[[#This Row],[Option GTR]]&lt;&gt;"",Tableau3[[#This Row],[GTR spécifique]]&lt;&gt;""),"GTRS1","GTRS2")</f>
        <v>GTRS1</v>
      </c>
      <c r="AY197" s="342" t="s">
        <v>86</v>
      </c>
      <c r="AZ197" s="342"/>
      <c r="BA197" s="344" t="s">
        <v>1810</v>
      </c>
    </row>
    <row r="198" spans="1:53" s="326" customFormat="1" ht="18.149999999999999" customHeight="1" x14ac:dyDescent="0.3">
      <c r="A198" s="340" t="s">
        <v>53</v>
      </c>
      <c r="B198" s="340" t="s">
        <v>54</v>
      </c>
      <c r="C198" s="340" t="s">
        <v>932</v>
      </c>
      <c r="D198" s="340" t="s">
        <v>56</v>
      </c>
      <c r="E198" s="340" t="s">
        <v>57</v>
      </c>
      <c r="F198" s="340" t="s">
        <v>58</v>
      </c>
      <c r="G198" s="340" t="s">
        <v>59</v>
      </c>
      <c r="H198" s="340" t="s">
        <v>60</v>
      </c>
      <c r="I198" s="340" t="s">
        <v>61</v>
      </c>
      <c r="J198" s="340" t="s">
        <v>1811</v>
      </c>
      <c r="K198" s="340" t="s">
        <v>1812</v>
      </c>
      <c r="L198" s="345" t="str">
        <f>VLOOKUP(K198,'20260309 suivi sites'!F:F,1,0)</f>
        <v>37TOUR061AOG</v>
      </c>
      <c r="M198" s="340" t="s">
        <v>64</v>
      </c>
      <c r="N198" s="340" t="s">
        <v>771</v>
      </c>
      <c r="O198" s="340" t="s">
        <v>64</v>
      </c>
      <c r="P198" s="338">
        <v>45793</v>
      </c>
      <c r="Q198" s="341">
        <v>45793</v>
      </c>
      <c r="R198" s="347" t="b">
        <f t="shared" si="7"/>
        <v>1</v>
      </c>
      <c r="S198" s="347" t="str">
        <f t="shared" si="6"/>
        <v>création</v>
      </c>
      <c r="T198" s="342" t="s">
        <v>56</v>
      </c>
      <c r="U198" s="342" t="s">
        <v>1813</v>
      </c>
      <c r="V198" s="342" t="s">
        <v>762</v>
      </c>
      <c r="W198" s="342" t="s">
        <v>763</v>
      </c>
      <c r="X198" s="342" t="s">
        <v>69</v>
      </c>
      <c r="Y198" s="349" t="s">
        <v>1814</v>
      </c>
      <c r="Z198" s="342" t="s">
        <v>71</v>
      </c>
      <c r="AA198" s="342" t="s">
        <v>72</v>
      </c>
      <c r="AB198" s="342" t="s">
        <v>73</v>
      </c>
      <c r="AC198" s="342" t="s">
        <v>74</v>
      </c>
      <c r="AD198" s="342"/>
      <c r="AE198" s="342" t="s">
        <v>1815</v>
      </c>
      <c r="AF198" s="349" t="s">
        <v>3763</v>
      </c>
      <c r="AG198" s="342" t="s">
        <v>74</v>
      </c>
      <c r="AH198" s="342" t="s">
        <v>76</v>
      </c>
      <c r="AI198" s="342" t="s">
        <v>74</v>
      </c>
      <c r="AJ198" s="342" t="s">
        <v>77</v>
      </c>
      <c r="AK198" s="342" t="s">
        <v>78</v>
      </c>
      <c r="AL198" s="342" t="s">
        <v>79</v>
      </c>
      <c r="AM198" s="342" t="s">
        <v>74</v>
      </c>
      <c r="AN198" s="342"/>
      <c r="AO198" s="342" t="s">
        <v>1816</v>
      </c>
      <c r="AP198" s="342" t="s">
        <v>81</v>
      </c>
      <c r="AQ198" s="349" t="s">
        <v>82</v>
      </c>
      <c r="AR198" s="342" t="s">
        <v>83</v>
      </c>
      <c r="AS198" s="342" t="s">
        <v>84</v>
      </c>
      <c r="AT198" s="342" t="s">
        <v>45</v>
      </c>
      <c r="AU198" s="342" t="s">
        <v>85</v>
      </c>
      <c r="AV198" s="342"/>
      <c r="AW198" s="342"/>
      <c r="AX198" s="343" t="str">
        <f>IF(OR(Tableau3[[#This Row],[Option GTR]]&lt;&gt;"",Tableau3[[#This Row],[GTR spécifique]]&lt;&gt;""),"GTRS1","GTRS2")</f>
        <v>GTRS2</v>
      </c>
      <c r="AY198" s="342" t="s">
        <v>86</v>
      </c>
      <c r="AZ198" s="342"/>
      <c r="BA198" s="342" t="s">
        <v>1817</v>
      </c>
    </row>
    <row r="199" spans="1:53" s="326" customFormat="1" ht="18.149999999999999" customHeight="1" x14ac:dyDescent="0.3">
      <c r="A199" s="340" t="s">
        <v>53</v>
      </c>
      <c r="B199" s="340" t="s">
        <v>54</v>
      </c>
      <c r="C199" s="340" t="s">
        <v>932</v>
      </c>
      <c r="D199" s="340" t="s">
        <v>56</v>
      </c>
      <c r="E199" s="340" t="s">
        <v>57</v>
      </c>
      <c r="F199" s="340" t="s">
        <v>58</v>
      </c>
      <c r="G199" s="340" t="s">
        <v>59</v>
      </c>
      <c r="H199" s="340" t="s">
        <v>60</v>
      </c>
      <c r="I199" s="340" t="s">
        <v>61</v>
      </c>
      <c r="J199" s="340" t="s">
        <v>1818</v>
      </c>
      <c r="K199" s="340" t="s">
        <v>1819</v>
      </c>
      <c r="L199" s="345" t="str">
        <f>VLOOKUP(K199,'20260309 suivi sites'!F:F,1,0)</f>
        <v>17PERI021AOG</v>
      </c>
      <c r="M199" s="340" t="s">
        <v>64</v>
      </c>
      <c r="N199" s="340" t="s">
        <v>771</v>
      </c>
      <c r="O199" s="340" t="s">
        <v>64</v>
      </c>
      <c r="P199" s="338">
        <v>45777</v>
      </c>
      <c r="Q199" s="341">
        <v>45777</v>
      </c>
      <c r="R199" s="347" t="b">
        <f t="shared" si="7"/>
        <v>1</v>
      </c>
      <c r="S199" s="347" t="str">
        <f t="shared" si="6"/>
        <v>création</v>
      </c>
      <c r="T199" s="342" t="s">
        <v>56</v>
      </c>
      <c r="U199" s="342" t="s">
        <v>1820</v>
      </c>
      <c r="V199" s="342" t="s">
        <v>1821</v>
      </c>
      <c r="W199" s="342" t="s">
        <v>1822</v>
      </c>
      <c r="X199" s="342" t="s">
        <v>69</v>
      </c>
      <c r="Y199" s="349" t="s">
        <v>1823</v>
      </c>
      <c r="Z199" s="342" t="s">
        <v>71</v>
      </c>
      <c r="AA199" s="342" t="s">
        <v>72</v>
      </c>
      <c r="AB199" s="342" t="s">
        <v>73</v>
      </c>
      <c r="AC199" s="342" t="s">
        <v>74</v>
      </c>
      <c r="AD199" s="342"/>
      <c r="AE199" s="342" t="s">
        <v>1824</v>
      </c>
      <c r="AF199" s="349" t="s">
        <v>3770</v>
      </c>
      <c r="AG199" s="342" t="s">
        <v>74</v>
      </c>
      <c r="AH199" s="342" t="s">
        <v>76</v>
      </c>
      <c r="AI199" s="342" t="s">
        <v>74</v>
      </c>
      <c r="AJ199" s="342" t="s">
        <v>77</v>
      </c>
      <c r="AK199" s="342" t="s">
        <v>97</v>
      </c>
      <c r="AL199" s="342" t="s">
        <v>79</v>
      </c>
      <c r="AM199" s="342" t="s">
        <v>74</v>
      </c>
      <c r="AN199" s="342"/>
      <c r="AO199" s="342" t="s">
        <v>1825</v>
      </c>
      <c r="AP199" s="342" t="s">
        <v>81</v>
      </c>
      <c r="AQ199" s="349" t="s">
        <v>210</v>
      </c>
      <c r="AR199" s="342" t="s">
        <v>83</v>
      </c>
      <c r="AS199" s="342" t="s">
        <v>84</v>
      </c>
      <c r="AT199" s="342" t="s">
        <v>45</v>
      </c>
      <c r="AU199" s="342" t="s">
        <v>85</v>
      </c>
      <c r="AV199" s="342"/>
      <c r="AW199" s="342"/>
      <c r="AX199" s="343" t="str">
        <f>IF(OR(Tableau3[[#This Row],[Option GTR]]&lt;&gt;"",Tableau3[[#This Row],[GTR spécifique]]&lt;&gt;""),"GTRS1","GTRS2")</f>
        <v>GTRS2</v>
      </c>
      <c r="AY199" s="342" t="s">
        <v>86</v>
      </c>
      <c r="AZ199" s="342"/>
      <c r="BA199" s="342" t="s">
        <v>1826</v>
      </c>
    </row>
    <row r="200" spans="1:53" s="326" customFormat="1" ht="18.149999999999999" customHeight="1" x14ac:dyDescent="0.3">
      <c r="A200" s="340" t="s">
        <v>53</v>
      </c>
      <c r="B200" s="340" t="s">
        <v>54</v>
      </c>
      <c r="C200" s="340" t="s">
        <v>932</v>
      </c>
      <c r="D200" s="340" t="s">
        <v>56</v>
      </c>
      <c r="E200" s="340" t="s">
        <v>57</v>
      </c>
      <c r="F200" s="340" t="s">
        <v>58</v>
      </c>
      <c r="G200" s="340" t="s">
        <v>59</v>
      </c>
      <c r="H200" s="340" t="s">
        <v>60</v>
      </c>
      <c r="I200" s="340" t="s">
        <v>61</v>
      </c>
      <c r="J200" s="340" t="s">
        <v>1827</v>
      </c>
      <c r="K200" s="340" t="s">
        <v>1828</v>
      </c>
      <c r="L200" s="345" t="str">
        <f>VLOOKUP(K200,'20260309 suivi sites'!F:F,1,0)</f>
        <v>31TOUL071AOG</v>
      </c>
      <c r="M200" s="340" t="s">
        <v>64</v>
      </c>
      <c r="N200" s="340" t="s">
        <v>65</v>
      </c>
      <c r="O200" s="340" t="s">
        <v>64</v>
      </c>
      <c r="P200" s="338">
        <v>45764</v>
      </c>
      <c r="Q200" s="341">
        <v>46007</v>
      </c>
      <c r="R200" s="347" t="b">
        <f t="shared" si="7"/>
        <v>0</v>
      </c>
      <c r="S200" s="347" t="str">
        <f t="shared" si="6"/>
        <v>change</v>
      </c>
      <c r="T200" s="342" t="s">
        <v>56</v>
      </c>
      <c r="U200" s="342" t="s">
        <v>1829</v>
      </c>
      <c r="V200" s="342" t="s">
        <v>1830</v>
      </c>
      <c r="W200" s="342" t="s">
        <v>1831</v>
      </c>
      <c r="X200" s="342" t="s">
        <v>69</v>
      </c>
      <c r="Y200" s="349" t="s">
        <v>1832</v>
      </c>
      <c r="Z200" s="342" t="s">
        <v>71</v>
      </c>
      <c r="AA200" s="342" t="s">
        <v>72</v>
      </c>
      <c r="AB200" s="342" t="s">
        <v>73</v>
      </c>
      <c r="AC200" s="342" t="s">
        <v>74</v>
      </c>
      <c r="AD200" s="342"/>
      <c r="AE200" s="342" t="s">
        <v>1833</v>
      </c>
      <c r="AF200" s="349" t="s">
        <v>3772</v>
      </c>
      <c r="AG200" s="342" t="s">
        <v>74</v>
      </c>
      <c r="AH200" s="342" t="s">
        <v>76</v>
      </c>
      <c r="AI200" s="342" t="s">
        <v>74</v>
      </c>
      <c r="AJ200" s="342" t="s">
        <v>77</v>
      </c>
      <c r="AK200" s="342" t="s">
        <v>78</v>
      </c>
      <c r="AL200" s="342" t="s">
        <v>79</v>
      </c>
      <c r="AM200" s="342" t="s">
        <v>74</v>
      </c>
      <c r="AN200" s="342"/>
      <c r="AO200" s="342" t="s">
        <v>1834</v>
      </c>
      <c r="AP200" s="342" t="s">
        <v>81</v>
      </c>
      <c r="AQ200" s="349" t="s">
        <v>1680</v>
      </c>
      <c r="AR200" s="342" t="s">
        <v>83</v>
      </c>
      <c r="AS200" s="342" t="s">
        <v>84</v>
      </c>
      <c r="AT200" s="342" t="s">
        <v>45</v>
      </c>
      <c r="AU200" s="342" t="s">
        <v>85</v>
      </c>
      <c r="AV200" s="342" t="s">
        <v>120</v>
      </c>
      <c r="AW200" s="342"/>
      <c r="AX200" s="343" t="str">
        <f>IF(OR(Tableau3[[#This Row],[Option GTR]]&lt;&gt;"",Tableau3[[#This Row],[GTR spécifique]]&lt;&gt;""),"GTRS1","GTRS2")</f>
        <v>GTRS1</v>
      </c>
      <c r="AY200" s="342" t="s">
        <v>86</v>
      </c>
      <c r="AZ200" s="342"/>
      <c r="BA200" s="342" t="s">
        <v>1835</v>
      </c>
    </row>
    <row r="201" spans="1:53" s="326" customFormat="1" ht="18.149999999999999" customHeight="1" x14ac:dyDescent="0.3">
      <c r="A201" s="340" t="s">
        <v>53</v>
      </c>
      <c r="B201" s="340" t="s">
        <v>54</v>
      </c>
      <c r="C201" s="340" t="s">
        <v>932</v>
      </c>
      <c r="D201" s="340" t="s">
        <v>56</v>
      </c>
      <c r="E201" s="340" t="s">
        <v>57</v>
      </c>
      <c r="F201" s="340" t="s">
        <v>58</v>
      </c>
      <c r="G201" s="340" t="s">
        <v>59</v>
      </c>
      <c r="H201" s="340" t="s">
        <v>60</v>
      </c>
      <c r="I201" s="340" t="s">
        <v>61</v>
      </c>
      <c r="J201" s="340" t="s">
        <v>1836</v>
      </c>
      <c r="K201" s="340" t="s">
        <v>1837</v>
      </c>
      <c r="L201" s="345" t="str">
        <f>VLOOKUP(K201,'20260309 suivi sites'!F:F,1,0)</f>
        <v>31TOUL081AOG</v>
      </c>
      <c r="M201" s="340" t="s">
        <v>64</v>
      </c>
      <c r="N201" s="340" t="s">
        <v>65</v>
      </c>
      <c r="O201" s="340" t="s">
        <v>64</v>
      </c>
      <c r="P201" s="338">
        <v>45743</v>
      </c>
      <c r="Q201" s="341">
        <v>45832</v>
      </c>
      <c r="R201" s="347" t="b">
        <f t="shared" si="7"/>
        <v>0</v>
      </c>
      <c r="S201" s="347" t="str">
        <f t="shared" si="6"/>
        <v>change</v>
      </c>
      <c r="T201" s="342" t="s">
        <v>56</v>
      </c>
      <c r="U201" s="342" t="s">
        <v>1838</v>
      </c>
      <c r="V201" s="342" t="s">
        <v>1830</v>
      </c>
      <c r="W201" s="342" t="s">
        <v>1831</v>
      </c>
      <c r="X201" s="342" t="s">
        <v>69</v>
      </c>
      <c r="Y201" s="349" t="s">
        <v>1839</v>
      </c>
      <c r="Z201" s="342" t="s">
        <v>71</v>
      </c>
      <c r="AA201" s="342" t="s">
        <v>72</v>
      </c>
      <c r="AB201" s="342" t="s">
        <v>73</v>
      </c>
      <c r="AC201" s="342" t="s">
        <v>74</v>
      </c>
      <c r="AD201" s="342"/>
      <c r="AE201" s="342" t="s">
        <v>1840</v>
      </c>
      <c r="AF201" s="349" t="s">
        <v>3772</v>
      </c>
      <c r="AG201" s="342" t="s">
        <v>74</v>
      </c>
      <c r="AH201" s="342" t="s">
        <v>76</v>
      </c>
      <c r="AI201" s="342" t="s">
        <v>74</v>
      </c>
      <c r="AJ201" s="342" t="s">
        <v>77</v>
      </c>
      <c r="AK201" s="342" t="s">
        <v>78</v>
      </c>
      <c r="AL201" s="342" t="s">
        <v>79</v>
      </c>
      <c r="AM201" s="342" t="s">
        <v>74</v>
      </c>
      <c r="AN201" s="342"/>
      <c r="AO201" s="342" t="s">
        <v>1841</v>
      </c>
      <c r="AP201" s="342" t="s">
        <v>81</v>
      </c>
      <c r="AQ201" s="349" t="s">
        <v>1680</v>
      </c>
      <c r="AR201" s="342" t="s">
        <v>83</v>
      </c>
      <c r="AS201" s="342" t="s">
        <v>84</v>
      </c>
      <c r="AT201" s="342" t="s">
        <v>45</v>
      </c>
      <c r="AU201" s="342" t="s">
        <v>85</v>
      </c>
      <c r="AV201" s="342"/>
      <c r="AW201" s="342"/>
      <c r="AX201" s="343" t="str">
        <f>IF(OR(Tableau3[[#This Row],[Option GTR]]&lt;&gt;"",Tableau3[[#This Row],[GTR spécifique]]&lt;&gt;""),"GTRS1","GTRS2")</f>
        <v>GTRS2</v>
      </c>
      <c r="AY201" s="342" t="s">
        <v>86</v>
      </c>
      <c r="AZ201" s="342"/>
      <c r="BA201" s="342" t="s">
        <v>1842</v>
      </c>
    </row>
    <row r="202" spans="1:53" s="326" customFormat="1" ht="18.149999999999999" customHeight="1" x14ac:dyDescent="0.3">
      <c r="A202" s="340" t="s">
        <v>53</v>
      </c>
      <c r="B202" s="340" t="s">
        <v>54</v>
      </c>
      <c r="C202" s="340" t="s">
        <v>932</v>
      </c>
      <c r="D202" s="340" t="s">
        <v>56</v>
      </c>
      <c r="E202" s="340" t="s">
        <v>57</v>
      </c>
      <c r="F202" s="340" t="s">
        <v>58</v>
      </c>
      <c r="G202" s="340" t="s">
        <v>59</v>
      </c>
      <c r="H202" s="340" t="s">
        <v>60</v>
      </c>
      <c r="I202" s="340" t="s">
        <v>61</v>
      </c>
      <c r="J202" s="340" t="s">
        <v>1843</v>
      </c>
      <c r="K202" s="340" t="s">
        <v>1844</v>
      </c>
      <c r="L202" s="345" t="str">
        <f>VLOOKUP(K202,'20260309 suivi sites'!F:F,1,0)</f>
        <v>31TOUL091AOS</v>
      </c>
      <c r="M202" s="340" t="s">
        <v>64</v>
      </c>
      <c r="N202" s="340" t="s">
        <v>65</v>
      </c>
      <c r="O202" s="340" t="s">
        <v>64</v>
      </c>
      <c r="P202" s="338">
        <v>45742</v>
      </c>
      <c r="Q202" s="341">
        <v>45952</v>
      </c>
      <c r="R202" s="347" t="b">
        <f t="shared" si="7"/>
        <v>0</v>
      </c>
      <c r="S202" s="347" t="str">
        <f t="shared" si="6"/>
        <v>change</v>
      </c>
      <c r="T202" s="342" t="s">
        <v>56</v>
      </c>
      <c r="U202" s="342" t="s">
        <v>1845</v>
      </c>
      <c r="V202" s="342" t="s">
        <v>1830</v>
      </c>
      <c r="W202" s="342" t="s">
        <v>1831</v>
      </c>
      <c r="X202" s="342" t="s">
        <v>69</v>
      </c>
      <c r="Y202" s="349" t="s">
        <v>1846</v>
      </c>
      <c r="Z202" s="342" t="s">
        <v>71</v>
      </c>
      <c r="AA202" s="342" t="s">
        <v>72</v>
      </c>
      <c r="AB202" s="342" t="s">
        <v>73</v>
      </c>
      <c r="AC202" s="342" t="s">
        <v>74</v>
      </c>
      <c r="AD202" s="342"/>
      <c r="AE202" s="342" t="s">
        <v>1847</v>
      </c>
      <c r="AF202" s="349" t="s">
        <v>3770</v>
      </c>
      <c r="AG202" s="342" t="s">
        <v>74</v>
      </c>
      <c r="AH202" s="342" t="s">
        <v>76</v>
      </c>
      <c r="AI202" s="342" t="s">
        <v>74</v>
      </c>
      <c r="AJ202" s="342" t="s">
        <v>77</v>
      </c>
      <c r="AK202" s="342" t="s">
        <v>97</v>
      </c>
      <c r="AL202" s="342" t="s">
        <v>79</v>
      </c>
      <c r="AM202" s="342" t="s">
        <v>74</v>
      </c>
      <c r="AN202" s="342"/>
      <c r="AO202" s="342" t="s">
        <v>1848</v>
      </c>
      <c r="AP202" s="342" t="s">
        <v>81</v>
      </c>
      <c r="AQ202" s="349" t="s">
        <v>210</v>
      </c>
      <c r="AR202" s="342" t="s">
        <v>83</v>
      </c>
      <c r="AS202" s="342" t="s">
        <v>84</v>
      </c>
      <c r="AT202" s="342" t="s">
        <v>45</v>
      </c>
      <c r="AU202" s="342" t="s">
        <v>85</v>
      </c>
      <c r="AV202" s="342"/>
      <c r="AW202" s="342"/>
      <c r="AX202" s="343" t="str">
        <f>IF(OR(Tableau3[[#This Row],[Option GTR]]&lt;&gt;"",Tableau3[[#This Row],[GTR spécifique]]&lt;&gt;""),"GTRS1","GTRS2")</f>
        <v>GTRS2</v>
      </c>
      <c r="AY202" s="342" t="s">
        <v>86</v>
      </c>
      <c r="AZ202" s="342"/>
      <c r="BA202" s="342" t="s">
        <v>1849</v>
      </c>
    </row>
    <row r="203" spans="1:53" s="326" customFormat="1" ht="18.149999999999999" customHeight="1" x14ac:dyDescent="0.3">
      <c r="A203" s="340" t="s">
        <v>53</v>
      </c>
      <c r="B203" s="340" t="s">
        <v>54</v>
      </c>
      <c r="C203" s="340" t="s">
        <v>932</v>
      </c>
      <c r="D203" s="340" t="s">
        <v>56</v>
      </c>
      <c r="E203" s="340" t="s">
        <v>57</v>
      </c>
      <c r="F203" s="340" t="s">
        <v>58</v>
      </c>
      <c r="G203" s="340" t="s">
        <v>59</v>
      </c>
      <c r="H203" s="340" t="s">
        <v>60</v>
      </c>
      <c r="I203" s="340" t="s">
        <v>61</v>
      </c>
      <c r="J203" s="340" t="s">
        <v>1850</v>
      </c>
      <c r="K203" s="340" t="s">
        <v>1851</v>
      </c>
      <c r="L203" s="345" t="str">
        <f>VLOOKUP(K203,'20260309 suivi sites'!F:F,1,0)</f>
        <v>69VENI011AOG</v>
      </c>
      <c r="M203" s="340" t="s">
        <v>64</v>
      </c>
      <c r="N203" s="340" t="s">
        <v>771</v>
      </c>
      <c r="O203" s="340" t="s">
        <v>64</v>
      </c>
      <c r="P203" s="338">
        <v>45910</v>
      </c>
      <c r="Q203" s="341">
        <v>45910</v>
      </c>
      <c r="R203" s="347" t="b">
        <f t="shared" si="7"/>
        <v>1</v>
      </c>
      <c r="S203" s="347" t="str">
        <f t="shared" si="6"/>
        <v>création</v>
      </c>
      <c r="T203" s="342" t="s">
        <v>56</v>
      </c>
      <c r="U203" s="342" t="s">
        <v>1852</v>
      </c>
      <c r="V203" s="342" t="s">
        <v>1853</v>
      </c>
      <c r="W203" s="342" t="s">
        <v>1854</v>
      </c>
      <c r="X203" s="342" t="s">
        <v>69</v>
      </c>
      <c r="Y203" s="349" t="s">
        <v>1855</v>
      </c>
      <c r="Z203" s="342" t="s">
        <v>71</v>
      </c>
      <c r="AA203" s="342" t="s">
        <v>72</v>
      </c>
      <c r="AB203" s="342" t="s">
        <v>73</v>
      </c>
      <c r="AC203" s="342" t="s">
        <v>74</v>
      </c>
      <c r="AD203" s="342"/>
      <c r="AE203" s="342" t="s">
        <v>1856</v>
      </c>
      <c r="AF203" s="349" t="s">
        <v>3769</v>
      </c>
      <c r="AG203" s="342" t="s">
        <v>74</v>
      </c>
      <c r="AH203" s="342" t="s">
        <v>76</v>
      </c>
      <c r="AI203" s="342" t="s">
        <v>74</v>
      </c>
      <c r="AJ203" s="342" t="s">
        <v>77</v>
      </c>
      <c r="AK203" s="342" t="s">
        <v>78</v>
      </c>
      <c r="AL203" s="342" t="s">
        <v>79</v>
      </c>
      <c r="AM203" s="342" t="s">
        <v>74</v>
      </c>
      <c r="AN203" s="342"/>
      <c r="AO203" s="342" t="s">
        <v>1857</v>
      </c>
      <c r="AP203" s="342" t="s">
        <v>81</v>
      </c>
      <c r="AQ203" s="349" t="s">
        <v>200</v>
      </c>
      <c r="AR203" s="342" t="s">
        <v>83</v>
      </c>
      <c r="AS203" s="342" t="s">
        <v>84</v>
      </c>
      <c r="AT203" s="342" t="s">
        <v>45</v>
      </c>
      <c r="AU203" s="342" t="s">
        <v>85</v>
      </c>
      <c r="AV203" s="342"/>
      <c r="AW203" s="342"/>
      <c r="AX203" s="343" t="str">
        <f>IF(OR(Tableau3[[#This Row],[Option GTR]]&lt;&gt;"",Tableau3[[#This Row],[GTR spécifique]]&lt;&gt;""),"GTRS1","GTRS2")</f>
        <v>GTRS2</v>
      </c>
      <c r="AY203" s="342" t="s">
        <v>86</v>
      </c>
      <c r="AZ203" s="342"/>
      <c r="BA203" s="342" t="s">
        <v>1858</v>
      </c>
    </row>
    <row r="204" spans="1:53" s="326" customFormat="1" ht="18.149999999999999" customHeight="1" x14ac:dyDescent="0.3">
      <c r="A204" s="340" t="s">
        <v>53</v>
      </c>
      <c r="B204" s="340" t="s">
        <v>54</v>
      </c>
      <c r="C204" s="340" t="s">
        <v>932</v>
      </c>
      <c r="D204" s="340" t="s">
        <v>56</v>
      </c>
      <c r="E204" s="340" t="s">
        <v>57</v>
      </c>
      <c r="F204" s="340" t="s">
        <v>58</v>
      </c>
      <c r="G204" s="340" t="s">
        <v>59</v>
      </c>
      <c r="H204" s="340" t="s">
        <v>60</v>
      </c>
      <c r="I204" s="340" t="s">
        <v>61</v>
      </c>
      <c r="J204" s="340" t="s">
        <v>1859</v>
      </c>
      <c r="K204" s="340" t="s">
        <v>1860</v>
      </c>
      <c r="L204" s="345" t="str">
        <f>VLOOKUP(K204,'20260309 suivi sites'!F:F,1,0)</f>
        <v>44NANT051AOB</v>
      </c>
      <c r="M204" s="340" t="s">
        <v>64</v>
      </c>
      <c r="N204" s="340" t="s">
        <v>65</v>
      </c>
      <c r="O204" s="340" t="s">
        <v>64</v>
      </c>
      <c r="P204" s="338">
        <v>45803</v>
      </c>
      <c r="Q204" s="341">
        <v>45869</v>
      </c>
      <c r="R204" s="347" t="b">
        <f t="shared" si="7"/>
        <v>0</v>
      </c>
      <c r="S204" s="347" t="str">
        <f t="shared" si="6"/>
        <v>change</v>
      </c>
      <c r="T204" s="342" t="s">
        <v>56</v>
      </c>
      <c r="U204" s="342" t="s">
        <v>1861</v>
      </c>
      <c r="V204" s="342" t="s">
        <v>1862</v>
      </c>
      <c r="W204" s="342" t="s">
        <v>569</v>
      </c>
      <c r="X204" s="342" t="s">
        <v>69</v>
      </c>
      <c r="Y204" s="349" t="s">
        <v>1863</v>
      </c>
      <c r="Z204" s="342" t="s">
        <v>71</v>
      </c>
      <c r="AA204" s="342" t="s">
        <v>218</v>
      </c>
      <c r="AB204" s="342" t="s">
        <v>152</v>
      </c>
      <c r="AC204" s="342" t="s">
        <v>74</v>
      </c>
      <c r="AD204" s="342"/>
      <c r="AE204" s="342" t="s">
        <v>1864</v>
      </c>
      <c r="AF204" s="349" t="s">
        <v>3767</v>
      </c>
      <c r="AG204" s="342" t="s">
        <v>74</v>
      </c>
      <c r="AH204" s="342" t="s">
        <v>76</v>
      </c>
      <c r="AI204" s="342" t="s">
        <v>74</v>
      </c>
      <c r="AJ204" s="342" t="s">
        <v>77</v>
      </c>
      <c r="AK204" s="342" t="s">
        <v>97</v>
      </c>
      <c r="AL204" s="342" t="s">
        <v>152</v>
      </c>
      <c r="AM204" s="342" t="s">
        <v>74</v>
      </c>
      <c r="AN204" s="342"/>
      <c r="AO204" s="342" t="s">
        <v>1865</v>
      </c>
      <c r="AP204" s="342" t="s">
        <v>81</v>
      </c>
      <c r="AQ204" s="349" t="s">
        <v>154</v>
      </c>
      <c r="AR204" s="342" t="s">
        <v>83</v>
      </c>
      <c r="AS204" s="342" t="s">
        <v>84</v>
      </c>
      <c r="AT204" s="342" t="s">
        <v>45</v>
      </c>
      <c r="AU204" s="342" t="s">
        <v>85</v>
      </c>
      <c r="AV204" s="342"/>
      <c r="AW204" s="342"/>
      <c r="AX204" s="343" t="str">
        <f>IF(OR(Tableau3[[#This Row],[Option GTR]]&lt;&gt;"",Tableau3[[#This Row],[GTR spécifique]]&lt;&gt;""),"GTRS1","GTRS2")</f>
        <v>GTRS2</v>
      </c>
      <c r="AY204" s="342" t="s">
        <v>481</v>
      </c>
      <c r="AZ204" s="342"/>
      <c r="BA204" s="342" t="s">
        <v>1866</v>
      </c>
    </row>
    <row r="205" spans="1:53" s="326" customFormat="1" ht="18.149999999999999" customHeight="1" x14ac:dyDescent="0.3">
      <c r="A205" s="340" t="s">
        <v>53</v>
      </c>
      <c r="B205" s="340" t="s">
        <v>54</v>
      </c>
      <c r="C205" s="340" t="s">
        <v>932</v>
      </c>
      <c r="D205" s="340" t="s">
        <v>56</v>
      </c>
      <c r="E205" s="340" t="s">
        <v>57</v>
      </c>
      <c r="F205" s="340" t="s">
        <v>58</v>
      </c>
      <c r="G205" s="340" t="s">
        <v>59</v>
      </c>
      <c r="H205" s="340" t="s">
        <v>60</v>
      </c>
      <c r="I205" s="340" t="s">
        <v>61</v>
      </c>
      <c r="J205" s="340" t="s">
        <v>1867</v>
      </c>
      <c r="K205" s="340" t="s">
        <v>1868</v>
      </c>
      <c r="L205" s="345" t="str">
        <f>VLOOKUP(K205,'20260309 suivi sites'!F:F,1,0)</f>
        <v>13MARS101AOG</v>
      </c>
      <c r="M205" s="340" t="s">
        <v>64</v>
      </c>
      <c r="N205" s="340" t="s">
        <v>771</v>
      </c>
      <c r="O205" s="340" t="s">
        <v>64</v>
      </c>
      <c r="P205" s="338">
        <v>45741</v>
      </c>
      <c r="Q205" s="341">
        <v>45741</v>
      </c>
      <c r="R205" s="347" t="b">
        <f t="shared" si="7"/>
        <v>1</v>
      </c>
      <c r="S205" s="347" t="str">
        <f t="shared" si="6"/>
        <v>création</v>
      </c>
      <c r="T205" s="342" t="s">
        <v>56</v>
      </c>
      <c r="U205" s="342" t="s">
        <v>1869</v>
      </c>
      <c r="V205" s="342" t="s">
        <v>1870</v>
      </c>
      <c r="W205" s="342" t="s">
        <v>305</v>
      </c>
      <c r="X205" s="342" t="s">
        <v>69</v>
      </c>
      <c r="Y205" s="349" t="s">
        <v>1871</v>
      </c>
      <c r="Z205" s="342" t="s">
        <v>71</v>
      </c>
      <c r="AA205" s="342" t="s">
        <v>72</v>
      </c>
      <c r="AB205" s="342" t="s">
        <v>73</v>
      </c>
      <c r="AC205" s="342" t="s">
        <v>74</v>
      </c>
      <c r="AD205" s="342"/>
      <c r="AE205" s="342" t="s">
        <v>1872</v>
      </c>
      <c r="AF205" s="349" t="s">
        <v>3763</v>
      </c>
      <c r="AG205" s="342" t="s">
        <v>74</v>
      </c>
      <c r="AH205" s="342" t="s">
        <v>76</v>
      </c>
      <c r="AI205" s="342" t="s">
        <v>74</v>
      </c>
      <c r="AJ205" s="342" t="s">
        <v>77</v>
      </c>
      <c r="AK205" s="342" t="s">
        <v>78</v>
      </c>
      <c r="AL205" s="342" t="s">
        <v>79</v>
      </c>
      <c r="AM205" s="342" t="s">
        <v>74</v>
      </c>
      <c r="AN205" s="342"/>
      <c r="AO205" s="342" t="s">
        <v>1873</v>
      </c>
      <c r="AP205" s="342" t="s">
        <v>81</v>
      </c>
      <c r="AQ205" s="349" t="s">
        <v>82</v>
      </c>
      <c r="AR205" s="342" t="s">
        <v>83</v>
      </c>
      <c r="AS205" s="342" t="s">
        <v>84</v>
      </c>
      <c r="AT205" s="342" t="s">
        <v>45</v>
      </c>
      <c r="AU205" s="342" t="s">
        <v>85</v>
      </c>
      <c r="AV205" s="342"/>
      <c r="AW205" s="342"/>
      <c r="AX205" s="343" t="str">
        <f>IF(OR(Tableau3[[#This Row],[Option GTR]]&lt;&gt;"",Tableau3[[#This Row],[GTR spécifique]]&lt;&gt;""),"GTRS1","GTRS2")</f>
        <v>GTRS2</v>
      </c>
      <c r="AY205" s="342" t="s">
        <v>86</v>
      </c>
      <c r="AZ205" s="342"/>
      <c r="BA205" s="342" t="s">
        <v>1874</v>
      </c>
    </row>
    <row r="206" spans="1:53" s="326" customFormat="1" ht="18.149999999999999" customHeight="1" x14ac:dyDescent="0.3">
      <c r="A206" s="340" t="s">
        <v>53</v>
      </c>
      <c r="B206" s="340" t="s">
        <v>54</v>
      </c>
      <c r="C206" s="340" t="s">
        <v>932</v>
      </c>
      <c r="D206" s="340" t="s">
        <v>56</v>
      </c>
      <c r="E206" s="340" t="s">
        <v>57</v>
      </c>
      <c r="F206" s="340" t="s">
        <v>58</v>
      </c>
      <c r="G206" s="340" t="s">
        <v>59</v>
      </c>
      <c r="H206" s="340" t="s">
        <v>60</v>
      </c>
      <c r="I206" s="340" t="s">
        <v>61</v>
      </c>
      <c r="J206" s="340" t="s">
        <v>1875</v>
      </c>
      <c r="K206" s="340" t="s">
        <v>1876</v>
      </c>
      <c r="L206" s="345" t="str">
        <f>VLOOKUP(K206,'20260309 suivi sites'!F:F,1,0)</f>
        <v>44STLU011AOG</v>
      </c>
      <c r="M206" s="340" t="s">
        <v>64</v>
      </c>
      <c r="N206" s="340" t="s">
        <v>771</v>
      </c>
      <c r="O206" s="340" t="s">
        <v>64</v>
      </c>
      <c r="P206" s="338">
        <v>45764</v>
      </c>
      <c r="Q206" s="341">
        <v>45764</v>
      </c>
      <c r="R206" s="347" t="b">
        <f t="shared" si="7"/>
        <v>1</v>
      </c>
      <c r="S206" s="347" t="str">
        <f t="shared" si="6"/>
        <v>création</v>
      </c>
      <c r="T206" s="342" t="s">
        <v>56</v>
      </c>
      <c r="U206" s="342" t="s">
        <v>1877</v>
      </c>
      <c r="V206" s="342" t="s">
        <v>1878</v>
      </c>
      <c r="W206" s="342" t="s">
        <v>1879</v>
      </c>
      <c r="X206" s="342" t="s">
        <v>69</v>
      </c>
      <c r="Y206" s="349" t="s">
        <v>1880</v>
      </c>
      <c r="Z206" s="342" t="s">
        <v>71</v>
      </c>
      <c r="AA206" s="342" t="s">
        <v>72</v>
      </c>
      <c r="AB206" s="342" t="s">
        <v>73</v>
      </c>
      <c r="AC206" s="342" t="s">
        <v>74</v>
      </c>
      <c r="AD206" s="342"/>
      <c r="AE206" s="342" t="s">
        <v>1881</v>
      </c>
      <c r="AF206" s="349" t="s">
        <v>3771</v>
      </c>
      <c r="AG206" s="342" t="s">
        <v>74</v>
      </c>
      <c r="AH206" s="342" t="s">
        <v>76</v>
      </c>
      <c r="AI206" s="342" t="s">
        <v>74</v>
      </c>
      <c r="AJ206" s="342" t="s">
        <v>77</v>
      </c>
      <c r="AK206" s="342" t="s">
        <v>97</v>
      </c>
      <c r="AL206" s="342" t="s">
        <v>79</v>
      </c>
      <c r="AM206" s="342" t="s">
        <v>74</v>
      </c>
      <c r="AN206" s="342"/>
      <c r="AO206" s="342" t="s">
        <v>1882</v>
      </c>
      <c r="AP206" s="342" t="s">
        <v>81</v>
      </c>
      <c r="AQ206" s="349" t="s">
        <v>222</v>
      </c>
      <c r="AR206" s="342" t="s">
        <v>83</v>
      </c>
      <c r="AS206" s="342" t="s">
        <v>84</v>
      </c>
      <c r="AT206" s="342" t="s">
        <v>45</v>
      </c>
      <c r="AU206" s="342" t="s">
        <v>85</v>
      </c>
      <c r="AV206" s="342"/>
      <c r="AW206" s="342"/>
      <c r="AX206" s="343" t="str">
        <f>IF(OR(Tableau3[[#This Row],[Option GTR]]&lt;&gt;"",Tableau3[[#This Row],[GTR spécifique]]&lt;&gt;""),"GTRS1","GTRS2")</f>
        <v>GTRS2</v>
      </c>
      <c r="AY206" s="342" t="s">
        <v>86</v>
      </c>
      <c r="AZ206" s="342"/>
      <c r="BA206" s="342" t="s">
        <v>1883</v>
      </c>
    </row>
    <row r="207" spans="1:53" s="326" customFormat="1" ht="18.149999999999999" customHeight="1" x14ac:dyDescent="0.3">
      <c r="A207" s="340" t="s">
        <v>53</v>
      </c>
      <c r="B207" s="340" t="s">
        <v>54</v>
      </c>
      <c r="C207" s="340" t="s">
        <v>932</v>
      </c>
      <c r="D207" s="340" t="s">
        <v>56</v>
      </c>
      <c r="E207" s="340" t="s">
        <v>57</v>
      </c>
      <c r="F207" s="340" t="s">
        <v>58</v>
      </c>
      <c r="G207" s="340" t="s">
        <v>59</v>
      </c>
      <c r="H207" s="340" t="s">
        <v>60</v>
      </c>
      <c r="I207" s="340" t="s">
        <v>61</v>
      </c>
      <c r="J207" s="340" t="s">
        <v>1884</v>
      </c>
      <c r="K207" s="340" t="s">
        <v>1885</v>
      </c>
      <c r="L207" s="345" t="str">
        <f>VLOOKUP(K207,'20260309 suivi sites'!F:F,1,0)</f>
        <v>05ESPI013AOB</v>
      </c>
      <c r="M207" s="340" t="s">
        <v>64</v>
      </c>
      <c r="N207" s="340" t="s">
        <v>65</v>
      </c>
      <c r="O207" s="340" t="s">
        <v>64</v>
      </c>
      <c r="P207" s="338">
        <v>45812</v>
      </c>
      <c r="Q207" s="341">
        <v>45812</v>
      </c>
      <c r="R207" s="347" t="b">
        <f t="shared" si="7"/>
        <v>1</v>
      </c>
      <c r="S207" s="347" t="str">
        <f t="shared" si="6"/>
        <v>création</v>
      </c>
      <c r="T207" s="342" t="s">
        <v>56</v>
      </c>
      <c r="U207" s="342" t="s">
        <v>807</v>
      </c>
      <c r="V207" s="342" t="s">
        <v>1886</v>
      </c>
      <c r="W207" s="342" t="s">
        <v>1887</v>
      </c>
      <c r="X207" s="342" t="s">
        <v>69</v>
      </c>
      <c r="Y207" s="349" t="s">
        <v>1888</v>
      </c>
      <c r="Z207" s="342" t="s">
        <v>71</v>
      </c>
      <c r="AA207" s="342" t="s">
        <v>218</v>
      </c>
      <c r="AB207" s="342" t="s">
        <v>152</v>
      </c>
      <c r="AC207" s="342" t="s">
        <v>74</v>
      </c>
      <c r="AD207" s="342"/>
      <c r="AE207" s="342" t="s">
        <v>1889</v>
      </c>
      <c r="AF207" s="349" t="s">
        <v>3770</v>
      </c>
      <c r="AG207" s="342" t="s">
        <v>74</v>
      </c>
      <c r="AH207" s="342" t="s">
        <v>76</v>
      </c>
      <c r="AI207" s="342" t="s">
        <v>74</v>
      </c>
      <c r="AJ207" s="342" t="s">
        <v>77</v>
      </c>
      <c r="AK207" s="342" t="s">
        <v>97</v>
      </c>
      <c r="AL207" s="342" t="s">
        <v>152</v>
      </c>
      <c r="AM207" s="342" t="s">
        <v>74</v>
      </c>
      <c r="AN207" s="342"/>
      <c r="AO207" s="342" t="s">
        <v>1890</v>
      </c>
      <c r="AP207" s="342" t="s">
        <v>81</v>
      </c>
      <c r="AQ207" s="349" t="s">
        <v>210</v>
      </c>
      <c r="AR207" s="342" t="s">
        <v>83</v>
      </c>
      <c r="AS207" s="342" t="s">
        <v>84</v>
      </c>
      <c r="AT207" s="342" t="s">
        <v>45</v>
      </c>
      <c r="AU207" s="342" t="s">
        <v>85</v>
      </c>
      <c r="AV207" s="342"/>
      <c r="AW207" s="342"/>
      <c r="AX207" s="343" t="str">
        <f>IF(OR(Tableau3[[#This Row],[Option GTR]]&lt;&gt;"",Tableau3[[#This Row],[GTR spécifique]]&lt;&gt;""),"GTRS1","GTRS2")</f>
        <v>GTRS2</v>
      </c>
      <c r="AY207" s="342" t="s">
        <v>355</v>
      </c>
      <c r="AZ207" s="342"/>
      <c r="BA207" s="344" t="s">
        <v>1891</v>
      </c>
    </row>
    <row r="208" spans="1:53" s="326" customFormat="1" ht="18.149999999999999" customHeight="1" x14ac:dyDescent="0.3">
      <c r="A208" s="340" t="s">
        <v>53</v>
      </c>
      <c r="B208" s="340" t="s">
        <v>54</v>
      </c>
      <c r="C208" s="340" t="s">
        <v>932</v>
      </c>
      <c r="D208" s="340" t="s">
        <v>56</v>
      </c>
      <c r="E208" s="340" t="s">
        <v>57</v>
      </c>
      <c r="F208" s="340" t="s">
        <v>58</v>
      </c>
      <c r="G208" s="340" t="s">
        <v>59</v>
      </c>
      <c r="H208" s="340" t="s">
        <v>60</v>
      </c>
      <c r="I208" s="340" t="s">
        <v>61</v>
      </c>
      <c r="J208" s="340" t="s">
        <v>1892</v>
      </c>
      <c r="K208" s="340" t="s">
        <v>1893</v>
      </c>
      <c r="L208" s="345" t="str">
        <f>VLOOKUP(K208,'20260309 suivi sites'!F:F,1,0)</f>
        <v>59DUNK011AOB</v>
      </c>
      <c r="M208" s="340" t="s">
        <v>64</v>
      </c>
      <c r="N208" s="340" t="s">
        <v>771</v>
      </c>
      <c r="O208" s="340" t="s">
        <v>64</v>
      </c>
      <c r="P208" s="338">
        <v>45896</v>
      </c>
      <c r="Q208" s="341">
        <v>45896</v>
      </c>
      <c r="R208" s="347" t="b">
        <f t="shared" si="7"/>
        <v>1</v>
      </c>
      <c r="S208" s="347" t="str">
        <f t="shared" si="6"/>
        <v>création</v>
      </c>
      <c r="T208" s="342" t="s">
        <v>56</v>
      </c>
      <c r="U208" s="342" t="s">
        <v>1894</v>
      </c>
      <c r="V208" s="342" t="s">
        <v>1895</v>
      </c>
      <c r="W208" s="342" t="s">
        <v>1896</v>
      </c>
      <c r="X208" s="342" t="s">
        <v>69</v>
      </c>
      <c r="Y208" s="349" t="s">
        <v>1897</v>
      </c>
      <c r="Z208" s="342" t="s">
        <v>71</v>
      </c>
      <c r="AA208" s="342" t="s">
        <v>218</v>
      </c>
      <c r="AB208" s="342" t="s">
        <v>152</v>
      </c>
      <c r="AC208" s="342" t="s">
        <v>74</v>
      </c>
      <c r="AD208" s="342"/>
      <c r="AE208" s="342" t="s">
        <v>1898</v>
      </c>
      <c r="AF208" s="349" t="s">
        <v>3766</v>
      </c>
      <c r="AG208" s="342" t="s">
        <v>74</v>
      </c>
      <c r="AH208" s="342" t="s">
        <v>76</v>
      </c>
      <c r="AI208" s="342" t="s">
        <v>74</v>
      </c>
      <c r="AJ208" s="342" t="s">
        <v>77</v>
      </c>
      <c r="AK208" s="342" t="s">
        <v>97</v>
      </c>
      <c r="AL208" s="342" t="s">
        <v>152</v>
      </c>
      <c r="AM208" s="342" t="s">
        <v>74</v>
      </c>
      <c r="AN208" s="342"/>
      <c r="AO208" s="342" t="s">
        <v>1899</v>
      </c>
      <c r="AP208" s="342" t="s">
        <v>81</v>
      </c>
      <c r="AQ208" s="349" t="s">
        <v>142</v>
      </c>
      <c r="AR208" s="342" t="s">
        <v>83</v>
      </c>
      <c r="AS208" s="342" t="s">
        <v>84</v>
      </c>
      <c r="AT208" s="342" t="s">
        <v>45</v>
      </c>
      <c r="AU208" s="342" t="s">
        <v>85</v>
      </c>
      <c r="AV208" s="342"/>
      <c r="AW208" s="342"/>
      <c r="AX208" s="343" t="str">
        <f>IF(OR(Tableau3[[#This Row],[Option GTR]]&lt;&gt;"",Tableau3[[#This Row],[GTR spécifique]]&lt;&gt;""),"GTRS1","GTRS2")</f>
        <v>GTRS2</v>
      </c>
      <c r="AY208" s="342" t="s">
        <v>481</v>
      </c>
      <c r="AZ208" s="342"/>
      <c r="BA208" s="342" t="s">
        <v>1900</v>
      </c>
    </row>
    <row r="209" spans="1:53" s="326" customFormat="1" ht="18.149999999999999" customHeight="1" x14ac:dyDescent="0.3">
      <c r="A209" s="340" t="s">
        <v>53</v>
      </c>
      <c r="B209" s="340" t="s">
        <v>54</v>
      </c>
      <c r="C209" s="340" t="s">
        <v>932</v>
      </c>
      <c r="D209" s="340" t="s">
        <v>56</v>
      </c>
      <c r="E209" s="340" t="s">
        <v>57</v>
      </c>
      <c r="F209" s="340" t="s">
        <v>58</v>
      </c>
      <c r="G209" s="340" t="s">
        <v>59</v>
      </c>
      <c r="H209" s="340" t="s">
        <v>60</v>
      </c>
      <c r="I209" s="340" t="s">
        <v>61</v>
      </c>
      <c r="J209" s="340" t="s">
        <v>1901</v>
      </c>
      <c r="K209" s="340" t="s">
        <v>1902</v>
      </c>
      <c r="L209" s="345" t="str">
        <f>VLOOKUP(K209,'20260309 suivi sites'!F:F,1,0)</f>
        <v>37AVOI021AOB</v>
      </c>
      <c r="M209" s="340" t="s">
        <v>64</v>
      </c>
      <c r="N209" s="340" t="s">
        <v>771</v>
      </c>
      <c r="O209" s="340" t="s">
        <v>64</v>
      </c>
      <c r="P209" s="338">
        <v>45945</v>
      </c>
      <c r="Q209" s="341">
        <v>45945</v>
      </c>
      <c r="R209" s="347" t="b">
        <f t="shared" si="7"/>
        <v>1</v>
      </c>
      <c r="S209" s="347" t="str">
        <f t="shared" si="6"/>
        <v>création</v>
      </c>
      <c r="T209" s="342" t="s">
        <v>56</v>
      </c>
      <c r="U209" s="342" t="s">
        <v>1903</v>
      </c>
      <c r="V209" s="342" t="s">
        <v>1648</v>
      </c>
      <c r="W209" s="342" t="s">
        <v>1904</v>
      </c>
      <c r="X209" s="342" t="s">
        <v>69</v>
      </c>
      <c r="Y209" s="349" t="s">
        <v>1905</v>
      </c>
      <c r="Z209" s="342" t="s">
        <v>71</v>
      </c>
      <c r="AA209" s="342" t="s">
        <v>218</v>
      </c>
      <c r="AB209" s="342" t="s">
        <v>152</v>
      </c>
      <c r="AC209" s="342" t="s">
        <v>74</v>
      </c>
      <c r="AD209" s="342"/>
      <c r="AE209" s="342" t="s">
        <v>1906</v>
      </c>
      <c r="AF209" s="349" t="s">
        <v>3770</v>
      </c>
      <c r="AG209" s="342" t="s">
        <v>74</v>
      </c>
      <c r="AH209" s="342" t="s">
        <v>76</v>
      </c>
      <c r="AI209" s="342" t="s">
        <v>74</v>
      </c>
      <c r="AJ209" s="342" t="s">
        <v>77</v>
      </c>
      <c r="AK209" s="342" t="s">
        <v>97</v>
      </c>
      <c r="AL209" s="342" t="s">
        <v>152</v>
      </c>
      <c r="AM209" s="342" t="s">
        <v>74</v>
      </c>
      <c r="AN209" s="342"/>
      <c r="AO209" s="342" t="s">
        <v>1907</v>
      </c>
      <c r="AP209" s="342" t="s">
        <v>81</v>
      </c>
      <c r="AQ209" s="349" t="s">
        <v>210</v>
      </c>
      <c r="AR209" s="342" t="s">
        <v>83</v>
      </c>
      <c r="AS209" s="342" t="s">
        <v>84</v>
      </c>
      <c r="AT209" s="342" t="s">
        <v>45</v>
      </c>
      <c r="AU209" s="342" t="s">
        <v>85</v>
      </c>
      <c r="AV209" s="342"/>
      <c r="AW209" s="342"/>
      <c r="AX209" s="343" t="str">
        <f>IF(OR(Tableau3[[#This Row],[Option GTR]]&lt;&gt;"",Tableau3[[#This Row],[GTR spécifique]]&lt;&gt;""),"GTRS1","GTRS2")</f>
        <v>GTRS2</v>
      </c>
      <c r="AY209" s="342" t="s">
        <v>355</v>
      </c>
      <c r="AZ209" s="342"/>
      <c r="BA209" s="342" t="s">
        <v>1908</v>
      </c>
    </row>
    <row r="210" spans="1:53" s="326" customFormat="1" ht="18.149999999999999" customHeight="1" x14ac:dyDescent="0.3">
      <c r="A210" s="340" t="s">
        <v>53</v>
      </c>
      <c r="B210" s="340" t="s">
        <v>54</v>
      </c>
      <c r="C210" s="340" t="s">
        <v>932</v>
      </c>
      <c r="D210" s="340" t="s">
        <v>56</v>
      </c>
      <c r="E210" s="340" t="s">
        <v>57</v>
      </c>
      <c r="F210" s="340" t="s">
        <v>58</v>
      </c>
      <c r="G210" s="340" t="s">
        <v>59</v>
      </c>
      <c r="H210" s="340" t="s">
        <v>60</v>
      </c>
      <c r="I210" s="340" t="s">
        <v>61</v>
      </c>
      <c r="J210" s="340" t="s">
        <v>1909</v>
      </c>
      <c r="K210" s="340" t="s">
        <v>1910</v>
      </c>
      <c r="L210" s="345" t="e">
        <f>VLOOKUP(K210,'20260309 suivi sites'!F:F,1,0)</f>
        <v>#N/A</v>
      </c>
      <c r="M210" s="340" t="s">
        <v>1774</v>
      </c>
      <c r="N210" s="340" t="s">
        <v>771</v>
      </c>
      <c r="O210" s="340" t="s">
        <v>104</v>
      </c>
      <c r="P210" s="338"/>
      <c r="Q210" s="341"/>
      <c r="R210" s="347" t="b">
        <f t="shared" si="7"/>
        <v>1</v>
      </c>
      <c r="S210" s="347" t="str">
        <f t="shared" si="6"/>
        <v>création</v>
      </c>
      <c r="T210" s="342" t="s">
        <v>56</v>
      </c>
      <c r="U210" s="342" t="s">
        <v>1911</v>
      </c>
      <c r="V210" s="342" t="s">
        <v>1912</v>
      </c>
      <c r="W210" s="342" t="s">
        <v>1913</v>
      </c>
      <c r="X210" s="342" t="s">
        <v>69</v>
      </c>
      <c r="Y210" s="349" t="s">
        <v>1914</v>
      </c>
      <c r="Z210" s="342" t="s">
        <v>71</v>
      </c>
      <c r="AA210" s="342" t="s">
        <v>72</v>
      </c>
      <c r="AB210" s="342" t="s">
        <v>73</v>
      </c>
      <c r="AC210" s="342" t="s">
        <v>74</v>
      </c>
      <c r="AD210" s="342"/>
      <c r="AE210" s="342" t="s">
        <v>1915</v>
      </c>
      <c r="AF210" s="349" t="s">
        <v>3766</v>
      </c>
      <c r="AG210" s="342" t="s">
        <v>74</v>
      </c>
      <c r="AH210" s="342" t="s">
        <v>76</v>
      </c>
      <c r="AI210" s="342" t="s">
        <v>76</v>
      </c>
      <c r="AJ210" s="342" t="s">
        <v>140</v>
      </c>
      <c r="AK210" s="342" t="s">
        <v>97</v>
      </c>
      <c r="AL210" s="342" t="s">
        <v>79</v>
      </c>
      <c r="AM210" s="342" t="s">
        <v>74</v>
      </c>
      <c r="AN210" s="342"/>
      <c r="AO210" s="342" t="s">
        <v>1916</v>
      </c>
      <c r="AP210" s="342" t="s">
        <v>81</v>
      </c>
      <c r="AQ210" s="349" t="s">
        <v>142</v>
      </c>
      <c r="AR210" s="342" t="s">
        <v>83</v>
      </c>
      <c r="AS210" s="342" t="s">
        <v>84</v>
      </c>
      <c r="AT210" s="342" t="s">
        <v>45</v>
      </c>
      <c r="AU210" s="342" t="s">
        <v>85</v>
      </c>
      <c r="AV210" s="342"/>
      <c r="AW210" s="342"/>
      <c r="AX210" s="343" t="str">
        <f>IF(OR(Tableau3[[#This Row],[Option GTR]]&lt;&gt;"",Tableau3[[#This Row],[GTR spécifique]]&lt;&gt;""),"GTRS1","GTRS2")</f>
        <v>GTRS2</v>
      </c>
      <c r="AY210" s="342" t="s">
        <v>143</v>
      </c>
      <c r="AZ210" s="342"/>
      <c r="BA210" s="342" t="s">
        <v>1917</v>
      </c>
    </row>
    <row r="211" spans="1:53" s="326" customFormat="1" ht="18.149999999999999" customHeight="1" x14ac:dyDescent="0.3">
      <c r="A211" s="340" t="s">
        <v>53</v>
      </c>
      <c r="B211" s="340" t="s">
        <v>54</v>
      </c>
      <c r="C211" s="340" t="s">
        <v>932</v>
      </c>
      <c r="D211" s="340" t="s">
        <v>56</v>
      </c>
      <c r="E211" s="340" t="s">
        <v>57</v>
      </c>
      <c r="F211" s="340" t="s">
        <v>58</v>
      </c>
      <c r="G211" s="340" t="s">
        <v>59</v>
      </c>
      <c r="H211" s="340" t="s">
        <v>60</v>
      </c>
      <c r="I211" s="340" t="s">
        <v>61</v>
      </c>
      <c r="J211" s="340" t="s">
        <v>1918</v>
      </c>
      <c r="K211" s="340" t="s">
        <v>1919</v>
      </c>
      <c r="L211" s="345" t="e">
        <f>VLOOKUP(K211,'20260309 suivi sites'!F:F,1,0)</f>
        <v>#N/A</v>
      </c>
      <c r="M211" s="340" t="s">
        <v>1774</v>
      </c>
      <c r="N211" s="340" t="s">
        <v>65</v>
      </c>
      <c r="O211" s="340" t="s">
        <v>104</v>
      </c>
      <c r="P211" s="338"/>
      <c r="Q211" s="341"/>
      <c r="R211" s="347" t="b">
        <f t="shared" si="7"/>
        <v>1</v>
      </c>
      <c r="S211" s="347" t="str">
        <f t="shared" si="6"/>
        <v>création</v>
      </c>
      <c r="T211" s="342" t="s">
        <v>56</v>
      </c>
      <c r="U211" s="342" t="s">
        <v>1920</v>
      </c>
      <c r="V211" s="342" t="s">
        <v>1921</v>
      </c>
      <c r="W211" s="342" t="s">
        <v>1922</v>
      </c>
      <c r="X211" s="342" t="s">
        <v>69</v>
      </c>
      <c r="Y211" s="349" t="s">
        <v>1923</v>
      </c>
      <c r="Z211" s="342" t="s">
        <v>71</v>
      </c>
      <c r="AA211" s="342" t="s">
        <v>218</v>
      </c>
      <c r="AB211" s="342" t="s">
        <v>152</v>
      </c>
      <c r="AC211" s="342" t="s">
        <v>74</v>
      </c>
      <c r="AD211" s="342"/>
      <c r="AE211" s="342" t="s">
        <v>1924</v>
      </c>
      <c r="AF211" s="349" t="s">
        <v>3771</v>
      </c>
      <c r="AG211" s="342" t="s">
        <v>74</v>
      </c>
      <c r="AH211" s="342" t="s">
        <v>76</v>
      </c>
      <c r="AI211" s="342" t="s">
        <v>74</v>
      </c>
      <c r="AJ211" s="342" t="s">
        <v>77</v>
      </c>
      <c r="AK211" s="342" t="s">
        <v>220</v>
      </c>
      <c r="AL211" s="342" t="s">
        <v>79</v>
      </c>
      <c r="AM211" s="342" t="s">
        <v>74</v>
      </c>
      <c r="AN211" s="342"/>
      <c r="AO211" s="342" t="s">
        <v>1925</v>
      </c>
      <c r="AP211" s="342" t="s">
        <v>81</v>
      </c>
      <c r="AQ211" s="349" t="s">
        <v>222</v>
      </c>
      <c r="AR211" s="342" t="s">
        <v>83</v>
      </c>
      <c r="AS211" s="342" t="s">
        <v>84</v>
      </c>
      <c r="AT211" s="342" t="s">
        <v>45</v>
      </c>
      <c r="AU211" s="342" t="s">
        <v>85</v>
      </c>
      <c r="AV211" s="342"/>
      <c r="AW211" s="342"/>
      <c r="AX211" s="343" t="str">
        <f>IF(OR(Tableau3[[#This Row],[Option GTR]]&lt;&gt;"",Tableau3[[#This Row],[GTR spécifique]]&lt;&gt;""),"GTRS1","GTRS2")</f>
        <v>GTRS2</v>
      </c>
      <c r="AY211" s="342" t="s">
        <v>223</v>
      </c>
      <c r="AZ211" s="342"/>
      <c r="BA211" s="344" t="s">
        <v>1926</v>
      </c>
    </row>
    <row r="212" spans="1:53" s="326" customFormat="1" ht="18.149999999999999" customHeight="1" x14ac:dyDescent="0.3">
      <c r="A212" s="340" t="s">
        <v>53</v>
      </c>
      <c r="B212" s="340" t="s">
        <v>54</v>
      </c>
      <c r="C212" s="340" t="s">
        <v>932</v>
      </c>
      <c r="D212" s="340" t="s">
        <v>56</v>
      </c>
      <c r="E212" s="340" t="s">
        <v>57</v>
      </c>
      <c r="F212" s="340" t="s">
        <v>58</v>
      </c>
      <c r="G212" s="340" t="s">
        <v>59</v>
      </c>
      <c r="H212" s="340" t="s">
        <v>60</v>
      </c>
      <c r="I212" s="340" t="s">
        <v>61</v>
      </c>
      <c r="J212" s="340" t="s">
        <v>1927</v>
      </c>
      <c r="K212" s="340" t="s">
        <v>1928</v>
      </c>
      <c r="L212" s="345" t="e">
        <f>VLOOKUP(K212,'20260309 suivi sites'!F:F,1,0)</f>
        <v>#N/A</v>
      </c>
      <c r="M212" s="340" t="s">
        <v>1774</v>
      </c>
      <c r="N212" s="340" t="s">
        <v>65</v>
      </c>
      <c r="O212" s="340" t="s">
        <v>104</v>
      </c>
      <c r="P212" s="338"/>
      <c r="Q212" s="341"/>
      <c r="R212" s="347" t="b">
        <f t="shared" si="7"/>
        <v>1</v>
      </c>
      <c r="S212" s="347" t="str">
        <f t="shared" si="6"/>
        <v>création</v>
      </c>
      <c r="T212" s="342" t="s">
        <v>61</v>
      </c>
      <c r="U212" s="342" t="s">
        <v>1929</v>
      </c>
      <c r="V212" s="342" t="s">
        <v>1930</v>
      </c>
      <c r="W212" s="342" t="s">
        <v>1931</v>
      </c>
      <c r="X212" s="342" t="s">
        <v>69</v>
      </c>
      <c r="Y212" s="349" t="s">
        <v>1932</v>
      </c>
      <c r="Z212" s="342" t="s">
        <v>71</v>
      </c>
      <c r="AA212" s="342" t="s">
        <v>218</v>
      </c>
      <c r="AB212" s="342" t="s">
        <v>152</v>
      </c>
      <c r="AC212" s="342" t="s">
        <v>74</v>
      </c>
      <c r="AD212" s="342"/>
      <c r="AE212" s="342" t="s">
        <v>1933</v>
      </c>
      <c r="AF212" s="349" t="s">
        <v>3771</v>
      </c>
      <c r="AG212" s="342" t="s">
        <v>74</v>
      </c>
      <c r="AH212" s="342" t="s">
        <v>76</v>
      </c>
      <c r="AI212" s="342" t="s">
        <v>74</v>
      </c>
      <c r="AJ212" s="342" t="s">
        <v>77</v>
      </c>
      <c r="AK212" s="342" t="s">
        <v>220</v>
      </c>
      <c r="AL212" s="342" t="s">
        <v>79</v>
      </c>
      <c r="AM212" s="342" t="s">
        <v>74</v>
      </c>
      <c r="AN212" s="342"/>
      <c r="AO212" s="342" t="s">
        <v>1934</v>
      </c>
      <c r="AP212" s="342" t="s">
        <v>81</v>
      </c>
      <c r="AQ212" s="349" t="s">
        <v>222</v>
      </c>
      <c r="AR212" s="342" t="s">
        <v>83</v>
      </c>
      <c r="AS212" s="342" t="s">
        <v>84</v>
      </c>
      <c r="AT212" s="342" t="s">
        <v>45</v>
      </c>
      <c r="AU212" s="342" t="s">
        <v>85</v>
      </c>
      <c r="AV212" s="342"/>
      <c r="AW212" s="342"/>
      <c r="AX212" s="343" t="str">
        <f>IF(OR(Tableau3[[#This Row],[Option GTR]]&lt;&gt;"",Tableau3[[#This Row],[GTR spécifique]]&lt;&gt;""),"GTRS1","GTRS2")</f>
        <v>GTRS2</v>
      </c>
      <c r="AY212" s="342" t="s">
        <v>223</v>
      </c>
      <c r="AZ212" s="342"/>
      <c r="BA212" s="344" t="s">
        <v>1935</v>
      </c>
    </row>
    <row r="213" spans="1:53" s="326" customFormat="1" ht="18.149999999999999" customHeight="1" x14ac:dyDescent="0.3">
      <c r="A213" s="340" t="s">
        <v>53</v>
      </c>
      <c r="B213" s="340" t="s">
        <v>54</v>
      </c>
      <c r="C213" s="340" t="s">
        <v>932</v>
      </c>
      <c r="D213" s="340" t="s">
        <v>56</v>
      </c>
      <c r="E213" s="340" t="s">
        <v>57</v>
      </c>
      <c r="F213" s="340" t="s">
        <v>58</v>
      </c>
      <c r="G213" s="340" t="s">
        <v>59</v>
      </c>
      <c r="H213" s="340" t="s">
        <v>60</v>
      </c>
      <c r="I213" s="340" t="s">
        <v>61</v>
      </c>
      <c r="J213" s="340" t="s">
        <v>1936</v>
      </c>
      <c r="K213" s="340" t="s">
        <v>1937</v>
      </c>
      <c r="L213" s="345" t="e">
        <f>VLOOKUP(K213,'20260309 suivi sites'!F:F,1,0)</f>
        <v>#N/A</v>
      </c>
      <c r="M213" s="340" t="s">
        <v>1774</v>
      </c>
      <c r="N213" s="340" t="s">
        <v>771</v>
      </c>
      <c r="O213" s="340" t="s">
        <v>104</v>
      </c>
      <c r="P213" s="338"/>
      <c r="Q213" s="341"/>
      <c r="R213" s="347" t="b">
        <f t="shared" si="7"/>
        <v>1</v>
      </c>
      <c r="S213" s="347" t="str">
        <f t="shared" si="6"/>
        <v>création</v>
      </c>
      <c r="T213" s="342" t="s">
        <v>56</v>
      </c>
      <c r="U213" s="342" t="s">
        <v>3784</v>
      </c>
      <c r="V213" s="342" t="s">
        <v>1629</v>
      </c>
      <c r="W213" s="342" t="s">
        <v>1308</v>
      </c>
      <c r="X213" s="342" t="s">
        <v>69</v>
      </c>
      <c r="Y213" s="349" t="s">
        <v>1938</v>
      </c>
      <c r="Z213" s="342" t="s">
        <v>71</v>
      </c>
      <c r="AA213" s="342" t="s">
        <v>72</v>
      </c>
      <c r="AB213" s="342" t="s">
        <v>73</v>
      </c>
      <c r="AC213" s="342" t="s">
        <v>74</v>
      </c>
      <c r="AD213" s="342"/>
      <c r="AE213" s="342" t="s">
        <v>1939</v>
      </c>
      <c r="AF213" s="349" t="s">
        <v>3781</v>
      </c>
      <c r="AG213" s="342" t="s">
        <v>74</v>
      </c>
      <c r="AH213" s="342" t="s">
        <v>76</v>
      </c>
      <c r="AI213" s="342" t="s">
        <v>74</v>
      </c>
      <c r="AJ213" s="342" t="s">
        <v>77</v>
      </c>
      <c r="AK213" s="342" t="s">
        <v>78</v>
      </c>
      <c r="AL213" s="342" t="s">
        <v>79</v>
      </c>
      <c r="AM213" s="342" t="s">
        <v>166</v>
      </c>
      <c r="AN213" s="342" t="s">
        <v>1940</v>
      </c>
      <c r="AO213" s="342" t="s">
        <v>1941</v>
      </c>
      <c r="AP213" s="342" t="s">
        <v>81</v>
      </c>
      <c r="AQ213" s="349" t="s">
        <v>1691</v>
      </c>
      <c r="AR213" s="342" t="s">
        <v>83</v>
      </c>
      <c r="AS213" s="342" t="s">
        <v>84</v>
      </c>
      <c r="AT213" s="342" t="s">
        <v>45</v>
      </c>
      <c r="AU213" s="342" t="s">
        <v>85</v>
      </c>
      <c r="AV213" s="342" t="s">
        <v>170</v>
      </c>
      <c r="AW213" s="342"/>
      <c r="AX213" s="343" t="str">
        <f>IF(OR(Tableau3[[#This Row],[Option GTR]]&lt;&gt;"",Tableau3[[#This Row],[GTR spécifique]]&lt;&gt;""),"GTRS1","GTRS2")</f>
        <v>GTRS1</v>
      </c>
      <c r="AY213" s="342" t="s">
        <v>86</v>
      </c>
      <c r="AZ213" s="342"/>
      <c r="BA213" s="342" t="s">
        <v>1942</v>
      </c>
    </row>
    <row r="214" spans="1:53" s="326" customFormat="1" ht="18.149999999999999" customHeight="1" x14ac:dyDescent="0.3">
      <c r="A214" s="340" t="s">
        <v>53</v>
      </c>
      <c r="B214" s="340" t="s">
        <v>54</v>
      </c>
      <c r="C214" s="340" t="s">
        <v>932</v>
      </c>
      <c r="D214" s="340" t="s">
        <v>56</v>
      </c>
      <c r="E214" s="340" t="s">
        <v>57</v>
      </c>
      <c r="F214" s="340" t="s">
        <v>58</v>
      </c>
      <c r="G214" s="340" t="s">
        <v>59</v>
      </c>
      <c r="H214" s="340" t="s">
        <v>60</v>
      </c>
      <c r="I214" s="340" t="s">
        <v>61</v>
      </c>
      <c r="J214" s="340" t="s">
        <v>3756</v>
      </c>
      <c r="K214" s="340" t="s">
        <v>3211</v>
      </c>
      <c r="L214" s="345" t="e">
        <f>VLOOKUP(K214,'20260309 suivi sites'!F:F,1,0)</f>
        <v>#N/A</v>
      </c>
      <c r="M214" s="340" t="s">
        <v>1774</v>
      </c>
      <c r="N214" s="340" t="s">
        <v>771</v>
      </c>
      <c r="O214" s="340" t="s">
        <v>104</v>
      </c>
      <c r="P214" s="338"/>
      <c r="Q214" s="341"/>
      <c r="R214" s="347" t="b">
        <f t="shared" si="7"/>
        <v>1</v>
      </c>
      <c r="S214" s="347" t="str">
        <f t="shared" si="6"/>
        <v>création</v>
      </c>
      <c r="T214" s="342" t="s">
        <v>56</v>
      </c>
      <c r="U214" s="342" t="s">
        <v>3785</v>
      </c>
      <c r="V214" s="342" t="s">
        <v>2368</v>
      </c>
      <c r="W214" s="342" t="s">
        <v>2369</v>
      </c>
      <c r="X214" s="342" t="s">
        <v>69</v>
      </c>
      <c r="Y214" s="349" t="s">
        <v>3786</v>
      </c>
      <c r="Z214" s="342" t="s">
        <v>71</v>
      </c>
      <c r="AA214" s="342" t="s">
        <v>218</v>
      </c>
      <c r="AB214" s="342" t="s">
        <v>152</v>
      </c>
      <c r="AC214" s="342" t="s">
        <v>74</v>
      </c>
      <c r="AD214" s="342"/>
      <c r="AE214" s="342" t="s">
        <v>3787</v>
      </c>
      <c r="AF214" s="349" t="s">
        <v>3775</v>
      </c>
      <c r="AG214" s="342" t="s">
        <v>74</v>
      </c>
      <c r="AH214" s="342" t="s">
        <v>76</v>
      </c>
      <c r="AI214" s="342" t="s">
        <v>74</v>
      </c>
      <c r="AJ214" s="342" t="s">
        <v>77</v>
      </c>
      <c r="AK214" s="342" t="s">
        <v>97</v>
      </c>
      <c r="AL214" s="342" t="s">
        <v>79</v>
      </c>
      <c r="AM214" s="342" t="s">
        <v>74</v>
      </c>
      <c r="AN214" s="342"/>
      <c r="AO214" s="342" t="s">
        <v>3789</v>
      </c>
      <c r="AP214" s="342" t="s">
        <v>81</v>
      </c>
      <c r="AQ214" s="349" t="s">
        <v>822</v>
      </c>
      <c r="AR214" s="342" t="s">
        <v>83</v>
      </c>
      <c r="AS214" s="342" t="s">
        <v>84</v>
      </c>
      <c r="AT214" s="342" t="s">
        <v>45</v>
      </c>
      <c r="AU214" s="342" t="s">
        <v>85</v>
      </c>
      <c r="AV214" s="342"/>
      <c r="AW214" s="342"/>
      <c r="AX214" s="343" t="str">
        <f>IF(OR(Tableau3[[#This Row],[Option GTR]]&lt;&gt;"",Tableau3[[#This Row],[GTR spécifique]]&lt;&gt;""),"GTRS1","GTRS2")</f>
        <v>GTRS2</v>
      </c>
      <c r="AY214" s="342" t="s">
        <v>355</v>
      </c>
      <c r="AZ214" s="342"/>
      <c r="BA214" s="342" t="s">
        <v>3806</v>
      </c>
    </row>
    <row r="215" spans="1:53" s="326" customFormat="1" ht="18.149999999999999" customHeight="1" x14ac:dyDescent="0.3">
      <c r="A215" s="340" t="s">
        <v>53</v>
      </c>
      <c r="B215" s="340" t="s">
        <v>54</v>
      </c>
      <c r="C215" s="340" t="s">
        <v>932</v>
      </c>
      <c r="D215" s="340" t="s">
        <v>56</v>
      </c>
      <c r="E215" s="340" t="s">
        <v>57</v>
      </c>
      <c r="F215" s="340" t="s">
        <v>58</v>
      </c>
      <c r="G215" s="340" t="s">
        <v>59</v>
      </c>
      <c r="H215" s="340" t="s">
        <v>846</v>
      </c>
      <c r="I215" s="340" t="s">
        <v>61</v>
      </c>
      <c r="J215" s="340" t="s">
        <v>1943</v>
      </c>
      <c r="K215" s="340" t="s">
        <v>1944</v>
      </c>
      <c r="L215" s="345" t="str">
        <f>VLOOKUP(K215,'20260309 suivi sites'!F:F,1,0)</f>
        <v>14CAEN021AOG</v>
      </c>
      <c r="M215" s="340" t="s">
        <v>64</v>
      </c>
      <c r="N215" s="340" t="s">
        <v>771</v>
      </c>
      <c r="O215" s="340" t="s">
        <v>64</v>
      </c>
      <c r="P215" s="338">
        <v>43650</v>
      </c>
      <c r="Q215" s="341">
        <v>43650</v>
      </c>
      <c r="R215" s="347" t="b">
        <f t="shared" si="7"/>
        <v>1</v>
      </c>
      <c r="S215" s="347" t="str">
        <f t="shared" si="6"/>
        <v>création</v>
      </c>
      <c r="T215" s="342" t="s">
        <v>56</v>
      </c>
      <c r="U215" s="342" t="s">
        <v>1945</v>
      </c>
      <c r="V215" s="342" t="s">
        <v>1946</v>
      </c>
      <c r="W215" s="342" t="s">
        <v>1947</v>
      </c>
      <c r="X215" s="342" t="s">
        <v>69</v>
      </c>
      <c r="Y215" s="349" t="s">
        <v>1948</v>
      </c>
      <c r="Z215" s="342" t="s">
        <v>71</v>
      </c>
      <c r="AA215" s="342" t="s">
        <v>72</v>
      </c>
      <c r="AB215" s="342" t="s">
        <v>73</v>
      </c>
      <c r="AC215" s="342" t="s">
        <v>74</v>
      </c>
      <c r="AD215" s="342"/>
      <c r="AE215" s="342" t="s">
        <v>1949</v>
      </c>
      <c r="AF215" s="349" t="s">
        <v>3769</v>
      </c>
      <c r="AG215" s="342" t="s">
        <v>74</v>
      </c>
      <c r="AH215" s="342" t="s">
        <v>76</v>
      </c>
      <c r="AI215" s="342" t="s">
        <v>74</v>
      </c>
      <c r="AJ215" s="342" t="s">
        <v>77</v>
      </c>
      <c r="AK215" s="342" t="s">
        <v>78</v>
      </c>
      <c r="AL215" s="342" t="s">
        <v>79</v>
      </c>
      <c r="AM215" s="342" t="s">
        <v>74</v>
      </c>
      <c r="AN215" s="342"/>
      <c r="AO215" s="342" t="s">
        <v>1950</v>
      </c>
      <c r="AP215" s="342" t="s">
        <v>81</v>
      </c>
      <c r="AQ215" s="349" t="s">
        <v>200</v>
      </c>
      <c r="AR215" s="342" t="s">
        <v>83</v>
      </c>
      <c r="AS215" s="342" t="s">
        <v>84</v>
      </c>
      <c r="AT215" s="342" t="s">
        <v>45</v>
      </c>
      <c r="AU215" s="342" t="s">
        <v>85</v>
      </c>
      <c r="AV215" s="342" t="s">
        <v>120</v>
      </c>
      <c r="AW215" s="342"/>
      <c r="AX215" s="343" t="str">
        <f>IF(OR(Tableau3[[#This Row],[Option GTR]]&lt;&gt;"",Tableau3[[#This Row],[GTR spécifique]]&lt;&gt;""),"GTRS1","GTRS2")</f>
        <v>GTRS1</v>
      </c>
      <c r="AY215" s="342" t="s">
        <v>86</v>
      </c>
      <c r="AZ215" s="342" t="s">
        <v>881</v>
      </c>
      <c r="BA215" s="344" t="s">
        <v>1951</v>
      </c>
    </row>
    <row r="216" spans="1:53" s="326" customFormat="1" ht="18.149999999999999" customHeight="1" x14ac:dyDescent="0.3">
      <c r="A216" s="340" t="s">
        <v>53</v>
      </c>
      <c r="B216" s="340" t="s">
        <v>54</v>
      </c>
      <c r="C216" s="340" t="s">
        <v>932</v>
      </c>
      <c r="D216" s="340" t="s">
        <v>56</v>
      </c>
      <c r="E216" s="340" t="s">
        <v>57</v>
      </c>
      <c r="F216" s="340" t="s">
        <v>58</v>
      </c>
      <c r="G216" s="340" t="s">
        <v>59</v>
      </c>
      <c r="H216" s="340" t="s">
        <v>846</v>
      </c>
      <c r="I216" s="340" t="s">
        <v>61</v>
      </c>
      <c r="J216" s="340" t="s">
        <v>1952</v>
      </c>
      <c r="K216" s="340" t="s">
        <v>1953</v>
      </c>
      <c r="L216" s="345" t="str">
        <f>VLOOKUP(K216,'20260309 suivi sites'!F:F,1,0)</f>
        <v>57LAMA021AOB</v>
      </c>
      <c r="M216" s="340" t="s">
        <v>64</v>
      </c>
      <c r="N216" s="340" t="s">
        <v>65</v>
      </c>
      <c r="O216" s="340" t="s">
        <v>64</v>
      </c>
      <c r="P216" s="338">
        <v>43690</v>
      </c>
      <c r="Q216" s="341">
        <v>43965</v>
      </c>
      <c r="R216" s="347" t="b">
        <f t="shared" si="7"/>
        <v>0</v>
      </c>
      <c r="S216" s="347" t="str">
        <f t="shared" si="6"/>
        <v>change</v>
      </c>
      <c r="T216" s="342" t="s">
        <v>56</v>
      </c>
      <c r="U216" s="342" t="s">
        <v>1954</v>
      </c>
      <c r="V216" s="342" t="s">
        <v>369</v>
      </c>
      <c r="W216" s="342" t="s">
        <v>370</v>
      </c>
      <c r="X216" s="342" t="s">
        <v>69</v>
      </c>
      <c r="Y216" s="349" t="s">
        <v>1955</v>
      </c>
      <c r="Z216" s="342" t="s">
        <v>71</v>
      </c>
      <c r="AA216" s="342" t="s">
        <v>218</v>
      </c>
      <c r="AB216" s="342" t="s">
        <v>152</v>
      </c>
      <c r="AC216" s="342" t="s">
        <v>74</v>
      </c>
      <c r="AD216" s="342"/>
      <c r="AE216" s="342" t="s">
        <v>1956</v>
      </c>
      <c r="AF216" s="349" t="s">
        <v>3766</v>
      </c>
      <c r="AG216" s="342" t="s">
        <v>74</v>
      </c>
      <c r="AH216" s="342" t="s">
        <v>76</v>
      </c>
      <c r="AI216" s="342" t="s">
        <v>74</v>
      </c>
      <c r="AJ216" s="342" t="s">
        <v>77</v>
      </c>
      <c r="AK216" s="342" t="s">
        <v>97</v>
      </c>
      <c r="AL216" s="342" t="s">
        <v>79</v>
      </c>
      <c r="AM216" s="342" t="s">
        <v>74</v>
      </c>
      <c r="AN216" s="342"/>
      <c r="AO216" s="342" t="s">
        <v>1957</v>
      </c>
      <c r="AP216" s="342" t="s">
        <v>81</v>
      </c>
      <c r="AQ216" s="349" t="s">
        <v>130</v>
      </c>
      <c r="AR216" s="342" t="s">
        <v>83</v>
      </c>
      <c r="AS216" s="342" t="s">
        <v>84</v>
      </c>
      <c r="AT216" s="342" t="s">
        <v>45</v>
      </c>
      <c r="AU216" s="342" t="s">
        <v>85</v>
      </c>
      <c r="AV216" s="342"/>
      <c r="AW216" s="342"/>
      <c r="AX216" s="343" t="str">
        <f>IF(OR(Tableau3[[#This Row],[Option GTR]]&lt;&gt;"",Tableau3[[#This Row],[GTR spécifique]]&lt;&gt;""),"GTRS1","GTRS2")</f>
        <v>GTRS2</v>
      </c>
      <c r="AY216" s="342" t="s">
        <v>481</v>
      </c>
      <c r="AZ216" s="342"/>
      <c r="BA216" s="342" t="s">
        <v>891</v>
      </c>
    </row>
    <row r="217" spans="1:53" s="326" customFormat="1" ht="18.149999999999999" customHeight="1" x14ac:dyDescent="0.3">
      <c r="A217" s="340" t="s">
        <v>53</v>
      </c>
      <c r="B217" s="340" t="s">
        <v>54</v>
      </c>
      <c r="C217" s="340" t="s">
        <v>932</v>
      </c>
      <c r="D217" s="340" t="s">
        <v>56</v>
      </c>
      <c r="E217" s="340" t="s">
        <v>57</v>
      </c>
      <c r="F217" s="340" t="s">
        <v>58</v>
      </c>
      <c r="G217" s="340" t="s">
        <v>59</v>
      </c>
      <c r="H217" s="340" t="s">
        <v>846</v>
      </c>
      <c r="I217" s="340" t="s">
        <v>61</v>
      </c>
      <c r="J217" s="340" t="s">
        <v>1958</v>
      </c>
      <c r="K217" s="340" t="s">
        <v>1959</v>
      </c>
      <c r="L217" s="345" t="str">
        <f>VLOOKUP(K217,'20260309 suivi sites'!F:F,1,0)</f>
        <v>57METZ021AOG</v>
      </c>
      <c r="M217" s="340" t="s">
        <v>64</v>
      </c>
      <c r="N217" s="340" t="s">
        <v>771</v>
      </c>
      <c r="O217" s="340" t="s">
        <v>64</v>
      </c>
      <c r="P217" s="338">
        <v>43767</v>
      </c>
      <c r="Q217" s="341">
        <v>43784</v>
      </c>
      <c r="R217" s="347" t="b">
        <f t="shared" si="7"/>
        <v>0</v>
      </c>
      <c r="S217" s="347" t="str">
        <f t="shared" si="6"/>
        <v>change</v>
      </c>
      <c r="T217" s="342" t="s">
        <v>56</v>
      </c>
      <c r="U217" s="342" t="s">
        <v>1960</v>
      </c>
      <c r="V217" s="342" t="s">
        <v>1961</v>
      </c>
      <c r="W217" s="342" t="s">
        <v>1962</v>
      </c>
      <c r="X217" s="342" t="s">
        <v>69</v>
      </c>
      <c r="Y217" s="349" t="s">
        <v>1963</v>
      </c>
      <c r="Z217" s="342" t="s">
        <v>71</v>
      </c>
      <c r="AA217" s="342" t="s">
        <v>72</v>
      </c>
      <c r="AB217" s="342" t="s">
        <v>73</v>
      </c>
      <c r="AC217" s="342" t="s">
        <v>74</v>
      </c>
      <c r="AD217" s="342"/>
      <c r="AE217" s="342" t="s">
        <v>1964</v>
      </c>
      <c r="AF217" s="349" t="s">
        <v>279</v>
      </c>
      <c r="AG217" s="342" t="s">
        <v>74</v>
      </c>
      <c r="AH217" s="342" t="s">
        <v>76</v>
      </c>
      <c r="AI217" s="342" t="s">
        <v>74</v>
      </c>
      <c r="AJ217" s="342" t="s">
        <v>77</v>
      </c>
      <c r="AK217" s="342" t="s">
        <v>78</v>
      </c>
      <c r="AL217" s="342" t="s">
        <v>79</v>
      </c>
      <c r="AM217" s="342" t="s">
        <v>74</v>
      </c>
      <c r="AN217" s="342"/>
      <c r="AO217" s="342" t="s">
        <v>1965</v>
      </c>
      <c r="AP217" s="342" t="s">
        <v>81</v>
      </c>
      <c r="AQ217" s="349" t="s">
        <v>119</v>
      </c>
      <c r="AR217" s="342" t="s">
        <v>83</v>
      </c>
      <c r="AS217" s="342" t="s">
        <v>84</v>
      </c>
      <c r="AT217" s="342" t="s">
        <v>45</v>
      </c>
      <c r="AU217" s="342" t="s">
        <v>85</v>
      </c>
      <c r="AV217" s="342" t="s">
        <v>120</v>
      </c>
      <c r="AW217" s="342"/>
      <c r="AX217" s="343" t="str">
        <f>IF(OR(Tableau3[[#This Row],[Option GTR]]&lt;&gt;"",Tableau3[[#This Row],[GTR spécifique]]&lt;&gt;""),"GTRS1","GTRS2")</f>
        <v>GTRS1</v>
      </c>
      <c r="AY217" s="342" t="s">
        <v>86</v>
      </c>
      <c r="AZ217" s="342"/>
      <c r="BA217" s="344" t="s">
        <v>1966</v>
      </c>
    </row>
    <row r="218" spans="1:53" s="326" customFormat="1" ht="18.149999999999999" customHeight="1" x14ac:dyDescent="0.3">
      <c r="A218" s="340" t="s">
        <v>53</v>
      </c>
      <c r="B218" s="340" t="s">
        <v>54</v>
      </c>
      <c r="C218" s="340" t="s">
        <v>932</v>
      </c>
      <c r="D218" s="340" t="s">
        <v>56</v>
      </c>
      <c r="E218" s="340" t="s">
        <v>57</v>
      </c>
      <c r="F218" s="340" t="s">
        <v>58</v>
      </c>
      <c r="G218" s="340" t="s">
        <v>59</v>
      </c>
      <c r="H218" s="340" t="s">
        <v>846</v>
      </c>
      <c r="I218" s="340" t="s">
        <v>61</v>
      </c>
      <c r="J218" s="340" t="s">
        <v>1967</v>
      </c>
      <c r="K218" s="340" t="s">
        <v>1968</v>
      </c>
      <c r="L218" s="345" t="str">
        <f>VLOOKUP(K218,'20260309 suivi sites'!F:F,1,0)</f>
        <v>64PAUZ031AOP</v>
      </c>
      <c r="M218" s="340" t="s">
        <v>64</v>
      </c>
      <c r="N218" s="340" t="s">
        <v>771</v>
      </c>
      <c r="O218" s="340" t="s">
        <v>64</v>
      </c>
      <c r="P218" s="338">
        <v>43861</v>
      </c>
      <c r="Q218" s="341">
        <v>43861</v>
      </c>
      <c r="R218" s="347" t="b">
        <f t="shared" si="7"/>
        <v>1</v>
      </c>
      <c r="S218" s="347" t="str">
        <f t="shared" si="6"/>
        <v>création</v>
      </c>
      <c r="T218" s="342" t="s">
        <v>56</v>
      </c>
      <c r="U218" s="342" t="s">
        <v>1969</v>
      </c>
      <c r="V218" s="342" t="s">
        <v>1460</v>
      </c>
      <c r="W218" s="342" t="s">
        <v>1461</v>
      </c>
      <c r="X218" s="342" t="s">
        <v>69</v>
      </c>
      <c r="Y218" s="349" t="s">
        <v>1970</v>
      </c>
      <c r="Z218" s="342" t="s">
        <v>71</v>
      </c>
      <c r="AA218" s="342" t="s">
        <v>72</v>
      </c>
      <c r="AB218" s="342" t="s">
        <v>73</v>
      </c>
      <c r="AC218" s="342" t="s">
        <v>74</v>
      </c>
      <c r="AD218" s="342"/>
      <c r="AE218" s="342" t="s">
        <v>1971</v>
      </c>
      <c r="AF218" s="349" t="s">
        <v>3772</v>
      </c>
      <c r="AG218" s="342" t="s">
        <v>74</v>
      </c>
      <c r="AH218" s="342" t="s">
        <v>76</v>
      </c>
      <c r="AI218" s="342" t="s">
        <v>74</v>
      </c>
      <c r="AJ218" s="342" t="s">
        <v>77</v>
      </c>
      <c r="AK218" s="342" t="s">
        <v>78</v>
      </c>
      <c r="AL218" s="342" t="s">
        <v>79</v>
      </c>
      <c r="AM218" s="342" t="s">
        <v>166</v>
      </c>
      <c r="AN218" s="342" t="s">
        <v>1972</v>
      </c>
      <c r="AO218" s="342" t="s">
        <v>1973</v>
      </c>
      <c r="AP218" s="342" t="s">
        <v>81</v>
      </c>
      <c r="AQ218" s="349" t="s">
        <v>1680</v>
      </c>
      <c r="AR218" s="342" t="s">
        <v>83</v>
      </c>
      <c r="AS218" s="342" t="s">
        <v>84</v>
      </c>
      <c r="AT218" s="342" t="s">
        <v>45</v>
      </c>
      <c r="AU218" s="342" t="s">
        <v>85</v>
      </c>
      <c r="AV218" s="342" t="s">
        <v>120</v>
      </c>
      <c r="AW218" s="342"/>
      <c r="AX218" s="343" t="str">
        <f>IF(OR(Tableau3[[#This Row],[Option GTR]]&lt;&gt;"",Tableau3[[#This Row],[GTR spécifique]]&lt;&gt;""),"GTRS1","GTRS2")</f>
        <v>GTRS1</v>
      </c>
      <c r="AY218" s="342" t="s">
        <v>86</v>
      </c>
      <c r="AZ218" s="342"/>
      <c r="BA218" s="344" t="s">
        <v>1974</v>
      </c>
    </row>
    <row r="219" spans="1:53" s="326" customFormat="1" ht="18.149999999999999" customHeight="1" x14ac:dyDescent="0.3">
      <c r="A219" s="340" t="s">
        <v>53</v>
      </c>
      <c r="B219" s="340" t="s">
        <v>54</v>
      </c>
      <c r="C219" s="340" t="s">
        <v>932</v>
      </c>
      <c r="D219" s="340" t="s">
        <v>56</v>
      </c>
      <c r="E219" s="340" t="s">
        <v>57</v>
      </c>
      <c r="F219" s="340" t="s">
        <v>58</v>
      </c>
      <c r="G219" s="340" t="s">
        <v>59</v>
      </c>
      <c r="H219" s="340" t="s">
        <v>846</v>
      </c>
      <c r="I219" s="340" t="s">
        <v>61</v>
      </c>
      <c r="J219" s="340" t="s">
        <v>1975</v>
      </c>
      <c r="K219" s="340" t="s">
        <v>1976</v>
      </c>
      <c r="L219" s="345" t="str">
        <f>VLOOKUP(K219,'20260309 suivi sites'!F:F,1,0)</f>
        <v>76STVA011AOB</v>
      </c>
      <c r="M219" s="340" t="s">
        <v>64</v>
      </c>
      <c r="N219" s="340" t="s">
        <v>65</v>
      </c>
      <c r="O219" s="340" t="s">
        <v>64</v>
      </c>
      <c r="P219" s="338">
        <v>44377</v>
      </c>
      <c r="Q219" s="341">
        <v>44377</v>
      </c>
      <c r="R219" s="347" t="b">
        <f t="shared" si="7"/>
        <v>1</v>
      </c>
      <c r="S219" s="347" t="str">
        <f t="shared" si="6"/>
        <v>création</v>
      </c>
      <c r="T219" s="342" t="s">
        <v>56</v>
      </c>
      <c r="U219" s="342" t="s">
        <v>1977</v>
      </c>
      <c r="V219" s="342" t="s">
        <v>1978</v>
      </c>
      <c r="W219" s="342" t="s">
        <v>1979</v>
      </c>
      <c r="X219" s="342" t="s">
        <v>69</v>
      </c>
      <c r="Y219" s="349" t="s">
        <v>1980</v>
      </c>
      <c r="Z219" s="342" t="s">
        <v>71</v>
      </c>
      <c r="AA219" s="342" t="s">
        <v>218</v>
      </c>
      <c r="AB219" s="342" t="s">
        <v>152</v>
      </c>
      <c r="AC219" s="342" t="s">
        <v>74</v>
      </c>
      <c r="AD219" s="342"/>
      <c r="AE219" s="342" t="s">
        <v>1981</v>
      </c>
      <c r="AF219" s="349" t="s">
        <v>3766</v>
      </c>
      <c r="AG219" s="342" t="s">
        <v>74</v>
      </c>
      <c r="AH219" s="342" t="s">
        <v>76</v>
      </c>
      <c r="AI219" s="342" t="s">
        <v>74</v>
      </c>
      <c r="AJ219" s="342" t="s">
        <v>77</v>
      </c>
      <c r="AK219" s="342" t="s">
        <v>97</v>
      </c>
      <c r="AL219" s="342" t="s">
        <v>79</v>
      </c>
      <c r="AM219" s="342" t="s">
        <v>74</v>
      </c>
      <c r="AN219" s="342"/>
      <c r="AO219" s="342" t="s">
        <v>1982</v>
      </c>
      <c r="AP219" s="342" t="s">
        <v>81</v>
      </c>
      <c r="AQ219" s="349" t="s">
        <v>130</v>
      </c>
      <c r="AR219" s="342" t="s">
        <v>83</v>
      </c>
      <c r="AS219" s="342" t="s">
        <v>84</v>
      </c>
      <c r="AT219" s="342" t="s">
        <v>45</v>
      </c>
      <c r="AU219" s="342" t="s">
        <v>85</v>
      </c>
      <c r="AV219" s="342"/>
      <c r="AW219" s="342"/>
      <c r="AX219" s="343" t="str">
        <f>IF(OR(Tableau3[[#This Row],[Option GTR]]&lt;&gt;"",Tableau3[[#This Row],[GTR spécifique]]&lt;&gt;""),"GTRS1","GTRS2")</f>
        <v>GTRS2</v>
      </c>
      <c r="AY219" s="342" t="s">
        <v>355</v>
      </c>
      <c r="AZ219" s="342"/>
      <c r="BA219" s="342" t="s">
        <v>891</v>
      </c>
    </row>
    <row r="220" spans="1:53" s="326" customFormat="1" ht="18.149999999999999" customHeight="1" x14ac:dyDescent="0.3">
      <c r="A220" s="340" t="s">
        <v>53</v>
      </c>
      <c r="B220" s="340" t="s">
        <v>54</v>
      </c>
      <c r="C220" s="340" t="s">
        <v>932</v>
      </c>
      <c r="D220" s="340" t="s">
        <v>56</v>
      </c>
      <c r="E220" s="340" t="s">
        <v>57</v>
      </c>
      <c r="F220" s="340" t="s">
        <v>58</v>
      </c>
      <c r="G220" s="340" t="s">
        <v>59</v>
      </c>
      <c r="H220" s="340" t="s">
        <v>846</v>
      </c>
      <c r="I220" s="340" t="s">
        <v>61</v>
      </c>
      <c r="J220" s="340" t="s">
        <v>1983</v>
      </c>
      <c r="K220" s="340" t="s">
        <v>1984</v>
      </c>
      <c r="L220" s="345" t="str">
        <f>VLOOKUP(K220,'20260309 suivi sites'!F:F,1,0)</f>
        <v>80AMIE021AOP</v>
      </c>
      <c r="M220" s="340" t="s">
        <v>64</v>
      </c>
      <c r="N220" s="340" t="s">
        <v>65</v>
      </c>
      <c r="O220" s="340" t="s">
        <v>64</v>
      </c>
      <c r="P220" s="338">
        <v>43704</v>
      </c>
      <c r="Q220" s="341">
        <v>44244</v>
      </c>
      <c r="R220" s="347" t="b">
        <f t="shared" si="7"/>
        <v>0</v>
      </c>
      <c r="S220" s="347" t="str">
        <f t="shared" si="6"/>
        <v>change</v>
      </c>
      <c r="T220" s="342" t="s">
        <v>56</v>
      </c>
      <c r="U220" s="342" t="s">
        <v>1985</v>
      </c>
      <c r="V220" s="342" t="s">
        <v>1986</v>
      </c>
      <c r="W220" s="342" t="s">
        <v>1276</v>
      </c>
      <c r="X220" s="342" t="s">
        <v>69</v>
      </c>
      <c r="Y220" s="349" t="s">
        <v>1987</v>
      </c>
      <c r="Z220" s="342" t="s">
        <v>71</v>
      </c>
      <c r="AA220" s="342" t="s">
        <v>72</v>
      </c>
      <c r="AB220" s="342" t="s">
        <v>73</v>
      </c>
      <c r="AC220" s="342" t="s">
        <v>74</v>
      </c>
      <c r="AD220" s="342"/>
      <c r="AE220" s="342" t="s">
        <v>1988</v>
      </c>
      <c r="AF220" s="349" t="s">
        <v>3772</v>
      </c>
      <c r="AG220" s="342" t="s">
        <v>74</v>
      </c>
      <c r="AH220" s="342" t="s">
        <v>76</v>
      </c>
      <c r="AI220" s="342" t="s">
        <v>74</v>
      </c>
      <c r="AJ220" s="342" t="s">
        <v>77</v>
      </c>
      <c r="AK220" s="342" t="s">
        <v>78</v>
      </c>
      <c r="AL220" s="342" t="s">
        <v>79</v>
      </c>
      <c r="AM220" s="342" t="s">
        <v>166</v>
      </c>
      <c r="AN220" s="342" t="s">
        <v>1989</v>
      </c>
      <c r="AO220" s="342" t="s">
        <v>1990</v>
      </c>
      <c r="AP220" s="342" t="s">
        <v>81</v>
      </c>
      <c r="AQ220" s="349" t="s">
        <v>1680</v>
      </c>
      <c r="AR220" s="342" t="s">
        <v>83</v>
      </c>
      <c r="AS220" s="342" t="s">
        <v>84</v>
      </c>
      <c r="AT220" s="342" t="s">
        <v>45</v>
      </c>
      <c r="AU220" s="342" t="s">
        <v>85</v>
      </c>
      <c r="AV220" s="342" t="s">
        <v>120</v>
      </c>
      <c r="AW220" s="342"/>
      <c r="AX220" s="343" t="str">
        <f>IF(OR(Tableau3[[#This Row],[Option GTR]]&lt;&gt;"",Tableau3[[#This Row],[GTR spécifique]]&lt;&gt;""),"GTRS1","GTRS2")</f>
        <v>GTRS1</v>
      </c>
      <c r="AY220" s="342" t="s">
        <v>86</v>
      </c>
      <c r="AZ220" s="342"/>
      <c r="BA220" s="342" t="s">
        <v>1991</v>
      </c>
    </row>
    <row r="221" spans="1:53" s="326" customFormat="1" ht="18.149999999999999" customHeight="1" x14ac:dyDescent="0.3">
      <c r="A221" s="340" t="s">
        <v>53</v>
      </c>
      <c r="B221" s="340" t="s">
        <v>54</v>
      </c>
      <c r="C221" s="340" t="s">
        <v>932</v>
      </c>
      <c r="D221" s="340" t="s">
        <v>56</v>
      </c>
      <c r="E221" s="340" t="s">
        <v>57</v>
      </c>
      <c r="F221" s="340" t="s">
        <v>58</v>
      </c>
      <c r="G221" s="340" t="s">
        <v>59</v>
      </c>
      <c r="H221" s="340" t="s">
        <v>846</v>
      </c>
      <c r="I221" s="340" t="s">
        <v>61</v>
      </c>
      <c r="J221" s="340" t="s">
        <v>1992</v>
      </c>
      <c r="K221" s="340" t="s">
        <v>1993</v>
      </c>
      <c r="L221" s="345" t="str">
        <f>VLOOKUP(K221,'20260309 suivi sites'!F:F,1,0)</f>
        <v>86CHAS011AOP</v>
      </c>
      <c r="M221" s="340" t="s">
        <v>64</v>
      </c>
      <c r="N221" s="340" t="s">
        <v>65</v>
      </c>
      <c r="O221" s="340" t="s">
        <v>64</v>
      </c>
      <c r="P221" s="338">
        <v>43782</v>
      </c>
      <c r="Q221" s="341">
        <v>44642</v>
      </c>
      <c r="R221" s="347" t="b">
        <f t="shared" si="7"/>
        <v>0</v>
      </c>
      <c r="S221" s="347" t="str">
        <f t="shared" si="6"/>
        <v>change</v>
      </c>
      <c r="T221" s="342" t="s">
        <v>56</v>
      </c>
      <c r="U221" s="342" t="s">
        <v>1994</v>
      </c>
      <c r="V221" s="342" t="s">
        <v>1995</v>
      </c>
      <c r="W221" s="342" t="s">
        <v>1996</v>
      </c>
      <c r="X221" s="342" t="s">
        <v>69</v>
      </c>
      <c r="Y221" s="349" t="s">
        <v>1997</v>
      </c>
      <c r="Z221" s="342" t="s">
        <v>71</v>
      </c>
      <c r="AA221" s="342" t="s">
        <v>72</v>
      </c>
      <c r="AB221" s="342" t="s">
        <v>73</v>
      </c>
      <c r="AC221" s="342" t="s">
        <v>74</v>
      </c>
      <c r="AD221" s="342"/>
      <c r="AE221" s="342" t="s">
        <v>1998</v>
      </c>
      <c r="AF221" s="349" t="s">
        <v>3772</v>
      </c>
      <c r="AG221" s="342" t="s">
        <v>74</v>
      </c>
      <c r="AH221" s="342" t="s">
        <v>76</v>
      </c>
      <c r="AI221" s="342" t="s">
        <v>74</v>
      </c>
      <c r="AJ221" s="342" t="s">
        <v>77</v>
      </c>
      <c r="AK221" s="342" t="s">
        <v>78</v>
      </c>
      <c r="AL221" s="342" t="s">
        <v>79</v>
      </c>
      <c r="AM221" s="342" t="s">
        <v>166</v>
      </c>
      <c r="AN221" s="342" t="s">
        <v>1999</v>
      </c>
      <c r="AO221" s="342" t="s">
        <v>2000</v>
      </c>
      <c r="AP221" s="342" t="s">
        <v>81</v>
      </c>
      <c r="AQ221" s="349" t="s">
        <v>1680</v>
      </c>
      <c r="AR221" s="342" t="s">
        <v>83</v>
      </c>
      <c r="AS221" s="342" t="s">
        <v>84</v>
      </c>
      <c r="AT221" s="342" t="s">
        <v>45</v>
      </c>
      <c r="AU221" s="342" t="s">
        <v>85</v>
      </c>
      <c r="AV221" s="342"/>
      <c r="AW221" s="342"/>
      <c r="AX221" s="343" t="str">
        <f>IF(OR(Tableau3[[#This Row],[Option GTR]]&lt;&gt;"",Tableau3[[#This Row],[GTR spécifique]]&lt;&gt;""),"GTRS1","GTRS2")</f>
        <v>GTRS2</v>
      </c>
      <c r="AY221" s="342" t="s">
        <v>86</v>
      </c>
      <c r="AZ221" s="342"/>
      <c r="BA221" s="344" t="s">
        <v>2001</v>
      </c>
    </row>
    <row r="222" spans="1:53" s="326" customFormat="1" ht="18.149999999999999" customHeight="1" x14ac:dyDescent="0.3">
      <c r="A222" s="340" t="s">
        <v>53</v>
      </c>
      <c r="B222" s="340" t="s">
        <v>54</v>
      </c>
      <c r="C222" s="340" t="s">
        <v>932</v>
      </c>
      <c r="D222" s="340" t="s">
        <v>56</v>
      </c>
      <c r="E222" s="340" t="s">
        <v>57</v>
      </c>
      <c r="F222" s="340" t="s">
        <v>58</v>
      </c>
      <c r="G222" s="340" t="s">
        <v>59</v>
      </c>
      <c r="H222" s="340" t="s">
        <v>846</v>
      </c>
      <c r="I222" s="340" t="s">
        <v>61</v>
      </c>
      <c r="J222" s="340" t="s">
        <v>2002</v>
      </c>
      <c r="K222" s="340" t="s">
        <v>2003</v>
      </c>
      <c r="L222" s="345" t="str">
        <f>VLOOKUP(K222,'20260309 suivi sites'!F:F,1,0)</f>
        <v>60LACR011AOG</v>
      </c>
      <c r="M222" s="340" t="s">
        <v>64</v>
      </c>
      <c r="N222" s="340" t="s">
        <v>771</v>
      </c>
      <c r="O222" s="340" t="s">
        <v>64</v>
      </c>
      <c r="P222" s="338">
        <v>43622</v>
      </c>
      <c r="Q222" s="341">
        <v>43622</v>
      </c>
      <c r="R222" s="347" t="b">
        <f t="shared" si="7"/>
        <v>1</v>
      </c>
      <c r="S222" s="347" t="str">
        <f t="shared" si="6"/>
        <v>création</v>
      </c>
      <c r="T222" s="342" t="s">
        <v>56</v>
      </c>
      <c r="U222" s="342" t="s">
        <v>2004</v>
      </c>
      <c r="V222" s="342" t="s">
        <v>2005</v>
      </c>
      <c r="W222" s="342" t="s">
        <v>2006</v>
      </c>
      <c r="X222" s="342" t="s">
        <v>69</v>
      </c>
      <c r="Y222" s="349" t="s">
        <v>2007</v>
      </c>
      <c r="Z222" s="342" t="s">
        <v>71</v>
      </c>
      <c r="AA222" s="342" t="s">
        <v>72</v>
      </c>
      <c r="AB222" s="342" t="s">
        <v>73</v>
      </c>
      <c r="AC222" s="342" t="s">
        <v>74</v>
      </c>
      <c r="AD222" s="342"/>
      <c r="AE222" s="342" t="s">
        <v>2008</v>
      </c>
      <c r="AF222" s="349" t="s">
        <v>3769</v>
      </c>
      <c r="AG222" s="342" t="s">
        <v>74</v>
      </c>
      <c r="AH222" s="342" t="s">
        <v>76</v>
      </c>
      <c r="AI222" s="342" t="s">
        <v>74</v>
      </c>
      <c r="AJ222" s="342" t="s">
        <v>77</v>
      </c>
      <c r="AK222" s="342" t="s">
        <v>78</v>
      </c>
      <c r="AL222" s="342" t="s">
        <v>79</v>
      </c>
      <c r="AM222" s="342" t="s">
        <v>74</v>
      </c>
      <c r="AN222" s="342"/>
      <c r="AO222" s="342" t="s">
        <v>2009</v>
      </c>
      <c r="AP222" s="342" t="s">
        <v>81</v>
      </c>
      <c r="AQ222" s="349" t="s">
        <v>200</v>
      </c>
      <c r="AR222" s="342" t="s">
        <v>83</v>
      </c>
      <c r="AS222" s="342" t="s">
        <v>84</v>
      </c>
      <c r="AT222" s="342" t="s">
        <v>45</v>
      </c>
      <c r="AU222" s="342" t="s">
        <v>85</v>
      </c>
      <c r="AV222" s="342" t="s">
        <v>120</v>
      </c>
      <c r="AW222" s="342"/>
      <c r="AX222" s="343" t="str">
        <f>IF(OR(Tableau3[[#This Row],[Option GTR]]&lt;&gt;"",Tableau3[[#This Row],[GTR spécifique]]&lt;&gt;""),"GTRS1","GTRS2")</f>
        <v>GTRS1</v>
      </c>
      <c r="AY222" s="342" t="s">
        <v>100</v>
      </c>
      <c r="AZ222" s="342" t="s">
        <v>2010</v>
      </c>
      <c r="BA222" s="344" t="s">
        <v>2011</v>
      </c>
    </row>
    <row r="223" spans="1:53" s="326" customFormat="1" ht="18.149999999999999" customHeight="1" x14ac:dyDescent="0.3">
      <c r="A223" s="340" t="s">
        <v>53</v>
      </c>
      <c r="B223" s="340" t="s">
        <v>54</v>
      </c>
      <c r="C223" s="340" t="s">
        <v>932</v>
      </c>
      <c r="D223" s="340" t="s">
        <v>56</v>
      </c>
      <c r="E223" s="340" t="s">
        <v>57</v>
      </c>
      <c r="F223" s="340" t="s">
        <v>58</v>
      </c>
      <c r="G223" s="340" t="s">
        <v>59</v>
      </c>
      <c r="H223" s="340" t="s">
        <v>846</v>
      </c>
      <c r="I223" s="340" t="s">
        <v>61</v>
      </c>
      <c r="J223" s="340" t="s">
        <v>2012</v>
      </c>
      <c r="K223" s="340" t="s">
        <v>2013</v>
      </c>
      <c r="L223" s="345" t="str">
        <f>VLOOKUP(K223,'20260309 suivi sites'!F:F,1,0)</f>
        <v>64OLOR011AOG</v>
      </c>
      <c r="M223" s="340" t="s">
        <v>64</v>
      </c>
      <c r="N223" s="340" t="s">
        <v>65</v>
      </c>
      <c r="O223" s="340" t="s">
        <v>64</v>
      </c>
      <c r="P223" s="338">
        <v>43710</v>
      </c>
      <c r="Q223" s="341">
        <v>43915</v>
      </c>
      <c r="R223" s="347" t="b">
        <f t="shared" si="7"/>
        <v>0</v>
      </c>
      <c r="S223" s="347" t="str">
        <f t="shared" si="6"/>
        <v>change</v>
      </c>
      <c r="T223" s="342" t="s">
        <v>56</v>
      </c>
      <c r="U223" s="342" t="s">
        <v>2014</v>
      </c>
      <c r="V223" s="342" t="s">
        <v>2015</v>
      </c>
      <c r="W223" s="342" t="s">
        <v>2016</v>
      </c>
      <c r="X223" s="342" t="s">
        <v>69</v>
      </c>
      <c r="Y223" s="349" t="s">
        <v>2017</v>
      </c>
      <c r="Z223" s="342" t="s">
        <v>71</v>
      </c>
      <c r="AA223" s="342" t="s">
        <v>72</v>
      </c>
      <c r="AB223" s="342" t="s">
        <v>73</v>
      </c>
      <c r="AC223" s="342" t="s">
        <v>74</v>
      </c>
      <c r="AD223" s="342"/>
      <c r="AE223" s="342" t="s">
        <v>2018</v>
      </c>
      <c r="AF223" s="349" t="s">
        <v>3771</v>
      </c>
      <c r="AG223" s="342" t="s">
        <v>74</v>
      </c>
      <c r="AH223" s="342" t="s">
        <v>76</v>
      </c>
      <c r="AI223" s="342" t="s">
        <v>74</v>
      </c>
      <c r="AJ223" s="342" t="s">
        <v>77</v>
      </c>
      <c r="AK223" s="342" t="s">
        <v>97</v>
      </c>
      <c r="AL223" s="342" t="s">
        <v>79</v>
      </c>
      <c r="AM223" s="342" t="s">
        <v>74</v>
      </c>
      <c r="AN223" s="342"/>
      <c r="AO223" s="342" t="s">
        <v>2019</v>
      </c>
      <c r="AP223" s="342" t="s">
        <v>81</v>
      </c>
      <c r="AQ223" s="349" t="s">
        <v>927</v>
      </c>
      <c r="AR223" s="342" t="s">
        <v>83</v>
      </c>
      <c r="AS223" s="342" t="s">
        <v>84</v>
      </c>
      <c r="AT223" s="342" t="s">
        <v>45</v>
      </c>
      <c r="AU223" s="342" t="s">
        <v>85</v>
      </c>
      <c r="AV223" s="342"/>
      <c r="AW223" s="342"/>
      <c r="AX223" s="343" t="str">
        <f>IF(OR(Tableau3[[#This Row],[Option GTR]]&lt;&gt;"",Tableau3[[#This Row],[GTR spécifique]]&lt;&gt;""),"GTRS1","GTRS2")</f>
        <v>GTRS2</v>
      </c>
      <c r="AY223" s="342" t="s">
        <v>143</v>
      </c>
      <c r="AZ223" s="342"/>
      <c r="BA223" s="342" t="s">
        <v>891</v>
      </c>
    </row>
    <row r="224" spans="1:53" s="326" customFormat="1" ht="18.149999999999999" customHeight="1" x14ac:dyDescent="0.3">
      <c r="A224" s="340" t="s">
        <v>53</v>
      </c>
      <c r="B224" s="340" t="s">
        <v>54</v>
      </c>
      <c r="C224" s="340" t="s">
        <v>932</v>
      </c>
      <c r="D224" s="340" t="s">
        <v>56</v>
      </c>
      <c r="E224" s="340" t="s">
        <v>57</v>
      </c>
      <c r="F224" s="340" t="s">
        <v>58</v>
      </c>
      <c r="G224" s="340" t="s">
        <v>59</v>
      </c>
      <c r="H224" s="340" t="s">
        <v>846</v>
      </c>
      <c r="I224" s="340" t="s">
        <v>61</v>
      </c>
      <c r="J224" s="340" t="s">
        <v>2020</v>
      </c>
      <c r="K224" s="340" t="s">
        <v>2021</v>
      </c>
      <c r="L224" s="345" t="str">
        <f>VLOOKUP(K224,'20260309 suivi sites'!F:F,1,0)</f>
        <v>20CORT011AOS</v>
      </c>
      <c r="M224" s="340" t="s">
        <v>64</v>
      </c>
      <c r="N224" s="340" t="s">
        <v>65</v>
      </c>
      <c r="O224" s="340" t="s">
        <v>64</v>
      </c>
      <c r="P224" s="338">
        <v>43784</v>
      </c>
      <c r="Q224" s="341">
        <v>43880</v>
      </c>
      <c r="R224" s="347" t="b">
        <f t="shared" si="7"/>
        <v>0</v>
      </c>
      <c r="S224" s="347" t="str">
        <f t="shared" si="6"/>
        <v>change</v>
      </c>
      <c r="T224" s="342" t="s">
        <v>1439</v>
      </c>
      <c r="U224" s="342" t="s">
        <v>2022</v>
      </c>
      <c r="V224" s="342" t="s">
        <v>2023</v>
      </c>
      <c r="W224" s="342" t="s">
        <v>2024</v>
      </c>
      <c r="X224" s="342" t="s">
        <v>69</v>
      </c>
      <c r="Y224" s="349" t="s">
        <v>2025</v>
      </c>
      <c r="Z224" s="342" t="s">
        <v>71</v>
      </c>
      <c r="AA224" s="342" t="s">
        <v>72</v>
      </c>
      <c r="AB224" s="342" t="s">
        <v>73</v>
      </c>
      <c r="AC224" s="342" t="s">
        <v>74</v>
      </c>
      <c r="AD224" s="342"/>
      <c r="AE224" s="342" t="s">
        <v>2026</v>
      </c>
      <c r="AF224" s="349" t="s">
        <v>3767</v>
      </c>
      <c r="AG224" s="342" t="s">
        <v>74</v>
      </c>
      <c r="AH224" s="342" t="s">
        <v>74</v>
      </c>
      <c r="AI224" s="342" t="s">
        <v>74</v>
      </c>
      <c r="AJ224" s="342" t="s">
        <v>77</v>
      </c>
      <c r="AK224" s="342" t="s">
        <v>97</v>
      </c>
      <c r="AL224" s="342" t="s">
        <v>79</v>
      </c>
      <c r="AM224" s="342" t="s">
        <v>74</v>
      </c>
      <c r="AN224" s="342"/>
      <c r="AO224" s="342" t="s">
        <v>2027</v>
      </c>
      <c r="AP224" s="342" t="s">
        <v>81</v>
      </c>
      <c r="AQ224" s="349" t="s">
        <v>1444</v>
      </c>
      <c r="AR224" s="342" t="s">
        <v>83</v>
      </c>
      <c r="AS224" s="342" t="s">
        <v>84</v>
      </c>
      <c r="AT224" s="342" t="s">
        <v>45</v>
      </c>
      <c r="AU224" s="342" t="s">
        <v>85</v>
      </c>
      <c r="AV224" s="342"/>
      <c r="AW224" s="342"/>
      <c r="AX224" s="343" t="str">
        <f>IF(OR(Tableau3[[#This Row],[Option GTR]]&lt;&gt;"",Tableau3[[#This Row],[GTR spécifique]]&lt;&gt;""),"GTRS1","GTRS2")</f>
        <v>GTRS2</v>
      </c>
      <c r="AY224" s="342" t="s">
        <v>632</v>
      </c>
      <c r="AZ224" s="342"/>
      <c r="BA224" s="344" t="s">
        <v>2028</v>
      </c>
    </row>
    <row r="225" spans="1:53" s="326" customFormat="1" ht="18.149999999999999" customHeight="1" x14ac:dyDescent="0.3">
      <c r="A225" s="340" t="s">
        <v>53</v>
      </c>
      <c r="B225" s="340" t="s">
        <v>54</v>
      </c>
      <c r="C225" s="340" t="s">
        <v>932</v>
      </c>
      <c r="D225" s="340" t="s">
        <v>56</v>
      </c>
      <c r="E225" s="340" t="s">
        <v>57</v>
      </c>
      <c r="F225" s="340" t="s">
        <v>58</v>
      </c>
      <c r="G225" s="340" t="s">
        <v>59</v>
      </c>
      <c r="H225" s="340" t="s">
        <v>846</v>
      </c>
      <c r="I225" s="340" t="s">
        <v>61</v>
      </c>
      <c r="J225" s="340" t="s">
        <v>2029</v>
      </c>
      <c r="K225" s="340" t="s">
        <v>2030</v>
      </c>
      <c r="L225" s="345" t="str">
        <f>VLOOKUP(K225,'20260309 suivi sites'!F:F,1,0)</f>
        <v>33MERI031AOG</v>
      </c>
      <c r="M225" s="340" t="s">
        <v>64</v>
      </c>
      <c r="N225" s="340" t="s">
        <v>65</v>
      </c>
      <c r="O225" s="340" t="s">
        <v>64</v>
      </c>
      <c r="P225" s="338">
        <v>43831</v>
      </c>
      <c r="Q225" s="341">
        <v>44042</v>
      </c>
      <c r="R225" s="347" t="b">
        <f t="shared" si="7"/>
        <v>0</v>
      </c>
      <c r="S225" s="347" t="str">
        <f t="shared" si="6"/>
        <v>change</v>
      </c>
      <c r="T225" s="342" t="s">
        <v>1439</v>
      </c>
      <c r="U225" s="342" t="s">
        <v>2031</v>
      </c>
      <c r="V225" s="342" t="s">
        <v>1477</v>
      </c>
      <c r="W225" s="342" t="s">
        <v>1478</v>
      </c>
      <c r="X225" s="342" t="s">
        <v>69</v>
      </c>
      <c r="Y225" s="349" t="s">
        <v>2032</v>
      </c>
      <c r="Z225" s="342" t="s">
        <v>71</v>
      </c>
      <c r="AA225" s="342" t="s">
        <v>72</v>
      </c>
      <c r="AB225" s="342" t="s">
        <v>73</v>
      </c>
      <c r="AC225" s="342" t="s">
        <v>74</v>
      </c>
      <c r="AD225" s="342"/>
      <c r="AE225" s="342" t="s">
        <v>2033</v>
      </c>
      <c r="AF225" s="349" t="s">
        <v>279</v>
      </c>
      <c r="AG225" s="342" t="s">
        <v>74</v>
      </c>
      <c r="AH225" s="342" t="s">
        <v>74</v>
      </c>
      <c r="AI225" s="342" t="s">
        <v>74</v>
      </c>
      <c r="AJ225" s="342" t="s">
        <v>77</v>
      </c>
      <c r="AK225" s="342" t="s">
        <v>78</v>
      </c>
      <c r="AL225" s="342" t="s">
        <v>79</v>
      </c>
      <c r="AM225" s="342" t="s">
        <v>74</v>
      </c>
      <c r="AN225" s="342"/>
      <c r="AO225" s="342" t="s">
        <v>2034</v>
      </c>
      <c r="AP225" s="342" t="s">
        <v>81</v>
      </c>
      <c r="AQ225" s="349" t="s">
        <v>190</v>
      </c>
      <c r="AR225" s="342" t="s">
        <v>83</v>
      </c>
      <c r="AS225" s="342" t="s">
        <v>84</v>
      </c>
      <c r="AT225" s="342" t="s">
        <v>45</v>
      </c>
      <c r="AU225" s="342" t="s">
        <v>85</v>
      </c>
      <c r="AV225" s="342"/>
      <c r="AW225" s="342"/>
      <c r="AX225" s="343" t="str">
        <f>IF(OR(Tableau3[[#This Row],[Option GTR]]&lt;&gt;"",Tableau3[[#This Row],[GTR spécifique]]&lt;&gt;""),"GTRS1","GTRS2")</f>
        <v>GTRS2</v>
      </c>
      <c r="AY225" s="342" t="s">
        <v>86</v>
      </c>
      <c r="AZ225" s="342" t="s">
        <v>2035</v>
      </c>
      <c r="BA225" s="344" t="s">
        <v>2036</v>
      </c>
    </row>
    <row r="226" spans="1:53" s="326" customFormat="1" ht="18.149999999999999" customHeight="1" x14ac:dyDescent="0.3">
      <c r="A226" s="340" t="s">
        <v>53</v>
      </c>
      <c r="B226" s="340" t="s">
        <v>54</v>
      </c>
      <c r="C226" s="340" t="s">
        <v>932</v>
      </c>
      <c r="D226" s="340" t="s">
        <v>56</v>
      </c>
      <c r="E226" s="340" t="s">
        <v>57</v>
      </c>
      <c r="F226" s="340" t="s">
        <v>58</v>
      </c>
      <c r="G226" s="340" t="s">
        <v>59</v>
      </c>
      <c r="H226" s="340" t="s">
        <v>846</v>
      </c>
      <c r="I226" s="340" t="s">
        <v>61</v>
      </c>
      <c r="J226" s="340" t="s">
        <v>2037</v>
      </c>
      <c r="K226" s="340" t="s">
        <v>2038</v>
      </c>
      <c r="L226" s="345" t="str">
        <f>VLOOKUP(K226,'20260309 suivi sites'!F:F,1,0)</f>
        <v>23CHAT011AOB</v>
      </c>
      <c r="M226" s="340" t="s">
        <v>64</v>
      </c>
      <c r="N226" s="340" t="s">
        <v>65</v>
      </c>
      <c r="O226" s="340" t="s">
        <v>64</v>
      </c>
      <c r="P226" s="338">
        <v>43746</v>
      </c>
      <c r="Q226" s="341">
        <v>43872</v>
      </c>
      <c r="R226" s="347" t="b">
        <f t="shared" si="7"/>
        <v>0</v>
      </c>
      <c r="S226" s="347" t="str">
        <f t="shared" si="6"/>
        <v>change</v>
      </c>
      <c r="T226" s="342" t="s">
        <v>1439</v>
      </c>
      <c r="U226" s="342" t="s">
        <v>2039</v>
      </c>
      <c r="V226" s="342" t="s">
        <v>2040</v>
      </c>
      <c r="W226" s="342" t="s">
        <v>2041</v>
      </c>
      <c r="X226" s="342" t="s">
        <v>69</v>
      </c>
      <c r="Y226" s="349" t="s">
        <v>2042</v>
      </c>
      <c r="Z226" s="342" t="s">
        <v>71</v>
      </c>
      <c r="AA226" s="342" t="s">
        <v>218</v>
      </c>
      <c r="AB226" s="342" t="s">
        <v>152</v>
      </c>
      <c r="AC226" s="342" t="s">
        <v>74</v>
      </c>
      <c r="AD226" s="342"/>
      <c r="AE226" s="342" t="s">
        <v>2043</v>
      </c>
      <c r="AF226" s="349" t="s">
        <v>3774</v>
      </c>
      <c r="AG226" s="342" t="s">
        <v>74</v>
      </c>
      <c r="AH226" s="342" t="s">
        <v>74</v>
      </c>
      <c r="AI226" s="342" t="s">
        <v>74</v>
      </c>
      <c r="AJ226" s="342" t="s">
        <v>77</v>
      </c>
      <c r="AK226" s="342" t="s">
        <v>97</v>
      </c>
      <c r="AL226" s="342" t="s">
        <v>79</v>
      </c>
      <c r="AM226" s="342" t="s">
        <v>74</v>
      </c>
      <c r="AN226" s="342"/>
      <c r="AO226" s="342" t="s">
        <v>2044</v>
      </c>
      <c r="AP226" s="342" t="s">
        <v>81</v>
      </c>
      <c r="AQ226" s="349" t="s">
        <v>510</v>
      </c>
      <c r="AR226" s="342" t="s">
        <v>83</v>
      </c>
      <c r="AS226" s="342" t="s">
        <v>84</v>
      </c>
      <c r="AT226" s="342" t="s">
        <v>45</v>
      </c>
      <c r="AU226" s="342" t="s">
        <v>85</v>
      </c>
      <c r="AV226" s="342"/>
      <c r="AW226" s="342"/>
      <c r="AX226" s="343" t="str">
        <f>IF(OR(Tableau3[[#This Row],[Option GTR]]&lt;&gt;"",Tableau3[[#This Row],[GTR spécifique]]&lt;&gt;""),"GTRS1","GTRS2")</f>
        <v>GTRS2</v>
      </c>
      <c r="AY226" s="342" t="s">
        <v>738</v>
      </c>
      <c r="AZ226" s="342"/>
      <c r="BA226" s="342" t="s">
        <v>2045</v>
      </c>
    </row>
    <row r="227" spans="1:53" s="326" customFormat="1" ht="18.149999999999999" customHeight="1" x14ac:dyDescent="0.3">
      <c r="A227" s="340" t="s">
        <v>53</v>
      </c>
      <c r="B227" s="340" t="s">
        <v>54</v>
      </c>
      <c r="C227" s="340" t="s">
        <v>932</v>
      </c>
      <c r="D227" s="340" t="s">
        <v>56</v>
      </c>
      <c r="E227" s="340" t="s">
        <v>57</v>
      </c>
      <c r="F227" s="340" t="s">
        <v>58</v>
      </c>
      <c r="G227" s="340" t="s">
        <v>59</v>
      </c>
      <c r="H227" s="340" t="s">
        <v>846</v>
      </c>
      <c r="I227" s="340" t="s">
        <v>61</v>
      </c>
      <c r="J227" s="340" t="s">
        <v>2046</v>
      </c>
      <c r="K227" s="340" t="s">
        <v>2047</v>
      </c>
      <c r="L227" s="345" t="str">
        <f>VLOOKUP(K227,'20260309 suivi sites'!F:F,1,0)</f>
        <v>65JUIL011AOB</v>
      </c>
      <c r="M227" s="340" t="s">
        <v>64</v>
      </c>
      <c r="N227" s="340" t="s">
        <v>65</v>
      </c>
      <c r="O227" s="340" t="s">
        <v>64</v>
      </c>
      <c r="P227" s="338">
        <v>43794</v>
      </c>
      <c r="Q227" s="341">
        <v>43861</v>
      </c>
      <c r="R227" s="347" t="b">
        <f t="shared" si="7"/>
        <v>0</v>
      </c>
      <c r="S227" s="347" t="str">
        <f t="shared" si="6"/>
        <v>change</v>
      </c>
      <c r="T227" s="342" t="s">
        <v>1439</v>
      </c>
      <c r="U227" s="342" t="s">
        <v>2048</v>
      </c>
      <c r="V227" s="342" t="s">
        <v>2049</v>
      </c>
      <c r="W227" s="342" t="s">
        <v>2050</v>
      </c>
      <c r="X227" s="342" t="s">
        <v>69</v>
      </c>
      <c r="Y227" s="349" t="s">
        <v>2051</v>
      </c>
      <c r="Z227" s="342" t="s">
        <v>71</v>
      </c>
      <c r="AA227" s="342" t="s">
        <v>218</v>
      </c>
      <c r="AB227" s="342" t="s">
        <v>152</v>
      </c>
      <c r="AC227" s="342" t="s">
        <v>74</v>
      </c>
      <c r="AD227" s="342"/>
      <c r="AE227" s="342" t="s">
        <v>2052</v>
      </c>
      <c r="AF227" s="349" t="s">
        <v>3766</v>
      </c>
      <c r="AG227" s="342" t="s">
        <v>74</v>
      </c>
      <c r="AH227" s="342" t="s">
        <v>74</v>
      </c>
      <c r="AI227" s="342" t="s">
        <v>74</v>
      </c>
      <c r="AJ227" s="342" t="s">
        <v>77</v>
      </c>
      <c r="AK227" s="342" t="s">
        <v>97</v>
      </c>
      <c r="AL227" s="342" t="s">
        <v>79</v>
      </c>
      <c r="AM227" s="342" t="s">
        <v>74</v>
      </c>
      <c r="AN227" s="342"/>
      <c r="AO227" s="342" t="s">
        <v>2053</v>
      </c>
      <c r="AP227" s="342" t="s">
        <v>81</v>
      </c>
      <c r="AQ227" s="349" t="s">
        <v>130</v>
      </c>
      <c r="AR227" s="342" t="s">
        <v>83</v>
      </c>
      <c r="AS227" s="342" t="s">
        <v>84</v>
      </c>
      <c r="AT227" s="342" t="s">
        <v>45</v>
      </c>
      <c r="AU227" s="342" t="s">
        <v>85</v>
      </c>
      <c r="AV227" s="342"/>
      <c r="AW227" s="342"/>
      <c r="AX227" s="343" t="str">
        <f>IF(OR(Tableau3[[#This Row],[Option GTR]]&lt;&gt;"",Tableau3[[#This Row],[GTR spécifique]]&lt;&gt;""),"GTRS1","GTRS2")</f>
        <v>GTRS2</v>
      </c>
      <c r="AY227" s="342" t="s">
        <v>738</v>
      </c>
      <c r="AZ227" s="342"/>
      <c r="BA227" s="342" t="s">
        <v>2054</v>
      </c>
    </row>
    <row r="228" spans="1:53" s="326" customFormat="1" ht="18.149999999999999" customHeight="1" x14ac:dyDescent="0.3">
      <c r="A228" s="340" t="s">
        <v>53</v>
      </c>
      <c r="B228" s="340" t="s">
        <v>54</v>
      </c>
      <c r="C228" s="340" t="s">
        <v>932</v>
      </c>
      <c r="D228" s="340" t="s">
        <v>56</v>
      </c>
      <c r="E228" s="340" t="s">
        <v>57</v>
      </c>
      <c r="F228" s="340" t="s">
        <v>58</v>
      </c>
      <c r="G228" s="340" t="s">
        <v>59</v>
      </c>
      <c r="H228" s="340" t="s">
        <v>846</v>
      </c>
      <c r="I228" s="340" t="s">
        <v>61</v>
      </c>
      <c r="J228" s="340" t="s">
        <v>2055</v>
      </c>
      <c r="K228" s="340" t="s">
        <v>2056</v>
      </c>
      <c r="L228" s="345" t="str">
        <f>VLOOKUP(K228,'20260309 suivi sites'!F:F,1,0)</f>
        <v>34MONT041AOG</v>
      </c>
      <c r="M228" s="340" t="s">
        <v>64</v>
      </c>
      <c r="N228" s="340" t="s">
        <v>65</v>
      </c>
      <c r="O228" s="340" t="s">
        <v>64</v>
      </c>
      <c r="P228" s="338">
        <v>43868</v>
      </c>
      <c r="Q228" s="341">
        <v>43917</v>
      </c>
      <c r="R228" s="347" t="b">
        <f t="shared" si="7"/>
        <v>0</v>
      </c>
      <c r="S228" s="347" t="str">
        <f t="shared" si="6"/>
        <v>change</v>
      </c>
      <c r="T228" s="342" t="s">
        <v>1439</v>
      </c>
      <c r="U228" s="342" t="s">
        <v>2057</v>
      </c>
      <c r="V228" s="342" t="s">
        <v>2058</v>
      </c>
      <c r="W228" s="342" t="s">
        <v>2059</v>
      </c>
      <c r="X228" s="342" t="s">
        <v>69</v>
      </c>
      <c r="Y228" s="349" t="s">
        <v>2060</v>
      </c>
      <c r="Z228" s="342" t="s">
        <v>71</v>
      </c>
      <c r="AA228" s="342" t="s">
        <v>72</v>
      </c>
      <c r="AB228" s="342" t="s">
        <v>73</v>
      </c>
      <c r="AC228" s="342" t="s">
        <v>74</v>
      </c>
      <c r="AD228" s="342"/>
      <c r="AE228" s="342" t="s">
        <v>2061</v>
      </c>
      <c r="AF228" s="349" t="s">
        <v>3769</v>
      </c>
      <c r="AG228" s="342" t="s">
        <v>74</v>
      </c>
      <c r="AH228" s="342" t="s">
        <v>76</v>
      </c>
      <c r="AI228" s="342" t="s">
        <v>76</v>
      </c>
      <c r="AJ228" s="342" t="s">
        <v>77</v>
      </c>
      <c r="AK228" s="342" t="s">
        <v>78</v>
      </c>
      <c r="AL228" s="342" t="s">
        <v>79</v>
      </c>
      <c r="AM228" s="342" t="s">
        <v>74</v>
      </c>
      <c r="AN228" s="342"/>
      <c r="AO228" s="342" t="s">
        <v>2062</v>
      </c>
      <c r="AP228" s="342" t="s">
        <v>81</v>
      </c>
      <c r="AQ228" s="349" t="s">
        <v>200</v>
      </c>
      <c r="AR228" s="342" t="s">
        <v>83</v>
      </c>
      <c r="AS228" s="342" t="s">
        <v>290</v>
      </c>
      <c r="AT228" s="342" t="s">
        <v>45</v>
      </c>
      <c r="AU228" s="342" t="s">
        <v>85</v>
      </c>
      <c r="AV228" s="342"/>
      <c r="AW228" s="342"/>
      <c r="AX228" s="343" t="str">
        <f>IF(OR(Tableau3[[#This Row],[Option GTR]]&lt;&gt;"",Tableau3[[#This Row],[GTR spécifique]]&lt;&gt;""),"GTRS1","GTRS2")</f>
        <v>GTRS2</v>
      </c>
      <c r="AY228" s="342" t="s">
        <v>86</v>
      </c>
      <c r="AZ228" s="342"/>
      <c r="BA228" s="342" t="s">
        <v>918</v>
      </c>
    </row>
    <row r="229" spans="1:53" s="326" customFormat="1" ht="18.149999999999999" customHeight="1" x14ac:dyDescent="0.3">
      <c r="A229" s="340" t="s">
        <v>53</v>
      </c>
      <c r="B229" s="340" t="s">
        <v>54</v>
      </c>
      <c r="C229" s="340" t="s">
        <v>932</v>
      </c>
      <c r="D229" s="340" t="s">
        <v>56</v>
      </c>
      <c r="E229" s="340" t="s">
        <v>57</v>
      </c>
      <c r="F229" s="340" t="s">
        <v>58</v>
      </c>
      <c r="G229" s="340" t="s">
        <v>59</v>
      </c>
      <c r="H229" s="340" t="s">
        <v>846</v>
      </c>
      <c r="I229" s="340" t="s">
        <v>61</v>
      </c>
      <c r="J229" s="340" t="s">
        <v>2063</v>
      </c>
      <c r="K229" s="340" t="s">
        <v>2064</v>
      </c>
      <c r="L229" s="345" t="str">
        <f>VLOOKUP(K229,'20260309 suivi sites'!F:F,1,0)</f>
        <v>31TOUL051AOG</v>
      </c>
      <c r="M229" s="340" t="s">
        <v>64</v>
      </c>
      <c r="N229" s="340" t="s">
        <v>65</v>
      </c>
      <c r="O229" s="340" t="s">
        <v>64</v>
      </c>
      <c r="P229" s="338">
        <v>44083</v>
      </c>
      <c r="Q229" s="341">
        <v>44083</v>
      </c>
      <c r="R229" s="347" t="b">
        <f t="shared" si="7"/>
        <v>1</v>
      </c>
      <c r="S229" s="347" t="str">
        <f t="shared" si="6"/>
        <v>création</v>
      </c>
      <c r="T229" s="342" t="s">
        <v>1439</v>
      </c>
      <c r="U229" s="342" t="s">
        <v>1845</v>
      </c>
      <c r="V229" s="342" t="s">
        <v>1830</v>
      </c>
      <c r="W229" s="342" t="s">
        <v>1831</v>
      </c>
      <c r="X229" s="342" t="s">
        <v>69</v>
      </c>
      <c r="Y229" s="349" t="s">
        <v>2065</v>
      </c>
      <c r="Z229" s="342" t="s">
        <v>71</v>
      </c>
      <c r="AA229" s="342" t="s">
        <v>72</v>
      </c>
      <c r="AB229" s="342" t="s">
        <v>73</v>
      </c>
      <c r="AC229" s="342" t="s">
        <v>74</v>
      </c>
      <c r="AD229" s="342"/>
      <c r="AE229" s="342" t="s">
        <v>2066</v>
      </c>
      <c r="AF229" s="349" t="s">
        <v>3771</v>
      </c>
      <c r="AG229" s="342" t="s">
        <v>74</v>
      </c>
      <c r="AH229" s="342" t="s">
        <v>74</v>
      </c>
      <c r="AI229" s="342" t="s">
        <v>74</v>
      </c>
      <c r="AJ229" s="342" t="s">
        <v>77</v>
      </c>
      <c r="AK229" s="342" t="s">
        <v>97</v>
      </c>
      <c r="AL229" s="342" t="s">
        <v>79</v>
      </c>
      <c r="AM229" s="342" t="s">
        <v>74</v>
      </c>
      <c r="AN229" s="342"/>
      <c r="AO229" s="342" t="s">
        <v>2067</v>
      </c>
      <c r="AP229" s="342" t="s">
        <v>81</v>
      </c>
      <c r="AQ229" s="349" t="s">
        <v>222</v>
      </c>
      <c r="AR229" s="342" t="s">
        <v>83</v>
      </c>
      <c r="AS229" s="342" t="s">
        <v>290</v>
      </c>
      <c r="AT229" s="342" t="s">
        <v>45</v>
      </c>
      <c r="AU229" s="342" t="s">
        <v>85</v>
      </c>
      <c r="AV229" s="342"/>
      <c r="AW229" s="342"/>
      <c r="AX229" s="343" t="str">
        <f>IF(OR(Tableau3[[#This Row],[Option GTR]]&lt;&gt;"",Tableau3[[#This Row],[GTR spécifique]]&lt;&gt;""),"GTRS1","GTRS2")</f>
        <v>GTRS2</v>
      </c>
      <c r="AY229" s="342" t="s">
        <v>86</v>
      </c>
      <c r="AZ229" s="342" t="s">
        <v>2068</v>
      </c>
      <c r="BA229" s="344" t="s">
        <v>2069</v>
      </c>
    </row>
    <row r="230" spans="1:53" s="326" customFormat="1" ht="18.149999999999999" customHeight="1" x14ac:dyDescent="0.3">
      <c r="A230" s="340" t="s">
        <v>53</v>
      </c>
      <c r="B230" s="340" t="s">
        <v>54</v>
      </c>
      <c r="C230" s="340" t="s">
        <v>932</v>
      </c>
      <c r="D230" s="340" t="s">
        <v>56</v>
      </c>
      <c r="E230" s="340" t="s">
        <v>57</v>
      </c>
      <c r="F230" s="340" t="s">
        <v>58</v>
      </c>
      <c r="G230" s="340" t="s">
        <v>59</v>
      </c>
      <c r="H230" s="340" t="s">
        <v>846</v>
      </c>
      <c r="I230" s="340" t="s">
        <v>61</v>
      </c>
      <c r="J230" s="340" t="s">
        <v>2070</v>
      </c>
      <c r="K230" s="340" t="s">
        <v>2071</v>
      </c>
      <c r="L230" s="345" t="str">
        <f>VLOOKUP(K230,'20260309 suivi sites'!F:F,1,0)</f>
        <v>09SOUE011AOB</v>
      </c>
      <c r="M230" s="340" t="s">
        <v>64</v>
      </c>
      <c r="N230" s="340" t="s">
        <v>771</v>
      </c>
      <c r="O230" s="340" t="s">
        <v>64</v>
      </c>
      <c r="P230" s="338">
        <v>44077</v>
      </c>
      <c r="Q230" s="341">
        <v>44077</v>
      </c>
      <c r="R230" s="347" t="b">
        <f t="shared" si="7"/>
        <v>1</v>
      </c>
      <c r="S230" s="347" t="str">
        <f t="shared" si="6"/>
        <v>création</v>
      </c>
      <c r="T230" s="342" t="s">
        <v>1439</v>
      </c>
      <c r="U230" s="342" t="s">
        <v>2072</v>
      </c>
      <c r="V230" s="342" t="s">
        <v>2073</v>
      </c>
      <c r="W230" s="342" t="s">
        <v>2074</v>
      </c>
      <c r="X230" s="342" t="s">
        <v>69</v>
      </c>
      <c r="Y230" s="349" t="s">
        <v>2075</v>
      </c>
      <c r="Z230" s="342" t="s">
        <v>71</v>
      </c>
      <c r="AA230" s="342" t="s">
        <v>218</v>
      </c>
      <c r="AB230" s="342" t="s">
        <v>152</v>
      </c>
      <c r="AC230" s="342" t="s">
        <v>74</v>
      </c>
      <c r="AD230" s="342"/>
      <c r="AE230" s="342" t="s">
        <v>2076</v>
      </c>
      <c r="AF230" s="349" t="s">
        <v>3773</v>
      </c>
      <c r="AG230" s="342" t="s">
        <v>74</v>
      </c>
      <c r="AH230" s="342" t="s">
        <v>74</v>
      </c>
      <c r="AI230" s="342" t="s">
        <v>74</v>
      </c>
      <c r="AJ230" s="342" t="s">
        <v>77</v>
      </c>
      <c r="AK230" s="342" t="s">
        <v>97</v>
      </c>
      <c r="AL230" s="342" t="s">
        <v>79</v>
      </c>
      <c r="AM230" s="342" t="s">
        <v>74</v>
      </c>
      <c r="AN230" s="342"/>
      <c r="AO230" s="342" t="s">
        <v>2077</v>
      </c>
      <c r="AP230" s="342" t="s">
        <v>81</v>
      </c>
      <c r="AQ230" s="349" t="s">
        <v>748</v>
      </c>
      <c r="AR230" s="342" t="s">
        <v>83</v>
      </c>
      <c r="AS230" s="342" t="s">
        <v>290</v>
      </c>
      <c r="AT230" s="342" t="s">
        <v>45</v>
      </c>
      <c r="AU230" s="342" t="s">
        <v>85</v>
      </c>
      <c r="AV230" s="342"/>
      <c r="AW230" s="342"/>
      <c r="AX230" s="343" t="str">
        <f>IF(OR(Tableau3[[#This Row],[Option GTR]]&lt;&gt;"",Tableau3[[#This Row],[GTR spécifique]]&lt;&gt;""),"GTRS1","GTRS2")</f>
        <v>GTRS2</v>
      </c>
      <c r="AY230" s="342" t="s">
        <v>794</v>
      </c>
      <c r="AZ230" s="342" t="s">
        <v>2068</v>
      </c>
      <c r="BA230" s="342" t="s">
        <v>2078</v>
      </c>
    </row>
    <row r="231" spans="1:53" s="326" customFormat="1" ht="18.149999999999999" customHeight="1" x14ac:dyDescent="0.3">
      <c r="A231" s="340" t="s">
        <v>53</v>
      </c>
      <c r="B231" s="340" t="s">
        <v>54</v>
      </c>
      <c r="C231" s="340" t="s">
        <v>2079</v>
      </c>
      <c r="D231" s="340" t="s">
        <v>56</v>
      </c>
      <c r="E231" s="340" t="s">
        <v>57</v>
      </c>
      <c r="F231" s="340" t="s">
        <v>58</v>
      </c>
      <c r="G231" s="340" t="s">
        <v>59</v>
      </c>
      <c r="H231" s="340" t="s">
        <v>60</v>
      </c>
      <c r="I231" s="340" t="s">
        <v>61</v>
      </c>
      <c r="J231" s="340" t="s">
        <v>2080</v>
      </c>
      <c r="K231" s="340" t="s">
        <v>2081</v>
      </c>
      <c r="L231" s="345" t="str">
        <f>VLOOKUP(K231,'20260309 suivi sites'!F:F,1,0)</f>
        <v>50CHER011AOG</v>
      </c>
      <c r="M231" s="340" t="s">
        <v>64</v>
      </c>
      <c r="N231" s="340" t="s">
        <v>65</v>
      </c>
      <c r="O231" s="340" t="s">
        <v>64</v>
      </c>
      <c r="P231" s="338">
        <v>43816</v>
      </c>
      <c r="Q231" s="341">
        <v>44774</v>
      </c>
      <c r="R231" s="347" t="b">
        <f t="shared" si="7"/>
        <v>0</v>
      </c>
      <c r="S231" s="347" t="str">
        <f t="shared" si="6"/>
        <v>change</v>
      </c>
      <c r="T231" s="342" t="s">
        <v>56</v>
      </c>
      <c r="U231" s="342" t="s">
        <v>2082</v>
      </c>
      <c r="V231" s="342" t="s">
        <v>2083</v>
      </c>
      <c r="W231" s="342" t="s">
        <v>2084</v>
      </c>
      <c r="X231" s="342" t="s">
        <v>69</v>
      </c>
      <c r="Y231" s="349" t="s">
        <v>2085</v>
      </c>
      <c r="Z231" s="342" t="s">
        <v>71</v>
      </c>
      <c r="AA231" s="342" t="s">
        <v>72</v>
      </c>
      <c r="AB231" s="342" t="s">
        <v>73</v>
      </c>
      <c r="AC231" s="342" t="s">
        <v>74</v>
      </c>
      <c r="AD231" s="342"/>
      <c r="AE231" s="342" t="s">
        <v>2086</v>
      </c>
      <c r="AF231" s="349" t="s">
        <v>3771</v>
      </c>
      <c r="AG231" s="342" t="s">
        <v>74</v>
      </c>
      <c r="AH231" s="342" t="s">
        <v>76</v>
      </c>
      <c r="AI231" s="342" t="s">
        <v>74</v>
      </c>
      <c r="AJ231" s="342" t="s">
        <v>77</v>
      </c>
      <c r="AK231" s="342" t="s">
        <v>97</v>
      </c>
      <c r="AL231" s="342" t="s">
        <v>79</v>
      </c>
      <c r="AM231" s="342" t="s">
        <v>74</v>
      </c>
      <c r="AN231" s="342"/>
      <c r="AO231" s="342" t="s">
        <v>2087</v>
      </c>
      <c r="AP231" s="342" t="s">
        <v>81</v>
      </c>
      <c r="AQ231" s="349" t="s">
        <v>222</v>
      </c>
      <c r="AR231" s="342" t="s">
        <v>83</v>
      </c>
      <c r="AS231" s="342" t="s">
        <v>84</v>
      </c>
      <c r="AT231" s="342" t="s">
        <v>45</v>
      </c>
      <c r="AU231" s="342" t="s">
        <v>85</v>
      </c>
      <c r="AV231" s="342"/>
      <c r="AW231" s="342"/>
      <c r="AX231" s="343" t="str">
        <f>IF(OR(Tableau3[[#This Row],[Option GTR]]&lt;&gt;"",Tableau3[[#This Row],[GTR spécifique]]&lt;&gt;""),"GTRS1","GTRS2")</f>
        <v>GTRS2</v>
      </c>
      <c r="AY231" s="342" t="s">
        <v>143</v>
      </c>
      <c r="AZ231" s="342"/>
      <c r="BA231" s="342" t="s">
        <v>2088</v>
      </c>
    </row>
    <row r="232" spans="1:53" s="326" customFormat="1" ht="18.149999999999999" customHeight="1" x14ac:dyDescent="0.3">
      <c r="A232" s="340" t="s">
        <v>53</v>
      </c>
      <c r="B232" s="340" t="s">
        <v>54</v>
      </c>
      <c r="C232" s="340" t="s">
        <v>2079</v>
      </c>
      <c r="D232" s="340" t="s">
        <v>56</v>
      </c>
      <c r="E232" s="340" t="s">
        <v>57</v>
      </c>
      <c r="F232" s="340" t="s">
        <v>58</v>
      </c>
      <c r="G232" s="340" t="s">
        <v>59</v>
      </c>
      <c r="H232" s="340" t="s">
        <v>60</v>
      </c>
      <c r="I232" s="340" t="s">
        <v>61</v>
      </c>
      <c r="J232" s="340" t="s">
        <v>2089</v>
      </c>
      <c r="K232" s="340" t="s">
        <v>2090</v>
      </c>
      <c r="L232" s="345" t="str">
        <f>VLOOKUP(K232,'20260309 suivi sites'!F:F,1,0)</f>
        <v>27PACY013AOM</v>
      </c>
      <c r="M232" s="340" t="s">
        <v>64</v>
      </c>
      <c r="N232" s="340" t="s">
        <v>65</v>
      </c>
      <c r="O232" s="340" t="s">
        <v>64</v>
      </c>
      <c r="P232" s="338">
        <v>43617</v>
      </c>
      <c r="Q232" s="341">
        <v>44140</v>
      </c>
      <c r="R232" s="347" t="b">
        <f t="shared" si="7"/>
        <v>0</v>
      </c>
      <c r="S232" s="347" t="str">
        <f t="shared" si="6"/>
        <v>change</v>
      </c>
      <c r="T232" s="342" t="s">
        <v>56</v>
      </c>
      <c r="U232" s="342" t="s">
        <v>2091</v>
      </c>
      <c r="V232" s="342" t="s">
        <v>175</v>
      </c>
      <c r="W232" s="342" t="s">
        <v>176</v>
      </c>
      <c r="X232" s="342" t="s">
        <v>69</v>
      </c>
      <c r="Y232" s="349" t="s">
        <v>2092</v>
      </c>
      <c r="Z232" s="342" t="s">
        <v>71</v>
      </c>
      <c r="AA232" s="342" t="s">
        <v>218</v>
      </c>
      <c r="AB232" s="342" t="s">
        <v>152</v>
      </c>
      <c r="AC232" s="342" t="s">
        <v>74</v>
      </c>
      <c r="AD232" s="342"/>
      <c r="AE232" s="342" t="s">
        <v>2093</v>
      </c>
      <c r="AF232" s="349" t="s">
        <v>3777</v>
      </c>
      <c r="AG232" s="342" t="s">
        <v>74</v>
      </c>
      <c r="AH232" s="342" t="s">
        <v>76</v>
      </c>
      <c r="AI232" s="342" t="s">
        <v>74</v>
      </c>
      <c r="AJ232" s="342" t="s">
        <v>77</v>
      </c>
      <c r="AK232" s="342" t="s">
        <v>78</v>
      </c>
      <c r="AL232" s="342" t="s">
        <v>79</v>
      </c>
      <c r="AM232" s="342" t="s">
        <v>74</v>
      </c>
      <c r="AN232" s="342" t="s">
        <v>2094</v>
      </c>
      <c r="AO232" s="342" t="s">
        <v>2095</v>
      </c>
      <c r="AP232" s="342" t="s">
        <v>81</v>
      </c>
      <c r="AQ232" s="349" t="s">
        <v>169</v>
      </c>
      <c r="AR232" s="342" t="s">
        <v>83</v>
      </c>
      <c r="AS232" s="342" t="s">
        <v>84</v>
      </c>
      <c r="AT232" s="342" t="s">
        <v>45</v>
      </c>
      <c r="AU232" s="342" t="s">
        <v>85</v>
      </c>
      <c r="AV232" s="342" t="s">
        <v>480</v>
      </c>
      <c r="AW232" s="342"/>
      <c r="AX232" s="343" t="str">
        <f>IF(OR(Tableau3[[#This Row],[Option GTR]]&lt;&gt;"",Tableau3[[#This Row],[GTR spécifique]]&lt;&gt;""),"GTRS1","GTRS2")</f>
        <v>GTRS1</v>
      </c>
      <c r="AY232" s="342" t="s">
        <v>481</v>
      </c>
      <c r="AZ232" s="342"/>
      <c r="BA232" s="344" t="s">
        <v>2096</v>
      </c>
    </row>
    <row r="233" spans="1:53" s="326" customFormat="1" ht="18.149999999999999" customHeight="1" x14ac:dyDescent="0.3">
      <c r="A233" s="340" t="s">
        <v>53</v>
      </c>
      <c r="B233" s="340" t="s">
        <v>54</v>
      </c>
      <c r="C233" s="340" t="s">
        <v>2079</v>
      </c>
      <c r="D233" s="340" t="s">
        <v>56</v>
      </c>
      <c r="E233" s="340" t="s">
        <v>57</v>
      </c>
      <c r="F233" s="340" t="s">
        <v>58</v>
      </c>
      <c r="G233" s="340" t="s">
        <v>59</v>
      </c>
      <c r="H233" s="340" t="s">
        <v>60</v>
      </c>
      <c r="I233" s="340" t="s">
        <v>61</v>
      </c>
      <c r="J233" s="340" t="s">
        <v>2097</v>
      </c>
      <c r="K233" s="340" t="s">
        <v>2098</v>
      </c>
      <c r="L233" s="345" t="str">
        <f>VLOOKUP(K233,'20260309 suivi sites'!F:F,1,0)</f>
        <v>20PROP011AOS</v>
      </c>
      <c r="M233" s="340" t="s">
        <v>64</v>
      </c>
      <c r="N233" s="340" t="s">
        <v>65</v>
      </c>
      <c r="O233" s="340" t="s">
        <v>104</v>
      </c>
      <c r="P233" s="338">
        <v>43775</v>
      </c>
      <c r="Q233" s="341"/>
      <c r="R233" s="347" t="b">
        <f t="shared" si="7"/>
        <v>0</v>
      </c>
      <c r="S233" s="347" t="str">
        <f t="shared" si="6"/>
        <v>change</v>
      </c>
      <c r="T233" s="342" t="s">
        <v>1439</v>
      </c>
      <c r="U233" s="342" t="s">
        <v>2099</v>
      </c>
      <c r="V233" s="342" t="s">
        <v>2100</v>
      </c>
      <c r="W233" s="342" t="s">
        <v>2101</v>
      </c>
      <c r="X233" s="342" t="s">
        <v>69</v>
      </c>
      <c r="Y233" s="349" t="s">
        <v>2102</v>
      </c>
      <c r="Z233" s="342" t="s">
        <v>71</v>
      </c>
      <c r="AA233" s="342" t="s">
        <v>72</v>
      </c>
      <c r="AB233" s="342" t="s">
        <v>73</v>
      </c>
      <c r="AC233" s="342" t="s">
        <v>74</v>
      </c>
      <c r="AD233" s="342"/>
      <c r="AE233" s="342" t="s">
        <v>2103</v>
      </c>
      <c r="AF233" s="349" t="s">
        <v>3766</v>
      </c>
      <c r="AG233" s="342" t="s">
        <v>74</v>
      </c>
      <c r="AH233" s="342" t="s">
        <v>76</v>
      </c>
      <c r="AI233" s="342" t="s">
        <v>74</v>
      </c>
      <c r="AJ233" s="342" t="s">
        <v>77</v>
      </c>
      <c r="AK233" s="342" t="s">
        <v>97</v>
      </c>
      <c r="AL233" s="342" t="s">
        <v>79</v>
      </c>
      <c r="AM233" s="342" t="s">
        <v>74</v>
      </c>
      <c r="AN233" s="342"/>
      <c r="AO233" s="342" t="s">
        <v>2104</v>
      </c>
      <c r="AP233" s="342" t="s">
        <v>81</v>
      </c>
      <c r="AQ233" s="349" t="s">
        <v>142</v>
      </c>
      <c r="AR233" s="342" t="s">
        <v>83</v>
      </c>
      <c r="AS233" s="342" t="s">
        <v>84</v>
      </c>
      <c r="AT233" s="342" t="s">
        <v>45</v>
      </c>
      <c r="AU233" s="342" t="s">
        <v>85</v>
      </c>
      <c r="AV233" s="342"/>
      <c r="AW233" s="342"/>
      <c r="AX233" s="343" t="str">
        <f>IF(OR(Tableau3[[#This Row],[Option GTR]]&lt;&gt;"",Tableau3[[#This Row],[GTR spécifique]]&lt;&gt;""),"GTRS1","GTRS2")</f>
        <v>GTRS2</v>
      </c>
      <c r="AY233" s="342" t="s">
        <v>143</v>
      </c>
      <c r="AZ233" s="342"/>
      <c r="BA233" s="342" t="s">
        <v>3807</v>
      </c>
    </row>
    <row r="234" spans="1:53" s="326" customFormat="1" ht="18.149999999999999" customHeight="1" x14ac:dyDescent="0.3">
      <c r="A234" s="340" t="s">
        <v>53</v>
      </c>
      <c r="B234" s="340" t="s">
        <v>54</v>
      </c>
      <c r="C234" s="340" t="s">
        <v>2079</v>
      </c>
      <c r="D234" s="340" t="s">
        <v>56</v>
      </c>
      <c r="E234" s="340" t="s">
        <v>57</v>
      </c>
      <c r="F234" s="340" t="s">
        <v>58</v>
      </c>
      <c r="G234" s="340" t="s">
        <v>59</v>
      </c>
      <c r="H234" s="340" t="s">
        <v>60</v>
      </c>
      <c r="I234" s="340" t="s">
        <v>61</v>
      </c>
      <c r="J234" s="340" t="s">
        <v>2105</v>
      </c>
      <c r="K234" s="340" t="s">
        <v>2106</v>
      </c>
      <c r="L234" s="345" t="str">
        <f>VLOOKUP(K234,'20260309 suivi sites'!F:F,1,0)</f>
        <v>22MURD011AOS</v>
      </c>
      <c r="M234" s="340" t="s">
        <v>64</v>
      </c>
      <c r="N234" s="340" t="s">
        <v>65</v>
      </c>
      <c r="O234" s="340" t="s">
        <v>64</v>
      </c>
      <c r="P234" s="338">
        <v>44377</v>
      </c>
      <c r="Q234" s="341">
        <v>45950</v>
      </c>
      <c r="R234" s="347" t="b">
        <f t="shared" si="7"/>
        <v>0</v>
      </c>
      <c r="S234" s="347" t="str">
        <f t="shared" si="6"/>
        <v>change</v>
      </c>
      <c r="T234" s="342" t="s">
        <v>1439</v>
      </c>
      <c r="U234" s="342" t="s">
        <v>2107</v>
      </c>
      <c r="V234" s="342" t="s">
        <v>2108</v>
      </c>
      <c r="W234" s="342" t="s">
        <v>2109</v>
      </c>
      <c r="X234" s="342" t="s">
        <v>69</v>
      </c>
      <c r="Y234" s="349" t="s">
        <v>2110</v>
      </c>
      <c r="Z234" s="342" t="s">
        <v>71</v>
      </c>
      <c r="AA234" s="342" t="s">
        <v>72</v>
      </c>
      <c r="AB234" s="342" t="s">
        <v>73</v>
      </c>
      <c r="AC234" s="342" t="s">
        <v>74</v>
      </c>
      <c r="AD234" s="342"/>
      <c r="AE234" s="342" t="s">
        <v>2111</v>
      </c>
      <c r="AF234" s="349" t="s">
        <v>3764</v>
      </c>
      <c r="AG234" s="342" t="s">
        <v>74</v>
      </c>
      <c r="AH234" s="342" t="s">
        <v>74</v>
      </c>
      <c r="AI234" s="342" t="s">
        <v>74</v>
      </c>
      <c r="AJ234" s="342" t="s">
        <v>77</v>
      </c>
      <c r="AK234" s="342" t="s">
        <v>97</v>
      </c>
      <c r="AL234" s="342" t="s">
        <v>79</v>
      </c>
      <c r="AM234" s="342" t="s">
        <v>74</v>
      </c>
      <c r="AN234" s="342"/>
      <c r="AO234" s="342" t="s">
        <v>2112</v>
      </c>
      <c r="AP234" s="342" t="s">
        <v>81</v>
      </c>
      <c r="AQ234" s="349" t="s">
        <v>99</v>
      </c>
      <c r="AR234" s="342" t="s">
        <v>83</v>
      </c>
      <c r="AS234" s="342" t="s">
        <v>84</v>
      </c>
      <c r="AT234" s="342" t="s">
        <v>45</v>
      </c>
      <c r="AU234" s="342" t="s">
        <v>85</v>
      </c>
      <c r="AV234" s="342"/>
      <c r="AW234" s="342"/>
      <c r="AX234" s="343" t="str">
        <f>IF(OR(Tableau3[[#This Row],[Option GTR]]&lt;&gt;"",Tableau3[[#This Row],[GTR spécifique]]&lt;&gt;""),"GTRS1","GTRS2")</f>
        <v>GTRS2</v>
      </c>
      <c r="AY234" s="342" t="s">
        <v>143</v>
      </c>
      <c r="AZ234" s="342"/>
      <c r="BA234" s="342" t="s">
        <v>2113</v>
      </c>
    </row>
    <row r="235" spans="1:53" s="326" customFormat="1" ht="18.149999999999999" customHeight="1" x14ac:dyDescent="0.3">
      <c r="A235" s="340" t="s">
        <v>53</v>
      </c>
      <c r="B235" s="340" t="s">
        <v>54</v>
      </c>
      <c r="C235" s="340" t="s">
        <v>2079</v>
      </c>
      <c r="D235" s="340" t="s">
        <v>56</v>
      </c>
      <c r="E235" s="340" t="s">
        <v>57</v>
      </c>
      <c r="F235" s="340" t="s">
        <v>58</v>
      </c>
      <c r="G235" s="340" t="s">
        <v>59</v>
      </c>
      <c r="H235" s="340" t="s">
        <v>60</v>
      </c>
      <c r="I235" s="340" t="s">
        <v>61</v>
      </c>
      <c r="J235" s="340" t="s">
        <v>2114</v>
      </c>
      <c r="K235" s="340" t="s">
        <v>2115</v>
      </c>
      <c r="L235" s="345" t="str">
        <f>VLOOKUP(K235,'20260309 suivi sites'!F:F,1,0)</f>
        <v>30PONT011AOG</v>
      </c>
      <c r="M235" s="340" t="s">
        <v>64</v>
      </c>
      <c r="N235" s="340" t="s">
        <v>65</v>
      </c>
      <c r="O235" s="340" t="s">
        <v>64</v>
      </c>
      <c r="P235" s="338">
        <v>43879</v>
      </c>
      <c r="Q235" s="341">
        <v>46050</v>
      </c>
      <c r="R235" s="347" t="b">
        <f t="shared" si="7"/>
        <v>0</v>
      </c>
      <c r="S235" s="347" t="str">
        <f t="shared" si="6"/>
        <v>change</v>
      </c>
      <c r="T235" s="342" t="s">
        <v>1439</v>
      </c>
      <c r="U235" s="342" t="s">
        <v>2116</v>
      </c>
      <c r="V235" s="342" t="s">
        <v>2117</v>
      </c>
      <c r="W235" s="342" t="s">
        <v>2118</v>
      </c>
      <c r="X235" s="342" t="s">
        <v>69</v>
      </c>
      <c r="Y235" s="349" t="s">
        <v>2119</v>
      </c>
      <c r="Z235" s="342" t="s">
        <v>71</v>
      </c>
      <c r="AA235" s="342" t="s">
        <v>72</v>
      </c>
      <c r="AB235" s="342" t="s">
        <v>73</v>
      </c>
      <c r="AC235" s="342" t="s">
        <v>74</v>
      </c>
      <c r="AD235" s="342"/>
      <c r="AE235" s="342" t="s">
        <v>2120</v>
      </c>
      <c r="AF235" s="349" t="s">
        <v>3770</v>
      </c>
      <c r="AG235" s="342" t="s">
        <v>74</v>
      </c>
      <c r="AH235" s="342" t="s">
        <v>76</v>
      </c>
      <c r="AI235" s="342" t="s">
        <v>74</v>
      </c>
      <c r="AJ235" s="342" t="s">
        <v>77</v>
      </c>
      <c r="AK235" s="342" t="s">
        <v>97</v>
      </c>
      <c r="AL235" s="342" t="s">
        <v>79</v>
      </c>
      <c r="AM235" s="342" t="s">
        <v>74</v>
      </c>
      <c r="AN235" s="342"/>
      <c r="AO235" s="342" t="s">
        <v>2121</v>
      </c>
      <c r="AP235" s="342" t="s">
        <v>81</v>
      </c>
      <c r="AQ235" s="349" t="s">
        <v>210</v>
      </c>
      <c r="AR235" s="342" t="s">
        <v>83</v>
      </c>
      <c r="AS235" s="342" t="s">
        <v>84</v>
      </c>
      <c r="AT235" s="342" t="s">
        <v>45</v>
      </c>
      <c r="AU235" s="342" t="s">
        <v>85</v>
      </c>
      <c r="AV235" s="342"/>
      <c r="AW235" s="342"/>
      <c r="AX235" s="343" t="str">
        <f>IF(OR(Tableau3[[#This Row],[Option GTR]]&lt;&gt;"",Tableau3[[#This Row],[GTR spécifique]]&lt;&gt;""),"GTRS1","GTRS2")</f>
        <v>GTRS2</v>
      </c>
      <c r="AY235" s="342" t="s">
        <v>143</v>
      </c>
      <c r="AZ235" s="342"/>
      <c r="BA235" s="342" t="s">
        <v>2122</v>
      </c>
    </row>
    <row r="236" spans="1:53" s="326" customFormat="1" ht="18.149999999999999" customHeight="1" x14ac:dyDescent="0.3">
      <c r="A236" s="340" t="s">
        <v>53</v>
      </c>
      <c r="B236" s="340" t="s">
        <v>54</v>
      </c>
      <c r="C236" s="340" t="s">
        <v>2079</v>
      </c>
      <c r="D236" s="340" t="s">
        <v>56</v>
      </c>
      <c r="E236" s="340" t="s">
        <v>57</v>
      </c>
      <c r="F236" s="340" t="s">
        <v>58</v>
      </c>
      <c r="G236" s="340" t="s">
        <v>59</v>
      </c>
      <c r="H236" s="340" t="s">
        <v>60</v>
      </c>
      <c r="I236" s="340" t="s">
        <v>61</v>
      </c>
      <c r="J236" s="340" t="s">
        <v>2123</v>
      </c>
      <c r="K236" s="340" t="s">
        <v>2124</v>
      </c>
      <c r="L236" s="345" t="str">
        <f>VLOOKUP(K236,'20260309 suivi sites'!F:F,1,0)</f>
        <v>43BRIV021AOB</v>
      </c>
      <c r="M236" s="340" t="s">
        <v>64</v>
      </c>
      <c r="N236" s="340" t="s">
        <v>65</v>
      </c>
      <c r="O236" s="340" t="s">
        <v>64</v>
      </c>
      <c r="P236" s="338">
        <v>43788</v>
      </c>
      <c r="Q236" s="341">
        <v>45029</v>
      </c>
      <c r="R236" s="347" t="b">
        <f t="shared" si="7"/>
        <v>0</v>
      </c>
      <c r="S236" s="347" t="str">
        <f t="shared" si="6"/>
        <v>change</v>
      </c>
      <c r="T236" s="342" t="s">
        <v>1439</v>
      </c>
      <c r="U236" s="342" t="s">
        <v>2125</v>
      </c>
      <c r="V236" s="342" t="s">
        <v>1063</v>
      </c>
      <c r="W236" s="342" t="s">
        <v>1064</v>
      </c>
      <c r="X236" s="342" t="s">
        <v>69</v>
      </c>
      <c r="Y236" s="349" t="s">
        <v>2126</v>
      </c>
      <c r="Z236" s="342" t="s">
        <v>71</v>
      </c>
      <c r="AA236" s="342" t="s">
        <v>218</v>
      </c>
      <c r="AB236" s="342" t="s">
        <v>152</v>
      </c>
      <c r="AC236" s="342" t="s">
        <v>74</v>
      </c>
      <c r="AD236" s="342"/>
      <c r="AE236" s="342" t="s">
        <v>2127</v>
      </c>
      <c r="AF236" s="349" t="s">
        <v>3766</v>
      </c>
      <c r="AG236" s="342" t="s">
        <v>74</v>
      </c>
      <c r="AH236" s="342" t="s">
        <v>76</v>
      </c>
      <c r="AI236" s="342" t="s">
        <v>74</v>
      </c>
      <c r="AJ236" s="342" t="s">
        <v>382</v>
      </c>
      <c r="AK236" s="342" t="s">
        <v>97</v>
      </c>
      <c r="AL236" s="342" t="s">
        <v>79</v>
      </c>
      <c r="AM236" s="342" t="s">
        <v>74</v>
      </c>
      <c r="AN236" s="342"/>
      <c r="AO236" s="342" t="s">
        <v>2128</v>
      </c>
      <c r="AP236" s="342" t="s">
        <v>81</v>
      </c>
      <c r="AQ236" s="349" t="s">
        <v>142</v>
      </c>
      <c r="AR236" s="342" t="s">
        <v>83</v>
      </c>
      <c r="AS236" s="342" t="s">
        <v>84</v>
      </c>
      <c r="AT236" s="342" t="s">
        <v>45</v>
      </c>
      <c r="AU236" s="342" t="s">
        <v>85</v>
      </c>
      <c r="AV236" s="342"/>
      <c r="AW236" s="342"/>
      <c r="AX236" s="343" t="str">
        <f>IF(OR(Tableau3[[#This Row],[Option GTR]]&lt;&gt;"",Tableau3[[#This Row],[GTR spécifique]]&lt;&gt;""),"GTRS1","GTRS2")</f>
        <v>GTRS2</v>
      </c>
      <c r="AY236" s="342" t="s">
        <v>481</v>
      </c>
      <c r="AZ236" s="342"/>
      <c r="BA236" s="342" t="s">
        <v>2129</v>
      </c>
    </row>
    <row r="237" spans="1:53" s="326" customFormat="1" ht="18.149999999999999" customHeight="1" x14ac:dyDescent="0.3">
      <c r="A237" s="340" t="s">
        <v>53</v>
      </c>
      <c r="B237" s="340" t="s">
        <v>54</v>
      </c>
      <c r="C237" s="340" t="s">
        <v>2079</v>
      </c>
      <c r="D237" s="340" t="s">
        <v>56</v>
      </c>
      <c r="E237" s="340" t="s">
        <v>57</v>
      </c>
      <c r="F237" s="340" t="s">
        <v>58</v>
      </c>
      <c r="G237" s="340" t="s">
        <v>59</v>
      </c>
      <c r="H237" s="340" t="s">
        <v>60</v>
      </c>
      <c r="I237" s="340" t="s">
        <v>61</v>
      </c>
      <c r="J237" s="340" t="s">
        <v>2130</v>
      </c>
      <c r="K237" s="340" t="s">
        <v>2131</v>
      </c>
      <c r="L237" s="345" t="str">
        <f>VLOOKUP(K237,'20260309 suivi sites'!F:F,1,0)</f>
        <v>63STGE011AOS</v>
      </c>
      <c r="M237" s="340" t="s">
        <v>64</v>
      </c>
      <c r="N237" s="340" t="s">
        <v>65</v>
      </c>
      <c r="O237" s="340" t="s">
        <v>64</v>
      </c>
      <c r="P237" s="338">
        <v>43999</v>
      </c>
      <c r="Q237" s="341">
        <v>45426</v>
      </c>
      <c r="R237" s="347" t="b">
        <f t="shared" si="7"/>
        <v>0</v>
      </c>
      <c r="S237" s="347" t="str">
        <f t="shared" si="6"/>
        <v>change</v>
      </c>
      <c r="T237" s="342" t="s">
        <v>1439</v>
      </c>
      <c r="U237" s="342" t="s">
        <v>2132</v>
      </c>
      <c r="V237" s="342" t="s">
        <v>2133</v>
      </c>
      <c r="W237" s="342" t="s">
        <v>2134</v>
      </c>
      <c r="X237" s="342" t="s">
        <v>69</v>
      </c>
      <c r="Y237" s="349" t="s">
        <v>2135</v>
      </c>
      <c r="Z237" s="342" t="s">
        <v>71</v>
      </c>
      <c r="AA237" s="342" t="s">
        <v>72</v>
      </c>
      <c r="AB237" s="342" t="s">
        <v>73</v>
      </c>
      <c r="AC237" s="342" t="s">
        <v>74</v>
      </c>
      <c r="AD237" s="342"/>
      <c r="AE237" s="342" t="s">
        <v>2136</v>
      </c>
      <c r="AF237" s="349" t="s">
        <v>3776</v>
      </c>
      <c r="AG237" s="342" t="s">
        <v>74</v>
      </c>
      <c r="AH237" s="342" t="s">
        <v>74</v>
      </c>
      <c r="AI237" s="342" t="s">
        <v>74</v>
      </c>
      <c r="AJ237" s="342" t="s">
        <v>77</v>
      </c>
      <c r="AK237" s="342" t="s">
        <v>97</v>
      </c>
      <c r="AL237" s="342" t="s">
        <v>79</v>
      </c>
      <c r="AM237" s="342" t="s">
        <v>74</v>
      </c>
      <c r="AN237" s="342"/>
      <c r="AO237" s="342" t="s">
        <v>2137</v>
      </c>
      <c r="AP237" s="342" t="s">
        <v>81</v>
      </c>
      <c r="AQ237" s="349" t="s">
        <v>949</v>
      </c>
      <c r="AR237" s="342" t="s">
        <v>83</v>
      </c>
      <c r="AS237" s="342" t="s">
        <v>84</v>
      </c>
      <c r="AT237" s="342" t="s">
        <v>45</v>
      </c>
      <c r="AU237" s="342" t="s">
        <v>85</v>
      </c>
      <c r="AV237" s="342"/>
      <c r="AW237" s="342"/>
      <c r="AX237" s="343" t="str">
        <f>IF(OR(Tableau3[[#This Row],[Option GTR]]&lt;&gt;"",Tableau3[[#This Row],[GTR spécifique]]&lt;&gt;""),"GTRS1","GTRS2")</f>
        <v>GTRS2</v>
      </c>
      <c r="AY237" s="342" t="s">
        <v>143</v>
      </c>
      <c r="AZ237" s="342"/>
      <c r="BA237" s="342" t="s">
        <v>2138</v>
      </c>
    </row>
    <row r="238" spans="1:53" s="326" customFormat="1" ht="18.149999999999999" customHeight="1" x14ac:dyDescent="0.3">
      <c r="A238" s="340" t="s">
        <v>53</v>
      </c>
      <c r="B238" s="340" t="s">
        <v>54</v>
      </c>
      <c r="C238" s="340" t="s">
        <v>2079</v>
      </c>
      <c r="D238" s="340" t="s">
        <v>56</v>
      </c>
      <c r="E238" s="340" t="s">
        <v>57</v>
      </c>
      <c r="F238" s="340" t="s">
        <v>58</v>
      </c>
      <c r="G238" s="340" t="s">
        <v>59</v>
      </c>
      <c r="H238" s="340" t="s">
        <v>60</v>
      </c>
      <c r="I238" s="340" t="s">
        <v>61</v>
      </c>
      <c r="J238" s="340" t="s">
        <v>2139</v>
      </c>
      <c r="K238" s="340" t="s">
        <v>2140</v>
      </c>
      <c r="L238" s="345" t="str">
        <f>VLOOKUP(K238,'20260309 suivi sites'!F:F,1,0)</f>
        <v>63THIE011AOG</v>
      </c>
      <c r="M238" s="340" t="s">
        <v>64</v>
      </c>
      <c r="N238" s="340" t="s">
        <v>65</v>
      </c>
      <c r="O238" s="340" t="s">
        <v>64</v>
      </c>
      <c r="P238" s="338">
        <v>44182</v>
      </c>
      <c r="Q238" s="341">
        <v>45405</v>
      </c>
      <c r="R238" s="347" t="b">
        <f t="shared" si="7"/>
        <v>0</v>
      </c>
      <c r="S238" s="347" t="str">
        <f t="shared" si="6"/>
        <v>change</v>
      </c>
      <c r="T238" s="342" t="s">
        <v>1439</v>
      </c>
      <c r="U238" s="342" t="s">
        <v>2141</v>
      </c>
      <c r="V238" s="342" t="s">
        <v>2142</v>
      </c>
      <c r="W238" s="342" t="s">
        <v>2143</v>
      </c>
      <c r="X238" s="342" t="s">
        <v>69</v>
      </c>
      <c r="Y238" s="349" t="s">
        <v>2144</v>
      </c>
      <c r="Z238" s="342" t="s">
        <v>71</v>
      </c>
      <c r="AA238" s="342" t="s">
        <v>72</v>
      </c>
      <c r="AB238" s="342" t="s">
        <v>73</v>
      </c>
      <c r="AC238" s="342" t="s">
        <v>74</v>
      </c>
      <c r="AD238" s="342"/>
      <c r="AE238" s="342" t="s">
        <v>2145</v>
      </c>
      <c r="AF238" s="349" t="s">
        <v>3776</v>
      </c>
      <c r="AG238" s="342" t="s">
        <v>74</v>
      </c>
      <c r="AH238" s="342" t="s">
        <v>76</v>
      </c>
      <c r="AI238" s="342" t="s">
        <v>74</v>
      </c>
      <c r="AJ238" s="342" t="s">
        <v>77</v>
      </c>
      <c r="AK238" s="342" t="s">
        <v>97</v>
      </c>
      <c r="AL238" s="342" t="s">
        <v>79</v>
      </c>
      <c r="AM238" s="342" t="s">
        <v>74</v>
      </c>
      <c r="AN238" s="342"/>
      <c r="AO238" s="342" t="s">
        <v>2146</v>
      </c>
      <c r="AP238" s="342" t="s">
        <v>81</v>
      </c>
      <c r="AQ238" s="349" t="s">
        <v>949</v>
      </c>
      <c r="AR238" s="342" t="s">
        <v>83</v>
      </c>
      <c r="AS238" s="342" t="s">
        <v>84</v>
      </c>
      <c r="AT238" s="342" t="s">
        <v>45</v>
      </c>
      <c r="AU238" s="342" t="s">
        <v>85</v>
      </c>
      <c r="AV238" s="342" t="s">
        <v>120</v>
      </c>
      <c r="AW238" s="342"/>
      <c r="AX238" s="343" t="str">
        <f>IF(OR(Tableau3[[#This Row],[Option GTR]]&lt;&gt;"",Tableau3[[#This Row],[GTR spécifique]]&lt;&gt;""),"GTRS1","GTRS2")</f>
        <v>GTRS1</v>
      </c>
      <c r="AY238" s="342" t="s">
        <v>143</v>
      </c>
      <c r="AZ238" s="342"/>
      <c r="BA238" s="342" t="s">
        <v>2147</v>
      </c>
    </row>
    <row r="239" spans="1:53" s="326" customFormat="1" ht="18.149999999999999" customHeight="1" x14ac:dyDescent="0.3">
      <c r="A239" s="340" t="s">
        <v>53</v>
      </c>
      <c r="B239" s="340" t="s">
        <v>54</v>
      </c>
      <c r="C239" s="340" t="s">
        <v>2079</v>
      </c>
      <c r="D239" s="340" t="s">
        <v>56</v>
      </c>
      <c r="E239" s="340" t="s">
        <v>57</v>
      </c>
      <c r="F239" s="340" t="s">
        <v>58</v>
      </c>
      <c r="G239" s="340" t="s">
        <v>59</v>
      </c>
      <c r="H239" s="340" t="s">
        <v>60</v>
      </c>
      <c r="I239" s="340" t="s">
        <v>61</v>
      </c>
      <c r="J239" s="340" t="s">
        <v>2148</v>
      </c>
      <c r="K239" s="340" t="s">
        <v>2149</v>
      </c>
      <c r="L239" s="345" t="str">
        <f>VLOOKUP(K239,'20260309 suivi sites'!F:F,1,0)</f>
        <v>73STMI011AOM</v>
      </c>
      <c r="M239" s="340" t="s">
        <v>64</v>
      </c>
      <c r="N239" s="340" t="s">
        <v>65</v>
      </c>
      <c r="O239" s="340" t="s">
        <v>64</v>
      </c>
      <c r="P239" s="338">
        <v>44174</v>
      </c>
      <c r="Q239" s="341">
        <v>44174</v>
      </c>
      <c r="R239" s="347" t="b">
        <f t="shared" si="7"/>
        <v>1</v>
      </c>
      <c r="S239" s="347" t="str">
        <f t="shared" si="6"/>
        <v>création</v>
      </c>
      <c r="T239" s="342" t="s">
        <v>1439</v>
      </c>
      <c r="U239" s="342" t="s">
        <v>2150</v>
      </c>
      <c r="V239" s="342" t="s">
        <v>2151</v>
      </c>
      <c r="W239" s="342" t="s">
        <v>2152</v>
      </c>
      <c r="X239" s="342" t="s">
        <v>69</v>
      </c>
      <c r="Y239" s="349" t="s">
        <v>2153</v>
      </c>
      <c r="Z239" s="342" t="s">
        <v>71</v>
      </c>
      <c r="AA239" s="342" t="s">
        <v>218</v>
      </c>
      <c r="AB239" s="342" t="s">
        <v>152</v>
      </c>
      <c r="AC239" s="342" t="s">
        <v>74</v>
      </c>
      <c r="AD239" s="342"/>
      <c r="AE239" s="342" t="s">
        <v>2154</v>
      </c>
      <c r="AF239" s="349" t="s">
        <v>3771</v>
      </c>
      <c r="AG239" s="342" t="s">
        <v>74</v>
      </c>
      <c r="AH239" s="342" t="s">
        <v>74</v>
      </c>
      <c r="AI239" s="342" t="s">
        <v>74</v>
      </c>
      <c r="AJ239" s="342" t="s">
        <v>77</v>
      </c>
      <c r="AK239" s="342" t="s">
        <v>97</v>
      </c>
      <c r="AL239" s="342" t="s">
        <v>79</v>
      </c>
      <c r="AM239" s="342" t="s">
        <v>74</v>
      </c>
      <c r="AN239" s="342"/>
      <c r="AO239" s="342" t="s">
        <v>2155</v>
      </c>
      <c r="AP239" s="342" t="s">
        <v>81</v>
      </c>
      <c r="AQ239" s="349" t="s">
        <v>222</v>
      </c>
      <c r="AR239" s="342" t="s">
        <v>83</v>
      </c>
      <c r="AS239" s="342" t="s">
        <v>84</v>
      </c>
      <c r="AT239" s="342" t="s">
        <v>45</v>
      </c>
      <c r="AU239" s="342" t="s">
        <v>85</v>
      </c>
      <c r="AV239" s="342" t="s">
        <v>480</v>
      </c>
      <c r="AW239" s="342"/>
      <c r="AX239" s="343" t="str">
        <f>IF(OR(Tableau3[[#This Row],[Option GTR]]&lt;&gt;"",Tableau3[[#This Row],[GTR spécifique]]&lt;&gt;""),"GTRS1","GTRS2")</f>
        <v>GTRS1</v>
      </c>
      <c r="AY239" s="342" t="s">
        <v>355</v>
      </c>
      <c r="AZ239" s="342" t="s">
        <v>2156</v>
      </c>
      <c r="BA239" s="344" t="s">
        <v>2157</v>
      </c>
    </row>
    <row r="240" spans="1:53" s="326" customFormat="1" ht="18.149999999999999" customHeight="1" x14ac:dyDescent="0.3">
      <c r="A240" s="340" t="s">
        <v>53</v>
      </c>
      <c r="B240" s="340" t="s">
        <v>54</v>
      </c>
      <c r="C240" s="340" t="s">
        <v>2079</v>
      </c>
      <c r="D240" s="340" t="s">
        <v>56</v>
      </c>
      <c r="E240" s="340" t="s">
        <v>57</v>
      </c>
      <c r="F240" s="340" t="s">
        <v>58</v>
      </c>
      <c r="G240" s="340" t="s">
        <v>59</v>
      </c>
      <c r="H240" s="340" t="s">
        <v>60</v>
      </c>
      <c r="I240" s="340" t="s">
        <v>61</v>
      </c>
      <c r="J240" s="340" t="s">
        <v>2158</v>
      </c>
      <c r="K240" s="340" t="s">
        <v>2159</v>
      </c>
      <c r="L240" s="345" t="str">
        <f>VLOOKUP(K240,'20260309 suivi sites'!F:F,1,0)</f>
        <v>82GOLF011AOG</v>
      </c>
      <c r="M240" s="340" t="s">
        <v>64</v>
      </c>
      <c r="N240" s="340" t="s">
        <v>65</v>
      </c>
      <c r="O240" s="340" t="s">
        <v>64</v>
      </c>
      <c r="P240" s="338">
        <v>43801</v>
      </c>
      <c r="Q240" s="341">
        <v>45693</v>
      </c>
      <c r="R240" s="347" t="b">
        <f t="shared" si="7"/>
        <v>0</v>
      </c>
      <c r="S240" s="347" t="str">
        <f t="shared" si="6"/>
        <v>change</v>
      </c>
      <c r="T240" s="342" t="s">
        <v>1439</v>
      </c>
      <c r="U240" s="342" t="s">
        <v>2160</v>
      </c>
      <c r="V240" s="342" t="s">
        <v>2161</v>
      </c>
      <c r="W240" s="342" t="s">
        <v>2162</v>
      </c>
      <c r="X240" s="342" t="s">
        <v>69</v>
      </c>
      <c r="Y240" s="349" t="s">
        <v>2163</v>
      </c>
      <c r="Z240" s="342" t="s">
        <v>71</v>
      </c>
      <c r="AA240" s="342" t="s">
        <v>72</v>
      </c>
      <c r="AB240" s="342" t="s">
        <v>73</v>
      </c>
      <c r="AC240" s="342" t="s">
        <v>74</v>
      </c>
      <c r="AD240" s="342"/>
      <c r="AE240" s="342" t="s">
        <v>2164</v>
      </c>
      <c r="AF240" s="349" t="s">
        <v>3764</v>
      </c>
      <c r="AG240" s="342" t="s">
        <v>74</v>
      </c>
      <c r="AH240" s="342" t="s">
        <v>74</v>
      </c>
      <c r="AI240" s="342" t="s">
        <v>74</v>
      </c>
      <c r="AJ240" s="342" t="s">
        <v>77</v>
      </c>
      <c r="AK240" s="342" t="s">
        <v>97</v>
      </c>
      <c r="AL240" s="342" t="s">
        <v>79</v>
      </c>
      <c r="AM240" s="342" t="s">
        <v>74</v>
      </c>
      <c r="AN240" s="342"/>
      <c r="AO240" s="342" t="s">
        <v>2165</v>
      </c>
      <c r="AP240" s="342" t="s">
        <v>81</v>
      </c>
      <c r="AQ240" s="349" t="s">
        <v>99</v>
      </c>
      <c r="AR240" s="342" t="s">
        <v>83</v>
      </c>
      <c r="AS240" s="342" t="s">
        <v>84</v>
      </c>
      <c r="AT240" s="342" t="s">
        <v>45</v>
      </c>
      <c r="AU240" s="342" t="s">
        <v>85</v>
      </c>
      <c r="AV240" s="342"/>
      <c r="AW240" s="342"/>
      <c r="AX240" s="343" t="str">
        <f>IF(OR(Tableau3[[#This Row],[Option GTR]]&lt;&gt;"",Tableau3[[#This Row],[GTR spécifique]]&lt;&gt;""),"GTRS1","GTRS2")</f>
        <v>GTRS2</v>
      </c>
      <c r="AY240" s="342" t="s">
        <v>143</v>
      </c>
      <c r="AZ240" s="342"/>
      <c r="BA240" s="342" t="s">
        <v>2166</v>
      </c>
    </row>
    <row r="241" spans="1:53" s="326" customFormat="1" ht="18.149999999999999" customHeight="1" x14ac:dyDescent="0.3">
      <c r="A241" s="340" t="s">
        <v>53</v>
      </c>
      <c r="B241" s="340" t="s">
        <v>54</v>
      </c>
      <c r="C241" s="340" t="s">
        <v>2079</v>
      </c>
      <c r="D241" s="340" t="s">
        <v>56</v>
      </c>
      <c r="E241" s="340" t="s">
        <v>57</v>
      </c>
      <c r="F241" s="340" t="s">
        <v>58</v>
      </c>
      <c r="G241" s="340" t="s">
        <v>59</v>
      </c>
      <c r="H241" s="340" t="s">
        <v>60</v>
      </c>
      <c r="I241" s="340" t="s">
        <v>61</v>
      </c>
      <c r="J241" s="340" t="s">
        <v>2167</v>
      </c>
      <c r="K241" s="340" t="s">
        <v>2168</v>
      </c>
      <c r="L241" s="345" t="str">
        <f>VLOOKUP(K241,'20260309 suivi sites'!F:F,1,0)</f>
        <v>05LARG011AOG</v>
      </c>
      <c r="M241" s="340" t="s">
        <v>64</v>
      </c>
      <c r="N241" s="340" t="s">
        <v>65</v>
      </c>
      <c r="O241" s="340" t="s">
        <v>64</v>
      </c>
      <c r="P241" s="338">
        <v>43769</v>
      </c>
      <c r="Q241" s="341">
        <v>45854</v>
      </c>
      <c r="R241" s="347" t="b">
        <f t="shared" si="7"/>
        <v>0</v>
      </c>
      <c r="S241" s="347" t="str">
        <f t="shared" si="6"/>
        <v>change</v>
      </c>
      <c r="T241" s="342" t="s">
        <v>1439</v>
      </c>
      <c r="U241" s="342" t="s">
        <v>2169</v>
      </c>
      <c r="V241" s="342" t="s">
        <v>2170</v>
      </c>
      <c r="W241" s="342" t="s">
        <v>2171</v>
      </c>
      <c r="X241" s="342" t="s">
        <v>69</v>
      </c>
      <c r="Y241" s="349" t="s">
        <v>2172</v>
      </c>
      <c r="Z241" s="342" t="s">
        <v>71</v>
      </c>
      <c r="AA241" s="342" t="s">
        <v>72</v>
      </c>
      <c r="AB241" s="342" t="s">
        <v>73</v>
      </c>
      <c r="AC241" s="342" t="s">
        <v>74</v>
      </c>
      <c r="AD241" s="342"/>
      <c r="AE241" s="342" t="s">
        <v>2173</v>
      </c>
      <c r="AF241" s="349" t="s">
        <v>3764</v>
      </c>
      <c r="AG241" s="342" t="s">
        <v>74</v>
      </c>
      <c r="AH241" s="342" t="s">
        <v>74</v>
      </c>
      <c r="AI241" s="342" t="s">
        <v>74</v>
      </c>
      <c r="AJ241" s="342" t="s">
        <v>77</v>
      </c>
      <c r="AK241" s="342" t="s">
        <v>97</v>
      </c>
      <c r="AL241" s="342" t="s">
        <v>79</v>
      </c>
      <c r="AM241" s="342" t="s">
        <v>74</v>
      </c>
      <c r="AN241" s="342"/>
      <c r="AO241" s="342" t="s">
        <v>2174</v>
      </c>
      <c r="AP241" s="342" t="s">
        <v>81</v>
      </c>
      <c r="AQ241" s="349" t="s">
        <v>99</v>
      </c>
      <c r="AR241" s="342" t="s">
        <v>83</v>
      </c>
      <c r="AS241" s="342" t="s">
        <v>84</v>
      </c>
      <c r="AT241" s="342" t="s">
        <v>45</v>
      </c>
      <c r="AU241" s="342" t="s">
        <v>85</v>
      </c>
      <c r="AV241" s="342"/>
      <c r="AW241" s="342"/>
      <c r="AX241" s="343" t="str">
        <f>IF(OR(Tableau3[[#This Row],[Option GTR]]&lt;&gt;"",Tableau3[[#This Row],[GTR spécifique]]&lt;&gt;""),"GTRS1","GTRS2")</f>
        <v>GTRS2</v>
      </c>
      <c r="AY241" s="342" t="s">
        <v>143</v>
      </c>
      <c r="AZ241" s="342"/>
      <c r="BA241" s="342" t="s">
        <v>2175</v>
      </c>
    </row>
    <row r="242" spans="1:53" s="326" customFormat="1" ht="18.149999999999999" customHeight="1" x14ac:dyDescent="0.3">
      <c r="A242" s="340" t="s">
        <v>53</v>
      </c>
      <c r="B242" s="340" t="s">
        <v>54</v>
      </c>
      <c r="C242" s="340" t="s">
        <v>2079</v>
      </c>
      <c r="D242" s="340" t="s">
        <v>56</v>
      </c>
      <c r="E242" s="340" t="s">
        <v>57</v>
      </c>
      <c r="F242" s="340" t="s">
        <v>58</v>
      </c>
      <c r="G242" s="340" t="s">
        <v>59</v>
      </c>
      <c r="H242" s="340" t="s">
        <v>60</v>
      </c>
      <c r="I242" s="340" t="s">
        <v>61</v>
      </c>
      <c r="J242" s="340" t="s">
        <v>2339</v>
      </c>
      <c r="K242" s="340" t="s">
        <v>2340</v>
      </c>
      <c r="L242" s="345" t="str">
        <f>VLOOKUP(K242,'20260309 suivi sites'!F:F,1,0)</f>
        <v>11AXAT021AOM</v>
      </c>
      <c r="M242" s="340" t="s">
        <v>64</v>
      </c>
      <c r="N242" s="340" t="s">
        <v>65</v>
      </c>
      <c r="O242" s="340" t="s">
        <v>104</v>
      </c>
      <c r="P242" s="338">
        <v>43735</v>
      </c>
      <c r="Q242" s="341"/>
      <c r="R242" s="347" t="b">
        <f t="shared" si="7"/>
        <v>0</v>
      </c>
      <c r="S242" s="347" t="str">
        <f t="shared" si="6"/>
        <v>change</v>
      </c>
      <c r="T242" s="342" t="s">
        <v>1439</v>
      </c>
      <c r="U242" s="342" t="s">
        <v>2341</v>
      </c>
      <c r="V242" s="342" t="s">
        <v>1244</v>
      </c>
      <c r="W242" s="342" t="s">
        <v>1245</v>
      </c>
      <c r="X242" s="342" t="s">
        <v>69</v>
      </c>
      <c r="Y242" s="349" t="s">
        <v>2342</v>
      </c>
      <c r="Z242" s="342" t="s">
        <v>71</v>
      </c>
      <c r="AA242" s="342" t="s">
        <v>218</v>
      </c>
      <c r="AB242" s="342" t="s">
        <v>152</v>
      </c>
      <c r="AC242" s="342" t="s">
        <v>74</v>
      </c>
      <c r="AD242" s="342"/>
      <c r="AE242" s="342" t="s">
        <v>2343</v>
      </c>
      <c r="AF242" s="349" t="s">
        <v>3770</v>
      </c>
      <c r="AG242" s="342" t="s">
        <v>74</v>
      </c>
      <c r="AH242" s="342" t="s">
        <v>74</v>
      </c>
      <c r="AI242" s="342" t="s">
        <v>74</v>
      </c>
      <c r="AJ242" s="342" t="s">
        <v>77</v>
      </c>
      <c r="AK242" s="342" t="s">
        <v>97</v>
      </c>
      <c r="AL242" s="342" t="s">
        <v>79</v>
      </c>
      <c r="AM242" s="342" t="s">
        <v>74</v>
      </c>
      <c r="AN242" s="342"/>
      <c r="AO242" s="342" t="s">
        <v>2344</v>
      </c>
      <c r="AP242" s="342" t="s">
        <v>81</v>
      </c>
      <c r="AQ242" s="349" t="s">
        <v>210</v>
      </c>
      <c r="AR242" s="342" t="s">
        <v>83</v>
      </c>
      <c r="AS242" s="342" t="s">
        <v>84</v>
      </c>
      <c r="AT242" s="342" t="s">
        <v>45</v>
      </c>
      <c r="AU242" s="342" t="s">
        <v>85</v>
      </c>
      <c r="AV242" s="342"/>
      <c r="AW242" s="342"/>
      <c r="AX242" s="343" t="str">
        <f>IF(OR(Tableau3[[#This Row],[Option GTR]]&lt;&gt;"",Tableau3[[#This Row],[GTR spécifique]]&lt;&gt;""),"GTRS1","GTRS2")</f>
        <v>GTRS2</v>
      </c>
      <c r="AY242" s="342" t="s">
        <v>355</v>
      </c>
      <c r="AZ242" s="342"/>
      <c r="BA242" s="342" t="s">
        <v>3808</v>
      </c>
    </row>
    <row r="243" spans="1:53" s="326" customFormat="1" ht="18.149999999999999" customHeight="1" x14ac:dyDescent="0.3">
      <c r="A243" s="340" t="s">
        <v>53</v>
      </c>
      <c r="B243" s="340" t="s">
        <v>54</v>
      </c>
      <c r="C243" s="340" t="s">
        <v>2079</v>
      </c>
      <c r="D243" s="340" t="s">
        <v>56</v>
      </c>
      <c r="E243" s="340" t="s">
        <v>57</v>
      </c>
      <c r="F243" s="340" t="s">
        <v>58</v>
      </c>
      <c r="G243" s="340" t="s">
        <v>59</v>
      </c>
      <c r="H243" s="340" t="s">
        <v>60</v>
      </c>
      <c r="I243" s="340" t="s">
        <v>61</v>
      </c>
      <c r="J243" s="340" t="s">
        <v>2176</v>
      </c>
      <c r="K243" s="340" t="s">
        <v>2177</v>
      </c>
      <c r="L243" s="345" t="str">
        <f>VLOOKUP(K243,'20260309 suivi sites'!F:F,1,0)</f>
        <v>20FURI011AOG</v>
      </c>
      <c r="M243" s="340" t="s">
        <v>64</v>
      </c>
      <c r="N243" s="340" t="s">
        <v>65</v>
      </c>
      <c r="O243" s="340" t="s">
        <v>64</v>
      </c>
      <c r="P243" s="338">
        <v>45021</v>
      </c>
      <c r="Q243" s="341">
        <v>45100</v>
      </c>
      <c r="R243" s="347" t="b">
        <f t="shared" si="7"/>
        <v>0</v>
      </c>
      <c r="S243" s="347" t="str">
        <f t="shared" si="6"/>
        <v>change</v>
      </c>
      <c r="T243" s="342" t="s">
        <v>1439</v>
      </c>
      <c r="U243" s="342" t="s">
        <v>2178</v>
      </c>
      <c r="V243" s="342" t="s">
        <v>559</v>
      </c>
      <c r="W243" s="342" t="s">
        <v>2179</v>
      </c>
      <c r="X243" s="342" t="s">
        <v>69</v>
      </c>
      <c r="Y243" s="349" t="s">
        <v>2180</v>
      </c>
      <c r="Z243" s="342" t="s">
        <v>71</v>
      </c>
      <c r="AA243" s="342" t="s">
        <v>72</v>
      </c>
      <c r="AB243" s="342" t="s">
        <v>73</v>
      </c>
      <c r="AC243" s="342" t="s">
        <v>74</v>
      </c>
      <c r="AD243" s="342"/>
      <c r="AE243" s="342" t="s">
        <v>2181</v>
      </c>
      <c r="AF243" s="349" t="s">
        <v>3764</v>
      </c>
      <c r="AG243" s="342" t="s">
        <v>74</v>
      </c>
      <c r="AH243" s="342" t="s">
        <v>76</v>
      </c>
      <c r="AI243" s="342" t="s">
        <v>74</v>
      </c>
      <c r="AJ243" s="342" t="s">
        <v>77</v>
      </c>
      <c r="AK243" s="342" t="s">
        <v>97</v>
      </c>
      <c r="AL243" s="342" t="s">
        <v>79</v>
      </c>
      <c r="AM243" s="342" t="s">
        <v>74</v>
      </c>
      <c r="AN243" s="342"/>
      <c r="AO243" s="342" t="s">
        <v>2182</v>
      </c>
      <c r="AP243" s="342" t="s">
        <v>81</v>
      </c>
      <c r="AQ243" s="349" t="s">
        <v>99</v>
      </c>
      <c r="AR243" s="342" t="s">
        <v>83</v>
      </c>
      <c r="AS243" s="342" t="s">
        <v>84</v>
      </c>
      <c r="AT243" s="342" t="s">
        <v>45</v>
      </c>
      <c r="AU243" s="342" t="s">
        <v>85</v>
      </c>
      <c r="AV243" s="342"/>
      <c r="AW243" s="342"/>
      <c r="AX243" s="343" t="str">
        <f>IF(OR(Tableau3[[#This Row],[Option GTR]]&lt;&gt;"",Tableau3[[#This Row],[GTR spécifique]]&lt;&gt;""),"GTRS1","GTRS2")</f>
        <v>GTRS2</v>
      </c>
      <c r="AY243" s="342" t="s">
        <v>100</v>
      </c>
      <c r="AZ243" s="342"/>
      <c r="BA243" s="342" t="s">
        <v>2183</v>
      </c>
    </row>
    <row r="244" spans="1:53" s="326" customFormat="1" ht="18.149999999999999" customHeight="1" x14ac:dyDescent="0.3">
      <c r="A244" s="340" t="s">
        <v>53</v>
      </c>
      <c r="B244" s="340" t="s">
        <v>54</v>
      </c>
      <c r="C244" s="340" t="s">
        <v>2079</v>
      </c>
      <c r="D244" s="340" t="s">
        <v>56</v>
      </c>
      <c r="E244" s="340" t="s">
        <v>57</v>
      </c>
      <c r="F244" s="340" t="s">
        <v>58</v>
      </c>
      <c r="G244" s="340" t="s">
        <v>59</v>
      </c>
      <c r="H244" s="340" t="s">
        <v>60</v>
      </c>
      <c r="I244" s="340" t="s">
        <v>61</v>
      </c>
      <c r="J244" s="340" t="s">
        <v>2184</v>
      </c>
      <c r="K244" s="340" t="s">
        <v>2185</v>
      </c>
      <c r="L244" s="345" t="str">
        <f>VLOOKUP(K244,'20260309 suivi sites'!F:F,1,0)</f>
        <v>69GIVO011AOB</v>
      </c>
      <c r="M244" s="340" t="s">
        <v>64</v>
      </c>
      <c r="N244" s="340" t="s">
        <v>65</v>
      </c>
      <c r="O244" s="340" t="s">
        <v>64</v>
      </c>
      <c r="P244" s="338">
        <v>44200</v>
      </c>
      <c r="Q244" s="341">
        <v>45021</v>
      </c>
      <c r="R244" s="347" t="b">
        <f t="shared" si="7"/>
        <v>0</v>
      </c>
      <c r="S244" s="347" t="str">
        <f t="shared" si="6"/>
        <v>change</v>
      </c>
      <c r="T244" s="342" t="s">
        <v>1439</v>
      </c>
      <c r="U244" s="342" t="s">
        <v>2186</v>
      </c>
      <c r="V244" s="342" t="s">
        <v>2187</v>
      </c>
      <c r="W244" s="342" t="s">
        <v>2188</v>
      </c>
      <c r="X244" s="342" t="s">
        <v>69</v>
      </c>
      <c r="Y244" s="349" t="s">
        <v>2189</v>
      </c>
      <c r="Z244" s="342" t="s">
        <v>71</v>
      </c>
      <c r="AA244" s="342" t="s">
        <v>218</v>
      </c>
      <c r="AB244" s="342" t="s">
        <v>152</v>
      </c>
      <c r="AC244" s="342" t="s">
        <v>74</v>
      </c>
      <c r="AD244" s="342"/>
      <c r="AE244" s="342" t="s">
        <v>2190</v>
      </c>
      <c r="AF244" s="349" t="s">
        <v>3775</v>
      </c>
      <c r="AG244" s="342" t="s">
        <v>74</v>
      </c>
      <c r="AH244" s="342" t="s">
        <v>76</v>
      </c>
      <c r="AI244" s="342" t="s">
        <v>74</v>
      </c>
      <c r="AJ244" s="342" t="s">
        <v>382</v>
      </c>
      <c r="AK244" s="342" t="s">
        <v>97</v>
      </c>
      <c r="AL244" s="342" t="s">
        <v>79</v>
      </c>
      <c r="AM244" s="342" t="s">
        <v>74</v>
      </c>
      <c r="AN244" s="342"/>
      <c r="AO244" s="342" t="s">
        <v>2191</v>
      </c>
      <c r="AP244" s="342" t="s">
        <v>81</v>
      </c>
      <c r="AQ244" s="349" t="s">
        <v>822</v>
      </c>
      <c r="AR244" s="342" t="s">
        <v>83</v>
      </c>
      <c r="AS244" s="342" t="s">
        <v>84</v>
      </c>
      <c r="AT244" s="342" t="s">
        <v>45</v>
      </c>
      <c r="AU244" s="342" t="s">
        <v>85</v>
      </c>
      <c r="AV244" s="342"/>
      <c r="AW244" s="342"/>
      <c r="AX244" s="343" t="str">
        <f>IF(OR(Tableau3[[#This Row],[Option GTR]]&lt;&gt;"",Tableau3[[#This Row],[GTR spécifique]]&lt;&gt;""),"GTRS1","GTRS2")</f>
        <v>GTRS2</v>
      </c>
      <c r="AY244" s="342" t="s">
        <v>355</v>
      </c>
      <c r="AZ244" s="342"/>
      <c r="BA244" s="344" t="s">
        <v>2192</v>
      </c>
    </row>
    <row r="245" spans="1:53" s="326" customFormat="1" ht="18.149999999999999" customHeight="1" x14ac:dyDescent="0.3">
      <c r="A245" s="340" t="s">
        <v>53</v>
      </c>
      <c r="B245" s="340" t="s">
        <v>54</v>
      </c>
      <c r="C245" s="340" t="s">
        <v>2079</v>
      </c>
      <c r="D245" s="340" t="s">
        <v>56</v>
      </c>
      <c r="E245" s="340" t="s">
        <v>57</v>
      </c>
      <c r="F245" s="340" t="s">
        <v>58</v>
      </c>
      <c r="G245" s="340" t="s">
        <v>59</v>
      </c>
      <c r="H245" s="340" t="s">
        <v>60</v>
      </c>
      <c r="I245" s="340" t="s">
        <v>61</v>
      </c>
      <c r="J245" s="340" t="s">
        <v>2193</v>
      </c>
      <c r="K245" s="340" t="s">
        <v>2194</v>
      </c>
      <c r="L245" s="345" t="str">
        <f>VLOOKUP(K245,'20260309 suivi sites'!F:F,1,0)</f>
        <v>73STJE011AOM</v>
      </c>
      <c r="M245" s="340" t="s">
        <v>64</v>
      </c>
      <c r="N245" s="340" t="s">
        <v>65</v>
      </c>
      <c r="O245" s="340" t="s">
        <v>64</v>
      </c>
      <c r="P245" s="338">
        <v>44097</v>
      </c>
      <c r="Q245" s="341">
        <v>45848</v>
      </c>
      <c r="R245" s="347" t="b">
        <f t="shared" si="7"/>
        <v>0</v>
      </c>
      <c r="S245" s="347" t="str">
        <f t="shared" si="6"/>
        <v>change</v>
      </c>
      <c r="T245" s="342" t="s">
        <v>1439</v>
      </c>
      <c r="U245" s="342" t="s">
        <v>2195</v>
      </c>
      <c r="V245" s="342" t="s">
        <v>2196</v>
      </c>
      <c r="W245" s="342" t="s">
        <v>2197</v>
      </c>
      <c r="X245" s="342" t="s">
        <v>69</v>
      </c>
      <c r="Y245" s="349" t="s">
        <v>2198</v>
      </c>
      <c r="Z245" s="342" t="s">
        <v>71</v>
      </c>
      <c r="AA245" s="342" t="s">
        <v>218</v>
      </c>
      <c r="AB245" s="342" t="s">
        <v>152</v>
      </c>
      <c r="AC245" s="342" t="s">
        <v>74</v>
      </c>
      <c r="AD245" s="342"/>
      <c r="AE245" s="342" t="s">
        <v>2199</v>
      </c>
      <c r="AF245" s="349" t="s">
        <v>3769</v>
      </c>
      <c r="AG245" s="342" t="s">
        <v>74</v>
      </c>
      <c r="AH245" s="342" t="s">
        <v>76</v>
      </c>
      <c r="AI245" s="342" t="s">
        <v>74</v>
      </c>
      <c r="AJ245" s="342" t="s">
        <v>77</v>
      </c>
      <c r="AK245" s="342" t="s">
        <v>78</v>
      </c>
      <c r="AL245" s="342" t="s">
        <v>79</v>
      </c>
      <c r="AM245" s="342" t="s">
        <v>74</v>
      </c>
      <c r="AN245" s="342"/>
      <c r="AO245" s="342" t="s">
        <v>2200</v>
      </c>
      <c r="AP245" s="342" t="s">
        <v>81</v>
      </c>
      <c r="AQ245" s="349" t="s">
        <v>200</v>
      </c>
      <c r="AR245" s="342" t="s">
        <v>83</v>
      </c>
      <c r="AS245" s="342" t="s">
        <v>84</v>
      </c>
      <c r="AT245" s="342" t="s">
        <v>45</v>
      </c>
      <c r="AU245" s="342" t="s">
        <v>85</v>
      </c>
      <c r="AV245" s="342"/>
      <c r="AW245" s="342"/>
      <c r="AX245" s="343" t="str">
        <f>IF(OR(Tableau3[[#This Row],[Option GTR]]&lt;&gt;"",Tableau3[[#This Row],[GTR spécifique]]&lt;&gt;""),"GTRS1","GTRS2")</f>
        <v>GTRS2</v>
      </c>
      <c r="AY245" s="342" t="s">
        <v>355</v>
      </c>
      <c r="AZ245" s="342"/>
      <c r="BA245" s="342" t="s">
        <v>2201</v>
      </c>
    </row>
    <row r="246" spans="1:53" s="326" customFormat="1" ht="18.149999999999999" customHeight="1" x14ac:dyDescent="0.3">
      <c r="A246" s="340" t="s">
        <v>53</v>
      </c>
      <c r="B246" s="340" t="s">
        <v>54</v>
      </c>
      <c r="C246" s="340" t="s">
        <v>2079</v>
      </c>
      <c r="D246" s="340" t="s">
        <v>56</v>
      </c>
      <c r="E246" s="340" t="s">
        <v>57</v>
      </c>
      <c r="F246" s="340" t="s">
        <v>58</v>
      </c>
      <c r="G246" s="340" t="s">
        <v>59</v>
      </c>
      <c r="H246" s="340" t="s">
        <v>60</v>
      </c>
      <c r="I246" s="340" t="s">
        <v>61</v>
      </c>
      <c r="J246" s="340" t="s">
        <v>2202</v>
      </c>
      <c r="K246" s="340" t="s">
        <v>2203</v>
      </c>
      <c r="L246" s="345" t="str">
        <f>VLOOKUP(K246,'20260309 suivi sites'!F:F,1,0)</f>
        <v>81BOUT011AOM</v>
      </c>
      <c r="M246" s="340" t="s">
        <v>64</v>
      </c>
      <c r="N246" s="340" t="s">
        <v>65</v>
      </c>
      <c r="O246" s="340" t="s">
        <v>104</v>
      </c>
      <c r="P246" s="338">
        <v>44098</v>
      </c>
      <c r="Q246" s="341"/>
      <c r="R246" s="347" t="b">
        <f t="shared" si="7"/>
        <v>0</v>
      </c>
      <c r="S246" s="347" t="str">
        <f t="shared" si="6"/>
        <v>change</v>
      </c>
      <c r="T246" s="342" t="s">
        <v>1439</v>
      </c>
      <c r="U246" s="342" t="s">
        <v>2204</v>
      </c>
      <c r="V246" s="342" t="s">
        <v>2205</v>
      </c>
      <c r="W246" s="342" t="s">
        <v>2206</v>
      </c>
      <c r="X246" s="342" t="s">
        <v>69</v>
      </c>
      <c r="Y246" s="349" t="s">
        <v>2207</v>
      </c>
      <c r="Z246" s="342" t="s">
        <v>71</v>
      </c>
      <c r="AA246" s="342" t="s">
        <v>218</v>
      </c>
      <c r="AB246" s="342" t="s">
        <v>152</v>
      </c>
      <c r="AC246" s="342" t="s">
        <v>74</v>
      </c>
      <c r="AD246" s="342"/>
      <c r="AE246" s="342" t="s">
        <v>2208</v>
      </c>
      <c r="AF246" s="349" t="s">
        <v>3771</v>
      </c>
      <c r="AG246" s="342" t="s">
        <v>74</v>
      </c>
      <c r="AH246" s="342" t="s">
        <v>76</v>
      </c>
      <c r="AI246" s="342" t="s">
        <v>74</v>
      </c>
      <c r="AJ246" s="342" t="s">
        <v>77</v>
      </c>
      <c r="AK246" s="342" t="s">
        <v>97</v>
      </c>
      <c r="AL246" s="342" t="s">
        <v>79</v>
      </c>
      <c r="AM246" s="342" t="s">
        <v>74</v>
      </c>
      <c r="AN246" s="342"/>
      <c r="AO246" s="342" t="s">
        <v>2209</v>
      </c>
      <c r="AP246" s="342" t="s">
        <v>81</v>
      </c>
      <c r="AQ246" s="349" t="s">
        <v>222</v>
      </c>
      <c r="AR246" s="342" t="s">
        <v>83</v>
      </c>
      <c r="AS246" s="342" t="s">
        <v>84</v>
      </c>
      <c r="AT246" s="342" t="s">
        <v>45</v>
      </c>
      <c r="AU246" s="342" t="s">
        <v>85</v>
      </c>
      <c r="AV246" s="342"/>
      <c r="AW246" s="342"/>
      <c r="AX246" s="343" t="str">
        <f>IF(OR(Tableau3[[#This Row],[Option GTR]]&lt;&gt;"",Tableau3[[#This Row],[GTR spécifique]]&lt;&gt;""),"GTRS1","GTRS2")</f>
        <v>GTRS2</v>
      </c>
      <c r="AY246" s="342" t="s">
        <v>355</v>
      </c>
      <c r="AZ246" s="342"/>
      <c r="BA246" s="342" t="s">
        <v>3809</v>
      </c>
    </row>
    <row r="247" spans="1:53" s="326" customFormat="1" ht="18.149999999999999" customHeight="1" x14ac:dyDescent="0.3">
      <c r="A247" s="340" t="s">
        <v>53</v>
      </c>
      <c r="B247" s="340" t="s">
        <v>54</v>
      </c>
      <c r="C247" s="340" t="s">
        <v>2079</v>
      </c>
      <c r="D247" s="340" t="s">
        <v>56</v>
      </c>
      <c r="E247" s="340" t="s">
        <v>57</v>
      </c>
      <c r="F247" s="340" t="s">
        <v>58</v>
      </c>
      <c r="G247" s="340" t="s">
        <v>59</v>
      </c>
      <c r="H247" s="340" t="s">
        <v>60</v>
      </c>
      <c r="I247" s="340" t="s">
        <v>61</v>
      </c>
      <c r="J247" s="340" t="s">
        <v>2210</v>
      </c>
      <c r="K247" s="340" t="s">
        <v>2211</v>
      </c>
      <c r="L247" s="345" t="str">
        <f>VLOOKUP(K247,'20260309 suivi sites'!F:F,1,0)</f>
        <v>81BRAS011AOM</v>
      </c>
      <c r="M247" s="340" t="s">
        <v>64</v>
      </c>
      <c r="N247" s="340" t="s">
        <v>65</v>
      </c>
      <c r="O247" s="340" t="s">
        <v>64</v>
      </c>
      <c r="P247" s="338">
        <v>44022</v>
      </c>
      <c r="Q247" s="341">
        <v>45861</v>
      </c>
      <c r="R247" s="347" t="b">
        <f t="shared" si="7"/>
        <v>0</v>
      </c>
      <c r="S247" s="347" t="str">
        <f t="shared" si="6"/>
        <v>change</v>
      </c>
      <c r="T247" s="342" t="s">
        <v>1439</v>
      </c>
      <c r="U247" s="342" t="s">
        <v>2212</v>
      </c>
      <c r="V247" s="342" t="s">
        <v>2213</v>
      </c>
      <c r="W247" s="342" t="s">
        <v>2214</v>
      </c>
      <c r="X247" s="342" t="s">
        <v>69</v>
      </c>
      <c r="Y247" s="349" t="s">
        <v>2215</v>
      </c>
      <c r="Z247" s="342" t="s">
        <v>71</v>
      </c>
      <c r="AA247" s="342" t="s">
        <v>218</v>
      </c>
      <c r="AB247" s="342" t="s">
        <v>152</v>
      </c>
      <c r="AC247" s="342" t="s">
        <v>74</v>
      </c>
      <c r="AD247" s="342"/>
      <c r="AE247" s="342" t="s">
        <v>2216</v>
      </c>
      <c r="AF247" s="349" t="s">
        <v>3770</v>
      </c>
      <c r="AG247" s="342" t="s">
        <v>74</v>
      </c>
      <c r="AH247" s="342" t="s">
        <v>74</v>
      </c>
      <c r="AI247" s="342" t="s">
        <v>74</v>
      </c>
      <c r="AJ247" s="342" t="s">
        <v>77</v>
      </c>
      <c r="AK247" s="342" t="s">
        <v>97</v>
      </c>
      <c r="AL247" s="342" t="s">
        <v>79</v>
      </c>
      <c r="AM247" s="342" t="s">
        <v>74</v>
      </c>
      <c r="AN247" s="342"/>
      <c r="AO247" s="342" t="s">
        <v>2217</v>
      </c>
      <c r="AP247" s="342" t="s">
        <v>81</v>
      </c>
      <c r="AQ247" s="349" t="s">
        <v>210</v>
      </c>
      <c r="AR247" s="342" t="s">
        <v>83</v>
      </c>
      <c r="AS247" s="342" t="s">
        <v>84</v>
      </c>
      <c r="AT247" s="342" t="s">
        <v>45</v>
      </c>
      <c r="AU247" s="342" t="s">
        <v>85</v>
      </c>
      <c r="AV247" s="342" t="s">
        <v>480</v>
      </c>
      <c r="AW247" s="342"/>
      <c r="AX247" s="343" t="str">
        <f>IF(OR(Tableau3[[#This Row],[Option GTR]]&lt;&gt;"",Tableau3[[#This Row],[GTR spécifique]]&lt;&gt;""),"GTRS1","GTRS2")</f>
        <v>GTRS1</v>
      </c>
      <c r="AY247" s="342" t="s">
        <v>355</v>
      </c>
      <c r="AZ247" s="342"/>
      <c r="BA247" s="342" t="s">
        <v>2218</v>
      </c>
    </row>
    <row r="248" spans="1:53" s="326" customFormat="1" ht="18.149999999999999" customHeight="1" x14ac:dyDescent="0.3">
      <c r="A248" s="340" t="s">
        <v>53</v>
      </c>
      <c r="B248" s="340" t="s">
        <v>54</v>
      </c>
      <c r="C248" s="340" t="s">
        <v>2079</v>
      </c>
      <c r="D248" s="340" t="s">
        <v>56</v>
      </c>
      <c r="E248" s="340" t="s">
        <v>57</v>
      </c>
      <c r="F248" s="340" t="s">
        <v>58</v>
      </c>
      <c r="G248" s="340" t="s">
        <v>59</v>
      </c>
      <c r="H248" s="340" t="s">
        <v>60</v>
      </c>
      <c r="I248" s="340" t="s">
        <v>61</v>
      </c>
      <c r="J248" s="340" t="s">
        <v>2219</v>
      </c>
      <c r="K248" s="340" t="s">
        <v>2220</v>
      </c>
      <c r="L248" s="345" t="str">
        <f>VLOOKUP(K248,'20260309 suivi sites'!F:F,1,0)</f>
        <v>83VINO011AOS</v>
      </c>
      <c r="M248" s="340" t="s">
        <v>64</v>
      </c>
      <c r="N248" s="340" t="s">
        <v>65</v>
      </c>
      <c r="O248" s="340" t="s">
        <v>64</v>
      </c>
      <c r="P248" s="338">
        <v>43852</v>
      </c>
      <c r="Q248" s="341">
        <v>45881</v>
      </c>
      <c r="R248" s="347" t="b">
        <f t="shared" si="7"/>
        <v>0</v>
      </c>
      <c r="S248" s="347" t="str">
        <f t="shared" si="6"/>
        <v>change</v>
      </c>
      <c r="T248" s="342" t="s">
        <v>1439</v>
      </c>
      <c r="U248" s="342" t="s">
        <v>2221</v>
      </c>
      <c r="V248" s="342" t="s">
        <v>2222</v>
      </c>
      <c r="W248" s="342" t="s">
        <v>2223</v>
      </c>
      <c r="X248" s="342" t="s">
        <v>69</v>
      </c>
      <c r="Y248" s="349" t="s">
        <v>2224</v>
      </c>
      <c r="Z248" s="342" t="s">
        <v>71</v>
      </c>
      <c r="AA248" s="342" t="s">
        <v>72</v>
      </c>
      <c r="AB248" s="342" t="s">
        <v>73</v>
      </c>
      <c r="AC248" s="342" t="s">
        <v>74</v>
      </c>
      <c r="AD248" s="342"/>
      <c r="AE248" s="342" t="s">
        <v>2225</v>
      </c>
      <c r="AF248" s="349" t="s">
        <v>3770</v>
      </c>
      <c r="AG248" s="342" t="s">
        <v>74</v>
      </c>
      <c r="AH248" s="342" t="s">
        <v>76</v>
      </c>
      <c r="AI248" s="342" t="s">
        <v>74</v>
      </c>
      <c r="AJ248" s="342" t="s">
        <v>77</v>
      </c>
      <c r="AK248" s="342" t="s">
        <v>97</v>
      </c>
      <c r="AL248" s="342" t="s">
        <v>79</v>
      </c>
      <c r="AM248" s="342" t="s">
        <v>74</v>
      </c>
      <c r="AN248" s="342"/>
      <c r="AO248" s="342" t="s">
        <v>2226</v>
      </c>
      <c r="AP248" s="342" t="s">
        <v>81</v>
      </c>
      <c r="AQ248" s="349" t="s">
        <v>210</v>
      </c>
      <c r="AR248" s="342" t="s">
        <v>83</v>
      </c>
      <c r="AS248" s="342" t="s">
        <v>84</v>
      </c>
      <c r="AT248" s="342" t="s">
        <v>45</v>
      </c>
      <c r="AU248" s="342" t="s">
        <v>85</v>
      </c>
      <c r="AV248" s="342"/>
      <c r="AW248" s="342"/>
      <c r="AX248" s="343" t="str">
        <f>IF(OR(Tableau3[[#This Row],[Option GTR]]&lt;&gt;"",Tableau3[[#This Row],[GTR spécifique]]&lt;&gt;""),"GTRS1","GTRS2")</f>
        <v>GTRS2</v>
      </c>
      <c r="AY248" s="342" t="s">
        <v>143</v>
      </c>
      <c r="AZ248" s="342"/>
      <c r="BA248" s="342" t="s">
        <v>2227</v>
      </c>
    </row>
    <row r="249" spans="1:53" s="326" customFormat="1" ht="18.149999999999999" customHeight="1" x14ac:dyDescent="0.3">
      <c r="A249" s="340" t="s">
        <v>53</v>
      </c>
      <c r="B249" s="340" t="s">
        <v>54</v>
      </c>
      <c r="C249" s="340" t="s">
        <v>2079</v>
      </c>
      <c r="D249" s="340" t="s">
        <v>56</v>
      </c>
      <c r="E249" s="340" t="s">
        <v>57</v>
      </c>
      <c r="F249" s="340" t="s">
        <v>58</v>
      </c>
      <c r="G249" s="340" t="s">
        <v>59</v>
      </c>
      <c r="H249" s="340" t="s">
        <v>60</v>
      </c>
      <c r="I249" s="340" t="s">
        <v>61</v>
      </c>
      <c r="J249" s="340" t="s">
        <v>2228</v>
      </c>
      <c r="K249" s="340" t="s">
        <v>2229</v>
      </c>
      <c r="L249" s="345" t="str">
        <f>VLOOKUP(K249,'20260309 suivi sites'!F:F,1,0)</f>
        <v>86LISL011AOG</v>
      </c>
      <c r="M249" s="340" t="s">
        <v>64</v>
      </c>
      <c r="N249" s="340" t="s">
        <v>65</v>
      </c>
      <c r="O249" s="340" t="s">
        <v>64</v>
      </c>
      <c r="P249" s="338">
        <v>43868</v>
      </c>
      <c r="Q249" s="341">
        <v>45754</v>
      </c>
      <c r="R249" s="347" t="b">
        <f t="shared" si="7"/>
        <v>0</v>
      </c>
      <c r="S249" s="347" t="str">
        <f t="shared" si="6"/>
        <v>change</v>
      </c>
      <c r="T249" s="342" t="s">
        <v>1439</v>
      </c>
      <c r="U249" s="342" t="s">
        <v>2230</v>
      </c>
      <c r="V249" s="342" t="s">
        <v>2231</v>
      </c>
      <c r="W249" s="342" t="s">
        <v>2232</v>
      </c>
      <c r="X249" s="342" t="s">
        <v>69</v>
      </c>
      <c r="Y249" s="349" t="s">
        <v>2233</v>
      </c>
      <c r="Z249" s="342" t="s">
        <v>71</v>
      </c>
      <c r="AA249" s="342" t="s">
        <v>72</v>
      </c>
      <c r="AB249" s="342" t="s">
        <v>73</v>
      </c>
      <c r="AC249" s="342" t="s">
        <v>74</v>
      </c>
      <c r="AD249" s="342"/>
      <c r="AE249" s="342" t="s">
        <v>2234</v>
      </c>
      <c r="AF249" s="349" t="s">
        <v>3771</v>
      </c>
      <c r="AG249" s="342" t="s">
        <v>74</v>
      </c>
      <c r="AH249" s="342" t="s">
        <v>74</v>
      </c>
      <c r="AI249" s="342" t="s">
        <v>74</v>
      </c>
      <c r="AJ249" s="342" t="s">
        <v>77</v>
      </c>
      <c r="AK249" s="342" t="s">
        <v>97</v>
      </c>
      <c r="AL249" s="342" t="s">
        <v>79</v>
      </c>
      <c r="AM249" s="342" t="s">
        <v>74</v>
      </c>
      <c r="AN249" s="342"/>
      <c r="AO249" s="342" t="s">
        <v>2235</v>
      </c>
      <c r="AP249" s="342" t="s">
        <v>81</v>
      </c>
      <c r="AQ249" s="349" t="s">
        <v>222</v>
      </c>
      <c r="AR249" s="342" t="s">
        <v>83</v>
      </c>
      <c r="AS249" s="342" t="s">
        <v>84</v>
      </c>
      <c r="AT249" s="342" t="s">
        <v>45</v>
      </c>
      <c r="AU249" s="342" t="s">
        <v>85</v>
      </c>
      <c r="AV249" s="342"/>
      <c r="AW249" s="342"/>
      <c r="AX249" s="343" t="str">
        <f>IF(OR(Tableau3[[#This Row],[Option GTR]]&lt;&gt;"",Tableau3[[#This Row],[GTR spécifique]]&lt;&gt;""),"GTRS1","GTRS2")</f>
        <v>GTRS2</v>
      </c>
      <c r="AY249" s="342" t="s">
        <v>143</v>
      </c>
      <c r="AZ249" s="342"/>
      <c r="BA249" s="342" t="s">
        <v>2236</v>
      </c>
    </row>
    <row r="250" spans="1:53" s="326" customFormat="1" ht="18.149999999999999" customHeight="1" x14ac:dyDescent="0.3">
      <c r="A250" s="340" t="s">
        <v>53</v>
      </c>
      <c r="B250" s="340" t="s">
        <v>54</v>
      </c>
      <c r="C250" s="340" t="s">
        <v>2079</v>
      </c>
      <c r="D250" s="340" t="s">
        <v>56</v>
      </c>
      <c r="E250" s="340" t="s">
        <v>57</v>
      </c>
      <c r="F250" s="340" t="s">
        <v>58</v>
      </c>
      <c r="G250" s="340" t="s">
        <v>59</v>
      </c>
      <c r="H250" s="340" t="s">
        <v>60</v>
      </c>
      <c r="I250" s="340" t="s">
        <v>61</v>
      </c>
      <c r="J250" s="340" t="s">
        <v>2237</v>
      </c>
      <c r="K250" s="340" t="s">
        <v>2238</v>
      </c>
      <c r="L250" s="345" t="str">
        <f>VLOOKUP(K250,'20260309 suivi sites'!F:F,1,0)</f>
        <v>97FORT021AOS</v>
      </c>
      <c r="M250" s="340" t="s">
        <v>64</v>
      </c>
      <c r="N250" s="340" t="s">
        <v>65</v>
      </c>
      <c r="O250" s="340" t="s">
        <v>64</v>
      </c>
      <c r="P250" s="338">
        <v>43907</v>
      </c>
      <c r="Q250" s="341">
        <v>44412</v>
      </c>
      <c r="R250" s="347" t="b">
        <f t="shared" si="7"/>
        <v>0</v>
      </c>
      <c r="S250" s="347" t="str">
        <f t="shared" si="6"/>
        <v>change</v>
      </c>
      <c r="T250" s="342" t="s">
        <v>1439</v>
      </c>
      <c r="U250" s="342" t="s">
        <v>2239</v>
      </c>
      <c r="V250" s="342" t="s">
        <v>2240</v>
      </c>
      <c r="W250" s="342" t="s">
        <v>2241</v>
      </c>
      <c r="X250" s="342" t="s">
        <v>69</v>
      </c>
      <c r="Y250" s="349" t="s">
        <v>2242</v>
      </c>
      <c r="Z250" s="342" t="s">
        <v>71</v>
      </c>
      <c r="AA250" s="342" t="s">
        <v>72</v>
      </c>
      <c r="AB250" s="342" t="s">
        <v>73</v>
      </c>
      <c r="AC250" s="342" t="s">
        <v>74</v>
      </c>
      <c r="AD250" s="342"/>
      <c r="AE250" s="342" t="s">
        <v>2243</v>
      </c>
      <c r="AF250" s="349" t="s">
        <v>3775</v>
      </c>
      <c r="AG250" s="342" t="s">
        <v>74</v>
      </c>
      <c r="AH250" s="342" t="s">
        <v>74</v>
      </c>
      <c r="AI250" s="342" t="s">
        <v>74</v>
      </c>
      <c r="AJ250" s="342" t="s">
        <v>77</v>
      </c>
      <c r="AK250" s="342" t="s">
        <v>97</v>
      </c>
      <c r="AL250" s="342" t="s">
        <v>79</v>
      </c>
      <c r="AM250" s="342" t="s">
        <v>74</v>
      </c>
      <c r="AN250" s="342"/>
      <c r="AO250" s="342" t="s">
        <v>2244</v>
      </c>
      <c r="AP250" s="342" t="s">
        <v>81</v>
      </c>
      <c r="AQ250" s="349" t="s">
        <v>748</v>
      </c>
      <c r="AR250" s="342" t="s">
        <v>83</v>
      </c>
      <c r="AS250" s="342" t="s">
        <v>84</v>
      </c>
      <c r="AT250" s="342" t="s">
        <v>45</v>
      </c>
      <c r="AU250" s="342" t="s">
        <v>85</v>
      </c>
      <c r="AV250" s="342"/>
      <c r="AW250" s="342" t="s">
        <v>131</v>
      </c>
      <c r="AX250" s="343" t="str">
        <f>IF(OR(Tableau3[[#This Row],[Option GTR]]&lt;&gt;"",Tableau3[[#This Row],[GTR spécifique]]&lt;&gt;""),"GTRS1","GTRS2")</f>
        <v>GTRS1</v>
      </c>
      <c r="AY250" s="342" t="s">
        <v>632</v>
      </c>
      <c r="AZ250" s="342"/>
      <c r="BA250" s="342" t="s">
        <v>686</v>
      </c>
    </row>
    <row r="251" spans="1:53" s="326" customFormat="1" ht="18.149999999999999" customHeight="1" x14ac:dyDescent="0.3">
      <c r="A251" s="340" t="s">
        <v>53</v>
      </c>
      <c r="B251" s="340" t="s">
        <v>54</v>
      </c>
      <c r="C251" s="340" t="s">
        <v>2079</v>
      </c>
      <c r="D251" s="340" t="s">
        <v>56</v>
      </c>
      <c r="E251" s="340" t="s">
        <v>57</v>
      </c>
      <c r="F251" s="340" t="s">
        <v>58</v>
      </c>
      <c r="G251" s="340" t="s">
        <v>59</v>
      </c>
      <c r="H251" s="340" t="s">
        <v>60</v>
      </c>
      <c r="I251" s="340" t="s">
        <v>61</v>
      </c>
      <c r="J251" s="340" t="s">
        <v>2245</v>
      </c>
      <c r="K251" s="340" t="s">
        <v>2246</v>
      </c>
      <c r="L251" s="345" t="str">
        <f>VLOOKUP(K251,'20260309 suivi sites'!F:F,1,0)</f>
        <v>97FORT041AOM</v>
      </c>
      <c r="M251" s="340" t="s">
        <v>64</v>
      </c>
      <c r="N251" s="340" t="s">
        <v>65</v>
      </c>
      <c r="O251" s="340" t="s">
        <v>64</v>
      </c>
      <c r="P251" s="338">
        <v>43795</v>
      </c>
      <c r="Q251" s="341">
        <v>44733</v>
      </c>
      <c r="R251" s="347" t="b">
        <f t="shared" si="7"/>
        <v>0</v>
      </c>
      <c r="S251" s="347" t="str">
        <f t="shared" si="6"/>
        <v>change</v>
      </c>
      <c r="T251" s="342" t="s">
        <v>1439</v>
      </c>
      <c r="U251" s="342" t="s">
        <v>2247</v>
      </c>
      <c r="V251" s="342" t="s">
        <v>2240</v>
      </c>
      <c r="W251" s="342" t="s">
        <v>2241</v>
      </c>
      <c r="X251" s="342" t="s">
        <v>69</v>
      </c>
      <c r="Y251" s="349" t="s">
        <v>2248</v>
      </c>
      <c r="Z251" s="342" t="s">
        <v>71</v>
      </c>
      <c r="AA251" s="342" t="s">
        <v>218</v>
      </c>
      <c r="AB251" s="342" t="s">
        <v>152</v>
      </c>
      <c r="AC251" s="342" t="s">
        <v>74</v>
      </c>
      <c r="AD251" s="342"/>
      <c r="AE251" s="342" t="s">
        <v>2249</v>
      </c>
      <c r="AF251" s="349" t="s">
        <v>3769</v>
      </c>
      <c r="AG251" s="342" t="s">
        <v>74</v>
      </c>
      <c r="AH251" s="342" t="s">
        <v>76</v>
      </c>
      <c r="AI251" s="342" t="s">
        <v>76</v>
      </c>
      <c r="AJ251" s="342" t="s">
        <v>77</v>
      </c>
      <c r="AK251" s="342" t="s">
        <v>165</v>
      </c>
      <c r="AL251" s="342" t="s">
        <v>79</v>
      </c>
      <c r="AM251" s="342" t="s">
        <v>74</v>
      </c>
      <c r="AN251" s="342"/>
      <c r="AO251" s="342" t="s">
        <v>2250</v>
      </c>
      <c r="AP251" s="342" t="s">
        <v>81</v>
      </c>
      <c r="AQ251" s="349" t="s">
        <v>200</v>
      </c>
      <c r="AR251" s="342" t="s">
        <v>83</v>
      </c>
      <c r="AS251" s="342" t="s">
        <v>84</v>
      </c>
      <c r="AT251" s="342" t="s">
        <v>45</v>
      </c>
      <c r="AU251" s="342" t="s">
        <v>85</v>
      </c>
      <c r="AV251" s="342"/>
      <c r="AW251" s="342" t="s">
        <v>131</v>
      </c>
      <c r="AX251" s="343" t="str">
        <f>IF(OR(Tableau3[[#This Row],[Option GTR]]&lt;&gt;"",Tableau3[[#This Row],[GTR spécifique]]&lt;&gt;""),"GTRS1","GTRS2")</f>
        <v>GTRS1</v>
      </c>
      <c r="AY251" s="342" t="s">
        <v>481</v>
      </c>
      <c r="AZ251" s="342"/>
      <c r="BA251" s="342" t="s">
        <v>2251</v>
      </c>
    </row>
    <row r="252" spans="1:53" s="326" customFormat="1" ht="18.149999999999999" customHeight="1" x14ac:dyDescent="0.3">
      <c r="A252" s="340" t="s">
        <v>53</v>
      </c>
      <c r="B252" s="340" t="s">
        <v>54</v>
      </c>
      <c r="C252" s="340" t="s">
        <v>2079</v>
      </c>
      <c r="D252" s="340" t="s">
        <v>56</v>
      </c>
      <c r="E252" s="340" t="s">
        <v>57</v>
      </c>
      <c r="F252" s="340" t="s">
        <v>58</v>
      </c>
      <c r="G252" s="340" t="s">
        <v>59</v>
      </c>
      <c r="H252" s="340" t="s">
        <v>60</v>
      </c>
      <c r="I252" s="340" t="s">
        <v>61</v>
      </c>
      <c r="J252" s="340" t="s">
        <v>2252</v>
      </c>
      <c r="K252" s="340" t="s">
        <v>2253</v>
      </c>
      <c r="L252" s="345" t="str">
        <f>VLOOKUP(K252,'20260309 suivi sites'!F:F,1,0)</f>
        <v>97RIVI011AOS</v>
      </c>
      <c r="M252" s="340" t="s">
        <v>64</v>
      </c>
      <c r="N252" s="340" t="s">
        <v>65</v>
      </c>
      <c r="O252" s="340" t="s">
        <v>64</v>
      </c>
      <c r="P252" s="338">
        <v>43733</v>
      </c>
      <c r="Q252" s="341">
        <v>44882</v>
      </c>
      <c r="R252" s="347" t="b">
        <f t="shared" si="7"/>
        <v>0</v>
      </c>
      <c r="S252" s="347" t="str">
        <f t="shared" si="6"/>
        <v>change</v>
      </c>
      <c r="T252" s="342" t="s">
        <v>1439</v>
      </c>
      <c r="U252" s="342" t="s">
        <v>2254</v>
      </c>
      <c r="V252" s="342" t="s">
        <v>2255</v>
      </c>
      <c r="W252" s="342" t="s">
        <v>2256</v>
      </c>
      <c r="X252" s="342" t="s">
        <v>69</v>
      </c>
      <c r="Y252" s="349" t="s">
        <v>2257</v>
      </c>
      <c r="Z252" s="342" t="s">
        <v>71</v>
      </c>
      <c r="AA252" s="342" t="s">
        <v>72</v>
      </c>
      <c r="AB252" s="342" t="s">
        <v>73</v>
      </c>
      <c r="AC252" s="342" t="s">
        <v>74</v>
      </c>
      <c r="AD252" s="342"/>
      <c r="AE252" s="342" t="s">
        <v>2258</v>
      </c>
      <c r="AF252" s="349" t="s">
        <v>3766</v>
      </c>
      <c r="AG252" s="342" t="s">
        <v>74</v>
      </c>
      <c r="AH252" s="342" t="s">
        <v>76</v>
      </c>
      <c r="AI252" s="342" t="s">
        <v>76</v>
      </c>
      <c r="AJ252" s="342" t="s">
        <v>77</v>
      </c>
      <c r="AK252" s="342" t="s">
        <v>97</v>
      </c>
      <c r="AL252" s="342" t="s">
        <v>79</v>
      </c>
      <c r="AM252" s="342" t="s">
        <v>74</v>
      </c>
      <c r="AN252" s="342"/>
      <c r="AO252" s="342" t="s">
        <v>2259</v>
      </c>
      <c r="AP252" s="342" t="s">
        <v>81</v>
      </c>
      <c r="AQ252" s="349" t="s">
        <v>142</v>
      </c>
      <c r="AR252" s="342" t="s">
        <v>83</v>
      </c>
      <c r="AS252" s="342" t="s">
        <v>84</v>
      </c>
      <c r="AT252" s="342" t="s">
        <v>45</v>
      </c>
      <c r="AU252" s="342" t="s">
        <v>85</v>
      </c>
      <c r="AV252" s="342"/>
      <c r="AW252" s="342" t="s">
        <v>131</v>
      </c>
      <c r="AX252" s="343" t="str">
        <f>IF(OR(Tableau3[[#This Row],[Option GTR]]&lt;&gt;"",Tableau3[[#This Row],[GTR spécifique]]&lt;&gt;""),"GTRS1","GTRS2")</f>
        <v>GTRS1</v>
      </c>
      <c r="AY252" s="342" t="s">
        <v>143</v>
      </c>
      <c r="AZ252" s="342"/>
      <c r="BA252" s="342" t="s">
        <v>2260</v>
      </c>
    </row>
    <row r="253" spans="1:53" s="326" customFormat="1" ht="18.149999999999999" customHeight="1" x14ac:dyDescent="0.3">
      <c r="A253" s="340" t="s">
        <v>53</v>
      </c>
      <c r="B253" s="340" t="s">
        <v>54</v>
      </c>
      <c r="C253" s="340" t="s">
        <v>2079</v>
      </c>
      <c r="D253" s="340" t="s">
        <v>56</v>
      </c>
      <c r="E253" s="340" t="s">
        <v>57</v>
      </c>
      <c r="F253" s="340" t="s">
        <v>58</v>
      </c>
      <c r="G253" s="340" t="s">
        <v>59</v>
      </c>
      <c r="H253" s="340" t="s">
        <v>60</v>
      </c>
      <c r="I253" s="340" t="s">
        <v>61</v>
      </c>
      <c r="J253" s="340" t="s">
        <v>2261</v>
      </c>
      <c r="K253" s="340" t="s">
        <v>2262</v>
      </c>
      <c r="L253" s="345" t="str">
        <f>VLOOKUP(K253,'20260309 suivi sites'!F:F,1,0)</f>
        <v>97SCHO011AOS</v>
      </c>
      <c r="M253" s="340" t="s">
        <v>64</v>
      </c>
      <c r="N253" s="340" t="s">
        <v>65</v>
      </c>
      <c r="O253" s="340" t="s">
        <v>64</v>
      </c>
      <c r="P253" s="338">
        <v>43752</v>
      </c>
      <c r="Q253" s="341">
        <v>44886</v>
      </c>
      <c r="R253" s="347" t="b">
        <f t="shared" si="7"/>
        <v>0</v>
      </c>
      <c r="S253" s="347" t="str">
        <f t="shared" si="6"/>
        <v>change</v>
      </c>
      <c r="T253" s="342" t="s">
        <v>1439</v>
      </c>
      <c r="U253" s="342" t="s">
        <v>2263</v>
      </c>
      <c r="V253" s="342" t="s">
        <v>2264</v>
      </c>
      <c r="W253" s="342" t="s">
        <v>2265</v>
      </c>
      <c r="X253" s="342" t="s">
        <v>69</v>
      </c>
      <c r="Y253" s="349" t="s">
        <v>2266</v>
      </c>
      <c r="Z253" s="342" t="s">
        <v>71</v>
      </c>
      <c r="AA253" s="342" t="s">
        <v>72</v>
      </c>
      <c r="AB253" s="342" t="s">
        <v>73</v>
      </c>
      <c r="AC253" s="342" t="s">
        <v>74</v>
      </c>
      <c r="AD253" s="342"/>
      <c r="AE253" s="342" t="s">
        <v>2267</v>
      </c>
      <c r="AF253" s="349" t="s">
        <v>3766</v>
      </c>
      <c r="AG253" s="342" t="s">
        <v>74</v>
      </c>
      <c r="AH253" s="342" t="s">
        <v>76</v>
      </c>
      <c r="AI253" s="342" t="s">
        <v>76</v>
      </c>
      <c r="AJ253" s="342" t="s">
        <v>77</v>
      </c>
      <c r="AK253" s="342" t="s">
        <v>97</v>
      </c>
      <c r="AL253" s="342" t="s">
        <v>79</v>
      </c>
      <c r="AM253" s="342" t="s">
        <v>74</v>
      </c>
      <c r="AN253" s="342"/>
      <c r="AO253" s="342" t="s">
        <v>2268</v>
      </c>
      <c r="AP253" s="342" t="s">
        <v>81</v>
      </c>
      <c r="AQ253" s="349" t="s">
        <v>142</v>
      </c>
      <c r="AR253" s="342" t="s">
        <v>83</v>
      </c>
      <c r="AS253" s="342" t="s">
        <v>84</v>
      </c>
      <c r="AT253" s="342" t="s">
        <v>45</v>
      </c>
      <c r="AU253" s="342" t="s">
        <v>85</v>
      </c>
      <c r="AV253" s="342"/>
      <c r="AW253" s="342" t="s">
        <v>131</v>
      </c>
      <c r="AX253" s="343" t="str">
        <f>IF(OR(Tableau3[[#This Row],[Option GTR]]&lt;&gt;"",Tableau3[[#This Row],[GTR spécifique]]&lt;&gt;""),"GTRS1","GTRS2")</f>
        <v>GTRS1</v>
      </c>
      <c r="AY253" s="342" t="s">
        <v>143</v>
      </c>
      <c r="AZ253" s="342"/>
      <c r="BA253" s="342" t="s">
        <v>2260</v>
      </c>
    </row>
    <row r="254" spans="1:53" s="326" customFormat="1" ht="18.149999999999999" customHeight="1" x14ac:dyDescent="0.3">
      <c r="A254" s="340" t="s">
        <v>53</v>
      </c>
      <c r="B254" s="340" t="s">
        <v>54</v>
      </c>
      <c r="C254" s="340" t="s">
        <v>2079</v>
      </c>
      <c r="D254" s="340" t="s">
        <v>56</v>
      </c>
      <c r="E254" s="340" t="s">
        <v>57</v>
      </c>
      <c r="F254" s="340" t="s">
        <v>58</v>
      </c>
      <c r="G254" s="340" t="s">
        <v>59</v>
      </c>
      <c r="H254" s="340" t="s">
        <v>60</v>
      </c>
      <c r="I254" s="340" t="s">
        <v>61</v>
      </c>
      <c r="J254" s="340" t="s">
        <v>2269</v>
      </c>
      <c r="K254" s="340" t="s">
        <v>2270</v>
      </c>
      <c r="L254" s="345" t="str">
        <f>VLOOKUP(K254,'20260309 suivi sites'!F:F,1,0)</f>
        <v>20LUCC011AOG</v>
      </c>
      <c r="M254" s="340" t="s">
        <v>64</v>
      </c>
      <c r="N254" s="340" t="s">
        <v>65</v>
      </c>
      <c r="O254" s="340" t="s">
        <v>104</v>
      </c>
      <c r="P254" s="338">
        <v>45442</v>
      </c>
      <c r="Q254" s="341"/>
      <c r="R254" s="347" t="b">
        <f t="shared" si="7"/>
        <v>0</v>
      </c>
      <c r="S254" s="347" t="str">
        <f t="shared" si="6"/>
        <v>change</v>
      </c>
      <c r="T254" s="342" t="s">
        <v>1439</v>
      </c>
      <c r="U254" s="342" t="s">
        <v>3788</v>
      </c>
      <c r="V254" s="342" t="s">
        <v>1413</v>
      </c>
      <c r="W254" s="342" t="s">
        <v>1414</v>
      </c>
      <c r="X254" s="342" t="s">
        <v>69</v>
      </c>
      <c r="Y254" s="349" t="s">
        <v>2271</v>
      </c>
      <c r="Z254" s="342" t="s">
        <v>71</v>
      </c>
      <c r="AA254" s="342" t="s">
        <v>72</v>
      </c>
      <c r="AB254" s="342" t="s">
        <v>73</v>
      </c>
      <c r="AC254" s="342" t="s">
        <v>74</v>
      </c>
      <c r="AD254" s="342"/>
      <c r="AE254" s="342" t="s">
        <v>2272</v>
      </c>
      <c r="AF254" s="349" t="s">
        <v>3771</v>
      </c>
      <c r="AG254" s="342" t="s">
        <v>74</v>
      </c>
      <c r="AH254" s="342" t="s">
        <v>74</v>
      </c>
      <c r="AI254" s="342" t="s">
        <v>74</v>
      </c>
      <c r="AJ254" s="342" t="s">
        <v>77</v>
      </c>
      <c r="AK254" s="342" t="s">
        <v>97</v>
      </c>
      <c r="AL254" s="342" t="s">
        <v>79</v>
      </c>
      <c r="AM254" s="342" t="s">
        <v>74</v>
      </c>
      <c r="AN254" s="342"/>
      <c r="AO254" s="342" t="s">
        <v>2273</v>
      </c>
      <c r="AP254" s="342" t="s">
        <v>81</v>
      </c>
      <c r="AQ254" s="349" t="s">
        <v>222</v>
      </c>
      <c r="AR254" s="342" t="s">
        <v>83</v>
      </c>
      <c r="AS254" s="342" t="s">
        <v>84</v>
      </c>
      <c r="AT254" s="342" t="s">
        <v>45</v>
      </c>
      <c r="AU254" s="342" t="s">
        <v>85</v>
      </c>
      <c r="AV254" s="342"/>
      <c r="AW254" s="342"/>
      <c r="AX254" s="343" t="str">
        <f>IF(OR(Tableau3[[#This Row],[Option GTR]]&lt;&gt;"",Tableau3[[#This Row],[GTR spécifique]]&lt;&gt;""),"GTRS1","GTRS2")</f>
        <v>GTRS2</v>
      </c>
      <c r="AY254" s="342" t="s">
        <v>143</v>
      </c>
      <c r="AZ254" s="342"/>
      <c r="BA254" s="342" t="s">
        <v>3810</v>
      </c>
    </row>
    <row r="255" spans="1:53" s="326" customFormat="1" ht="18.149999999999999" customHeight="1" x14ac:dyDescent="0.3">
      <c r="A255" s="340" t="s">
        <v>53</v>
      </c>
      <c r="B255" s="340" t="s">
        <v>54</v>
      </c>
      <c r="C255" s="340" t="s">
        <v>2079</v>
      </c>
      <c r="D255" s="340" t="s">
        <v>56</v>
      </c>
      <c r="E255" s="340" t="s">
        <v>57</v>
      </c>
      <c r="F255" s="340" t="s">
        <v>58</v>
      </c>
      <c r="G255" s="340" t="s">
        <v>59</v>
      </c>
      <c r="H255" s="340" t="s">
        <v>60</v>
      </c>
      <c r="I255" s="340" t="s">
        <v>61</v>
      </c>
      <c r="J255" s="340" t="s">
        <v>2274</v>
      </c>
      <c r="K255" s="340" t="s">
        <v>2275</v>
      </c>
      <c r="L255" s="345" t="str">
        <f>VLOOKUP(K255,'20260309 suivi sites'!F:F,1,0)</f>
        <v>97CASE011AOS</v>
      </c>
      <c r="M255" s="340" t="s">
        <v>64</v>
      </c>
      <c r="N255" s="340" t="s">
        <v>65</v>
      </c>
      <c r="O255" s="340" t="s">
        <v>104</v>
      </c>
      <c r="P255" s="338">
        <v>44159</v>
      </c>
      <c r="Q255" s="341"/>
      <c r="R255" s="347" t="b">
        <f t="shared" si="7"/>
        <v>0</v>
      </c>
      <c r="S255" s="347" t="str">
        <f t="shared" si="6"/>
        <v>change</v>
      </c>
      <c r="T255" s="342" t="s">
        <v>1439</v>
      </c>
      <c r="U255" s="342" t="s">
        <v>2276</v>
      </c>
      <c r="V255" s="342" t="s">
        <v>2277</v>
      </c>
      <c r="W255" s="342" t="s">
        <v>2278</v>
      </c>
      <c r="X255" s="342" t="s">
        <v>69</v>
      </c>
      <c r="Y255" s="349" t="s">
        <v>2279</v>
      </c>
      <c r="Z255" s="342" t="s">
        <v>71</v>
      </c>
      <c r="AA255" s="342" t="s">
        <v>72</v>
      </c>
      <c r="AB255" s="342" t="s">
        <v>73</v>
      </c>
      <c r="AC255" s="342" t="s">
        <v>74</v>
      </c>
      <c r="AD255" s="342"/>
      <c r="AE255" s="342" t="s">
        <v>2280</v>
      </c>
      <c r="AF255" s="349" t="s">
        <v>3771</v>
      </c>
      <c r="AG255" s="342" t="s">
        <v>74</v>
      </c>
      <c r="AH255" s="342" t="s">
        <v>76</v>
      </c>
      <c r="AI255" s="342" t="s">
        <v>74</v>
      </c>
      <c r="AJ255" s="342" t="s">
        <v>77</v>
      </c>
      <c r="AK255" s="342" t="s">
        <v>97</v>
      </c>
      <c r="AL255" s="342" t="s">
        <v>79</v>
      </c>
      <c r="AM255" s="342" t="s">
        <v>74</v>
      </c>
      <c r="AN255" s="342"/>
      <c r="AO255" s="342" t="s">
        <v>2281</v>
      </c>
      <c r="AP255" s="342" t="s">
        <v>81</v>
      </c>
      <c r="AQ255" s="349" t="s">
        <v>222</v>
      </c>
      <c r="AR255" s="342" t="s">
        <v>83</v>
      </c>
      <c r="AS255" s="342" t="s">
        <v>84</v>
      </c>
      <c r="AT255" s="342" t="s">
        <v>45</v>
      </c>
      <c r="AU255" s="342" t="s">
        <v>85</v>
      </c>
      <c r="AV255" s="342"/>
      <c r="AW255" s="342" t="s">
        <v>131</v>
      </c>
      <c r="AX255" s="343" t="str">
        <f>IF(OR(Tableau3[[#This Row],[Option GTR]]&lt;&gt;"",Tableau3[[#This Row],[GTR spécifique]]&lt;&gt;""),"GTRS1","GTRS2")</f>
        <v>GTRS1</v>
      </c>
      <c r="AY255" s="342" t="s">
        <v>143</v>
      </c>
      <c r="AZ255" s="342"/>
      <c r="BA255" s="342" t="s">
        <v>3811</v>
      </c>
    </row>
    <row r="256" spans="1:53" s="326" customFormat="1" ht="18.149999999999999" customHeight="1" x14ac:dyDescent="0.3">
      <c r="A256" s="340" t="s">
        <v>53</v>
      </c>
      <c r="B256" s="340" t="s">
        <v>54</v>
      </c>
      <c r="C256" s="340" t="s">
        <v>2079</v>
      </c>
      <c r="D256" s="340" t="s">
        <v>56</v>
      </c>
      <c r="E256" s="340" t="s">
        <v>57</v>
      </c>
      <c r="F256" s="340" t="s">
        <v>58</v>
      </c>
      <c r="G256" s="340" t="s">
        <v>59</v>
      </c>
      <c r="H256" s="340" t="s">
        <v>60</v>
      </c>
      <c r="I256" s="340" t="s">
        <v>61</v>
      </c>
      <c r="J256" s="340" t="s">
        <v>2282</v>
      </c>
      <c r="K256" s="340" t="s">
        <v>2283</v>
      </c>
      <c r="L256" s="345" t="str">
        <f>VLOOKUP(K256,'20260309 suivi sites'!F:F,1,0)</f>
        <v>07CRUA021AOB</v>
      </c>
      <c r="M256" s="340" t="s">
        <v>64</v>
      </c>
      <c r="N256" s="340" t="s">
        <v>65</v>
      </c>
      <c r="O256" s="340" t="s">
        <v>64</v>
      </c>
      <c r="P256" s="338">
        <v>43907</v>
      </c>
      <c r="Q256" s="341">
        <v>44159</v>
      </c>
      <c r="R256" s="347" t="b">
        <f t="shared" si="7"/>
        <v>0</v>
      </c>
      <c r="S256" s="347" t="str">
        <f t="shared" si="6"/>
        <v>change</v>
      </c>
      <c r="T256" s="342" t="s">
        <v>1439</v>
      </c>
      <c r="U256" s="342" t="s">
        <v>2284</v>
      </c>
      <c r="V256" s="342" t="s">
        <v>2285</v>
      </c>
      <c r="W256" s="342" t="s">
        <v>2286</v>
      </c>
      <c r="X256" s="342" t="s">
        <v>69</v>
      </c>
      <c r="Y256" s="349" t="s">
        <v>2287</v>
      </c>
      <c r="Z256" s="342" t="s">
        <v>71</v>
      </c>
      <c r="AA256" s="342" t="s">
        <v>218</v>
      </c>
      <c r="AB256" s="342" t="s">
        <v>152</v>
      </c>
      <c r="AC256" s="342" t="s">
        <v>74</v>
      </c>
      <c r="AD256" s="342"/>
      <c r="AE256" s="342" t="s">
        <v>2288</v>
      </c>
      <c r="AF256" s="349" t="s">
        <v>3775</v>
      </c>
      <c r="AG256" s="342" t="s">
        <v>74</v>
      </c>
      <c r="AH256" s="342" t="s">
        <v>76</v>
      </c>
      <c r="AI256" s="342" t="s">
        <v>74</v>
      </c>
      <c r="AJ256" s="342" t="s">
        <v>77</v>
      </c>
      <c r="AK256" s="342" t="s">
        <v>97</v>
      </c>
      <c r="AL256" s="342" t="s">
        <v>79</v>
      </c>
      <c r="AM256" s="342" t="s">
        <v>74</v>
      </c>
      <c r="AN256" s="342"/>
      <c r="AO256" s="342" t="s">
        <v>2289</v>
      </c>
      <c r="AP256" s="342" t="s">
        <v>81</v>
      </c>
      <c r="AQ256" s="349" t="s">
        <v>509</v>
      </c>
      <c r="AR256" s="342" t="s">
        <v>83</v>
      </c>
      <c r="AS256" s="342" t="s">
        <v>84</v>
      </c>
      <c r="AT256" s="342" t="s">
        <v>45</v>
      </c>
      <c r="AU256" s="342" t="s">
        <v>85</v>
      </c>
      <c r="AV256" s="342"/>
      <c r="AW256" s="342"/>
      <c r="AX256" s="343" t="str">
        <f>IF(OR(Tableau3[[#This Row],[Option GTR]]&lt;&gt;"",Tableau3[[#This Row],[GTR spécifique]]&lt;&gt;""),"GTRS1","GTRS2")</f>
        <v>GTRS2</v>
      </c>
      <c r="AY256" s="342" t="s">
        <v>738</v>
      </c>
      <c r="AZ256" s="342"/>
      <c r="BA256" s="344" t="s">
        <v>2290</v>
      </c>
    </row>
    <row r="257" spans="1:53" s="326" customFormat="1" ht="18.149999999999999" customHeight="1" x14ac:dyDescent="0.3">
      <c r="A257" s="340" t="s">
        <v>53</v>
      </c>
      <c r="B257" s="340" t="s">
        <v>54</v>
      </c>
      <c r="C257" s="340" t="s">
        <v>2079</v>
      </c>
      <c r="D257" s="340" t="s">
        <v>56</v>
      </c>
      <c r="E257" s="340" t="s">
        <v>57</v>
      </c>
      <c r="F257" s="340" t="s">
        <v>58</v>
      </c>
      <c r="G257" s="340" t="s">
        <v>59</v>
      </c>
      <c r="H257" s="340" t="s">
        <v>60</v>
      </c>
      <c r="I257" s="340" t="s">
        <v>61</v>
      </c>
      <c r="J257" s="340" t="s">
        <v>2291</v>
      </c>
      <c r="K257" s="340" t="s">
        <v>2292</v>
      </c>
      <c r="L257" s="345" t="str">
        <f>VLOOKUP(K257,'20260309 suivi sites'!F:F,1,0)</f>
        <v>97FORT011AOM</v>
      </c>
      <c r="M257" s="340" t="s">
        <v>64</v>
      </c>
      <c r="N257" s="340" t="s">
        <v>65</v>
      </c>
      <c r="O257" s="340" t="s">
        <v>64</v>
      </c>
      <c r="P257" s="338">
        <v>43809</v>
      </c>
      <c r="Q257" s="341">
        <v>44739</v>
      </c>
      <c r="R257" s="347" t="b">
        <f t="shared" si="7"/>
        <v>0</v>
      </c>
      <c r="S257" s="347" t="str">
        <f t="shared" si="6"/>
        <v>change</v>
      </c>
      <c r="T257" s="342" t="s">
        <v>1439</v>
      </c>
      <c r="U257" s="342" t="s">
        <v>2293</v>
      </c>
      <c r="V257" s="342" t="s">
        <v>2240</v>
      </c>
      <c r="W257" s="342" t="s">
        <v>2241</v>
      </c>
      <c r="X257" s="342" t="s">
        <v>69</v>
      </c>
      <c r="Y257" s="349" t="s">
        <v>2294</v>
      </c>
      <c r="Z257" s="342" t="s">
        <v>71</v>
      </c>
      <c r="AA257" s="342" t="s">
        <v>218</v>
      </c>
      <c r="AB257" s="342" t="s">
        <v>152</v>
      </c>
      <c r="AC257" s="342" t="s">
        <v>74</v>
      </c>
      <c r="AD257" s="342"/>
      <c r="AE257" s="342" t="s">
        <v>2295</v>
      </c>
      <c r="AF257" s="349" t="s">
        <v>3769</v>
      </c>
      <c r="AG257" s="342" t="s">
        <v>74</v>
      </c>
      <c r="AH257" s="342" t="s">
        <v>76</v>
      </c>
      <c r="AI257" s="342" t="s">
        <v>76</v>
      </c>
      <c r="AJ257" s="342" t="s">
        <v>77</v>
      </c>
      <c r="AK257" s="342" t="s">
        <v>165</v>
      </c>
      <c r="AL257" s="342" t="s">
        <v>79</v>
      </c>
      <c r="AM257" s="342" t="s">
        <v>74</v>
      </c>
      <c r="AN257" s="342"/>
      <c r="AO257" s="342" t="s">
        <v>2296</v>
      </c>
      <c r="AP257" s="342" t="s">
        <v>81</v>
      </c>
      <c r="AQ257" s="349" t="s">
        <v>200</v>
      </c>
      <c r="AR257" s="342" t="s">
        <v>83</v>
      </c>
      <c r="AS257" s="342" t="s">
        <v>84</v>
      </c>
      <c r="AT257" s="342" t="s">
        <v>45</v>
      </c>
      <c r="AU257" s="342" t="s">
        <v>85</v>
      </c>
      <c r="AV257" s="342"/>
      <c r="AW257" s="342" t="s">
        <v>131</v>
      </c>
      <c r="AX257" s="343" t="str">
        <f>IF(OR(Tableau3[[#This Row],[Option GTR]]&lt;&gt;"",Tableau3[[#This Row],[GTR spécifique]]&lt;&gt;""),"GTRS1","GTRS2")</f>
        <v>GTRS1</v>
      </c>
      <c r="AY257" s="342" t="s">
        <v>481</v>
      </c>
      <c r="AZ257" s="342"/>
      <c r="BA257" s="342" t="s">
        <v>2297</v>
      </c>
    </row>
    <row r="258" spans="1:53" s="326" customFormat="1" ht="18.149999999999999" customHeight="1" x14ac:dyDescent="0.3">
      <c r="A258" s="340" t="s">
        <v>53</v>
      </c>
      <c r="B258" s="340" t="s">
        <v>54</v>
      </c>
      <c r="C258" s="340" t="s">
        <v>2079</v>
      </c>
      <c r="D258" s="340" t="s">
        <v>56</v>
      </c>
      <c r="E258" s="340" t="s">
        <v>57</v>
      </c>
      <c r="F258" s="340" t="s">
        <v>58</v>
      </c>
      <c r="G258" s="340" t="s">
        <v>59</v>
      </c>
      <c r="H258" s="340" t="s">
        <v>60</v>
      </c>
      <c r="I258" s="340" t="s">
        <v>61</v>
      </c>
      <c r="J258" s="340" t="s">
        <v>2298</v>
      </c>
      <c r="K258" s="340" t="s">
        <v>2299</v>
      </c>
      <c r="L258" s="345" t="str">
        <f>VLOOKUP(K258,'20260309 suivi sites'!F:F,1,0)</f>
        <v>65LUZS011AOG</v>
      </c>
      <c r="M258" s="340" t="s">
        <v>64</v>
      </c>
      <c r="N258" s="340" t="s">
        <v>65</v>
      </c>
      <c r="O258" s="340" t="s">
        <v>104</v>
      </c>
      <c r="P258" s="338">
        <v>44090</v>
      </c>
      <c r="Q258" s="341"/>
      <c r="R258" s="347" t="b">
        <f t="shared" si="7"/>
        <v>0</v>
      </c>
      <c r="S258" s="347" t="str">
        <f t="shared" ref="S258:S304" si="8">IF(R258=FALSE,"change","création")</f>
        <v>change</v>
      </c>
      <c r="T258" s="342" t="s">
        <v>1439</v>
      </c>
      <c r="U258" s="342" t="s">
        <v>2300</v>
      </c>
      <c r="V258" s="342" t="s">
        <v>2301</v>
      </c>
      <c r="W258" s="342" t="s">
        <v>2302</v>
      </c>
      <c r="X258" s="342" t="s">
        <v>69</v>
      </c>
      <c r="Y258" s="349" t="s">
        <v>2303</v>
      </c>
      <c r="Z258" s="342" t="s">
        <v>71</v>
      </c>
      <c r="AA258" s="342" t="s">
        <v>72</v>
      </c>
      <c r="AB258" s="342" t="s">
        <v>73</v>
      </c>
      <c r="AC258" s="342" t="s">
        <v>74</v>
      </c>
      <c r="AD258" s="342"/>
      <c r="AE258" s="342" t="s">
        <v>2304</v>
      </c>
      <c r="AF258" s="349" t="s">
        <v>3770</v>
      </c>
      <c r="AG258" s="342" t="s">
        <v>74</v>
      </c>
      <c r="AH258" s="342" t="s">
        <v>76</v>
      </c>
      <c r="AI258" s="342" t="s">
        <v>74</v>
      </c>
      <c r="AJ258" s="342" t="s">
        <v>77</v>
      </c>
      <c r="AK258" s="342" t="s">
        <v>97</v>
      </c>
      <c r="AL258" s="342" t="s">
        <v>79</v>
      </c>
      <c r="AM258" s="342" t="s">
        <v>74</v>
      </c>
      <c r="AN258" s="342"/>
      <c r="AO258" s="342" t="s">
        <v>2305</v>
      </c>
      <c r="AP258" s="342" t="s">
        <v>81</v>
      </c>
      <c r="AQ258" s="349" t="s">
        <v>210</v>
      </c>
      <c r="AR258" s="342" t="s">
        <v>83</v>
      </c>
      <c r="AS258" s="342" t="s">
        <v>290</v>
      </c>
      <c r="AT258" s="342" t="s">
        <v>45</v>
      </c>
      <c r="AU258" s="342" t="s">
        <v>85</v>
      </c>
      <c r="AV258" s="342"/>
      <c r="AW258" s="342"/>
      <c r="AX258" s="343" t="str">
        <f>IF(OR(Tableau3[[#This Row],[Option GTR]]&lt;&gt;"",Tableau3[[#This Row],[GTR spécifique]]&lt;&gt;""),"GTRS1","GTRS2")</f>
        <v>GTRS2</v>
      </c>
      <c r="AY258" s="342" t="s">
        <v>143</v>
      </c>
      <c r="AZ258" s="342"/>
      <c r="BA258" s="342" t="s">
        <v>3812</v>
      </c>
    </row>
    <row r="259" spans="1:53" s="326" customFormat="1" ht="18.149999999999999" customHeight="1" x14ac:dyDescent="0.3">
      <c r="A259" s="340" t="s">
        <v>53</v>
      </c>
      <c r="B259" s="340" t="s">
        <v>54</v>
      </c>
      <c r="C259" s="340" t="s">
        <v>2079</v>
      </c>
      <c r="D259" s="340" t="s">
        <v>56</v>
      </c>
      <c r="E259" s="340" t="s">
        <v>57</v>
      </c>
      <c r="F259" s="340" t="s">
        <v>58</v>
      </c>
      <c r="G259" s="340" t="s">
        <v>59</v>
      </c>
      <c r="H259" s="340" t="s">
        <v>60</v>
      </c>
      <c r="I259" s="340" t="s">
        <v>61</v>
      </c>
      <c r="J259" s="340" t="s">
        <v>2306</v>
      </c>
      <c r="K259" s="340" t="s">
        <v>2307</v>
      </c>
      <c r="L259" s="345" t="str">
        <f>VLOOKUP(K259,'20260309 suivi sites'!F:F,1,0)</f>
        <v>38LIVE011AOS</v>
      </c>
      <c r="M259" s="340" t="s">
        <v>64</v>
      </c>
      <c r="N259" s="340" t="s">
        <v>65</v>
      </c>
      <c r="O259" s="340" t="s">
        <v>64</v>
      </c>
      <c r="P259" s="338">
        <v>43614</v>
      </c>
      <c r="Q259" s="341">
        <v>45155</v>
      </c>
      <c r="R259" s="347" t="b">
        <f t="shared" ref="R259:R304" si="9">Q259=P259</f>
        <v>0</v>
      </c>
      <c r="S259" s="347" t="str">
        <f t="shared" si="8"/>
        <v>change</v>
      </c>
      <c r="T259" s="342" t="s">
        <v>1439</v>
      </c>
      <c r="U259" s="342" t="s">
        <v>2308</v>
      </c>
      <c r="V259" s="342" t="s">
        <v>1658</v>
      </c>
      <c r="W259" s="342" t="s">
        <v>2309</v>
      </c>
      <c r="X259" s="342" t="s">
        <v>69</v>
      </c>
      <c r="Y259" s="349" t="s">
        <v>2310</v>
      </c>
      <c r="Z259" s="342" t="s">
        <v>71</v>
      </c>
      <c r="AA259" s="342" t="s">
        <v>72</v>
      </c>
      <c r="AB259" s="342" t="s">
        <v>73</v>
      </c>
      <c r="AC259" s="342" t="s">
        <v>74</v>
      </c>
      <c r="AD259" s="342"/>
      <c r="AE259" s="342" t="s">
        <v>2311</v>
      </c>
      <c r="AF259" s="349" t="s">
        <v>3770</v>
      </c>
      <c r="AG259" s="342" t="s">
        <v>74</v>
      </c>
      <c r="AH259" s="342" t="s">
        <v>76</v>
      </c>
      <c r="AI259" s="342" t="s">
        <v>74</v>
      </c>
      <c r="AJ259" s="342" t="s">
        <v>77</v>
      </c>
      <c r="AK259" s="342" t="s">
        <v>97</v>
      </c>
      <c r="AL259" s="342" t="s">
        <v>79</v>
      </c>
      <c r="AM259" s="342" t="s">
        <v>74</v>
      </c>
      <c r="AN259" s="342"/>
      <c r="AO259" s="342" t="s">
        <v>2312</v>
      </c>
      <c r="AP259" s="342" t="s">
        <v>81</v>
      </c>
      <c r="AQ259" s="349" t="s">
        <v>210</v>
      </c>
      <c r="AR259" s="342" t="s">
        <v>83</v>
      </c>
      <c r="AS259" s="342" t="s">
        <v>84</v>
      </c>
      <c r="AT259" s="342" t="s">
        <v>45</v>
      </c>
      <c r="AU259" s="342" t="s">
        <v>85</v>
      </c>
      <c r="AV259" s="342"/>
      <c r="AW259" s="342"/>
      <c r="AX259" s="343" t="str">
        <f>IF(OR(Tableau3[[#This Row],[Option GTR]]&lt;&gt;"",Tableau3[[#This Row],[GTR spécifique]]&lt;&gt;""),"GTRS1","GTRS2")</f>
        <v>GTRS2</v>
      </c>
      <c r="AY259" s="342" t="s">
        <v>143</v>
      </c>
      <c r="AZ259" s="342"/>
      <c r="BA259" s="342" t="s">
        <v>2313</v>
      </c>
    </row>
    <row r="260" spans="1:53" s="326" customFormat="1" ht="18.149999999999999" customHeight="1" x14ac:dyDescent="0.3">
      <c r="A260" s="340" t="s">
        <v>53</v>
      </c>
      <c r="B260" s="340" t="s">
        <v>54</v>
      </c>
      <c r="C260" s="340" t="s">
        <v>2079</v>
      </c>
      <c r="D260" s="340" t="s">
        <v>56</v>
      </c>
      <c r="E260" s="340" t="s">
        <v>57</v>
      </c>
      <c r="F260" s="340" t="s">
        <v>58</v>
      </c>
      <c r="G260" s="340" t="s">
        <v>59</v>
      </c>
      <c r="H260" s="340" t="s">
        <v>846</v>
      </c>
      <c r="I260" s="340" t="s">
        <v>61</v>
      </c>
      <c r="J260" s="340" t="s">
        <v>2314</v>
      </c>
      <c r="K260" s="340" t="s">
        <v>2315</v>
      </c>
      <c r="L260" s="345" t="str">
        <f>VLOOKUP(K260,'20260309 suivi sites'!F:F,1,0)</f>
        <v>42COMM011AOG</v>
      </c>
      <c r="M260" s="340" t="s">
        <v>64</v>
      </c>
      <c r="N260" s="340" t="s">
        <v>65</v>
      </c>
      <c r="O260" s="340" t="s">
        <v>64</v>
      </c>
      <c r="P260" s="338">
        <v>43761</v>
      </c>
      <c r="Q260" s="341">
        <v>43614</v>
      </c>
      <c r="R260" s="347" t="b">
        <f t="shared" si="9"/>
        <v>0</v>
      </c>
      <c r="S260" s="347" t="str">
        <f t="shared" si="8"/>
        <v>change</v>
      </c>
      <c r="T260" s="342" t="s">
        <v>56</v>
      </c>
      <c r="U260" s="342" t="s">
        <v>807</v>
      </c>
      <c r="V260" s="342" t="s">
        <v>2316</v>
      </c>
      <c r="W260" s="342" t="s">
        <v>2317</v>
      </c>
      <c r="X260" s="342" t="s">
        <v>69</v>
      </c>
      <c r="Y260" s="349" t="s">
        <v>2318</v>
      </c>
      <c r="Z260" s="342" t="s">
        <v>71</v>
      </c>
      <c r="AA260" s="342" t="s">
        <v>72</v>
      </c>
      <c r="AB260" s="342" t="s">
        <v>73</v>
      </c>
      <c r="AC260" s="342" t="s">
        <v>74</v>
      </c>
      <c r="AD260" s="342"/>
      <c r="AE260" s="342" t="s">
        <v>2319</v>
      </c>
      <c r="AF260" s="349" t="s">
        <v>3766</v>
      </c>
      <c r="AG260" s="342" t="s">
        <v>74</v>
      </c>
      <c r="AH260" s="342" t="s">
        <v>76</v>
      </c>
      <c r="AI260" s="342" t="s">
        <v>74</v>
      </c>
      <c r="AJ260" s="342" t="s">
        <v>77</v>
      </c>
      <c r="AK260" s="342" t="s">
        <v>97</v>
      </c>
      <c r="AL260" s="342" t="s">
        <v>79</v>
      </c>
      <c r="AM260" s="342" t="s">
        <v>74</v>
      </c>
      <c r="AN260" s="342"/>
      <c r="AO260" s="342" t="s">
        <v>2320</v>
      </c>
      <c r="AP260" s="342" t="s">
        <v>81</v>
      </c>
      <c r="AQ260" s="349" t="s">
        <v>130</v>
      </c>
      <c r="AR260" s="342" t="s">
        <v>83</v>
      </c>
      <c r="AS260" s="342" t="s">
        <v>84</v>
      </c>
      <c r="AT260" s="342" t="s">
        <v>45</v>
      </c>
      <c r="AU260" s="342" t="s">
        <v>85</v>
      </c>
      <c r="AV260" s="342"/>
      <c r="AW260" s="342"/>
      <c r="AX260" s="343" t="str">
        <f>IF(OR(Tableau3[[#This Row],[Option GTR]]&lt;&gt;"",Tableau3[[#This Row],[GTR spécifique]]&lt;&gt;""),"GTRS1","GTRS2")</f>
        <v>GTRS2</v>
      </c>
      <c r="AY260" s="342" t="s">
        <v>143</v>
      </c>
      <c r="AZ260" s="342"/>
      <c r="BA260" s="344" t="s">
        <v>2321</v>
      </c>
    </row>
    <row r="261" spans="1:53" s="326" customFormat="1" ht="18.149999999999999" customHeight="1" x14ac:dyDescent="0.3">
      <c r="A261" s="340" t="s">
        <v>53</v>
      </c>
      <c r="B261" s="340" t="s">
        <v>54</v>
      </c>
      <c r="C261" s="340" t="s">
        <v>2079</v>
      </c>
      <c r="D261" s="340" t="s">
        <v>56</v>
      </c>
      <c r="E261" s="340" t="s">
        <v>57</v>
      </c>
      <c r="F261" s="340" t="s">
        <v>58</v>
      </c>
      <c r="G261" s="340" t="s">
        <v>59</v>
      </c>
      <c r="H261" s="340" t="s">
        <v>846</v>
      </c>
      <c r="I261" s="340" t="s">
        <v>61</v>
      </c>
      <c r="J261" s="340" t="s">
        <v>2322</v>
      </c>
      <c r="K261" s="340" t="s">
        <v>2323</v>
      </c>
      <c r="L261" s="345" t="str">
        <f>VLOOKUP(K261,'20260309 suivi sites'!F:F,1,0)</f>
        <v>20PORT011AOG</v>
      </c>
      <c r="M261" s="340" t="s">
        <v>64</v>
      </c>
      <c r="N261" s="340" t="s">
        <v>65</v>
      </c>
      <c r="O261" s="340" t="s">
        <v>64</v>
      </c>
      <c r="P261" s="338">
        <v>44011</v>
      </c>
      <c r="Q261" s="341">
        <v>43880</v>
      </c>
      <c r="R261" s="347" t="b">
        <f t="shared" si="9"/>
        <v>0</v>
      </c>
      <c r="S261" s="347" t="str">
        <f t="shared" si="8"/>
        <v>change</v>
      </c>
      <c r="T261" s="342" t="s">
        <v>1439</v>
      </c>
      <c r="U261" s="342" t="s">
        <v>2324</v>
      </c>
      <c r="V261" s="342" t="s">
        <v>2325</v>
      </c>
      <c r="W261" s="342" t="s">
        <v>2326</v>
      </c>
      <c r="X261" s="342" t="s">
        <v>69</v>
      </c>
      <c r="Y261" s="349" t="s">
        <v>2327</v>
      </c>
      <c r="Z261" s="342" t="s">
        <v>71</v>
      </c>
      <c r="AA261" s="342" t="s">
        <v>72</v>
      </c>
      <c r="AB261" s="342" t="s">
        <v>73</v>
      </c>
      <c r="AC261" s="342" t="s">
        <v>74</v>
      </c>
      <c r="AD261" s="342"/>
      <c r="AE261" s="342" t="s">
        <v>2328</v>
      </c>
      <c r="AF261" s="349" t="s">
        <v>3767</v>
      </c>
      <c r="AG261" s="342" t="s">
        <v>74</v>
      </c>
      <c r="AH261" s="342" t="s">
        <v>74</v>
      </c>
      <c r="AI261" s="342" t="s">
        <v>74</v>
      </c>
      <c r="AJ261" s="342" t="s">
        <v>77</v>
      </c>
      <c r="AK261" s="342" t="s">
        <v>97</v>
      </c>
      <c r="AL261" s="342" t="s">
        <v>79</v>
      </c>
      <c r="AM261" s="342" t="s">
        <v>74</v>
      </c>
      <c r="AN261" s="342"/>
      <c r="AO261" s="342" t="s">
        <v>2329</v>
      </c>
      <c r="AP261" s="342" t="s">
        <v>81</v>
      </c>
      <c r="AQ261" s="349" t="s">
        <v>1444</v>
      </c>
      <c r="AR261" s="342" t="s">
        <v>83</v>
      </c>
      <c r="AS261" s="342" t="s">
        <v>84</v>
      </c>
      <c r="AT261" s="342" t="s">
        <v>45</v>
      </c>
      <c r="AU261" s="342" t="s">
        <v>85</v>
      </c>
      <c r="AV261" s="342"/>
      <c r="AW261" s="342"/>
      <c r="AX261" s="343" t="str">
        <f>IF(OR(Tableau3[[#This Row],[Option GTR]]&lt;&gt;"",Tableau3[[#This Row],[GTR spécifique]]&lt;&gt;""),"GTRS1","GTRS2")</f>
        <v>GTRS2</v>
      </c>
      <c r="AY261" s="342" t="s">
        <v>632</v>
      </c>
      <c r="AZ261" s="342"/>
      <c r="BA261" s="344" t="s">
        <v>2028</v>
      </c>
    </row>
    <row r="262" spans="1:53" s="326" customFormat="1" ht="18.149999999999999" customHeight="1" x14ac:dyDescent="0.3">
      <c r="A262" s="340" t="s">
        <v>53</v>
      </c>
      <c r="B262" s="340" t="s">
        <v>54</v>
      </c>
      <c r="C262" s="340" t="s">
        <v>2079</v>
      </c>
      <c r="D262" s="340" t="s">
        <v>56</v>
      </c>
      <c r="E262" s="340" t="s">
        <v>57</v>
      </c>
      <c r="F262" s="340" t="s">
        <v>58</v>
      </c>
      <c r="G262" s="340" t="s">
        <v>59</v>
      </c>
      <c r="H262" s="340" t="s">
        <v>846</v>
      </c>
      <c r="I262" s="340" t="s">
        <v>61</v>
      </c>
      <c r="J262" s="340" t="s">
        <v>2330</v>
      </c>
      <c r="K262" s="340" t="s">
        <v>2331</v>
      </c>
      <c r="L262" s="345" t="str">
        <f>VLOOKUP(K262,'20260309 suivi sites'!F:F,1,0)</f>
        <v>77VERN011AOB</v>
      </c>
      <c r="M262" s="340" t="s">
        <v>64</v>
      </c>
      <c r="N262" s="340" t="s">
        <v>65</v>
      </c>
      <c r="O262" s="340" t="s">
        <v>64</v>
      </c>
      <c r="P262" s="338">
        <v>43818</v>
      </c>
      <c r="Q262" s="341">
        <v>44200</v>
      </c>
      <c r="R262" s="347" t="b">
        <f t="shared" si="9"/>
        <v>0</v>
      </c>
      <c r="S262" s="347" t="str">
        <f t="shared" si="8"/>
        <v>change</v>
      </c>
      <c r="T262" s="342" t="s">
        <v>1439</v>
      </c>
      <c r="U262" s="342" t="s">
        <v>2332</v>
      </c>
      <c r="V262" s="342" t="s">
        <v>2333</v>
      </c>
      <c r="W262" s="342" t="s">
        <v>2334</v>
      </c>
      <c r="X262" s="342" t="s">
        <v>69</v>
      </c>
      <c r="Y262" s="349" t="s">
        <v>2335</v>
      </c>
      <c r="Z262" s="342" t="s">
        <v>71</v>
      </c>
      <c r="AA262" s="342" t="s">
        <v>218</v>
      </c>
      <c r="AB262" s="342" t="s">
        <v>152</v>
      </c>
      <c r="AC262" s="342" t="s">
        <v>74</v>
      </c>
      <c r="AD262" s="342"/>
      <c r="AE262" s="342" t="s">
        <v>2336</v>
      </c>
      <c r="AF262" s="349" t="s">
        <v>3773</v>
      </c>
      <c r="AG262" s="342" t="s">
        <v>74</v>
      </c>
      <c r="AH262" s="342" t="s">
        <v>74</v>
      </c>
      <c r="AI262" s="342" t="s">
        <v>74</v>
      </c>
      <c r="AJ262" s="342" t="s">
        <v>77</v>
      </c>
      <c r="AK262" s="342" t="s">
        <v>97</v>
      </c>
      <c r="AL262" s="342" t="s">
        <v>79</v>
      </c>
      <c r="AM262" s="342" t="s">
        <v>74</v>
      </c>
      <c r="AN262" s="342"/>
      <c r="AO262" s="342" t="s">
        <v>2337</v>
      </c>
      <c r="AP262" s="342" t="s">
        <v>81</v>
      </c>
      <c r="AQ262" s="349" t="s">
        <v>748</v>
      </c>
      <c r="AR262" s="342" t="s">
        <v>83</v>
      </c>
      <c r="AS262" s="342" t="s">
        <v>84</v>
      </c>
      <c r="AT262" s="342" t="s">
        <v>45</v>
      </c>
      <c r="AU262" s="342" t="s">
        <v>85</v>
      </c>
      <c r="AV262" s="342"/>
      <c r="AW262" s="342"/>
      <c r="AX262" s="343" t="str">
        <f>IF(OR(Tableau3[[#This Row],[Option GTR]]&lt;&gt;"",Tableau3[[#This Row],[GTR spécifique]]&lt;&gt;""),"GTRS1","GTRS2")</f>
        <v>GTRS2</v>
      </c>
      <c r="AY262" s="342" t="s">
        <v>738</v>
      </c>
      <c r="AZ262" s="342"/>
      <c r="BA262" s="342" t="s">
        <v>2338</v>
      </c>
    </row>
    <row r="263" spans="1:53" s="326" customFormat="1" ht="18.149999999999999" customHeight="1" x14ac:dyDescent="0.3">
      <c r="A263" s="340" t="s">
        <v>53</v>
      </c>
      <c r="B263" s="340" t="s">
        <v>54</v>
      </c>
      <c r="C263" s="340" t="s">
        <v>2079</v>
      </c>
      <c r="D263" s="340" t="s">
        <v>56</v>
      </c>
      <c r="E263" s="340" t="s">
        <v>57</v>
      </c>
      <c r="F263" s="340" t="s">
        <v>58</v>
      </c>
      <c r="G263" s="340" t="s">
        <v>59</v>
      </c>
      <c r="H263" s="340" t="s">
        <v>846</v>
      </c>
      <c r="I263" s="340" t="s">
        <v>61</v>
      </c>
      <c r="J263" s="340" t="s">
        <v>2345</v>
      </c>
      <c r="K263" s="340" t="s">
        <v>2346</v>
      </c>
      <c r="L263" s="345" t="str">
        <f>VLOOKUP(K263,'20260309 suivi sites'!F:F,1,0)</f>
        <v>26STPA021AOB</v>
      </c>
      <c r="M263" s="340" t="s">
        <v>64</v>
      </c>
      <c r="N263" s="340" t="s">
        <v>65</v>
      </c>
      <c r="O263" s="340" t="s">
        <v>64</v>
      </c>
      <c r="P263" s="338">
        <v>43846</v>
      </c>
      <c r="Q263" s="341">
        <v>43915</v>
      </c>
      <c r="R263" s="347" t="b">
        <f t="shared" si="9"/>
        <v>0</v>
      </c>
      <c r="S263" s="347" t="str">
        <f t="shared" si="8"/>
        <v>change</v>
      </c>
      <c r="T263" s="342" t="s">
        <v>1439</v>
      </c>
      <c r="U263" s="342" t="s">
        <v>2347</v>
      </c>
      <c r="V263" s="342" t="s">
        <v>2348</v>
      </c>
      <c r="W263" s="342" t="s">
        <v>2349</v>
      </c>
      <c r="X263" s="342" t="s">
        <v>69</v>
      </c>
      <c r="Y263" s="349" t="s">
        <v>2350</v>
      </c>
      <c r="Z263" s="342" t="s">
        <v>71</v>
      </c>
      <c r="AA263" s="342" t="s">
        <v>218</v>
      </c>
      <c r="AB263" s="342" t="s">
        <v>152</v>
      </c>
      <c r="AC263" s="342" t="s">
        <v>74</v>
      </c>
      <c r="AD263" s="342"/>
      <c r="AE263" s="342" t="s">
        <v>2351</v>
      </c>
      <c r="AF263" s="349" t="s">
        <v>3773</v>
      </c>
      <c r="AG263" s="342" t="s">
        <v>74</v>
      </c>
      <c r="AH263" s="342" t="s">
        <v>74</v>
      </c>
      <c r="AI263" s="342" t="s">
        <v>74</v>
      </c>
      <c r="AJ263" s="342" t="s">
        <v>77</v>
      </c>
      <c r="AK263" s="342" t="s">
        <v>97</v>
      </c>
      <c r="AL263" s="342" t="s">
        <v>79</v>
      </c>
      <c r="AM263" s="342" t="s">
        <v>74</v>
      </c>
      <c r="AN263" s="342"/>
      <c r="AO263" s="342" t="s">
        <v>2352</v>
      </c>
      <c r="AP263" s="342" t="s">
        <v>81</v>
      </c>
      <c r="AQ263" s="349" t="s">
        <v>748</v>
      </c>
      <c r="AR263" s="342" t="s">
        <v>83</v>
      </c>
      <c r="AS263" s="342" t="s">
        <v>84</v>
      </c>
      <c r="AT263" s="342" t="s">
        <v>45</v>
      </c>
      <c r="AU263" s="342" t="s">
        <v>85</v>
      </c>
      <c r="AV263" s="342"/>
      <c r="AW263" s="342"/>
      <c r="AX263" s="343" t="str">
        <f>IF(OR(Tableau3[[#This Row],[Option GTR]]&lt;&gt;"",Tableau3[[#This Row],[GTR spécifique]]&lt;&gt;""),"GTRS1","GTRS2")</f>
        <v>GTRS2</v>
      </c>
      <c r="AY263" s="342" t="s">
        <v>738</v>
      </c>
      <c r="AZ263" s="342"/>
      <c r="BA263" s="342" t="s">
        <v>855</v>
      </c>
    </row>
    <row r="264" spans="1:53" s="326" customFormat="1" ht="18.149999999999999" customHeight="1" x14ac:dyDescent="0.3">
      <c r="A264" s="340" t="s">
        <v>53</v>
      </c>
      <c r="B264" s="340" t="s">
        <v>54</v>
      </c>
      <c r="C264" s="340" t="s">
        <v>2079</v>
      </c>
      <c r="D264" s="340" t="s">
        <v>56</v>
      </c>
      <c r="E264" s="340" t="s">
        <v>57</v>
      </c>
      <c r="F264" s="340" t="s">
        <v>58</v>
      </c>
      <c r="G264" s="340" t="s">
        <v>59</v>
      </c>
      <c r="H264" s="340" t="s">
        <v>846</v>
      </c>
      <c r="I264" s="340" t="s">
        <v>61</v>
      </c>
      <c r="J264" s="340" t="s">
        <v>2184</v>
      </c>
      <c r="K264" s="340" t="s">
        <v>2185</v>
      </c>
      <c r="L264" s="345" t="str">
        <f>VLOOKUP(K264,'20260309 suivi sites'!F:F,1,0)</f>
        <v>69GIVO011AOB</v>
      </c>
      <c r="M264" s="340" t="s">
        <v>64</v>
      </c>
      <c r="N264" s="340" t="s">
        <v>65</v>
      </c>
      <c r="O264" s="340" t="s">
        <v>64</v>
      </c>
      <c r="P264" s="338">
        <v>43753</v>
      </c>
      <c r="Q264" s="341">
        <v>44488</v>
      </c>
      <c r="R264" s="347" t="b">
        <f t="shared" si="9"/>
        <v>0</v>
      </c>
      <c r="S264" s="347" t="str">
        <f t="shared" si="8"/>
        <v>change</v>
      </c>
      <c r="T264" s="342" t="s">
        <v>1439</v>
      </c>
      <c r="U264" s="342" t="s">
        <v>2186</v>
      </c>
      <c r="V264" s="342" t="s">
        <v>2187</v>
      </c>
      <c r="W264" s="342" t="s">
        <v>2188</v>
      </c>
      <c r="X264" s="342" t="s">
        <v>69</v>
      </c>
      <c r="Y264" s="349" t="s">
        <v>2353</v>
      </c>
      <c r="Z264" s="342" t="s">
        <v>71</v>
      </c>
      <c r="AA264" s="342" t="s">
        <v>218</v>
      </c>
      <c r="AB264" s="342" t="s">
        <v>152</v>
      </c>
      <c r="AC264" s="342" t="s">
        <v>74</v>
      </c>
      <c r="AD264" s="342"/>
      <c r="AE264" s="342" t="s">
        <v>2354</v>
      </c>
      <c r="AF264" s="349" t="s">
        <v>3773</v>
      </c>
      <c r="AG264" s="342" t="s">
        <v>74</v>
      </c>
      <c r="AH264" s="342" t="s">
        <v>74</v>
      </c>
      <c r="AI264" s="342" t="s">
        <v>74</v>
      </c>
      <c r="AJ264" s="342" t="s">
        <v>77</v>
      </c>
      <c r="AK264" s="342" t="s">
        <v>97</v>
      </c>
      <c r="AL264" s="342" t="s">
        <v>79</v>
      </c>
      <c r="AM264" s="342" t="s">
        <v>74</v>
      </c>
      <c r="AN264" s="342"/>
      <c r="AO264" s="342" t="s">
        <v>2355</v>
      </c>
      <c r="AP264" s="342" t="s">
        <v>81</v>
      </c>
      <c r="AQ264" s="349" t="s">
        <v>748</v>
      </c>
      <c r="AR264" s="342" t="s">
        <v>83</v>
      </c>
      <c r="AS264" s="342" t="s">
        <v>84</v>
      </c>
      <c r="AT264" s="342" t="s">
        <v>45</v>
      </c>
      <c r="AU264" s="342" t="s">
        <v>85</v>
      </c>
      <c r="AV264" s="342"/>
      <c r="AW264" s="342"/>
      <c r="AX264" s="343" t="str">
        <f>IF(OR(Tableau3[[#This Row],[Option GTR]]&lt;&gt;"",Tableau3[[#This Row],[GTR spécifique]]&lt;&gt;""),"GTRS1","GTRS2")</f>
        <v>GTRS2</v>
      </c>
      <c r="AY264" s="342" t="s">
        <v>738</v>
      </c>
      <c r="AZ264" s="342"/>
      <c r="BA264" s="342"/>
    </row>
    <row r="265" spans="1:53" s="326" customFormat="1" ht="18.149999999999999" customHeight="1" x14ac:dyDescent="0.3">
      <c r="A265" s="340" t="s">
        <v>53</v>
      </c>
      <c r="B265" s="340" t="s">
        <v>54</v>
      </c>
      <c r="C265" s="340" t="s">
        <v>2079</v>
      </c>
      <c r="D265" s="340" t="s">
        <v>56</v>
      </c>
      <c r="E265" s="340" t="s">
        <v>57</v>
      </c>
      <c r="F265" s="340" t="s">
        <v>58</v>
      </c>
      <c r="G265" s="340" t="s">
        <v>59</v>
      </c>
      <c r="H265" s="340" t="s">
        <v>846</v>
      </c>
      <c r="I265" s="340" t="s">
        <v>61</v>
      </c>
      <c r="J265" s="340" t="s">
        <v>2356</v>
      </c>
      <c r="K265" s="340" t="s">
        <v>2357</v>
      </c>
      <c r="L265" s="345" t="str">
        <f>VLOOKUP(K265,'20260309 suivi sites'!F:F,1,0)</f>
        <v>74CHAM011AOB</v>
      </c>
      <c r="M265" s="340" t="s">
        <v>64</v>
      </c>
      <c r="N265" s="340" t="s">
        <v>65</v>
      </c>
      <c r="O265" s="340" t="s">
        <v>64</v>
      </c>
      <c r="P265" s="338">
        <v>43845</v>
      </c>
      <c r="Q265" s="341">
        <v>43873</v>
      </c>
      <c r="R265" s="347" t="b">
        <f t="shared" si="9"/>
        <v>0</v>
      </c>
      <c r="S265" s="347" t="str">
        <f t="shared" si="8"/>
        <v>change</v>
      </c>
      <c r="T265" s="342" t="s">
        <v>1439</v>
      </c>
      <c r="U265" s="342" t="s">
        <v>2358</v>
      </c>
      <c r="V265" s="342" t="s">
        <v>2359</v>
      </c>
      <c r="W265" s="342" t="s">
        <v>2360</v>
      </c>
      <c r="X265" s="342" t="s">
        <v>69</v>
      </c>
      <c r="Y265" s="349" t="s">
        <v>2361</v>
      </c>
      <c r="Z265" s="342" t="s">
        <v>71</v>
      </c>
      <c r="AA265" s="342" t="s">
        <v>218</v>
      </c>
      <c r="AB265" s="342" t="s">
        <v>152</v>
      </c>
      <c r="AC265" s="342" t="s">
        <v>74</v>
      </c>
      <c r="AD265" s="342"/>
      <c r="AE265" s="342" t="s">
        <v>2362</v>
      </c>
      <c r="AF265" s="349" t="s">
        <v>3773</v>
      </c>
      <c r="AG265" s="342" t="s">
        <v>74</v>
      </c>
      <c r="AH265" s="342" t="s">
        <v>74</v>
      </c>
      <c r="AI265" s="342" t="s">
        <v>74</v>
      </c>
      <c r="AJ265" s="342" t="s">
        <v>77</v>
      </c>
      <c r="AK265" s="342" t="s">
        <v>97</v>
      </c>
      <c r="AL265" s="342" t="s">
        <v>79</v>
      </c>
      <c r="AM265" s="342" t="s">
        <v>74</v>
      </c>
      <c r="AN265" s="342"/>
      <c r="AO265" s="342" t="s">
        <v>2363</v>
      </c>
      <c r="AP265" s="342" t="s">
        <v>81</v>
      </c>
      <c r="AQ265" s="349" t="s">
        <v>748</v>
      </c>
      <c r="AR265" s="342" t="s">
        <v>83</v>
      </c>
      <c r="AS265" s="342" t="s">
        <v>84</v>
      </c>
      <c r="AT265" s="342" t="s">
        <v>45</v>
      </c>
      <c r="AU265" s="342" t="s">
        <v>85</v>
      </c>
      <c r="AV265" s="342"/>
      <c r="AW265" s="342"/>
      <c r="AX265" s="343" t="str">
        <f>IF(OR(Tableau3[[#This Row],[Option GTR]]&lt;&gt;"",Tableau3[[#This Row],[GTR spécifique]]&lt;&gt;""),"GTRS1","GTRS2")</f>
        <v>GTRS2</v>
      </c>
      <c r="AY265" s="342" t="s">
        <v>794</v>
      </c>
      <c r="AZ265" s="342"/>
      <c r="BA265" s="342" t="s">
        <v>2364</v>
      </c>
    </row>
    <row r="266" spans="1:53" s="326" customFormat="1" ht="18.149999999999999" customHeight="1" x14ac:dyDescent="0.3">
      <c r="A266" s="340" t="s">
        <v>53</v>
      </c>
      <c r="B266" s="340" t="s">
        <v>54</v>
      </c>
      <c r="C266" s="340" t="s">
        <v>2079</v>
      </c>
      <c r="D266" s="340" t="s">
        <v>56</v>
      </c>
      <c r="E266" s="340" t="s">
        <v>57</v>
      </c>
      <c r="F266" s="340" t="s">
        <v>58</v>
      </c>
      <c r="G266" s="340" t="s">
        <v>59</v>
      </c>
      <c r="H266" s="340" t="s">
        <v>846</v>
      </c>
      <c r="I266" s="340" t="s">
        <v>61</v>
      </c>
      <c r="J266" s="340" t="s">
        <v>2365</v>
      </c>
      <c r="K266" s="340" t="s">
        <v>2366</v>
      </c>
      <c r="L266" s="345" t="str">
        <f>VLOOKUP(K266,'20260309 suivi sites'!F:F,1,0)</f>
        <v>95CHAM011AOB</v>
      </c>
      <c r="M266" s="340" t="s">
        <v>64</v>
      </c>
      <c r="N266" s="340" t="s">
        <v>771</v>
      </c>
      <c r="O266" s="340" t="s">
        <v>64</v>
      </c>
      <c r="P266" s="338">
        <v>44082</v>
      </c>
      <c r="Q266" s="341">
        <v>44082</v>
      </c>
      <c r="R266" s="347" t="b">
        <f t="shared" si="9"/>
        <v>1</v>
      </c>
      <c r="S266" s="347" t="str">
        <f t="shared" si="8"/>
        <v>création</v>
      </c>
      <c r="T266" s="342" t="s">
        <v>1439</v>
      </c>
      <c r="U266" s="342" t="s">
        <v>2367</v>
      </c>
      <c r="V266" s="342" t="s">
        <v>2368</v>
      </c>
      <c r="W266" s="342" t="s">
        <v>2369</v>
      </c>
      <c r="X266" s="342" t="s">
        <v>69</v>
      </c>
      <c r="Y266" s="349" t="s">
        <v>2370</v>
      </c>
      <c r="Z266" s="342" t="s">
        <v>71</v>
      </c>
      <c r="AA266" s="342" t="s">
        <v>218</v>
      </c>
      <c r="AB266" s="342" t="s">
        <v>152</v>
      </c>
      <c r="AC266" s="342" t="s">
        <v>74</v>
      </c>
      <c r="AD266" s="342"/>
      <c r="AE266" s="342" t="s">
        <v>2371</v>
      </c>
      <c r="AF266" s="349" t="s">
        <v>3775</v>
      </c>
      <c r="AG266" s="342" t="s">
        <v>74</v>
      </c>
      <c r="AH266" s="342" t="s">
        <v>74</v>
      </c>
      <c r="AI266" s="342" t="s">
        <v>74</v>
      </c>
      <c r="AJ266" s="342" t="s">
        <v>77</v>
      </c>
      <c r="AK266" s="342" t="s">
        <v>97</v>
      </c>
      <c r="AL266" s="342" t="s">
        <v>79</v>
      </c>
      <c r="AM266" s="342" t="s">
        <v>74</v>
      </c>
      <c r="AN266" s="342"/>
      <c r="AO266" s="342" t="s">
        <v>2372</v>
      </c>
      <c r="AP266" s="342" t="s">
        <v>81</v>
      </c>
      <c r="AQ266" s="349" t="s">
        <v>509</v>
      </c>
      <c r="AR266" s="342" t="s">
        <v>83</v>
      </c>
      <c r="AS266" s="342" t="s">
        <v>84</v>
      </c>
      <c r="AT266" s="342" t="s">
        <v>45</v>
      </c>
      <c r="AU266" s="342" t="s">
        <v>85</v>
      </c>
      <c r="AV266" s="342"/>
      <c r="AW266" s="342"/>
      <c r="AX266" s="343" t="str">
        <f>IF(OR(Tableau3[[#This Row],[Option GTR]]&lt;&gt;"",Tableau3[[#This Row],[GTR spécifique]]&lt;&gt;""),"GTRS1","GTRS2")</f>
        <v>GTRS2</v>
      </c>
      <c r="AY266" s="342" t="s">
        <v>355</v>
      </c>
      <c r="AZ266" s="342" t="s">
        <v>2035</v>
      </c>
      <c r="BA266" s="344" t="s">
        <v>2373</v>
      </c>
    </row>
    <row r="267" spans="1:53" s="326" customFormat="1" ht="18.149999999999999" customHeight="1" x14ac:dyDescent="0.3">
      <c r="A267" s="340" t="s">
        <v>53</v>
      </c>
      <c r="B267" s="340" t="s">
        <v>54</v>
      </c>
      <c r="C267" s="340" t="s">
        <v>2079</v>
      </c>
      <c r="D267" s="340" t="s">
        <v>56</v>
      </c>
      <c r="E267" s="340" t="s">
        <v>57</v>
      </c>
      <c r="F267" s="340" t="s">
        <v>58</v>
      </c>
      <c r="G267" s="340" t="s">
        <v>59</v>
      </c>
      <c r="H267" s="340" t="s">
        <v>846</v>
      </c>
      <c r="I267" s="340" t="s">
        <v>61</v>
      </c>
      <c r="J267" s="340" t="s">
        <v>2374</v>
      </c>
      <c r="K267" s="340" t="s">
        <v>2375</v>
      </c>
      <c r="L267" s="345" t="str">
        <f>VLOOKUP(K267,'20260309 suivi sites'!F:F,1,0)</f>
        <v>09FOIX031AOB</v>
      </c>
      <c r="M267" s="340" t="s">
        <v>64</v>
      </c>
      <c r="N267" s="340" t="s">
        <v>65</v>
      </c>
      <c r="O267" s="340" t="s">
        <v>64</v>
      </c>
      <c r="P267" s="338">
        <v>43880</v>
      </c>
      <c r="Q267" s="341">
        <v>44195</v>
      </c>
      <c r="R267" s="347" t="b">
        <f t="shared" si="9"/>
        <v>0</v>
      </c>
      <c r="S267" s="347" t="str">
        <f t="shared" si="8"/>
        <v>change</v>
      </c>
      <c r="T267" s="342" t="s">
        <v>1439</v>
      </c>
      <c r="U267" s="342" t="s">
        <v>2376</v>
      </c>
      <c r="V267" s="342" t="s">
        <v>2377</v>
      </c>
      <c r="W267" s="342" t="s">
        <v>2378</v>
      </c>
      <c r="X267" s="342" t="s">
        <v>69</v>
      </c>
      <c r="Y267" s="349" t="s">
        <v>2379</v>
      </c>
      <c r="Z267" s="342" t="s">
        <v>71</v>
      </c>
      <c r="AA267" s="342" t="s">
        <v>218</v>
      </c>
      <c r="AB267" s="342" t="s">
        <v>152</v>
      </c>
      <c r="AC267" s="342" t="s">
        <v>74</v>
      </c>
      <c r="AD267" s="342"/>
      <c r="AE267" s="342" t="s">
        <v>2380</v>
      </c>
      <c r="AF267" s="349" t="s">
        <v>3773</v>
      </c>
      <c r="AG267" s="342" t="s">
        <v>74</v>
      </c>
      <c r="AH267" s="342" t="s">
        <v>74</v>
      </c>
      <c r="AI267" s="342" t="s">
        <v>74</v>
      </c>
      <c r="AJ267" s="342" t="s">
        <v>77</v>
      </c>
      <c r="AK267" s="342" t="s">
        <v>97</v>
      </c>
      <c r="AL267" s="342" t="s">
        <v>79</v>
      </c>
      <c r="AM267" s="342" t="s">
        <v>74</v>
      </c>
      <c r="AN267" s="342"/>
      <c r="AO267" s="342" t="s">
        <v>2381</v>
      </c>
      <c r="AP267" s="342" t="s">
        <v>81</v>
      </c>
      <c r="AQ267" s="349" t="s">
        <v>748</v>
      </c>
      <c r="AR267" s="342" t="s">
        <v>83</v>
      </c>
      <c r="AS267" s="342" t="s">
        <v>84</v>
      </c>
      <c r="AT267" s="342" t="s">
        <v>45</v>
      </c>
      <c r="AU267" s="342" t="s">
        <v>85</v>
      </c>
      <c r="AV267" s="342"/>
      <c r="AW267" s="342"/>
      <c r="AX267" s="343" t="str">
        <f>IF(OR(Tableau3[[#This Row],[Option GTR]]&lt;&gt;"",Tableau3[[#This Row],[GTR spécifique]]&lt;&gt;""),"GTRS1","GTRS2")</f>
        <v>GTRS2</v>
      </c>
      <c r="AY267" s="342" t="s">
        <v>794</v>
      </c>
      <c r="AZ267" s="342"/>
      <c r="BA267" s="342" t="s">
        <v>862</v>
      </c>
    </row>
    <row r="268" spans="1:53" s="326" customFormat="1" ht="18.149999999999999" customHeight="1" x14ac:dyDescent="0.3">
      <c r="A268" s="340" t="s">
        <v>53</v>
      </c>
      <c r="B268" s="340" t="s">
        <v>54</v>
      </c>
      <c r="C268" s="340" t="s">
        <v>2079</v>
      </c>
      <c r="D268" s="340" t="s">
        <v>56</v>
      </c>
      <c r="E268" s="340" t="s">
        <v>57</v>
      </c>
      <c r="F268" s="340" t="s">
        <v>58</v>
      </c>
      <c r="G268" s="340" t="s">
        <v>59</v>
      </c>
      <c r="H268" s="340" t="s">
        <v>846</v>
      </c>
      <c r="I268" s="340" t="s">
        <v>61</v>
      </c>
      <c r="J268" s="340" t="s">
        <v>2382</v>
      </c>
      <c r="K268" s="340" t="s">
        <v>2383</v>
      </c>
      <c r="L268" s="345" t="str">
        <f>VLOOKUP(K268,'20260309 suivi sites'!F:F,1,0)</f>
        <v>86LISL021AOB</v>
      </c>
      <c r="M268" s="340" t="s">
        <v>64</v>
      </c>
      <c r="N268" s="340" t="s">
        <v>771</v>
      </c>
      <c r="O268" s="340" t="s">
        <v>64</v>
      </c>
      <c r="P268" s="338">
        <v>43852</v>
      </c>
      <c r="Q268" s="341">
        <v>43852</v>
      </c>
      <c r="R268" s="347" t="b">
        <f t="shared" si="9"/>
        <v>1</v>
      </c>
      <c r="S268" s="347" t="str">
        <f t="shared" si="8"/>
        <v>création</v>
      </c>
      <c r="T268" s="342" t="s">
        <v>1439</v>
      </c>
      <c r="U268" s="342" t="s">
        <v>2384</v>
      </c>
      <c r="V268" s="342" t="s">
        <v>2231</v>
      </c>
      <c r="W268" s="342" t="s">
        <v>2232</v>
      </c>
      <c r="X268" s="342" t="s">
        <v>69</v>
      </c>
      <c r="Y268" s="349" t="s">
        <v>2385</v>
      </c>
      <c r="Z268" s="342" t="s">
        <v>71</v>
      </c>
      <c r="AA268" s="342" t="s">
        <v>218</v>
      </c>
      <c r="AB268" s="342" t="s">
        <v>152</v>
      </c>
      <c r="AC268" s="342" t="s">
        <v>74</v>
      </c>
      <c r="AD268" s="342"/>
      <c r="AE268" s="342" t="s">
        <v>2386</v>
      </c>
      <c r="AF268" s="349" t="s">
        <v>3773</v>
      </c>
      <c r="AG268" s="342" t="s">
        <v>74</v>
      </c>
      <c r="AH268" s="342" t="s">
        <v>74</v>
      </c>
      <c r="AI268" s="342" t="s">
        <v>74</v>
      </c>
      <c r="AJ268" s="342" t="s">
        <v>77</v>
      </c>
      <c r="AK268" s="342" t="s">
        <v>97</v>
      </c>
      <c r="AL268" s="342" t="s">
        <v>79</v>
      </c>
      <c r="AM268" s="342" t="s">
        <v>74</v>
      </c>
      <c r="AN268" s="342"/>
      <c r="AO268" s="342" t="s">
        <v>2387</v>
      </c>
      <c r="AP268" s="342" t="s">
        <v>81</v>
      </c>
      <c r="AQ268" s="349" t="s">
        <v>748</v>
      </c>
      <c r="AR268" s="342" t="s">
        <v>83</v>
      </c>
      <c r="AS268" s="342" t="s">
        <v>290</v>
      </c>
      <c r="AT268" s="342" t="s">
        <v>45</v>
      </c>
      <c r="AU268" s="342" t="s">
        <v>85</v>
      </c>
      <c r="AV268" s="342"/>
      <c r="AW268" s="342"/>
      <c r="AX268" s="343" t="str">
        <f>IF(OR(Tableau3[[#This Row],[Option GTR]]&lt;&gt;"",Tableau3[[#This Row],[GTR spécifique]]&lt;&gt;""),"GTRS1","GTRS2")</f>
        <v>GTRS2</v>
      </c>
      <c r="AY268" s="342" t="s">
        <v>738</v>
      </c>
      <c r="AZ268" s="342" t="s">
        <v>2068</v>
      </c>
      <c r="BA268" s="342" t="s">
        <v>2388</v>
      </c>
    </row>
    <row r="269" spans="1:53" s="326" customFormat="1" ht="18.149999999999999" customHeight="1" x14ac:dyDescent="0.3">
      <c r="A269" s="340" t="s">
        <v>53</v>
      </c>
      <c r="B269" s="340" t="s">
        <v>54</v>
      </c>
      <c r="C269" s="340" t="s">
        <v>2079</v>
      </c>
      <c r="D269" s="340" t="s">
        <v>56</v>
      </c>
      <c r="E269" s="340" t="s">
        <v>57</v>
      </c>
      <c r="F269" s="340" t="s">
        <v>58</v>
      </c>
      <c r="G269" s="340" t="s">
        <v>59</v>
      </c>
      <c r="H269" s="340" t="s">
        <v>846</v>
      </c>
      <c r="I269" s="340" t="s">
        <v>61</v>
      </c>
      <c r="J269" s="340" t="s">
        <v>2389</v>
      </c>
      <c r="K269" s="340" t="s">
        <v>2390</v>
      </c>
      <c r="L269" s="345" t="str">
        <f>VLOOKUP(K269,'20260309 suivi sites'!F:F,1,0)</f>
        <v>65STLA011AOS</v>
      </c>
      <c r="M269" s="340" t="s">
        <v>64</v>
      </c>
      <c r="N269" s="340" t="s">
        <v>771</v>
      </c>
      <c r="O269" s="340" t="s">
        <v>64</v>
      </c>
      <c r="P269" s="338">
        <v>44075</v>
      </c>
      <c r="Q269" s="341">
        <v>44075</v>
      </c>
      <c r="R269" s="347" t="b">
        <f t="shared" si="9"/>
        <v>1</v>
      </c>
      <c r="S269" s="347" t="str">
        <f t="shared" si="8"/>
        <v>création</v>
      </c>
      <c r="T269" s="342" t="s">
        <v>1439</v>
      </c>
      <c r="U269" s="342" t="s">
        <v>2391</v>
      </c>
      <c r="V269" s="342" t="s">
        <v>2392</v>
      </c>
      <c r="W269" s="342" t="s">
        <v>2393</v>
      </c>
      <c r="X269" s="342" t="s">
        <v>69</v>
      </c>
      <c r="Y269" s="349" t="s">
        <v>2394</v>
      </c>
      <c r="Z269" s="342" t="s">
        <v>71</v>
      </c>
      <c r="AA269" s="342" t="s">
        <v>72</v>
      </c>
      <c r="AB269" s="342" t="s">
        <v>73</v>
      </c>
      <c r="AC269" s="342" t="s">
        <v>74</v>
      </c>
      <c r="AD269" s="342"/>
      <c r="AE269" s="342" t="s">
        <v>2395</v>
      </c>
      <c r="AF269" s="349" t="s">
        <v>3766</v>
      </c>
      <c r="AG269" s="342" t="s">
        <v>74</v>
      </c>
      <c r="AH269" s="342" t="s">
        <v>74</v>
      </c>
      <c r="AI269" s="342" t="s">
        <v>74</v>
      </c>
      <c r="AJ269" s="342" t="s">
        <v>77</v>
      </c>
      <c r="AK269" s="342" t="s">
        <v>97</v>
      </c>
      <c r="AL269" s="342" t="s">
        <v>79</v>
      </c>
      <c r="AM269" s="342" t="s">
        <v>74</v>
      </c>
      <c r="AN269" s="342"/>
      <c r="AO269" s="342" t="s">
        <v>2396</v>
      </c>
      <c r="AP269" s="342" t="s">
        <v>81</v>
      </c>
      <c r="AQ269" s="349" t="s">
        <v>130</v>
      </c>
      <c r="AR269" s="342" t="s">
        <v>83</v>
      </c>
      <c r="AS269" s="342" t="s">
        <v>290</v>
      </c>
      <c r="AT269" s="342" t="s">
        <v>45</v>
      </c>
      <c r="AU269" s="342" t="s">
        <v>85</v>
      </c>
      <c r="AV269" s="342"/>
      <c r="AW269" s="342"/>
      <c r="AX269" s="343" t="str">
        <f>IF(OR(Tableau3[[#This Row],[Option GTR]]&lt;&gt;"",Tableau3[[#This Row],[GTR spécifique]]&lt;&gt;""),"GTRS1","GTRS2")</f>
        <v>GTRS2</v>
      </c>
      <c r="AY269" s="342" t="s">
        <v>143</v>
      </c>
      <c r="AZ269" s="342" t="s">
        <v>2068</v>
      </c>
      <c r="BA269" s="342" t="s">
        <v>2397</v>
      </c>
    </row>
    <row r="270" spans="1:53" s="326" customFormat="1" ht="18.149999999999999" customHeight="1" x14ac:dyDescent="0.3">
      <c r="A270" s="340" t="s">
        <v>53</v>
      </c>
      <c r="B270" s="340" t="s">
        <v>54</v>
      </c>
      <c r="C270" s="340" t="s">
        <v>2398</v>
      </c>
      <c r="D270" s="340" t="s">
        <v>56</v>
      </c>
      <c r="E270" s="340" t="s">
        <v>57</v>
      </c>
      <c r="F270" s="340" t="s">
        <v>58</v>
      </c>
      <c r="G270" s="340" t="s">
        <v>59</v>
      </c>
      <c r="H270" s="340" t="s">
        <v>60</v>
      </c>
      <c r="I270" s="340" t="s">
        <v>61</v>
      </c>
      <c r="J270" s="340" t="s">
        <v>2399</v>
      </c>
      <c r="K270" s="340" t="s">
        <v>2400</v>
      </c>
      <c r="L270" s="345" t="str">
        <f>VLOOKUP(K270,'20260309 suivi sites'!F:F,1,0)</f>
        <v>19LEST011AOG</v>
      </c>
      <c r="M270" s="340" t="s">
        <v>64</v>
      </c>
      <c r="N270" s="340" t="s">
        <v>65</v>
      </c>
      <c r="O270" s="340" t="s">
        <v>64</v>
      </c>
      <c r="P270" s="338">
        <v>43552</v>
      </c>
      <c r="Q270" s="341">
        <v>43868</v>
      </c>
      <c r="R270" s="347" t="b">
        <f t="shared" si="9"/>
        <v>0</v>
      </c>
      <c r="S270" s="347" t="str">
        <f t="shared" si="8"/>
        <v>change</v>
      </c>
      <c r="T270" s="342" t="s">
        <v>56</v>
      </c>
      <c r="U270" s="342" t="s">
        <v>2401</v>
      </c>
      <c r="V270" s="342" t="s">
        <v>2402</v>
      </c>
      <c r="W270" s="342" t="s">
        <v>2403</v>
      </c>
      <c r="X270" s="342" t="s">
        <v>69</v>
      </c>
      <c r="Y270" s="349" t="s">
        <v>2404</v>
      </c>
      <c r="Z270" s="342" t="s">
        <v>71</v>
      </c>
      <c r="AA270" s="342" t="s">
        <v>72</v>
      </c>
      <c r="AB270" s="342" t="s">
        <v>73</v>
      </c>
      <c r="AC270" s="342" t="s">
        <v>74</v>
      </c>
      <c r="AD270" s="342"/>
      <c r="AE270" s="342" t="s">
        <v>2405</v>
      </c>
      <c r="AF270" s="349" t="s">
        <v>3766</v>
      </c>
      <c r="AG270" s="342" t="s">
        <v>74</v>
      </c>
      <c r="AH270" s="342" t="s">
        <v>76</v>
      </c>
      <c r="AI270" s="342" t="s">
        <v>74</v>
      </c>
      <c r="AJ270" s="342" t="s">
        <v>77</v>
      </c>
      <c r="AK270" s="342" t="s">
        <v>97</v>
      </c>
      <c r="AL270" s="342" t="s">
        <v>79</v>
      </c>
      <c r="AM270" s="342" t="s">
        <v>74</v>
      </c>
      <c r="AN270" s="342"/>
      <c r="AO270" s="342" t="s">
        <v>2406</v>
      </c>
      <c r="AP270" s="342" t="s">
        <v>81</v>
      </c>
      <c r="AQ270" s="349" t="s">
        <v>130</v>
      </c>
      <c r="AR270" s="342" t="s">
        <v>83</v>
      </c>
      <c r="AS270" s="342" t="s">
        <v>84</v>
      </c>
      <c r="AT270" s="342" t="s">
        <v>45</v>
      </c>
      <c r="AU270" s="342" t="s">
        <v>85</v>
      </c>
      <c r="AV270" s="342"/>
      <c r="AW270" s="342"/>
      <c r="AX270" s="343" t="str">
        <f>IF(OR(Tableau3[[#This Row],[Option GTR]]&lt;&gt;"",Tableau3[[#This Row],[GTR spécifique]]&lt;&gt;""),"GTRS1","GTRS2")</f>
        <v>GTRS2</v>
      </c>
      <c r="AY270" s="342" t="s">
        <v>143</v>
      </c>
      <c r="AZ270" s="342"/>
      <c r="BA270" s="344" t="s">
        <v>2407</v>
      </c>
    </row>
    <row r="271" spans="1:53" s="326" customFormat="1" ht="18.149999999999999" customHeight="1" x14ac:dyDescent="0.3">
      <c r="A271" s="340" t="s">
        <v>53</v>
      </c>
      <c r="B271" s="340" t="s">
        <v>54</v>
      </c>
      <c r="C271" s="340" t="s">
        <v>2398</v>
      </c>
      <c r="D271" s="340" t="s">
        <v>56</v>
      </c>
      <c r="E271" s="340" t="s">
        <v>57</v>
      </c>
      <c r="F271" s="340" t="s">
        <v>58</v>
      </c>
      <c r="G271" s="340" t="s">
        <v>59</v>
      </c>
      <c r="H271" s="340" t="s">
        <v>60</v>
      </c>
      <c r="I271" s="340" t="s">
        <v>61</v>
      </c>
      <c r="J271" s="340" t="s">
        <v>2408</v>
      </c>
      <c r="K271" s="340" t="s">
        <v>2409</v>
      </c>
      <c r="L271" s="345" t="str">
        <f>VLOOKUP(K271,'20260309 suivi sites'!F:F,1,0)</f>
        <v>77CHAL011AOB</v>
      </c>
      <c r="M271" s="340" t="s">
        <v>64</v>
      </c>
      <c r="N271" s="340" t="s">
        <v>65</v>
      </c>
      <c r="O271" s="340" t="s">
        <v>64</v>
      </c>
      <c r="P271" s="338">
        <v>43775</v>
      </c>
      <c r="Q271" s="341">
        <v>45336</v>
      </c>
      <c r="R271" s="347" t="b">
        <f t="shared" si="9"/>
        <v>0</v>
      </c>
      <c r="S271" s="347" t="str">
        <f t="shared" si="8"/>
        <v>change</v>
      </c>
      <c r="T271" s="342" t="s">
        <v>56</v>
      </c>
      <c r="U271" s="342" t="s">
        <v>2410</v>
      </c>
      <c r="V271" s="342" t="s">
        <v>2411</v>
      </c>
      <c r="W271" s="342" t="s">
        <v>2412</v>
      </c>
      <c r="X271" s="342" t="s">
        <v>69</v>
      </c>
      <c r="Y271" s="349" t="s">
        <v>2413</v>
      </c>
      <c r="Z271" s="342" t="s">
        <v>71</v>
      </c>
      <c r="AA271" s="342" t="s">
        <v>218</v>
      </c>
      <c r="AB271" s="342" t="s">
        <v>152</v>
      </c>
      <c r="AC271" s="342" t="s">
        <v>74</v>
      </c>
      <c r="AD271" s="342"/>
      <c r="AE271" s="342" t="s">
        <v>2414</v>
      </c>
      <c r="AF271" s="349" t="s">
        <v>3775</v>
      </c>
      <c r="AG271" s="342" t="s">
        <v>74</v>
      </c>
      <c r="AH271" s="342" t="s">
        <v>76</v>
      </c>
      <c r="AI271" s="342" t="s">
        <v>74</v>
      </c>
      <c r="AJ271" s="342" t="s">
        <v>382</v>
      </c>
      <c r="AK271" s="342" t="s">
        <v>97</v>
      </c>
      <c r="AL271" s="342" t="s">
        <v>79</v>
      </c>
      <c r="AM271" s="342" t="s">
        <v>74</v>
      </c>
      <c r="AN271" s="342"/>
      <c r="AO271" s="342" t="s">
        <v>2415</v>
      </c>
      <c r="AP271" s="342" t="s">
        <v>81</v>
      </c>
      <c r="AQ271" s="349" t="s">
        <v>822</v>
      </c>
      <c r="AR271" s="342" t="s">
        <v>83</v>
      </c>
      <c r="AS271" s="342" t="s">
        <v>84</v>
      </c>
      <c r="AT271" s="342" t="s">
        <v>45</v>
      </c>
      <c r="AU271" s="342" t="s">
        <v>85</v>
      </c>
      <c r="AV271" s="342"/>
      <c r="AW271" s="342"/>
      <c r="AX271" s="343" t="str">
        <f>IF(OR(Tableau3[[#This Row],[Option GTR]]&lt;&gt;"",Tableau3[[#This Row],[GTR spécifique]]&lt;&gt;""),"GTRS1","GTRS2")</f>
        <v>GTRS2</v>
      </c>
      <c r="AY271" s="342" t="s">
        <v>355</v>
      </c>
      <c r="AZ271" s="342"/>
      <c r="BA271" s="342" t="s">
        <v>2416</v>
      </c>
    </row>
    <row r="272" spans="1:53" s="326" customFormat="1" ht="18.149999999999999" customHeight="1" x14ac:dyDescent="0.3">
      <c r="A272" s="340" t="s">
        <v>53</v>
      </c>
      <c r="B272" s="340" t="s">
        <v>54</v>
      </c>
      <c r="C272" s="340" t="s">
        <v>2398</v>
      </c>
      <c r="D272" s="340" t="s">
        <v>56</v>
      </c>
      <c r="E272" s="340" t="s">
        <v>57</v>
      </c>
      <c r="F272" s="340" t="s">
        <v>58</v>
      </c>
      <c r="G272" s="340" t="s">
        <v>59</v>
      </c>
      <c r="H272" s="340" t="s">
        <v>60</v>
      </c>
      <c r="I272" s="340" t="s">
        <v>61</v>
      </c>
      <c r="J272" s="340" t="s">
        <v>2417</v>
      </c>
      <c r="K272" s="340" t="s">
        <v>2418</v>
      </c>
      <c r="L272" s="345" t="str">
        <f>VLOOKUP(K272,'20260309 suivi sites'!F:F,1,0)</f>
        <v>25MOUT011AOB</v>
      </c>
      <c r="M272" s="340" t="s">
        <v>64</v>
      </c>
      <c r="N272" s="340" t="s">
        <v>65</v>
      </c>
      <c r="O272" s="340" t="s">
        <v>64</v>
      </c>
      <c r="P272" s="338">
        <v>43795</v>
      </c>
      <c r="Q272" s="341">
        <v>45693</v>
      </c>
      <c r="R272" s="347" t="b">
        <f t="shared" si="9"/>
        <v>0</v>
      </c>
      <c r="S272" s="347" t="str">
        <f t="shared" si="8"/>
        <v>change</v>
      </c>
      <c r="T272" s="342" t="s">
        <v>56</v>
      </c>
      <c r="U272" s="342" t="s">
        <v>2419</v>
      </c>
      <c r="V272" s="342" t="s">
        <v>2420</v>
      </c>
      <c r="W272" s="342" t="s">
        <v>2421</v>
      </c>
      <c r="X272" s="342" t="s">
        <v>69</v>
      </c>
      <c r="Y272" s="349" t="s">
        <v>2422</v>
      </c>
      <c r="Z272" s="342" t="s">
        <v>71</v>
      </c>
      <c r="AA272" s="342" t="s">
        <v>218</v>
      </c>
      <c r="AB272" s="342" t="s">
        <v>152</v>
      </c>
      <c r="AC272" s="342" t="s">
        <v>74</v>
      </c>
      <c r="AD272" s="342"/>
      <c r="AE272" s="342" t="s">
        <v>2423</v>
      </c>
      <c r="AF272" s="349" t="s">
        <v>3771</v>
      </c>
      <c r="AG272" s="342" t="s">
        <v>74</v>
      </c>
      <c r="AH272" s="342" t="s">
        <v>76</v>
      </c>
      <c r="AI272" s="342" t="s">
        <v>74</v>
      </c>
      <c r="AJ272" s="342" t="s">
        <v>77</v>
      </c>
      <c r="AK272" s="342" t="s">
        <v>97</v>
      </c>
      <c r="AL272" s="342" t="s">
        <v>79</v>
      </c>
      <c r="AM272" s="342" t="s">
        <v>74</v>
      </c>
      <c r="AN272" s="342"/>
      <c r="AO272" s="342" t="s">
        <v>2424</v>
      </c>
      <c r="AP272" s="342" t="s">
        <v>81</v>
      </c>
      <c r="AQ272" s="349" t="s">
        <v>222</v>
      </c>
      <c r="AR272" s="342" t="s">
        <v>83</v>
      </c>
      <c r="AS272" s="342" t="s">
        <v>84</v>
      </c>
      <c r="AT272" s="342" t="s">
        <v>45</v>
      </c>
      <c r="AU272" s="342" t="s">
        <v>85</v>
      </c>
      <c r="AV272" s="342"/>
      <c r="AW272" s="342"/>
      <c r="AX272" s="343" t="str">
        <f>IF(OR(Tableau3[[#This Row],[Option GTR]]&lt;&gt;"",Tableau3[[#This Row],[GTR spécifique]]&lt;&gt;""),"GTRS1","GTRS2")</f>
        <v>GTRS2</v>
      </c>
      <c r="AY272" s="342" t="s">
        <v>355</v>
      </c>
      <c r="AZ272" s="342"/>
      <c r="BA272" s="342" t="s">
        <v>2425</v>
      </c>
    </row>
    <row r="273" spans="1:53" s="326" customFormat="1" ht="18.149999999999999" customHeight="1" x14ac:dyDescent="0.3">
      <c r="A273" s="340" t="s">
        <v>53</v>
      </c>
      <c r="B273" s="340" t="s">
        <v>54</v>
      </c>
      <c r="C273" s="340" t="s">
        <v>2398</v>
      </c>
      <c r="D273" s="340" t="s">
        <v>56</v>
      </c>
      <c r="E273" s="340" t="s">
        <v>57</v>
      </c>
      <c r="F273" s="340" t="s">
        <v>58</v>
      </c>
      <c r="G273" s="340" t="s">
        <v>59</v>
      </c>
      <c r="H273" s="340" t="s">
        <v>60</v>
      </c>
      <c r="I273" s="340" t="s">
        <v>61</v>
      </c>
      <c r="J273" s="340" t="s">
        <v>2426</v>
      </c>
      <c r="K273" s="340" t="s">
        <v>2427</v>
      </c>
      <c r="L273" s="345" t="str">
        <f>VLOOKUP(K273,'20260309 suivi sites'!F:F,1,0)</f>
        <v>12MONT011AOM</v>
      </c>
      <c r="M273" s="340" t="s">
        <v>64</v>
      </c>
      <c r="N273" s="340" t="s">
        <v>65</v>
      </c>
      <c r="O273" s="340" t="s">
        <v>64</v>
      </c>
      <c r="P273" s="338">
        <v>43887</v>
      </c>
      <c r="Q273" s="341">
        <v>45208</v>
      </c>
      <c r="R273" s="347" t="b">
        <f t="shared" si="9"/>
        <v>0</v>
      </c>
      <c r="S273" s="347" t="str">
        <f t="shared" si="8"/>
        <v>change</v>
      </c>
      <c r="T273" s="342" t="s">
        <v>56</v>
      </c>
      <c r="U273" s="342" t="s">
        <v>2428</v>
      </c>
      <c r="V273" s="342" t="s">
        <v>2429</v>
      </c>
      <c r="W273" s="342" t="s">
        <v>2430</v>
      </c>
      <c r="X273" s="342" t="s">
        <v>69</v>
      </c>
      <c r="Y273" s="349" t="s">
        <v>2431</v>
      </c>
      <c r="Z273" s="342" t="s">
        <v>71</v>
      </c>
      <c r="AA273" s="342" t="s">
        <v>218</v>
      </c>
      <c r="AB273" s="342" t="s">
        <v>152</v>
      </c>
      <c r="AC273" s="342" t="s">
        <v>74</v>
      </c>
      <c r="AD273" s="342"/>
      <c r="AE273" s="342" t="s">
        <v>2432</v>
      </c>
      <c r="AF273" s="349" t="s">
        <v>3770</v>
      </c>
      <c r="AG273" s="342" t="s">
        <v>74</v>
      </c>
      <c r="AH273" s="342" t="s">
        <v>76</v>
      </c>
      <c r="AI273" s="342" t="s">
        <v>74</v>
      </c>
      <c r="AJ273" s="342" t="s">
        <v>77</v>
      </c>
      <c r="AK273" s="342" t="s">
        <v>97</v>
      </c>
      <c r="AL273" s="342" t="s">
        <v>152</v>
      </c>
      <c r="AM273" s="342" t="s">
        <v>74</v>
      </c>
      <c r="AN273" s="342"/>
      <c r="AO273" s="342" t="s">
        <v>2433</v>
      </c>
      <c r="AP273" s="342" t="s">
        <v>81</v>
      </c>
      <c r="AQ273" s="349" t="s">
        <v>210</v>
      </c>
      <c r="AR273" s="342" t="s">
        <v>83</v>
      </c>
      <c r="AS273" s="342" t="s">
        <v>84</v>
      </c>
      <c r="AT273" s="342" t="s">
        <v>45</v>
      </c>
      <c r="AU273" s="342" t="s">
        <v>85</v>
      </c>
      <c r="AV273" s="342"/>
      <c r="AW273" s="342"/>
      <c r="AX273" s="343" t="str">
        <f>IF(OR(Tableau3[[#This Row],[Option GTR]]&lt;&gt;"",Tableau3[[#This Row],[GTR spécifique]]&lt;&gt;""),"GTRS1","GTRS2")</f>
        <v>GTRS2</v>
      </c>
      <c r="AY273" s="342" t="s">
        <v>355</v>
      </c>
      <c r="AZ273" s="342"/>
      <c r="BA273" s="342" t="s">
        <v>2434</v>
      </c>
    </row>
    <row r="274" spans="1:53" s="326" customFormat="1" ht="18.149999999999999" customHeight="1" x14ac:dyDescent="0.3">
      <c r="A274" s="340" t="s">
        <v>53</v>
      </c>
      <c r="B274" s="340" t="s">
        <v>54</v>
      </c>
      <c r="C274" s="340" t="s">
        <v>2398</v>
      </c>
      <c r="D274" s="340" t="s">
        <v>56</v>
      </c>
      <c r="E274" s="340" t="s">
        <v>57</v>
      </c>
      <c r="F274" s="340" t="s">
        <v>58</v>
      </c>
      <c r="G274" s="340" t="s">
        <v>59</v>
      </c>
      <c r="H274" s="340" t="s">
        <v>60</v>
      </c>
      <c r="I274" s="340" t="s">
        <v>61</v>
      </c>
      <c r="J274" s="340" t="s">
        <v>2435</v>
      </c>
      <c r="K274" s="340" t="s">
        <v>2436</v>
      </c>
      <c r="L274" s="345" t="str">
        <f>VLOOKUP(K274,'20260309 suivi sites'!F:F,1,0)</f>
        <v>97REGI011AOG</v>
      </c>
      <c r="M274" s="340" t="s">
        <v>64</v>
      </c>
      <c r="N274" s="340" t="s">
        <v>65</v>
      </c>
      <c r="O274" s="340" t="s">
        <v>64</v>
      </c>
      <c r="P274" s="338">
        <v>43677</v>
      </c>
      <c r="Q274" s="341">
        <v>44412</v>
      </c>
      <c r="R274" s="347" t="b">
        <f t="shared" si="9"/>
        <v>0</v>
      </c>
      <c r="S274" s="347" t="str">
        <f t="shared" si="8"/>
        <v>change</v>
      </c>
      <c r="T274" s="342" t="s">
        <v>56</v>
      </c>
      <c r="U274" s="342" t="s">
        <v>2437</v>
      </c>
      <c r="V274" s="342" t="s">
        <v>2438</v>
      </c>
      <c r="W274" s="342" t="s">
        <v>2439</v>
      </c>
      <c r="X274" s="342" t="s">
        <v>69</v>
      </c>
      <c r="Y274" s="349" t="s">
        <v>2440</v>
      </c>
      <c r="Z274" s="342" t="s">
        <v>71</v>
      </c>
      <c r="AA274" s="342" t="s">
        <v>72</v>
      </c>
      <c r="AB274" s="342" t="s">
        <v>73</v>
      </c>
      <c r="AC274" s="342" t="s">
        <v>74</v>
      </c>
      <c r="AD274" s="342"/>
      <c r="AE274" s="342" t="s">
        <v>2441</v>
      </c>
      <c r="AF274" s="349" t="s">
        <v>3773</v>
      </c>
      <c r="AG274" s="342" t="s">
        <v>74</v>
      </c>
      <c r="AH274" s="342" t="s">
        <v>76</v>
      </c>
      <c r="AI274" s="342" t="s">
        <v>74</v>
      </c>
      <c r="AJ274" s="342" t="s">
        <v>77</v>
      </c>
      <c r="AK274" s="342" t="s">
        <v>97</v>
      </c>
      <c r="AL274" s="342" t="s">
        <v>79</v>
      </c>
      <c r="AM274" s="342" t="s">
        <v>74</v>
      </c>
      <c r="AN274" s="342"/>
      <c r="AO274" s="342" t="s">
        <v>2442</v>
      </c>
      <c r="AP274" s="342" t="s">
        <v>81</v>
      </c>
      <c r="AQ274" s="349" t="s">
        <v>748</v>
      </c>
      <c r="AR274" s="342" t="s">
        <v>83</v>
      </c>
      <c r="AS274" s="342" t="s">
        <v>84</v>
      </c>
      <c r="AT274" s="342" t="s">
        <v>45</v>
      </c>
      <c r="AU274" s="342" t="s">
        <v>85</v>
      </c>
      <c r="AV274" s="342"/>
      <c r="AW274" s="342" t="s">
        <v>131</v>
      </c>
      <c r="AX274" s="343" t="str">
        <f>IF(OR(Tableau3[[#This Row],[Option GTR]]&lt;&gt;"",Tableau3[[#This Row],[GTR spécifique]]&lt;&gt;""),"GTRS1","GTRS2")</f>
        <v>GTRS1</v>
      </c>
      <c r="AY274" s="342" t="s">
        <v>632</v>
      </c>
      <c r="AZ274" s="342"/>
      <c r="BA274" s="342" t="s">
        <v>686</v>
      </c>
    </row>
    <row r="275" spans="1:53" s="326" customFormat="1" ht="18.149999999999999" customHeight="1" x14ac:dyDescent="0.3">
      <c r="A275" s="340" t="s">
        <v>53</v>
      </c>
      <c r="B275" s="340" t="s">
        <v>54</v>
      </c>
      <c r="C275" s="340" t="s">
        <v>2398</v>
      </c>
      <c r="D275" s="340" t="s">
        <v>56</v>
      </c>
      <c r="E275" s="340" t="s">
        <v>57</v>
      </c>
      <c r="F275" s="340" t="s">
        <v>58</v>
      </c>
      <c r="G275" s="340" t="s">
        <v>59</v>
      </c>
      <c r="H275" s="340" t="s">
        <v>60</v>
      </c>
      <c r="I275" s="340" t="s">
        <v>61</v>
      </c>
      <c r="J275" s="340" t="s">
        <v>2443</v>
      </c>
      <c r="K275" s="340" t="s">
        <v>2444</v>
      </c>
      <c r="L275" s="345" t="str">
        <f>VLOOKUP(K275,'20260309 suivi sites'!F:F,1,0)</f>
        <v>97STGE011AOG</v>
      </c>
      <c r="M275" s="340" t="s">
        <v>64</v>
      </c>
      <c r="N275" s="340" t="s">
        <v>65</v>
      </c>
      <c r="O275" s="340" t="s">
        <v>64</v>
      </c>
      <c r="P275" s="338">
        <v>43831</v>
      </c>
      <c r="Q275" s="341">
        <v>44412</v>
      </c>
      <c r="R275" s="347" t="b">
        <f t="shared" si="9"/>
        <v>0</v>
      </c>
      <c r="S275" s="347" t="str">
        <f t="shared" si="8"/>
        <v>change</v>
      </c>
      <c r="T275" s="342" t="s">
        <v>56</v>
      </c>
      <c r="U275" s="342" t="s">
        <v>2445</v>
      </c>
      <c r="V275" s="342" t="s">
        <v>2446</v>
      </c>
      <c r="W275" s="342" t="s">
        <v>2447</v>
      </c>
      <c r="X275" s="342" t="s">
        <v>69</v>
      </c>
      <c r="Y275" s="349" t="s">
        <v>2448</v>
      </c>
      <c r="Z275" s="342" t="s">
        <v>71</v>
      </c>
      <c r="AA275" s="342" t="s">
        <v>72</v>
      </c>
      <c r="AB275" s="342" t="s">
        <v>73</v>
      </c>
      <c r="AC275" s="342" t="s">
        <v>74</v>
      </c>
      <c r="AD275" s="342"/>
      <c r="AE275" s="342" t="s">
        <v>2449</v>
      </c>
      <c r="AF275" s="349" t="s">
        <v>3773</v>
      </c>
      <c r="AG275" s="342" t="s">
        <v>74</v>
      </c>
      <c r="AH275" s="342" t="s">
        <v>76</v>
      </c>
      <c r="AI275" s="342" t="s">
        <v>74</v>
      </c>
      <c r="AJ275" s="342" t="s">
        <v>77</v>
      </c>
      <c r="AK275" s="342" t="s">
        <v>97</v>
      </c>
      <c r="AL275" s="342" t="s">
        <v>79</v>
      </c>
      <c r="AM275" s="342" t="s">
        <v>74</v>
      </c>
      <c r="AN275" s="342"/>
      <c r="AO275" s="342" t="s">
        <v>2450</v>
      </c>
      <c r="AP275" s="342" t="s">
        <v>81</v>
      </c>
      <c r="AQ275" s="349" t="s">
        <v>748</v>
      </c>
      <c r="AR275" s="342" t="s">
        <v>83</v>
      </c>
      <c r="AS275" s="342" t="s">
        <v>84</v>
      </c>
      <c r="AT275" s="342" t="s">
        <v>45</v>
      </c>
      <c r="AU275" s="342" t="s">
        <v>85</v>
      </c>
      <c r="AV275" s="342"/>
      <c r="AW275" s="342" t="s">
        <v>131</v>
      </c>
      <c r="AX275" s="343" t="str">
        <f>IF(OR(Tableau3[[#This Row],[Option GTR]]&lt;&gt;"",Tableau3[[#This Row],[GTR spécifique]]&lt;&gt;""),"GTRS1","GTRS2")</f>
        <v>GTRS1</v>
      </c>
      <c r="AY275" s="342" t="s">
        <v>632</v>
      </c>
      <c r="AZ275" s="342"/>
      <c r="BA275" s="342" t="s">
        <v>686</v>
      </c>
    </row>
    <row r="276" spans="1:53" s="326" customFormat="1" ht="18.149999999999999" customHeight="1" x14ac:dyDescent="0.3">
      <c r="A276" s="340" t="s">
        <v>53</v>
      </c>
      <c r="B276" s="340" t="s">
        <v>54</v>
      </c>
      <c r="C276" s="340" t="s">
        <v>2398</v>
      </c>
      <c r="D276" s="340" t="s">
        <v>56</v>
      </c>
      <c r="E276" s="340" t="s">
        <v>57</v>
      </c>
      <c r="F276" s="340" t="s">
        <v>58</v>
      </c>
      <c r="G276" s="340" t="s">
        <v>59</v>
      </c>
      <c r="H276" s="340" t="s">
        <v>60</v>
      </c>
      <c r="I276" s="340" t="s">
        <v>61</v>
      </c>
      <c r="J276" s="340" t="s">
        <v>2451</v>
      </c>
      <c r="K276" s="340" t="s">
        <v>2452</v>
      </c>
      <c r="L276" s="345" t="str">
        <f>VLOOKUP(K276,'20260309 suivi sites'!F:F,1,0)</f>
        <v>46LAVA011AOB</v>
      </c>
      <c r="M276" s="340" t="s">
        <v>64</v>
      </c>
      <c r="N276" s="340" t="s">
        <v>65</v>
      </c>
      <c r="O276" s="340" t="s">
        <v>64</v>
      </c>
      <c r="P276" s="338">
        <v>43649</v>
      </c>
      <c r="Q276" s="341">
        <v>45191</v>
      </c>
      <c r="R276" s="347" t="b">
        <f t="shared" si="9"/>
        <v>0</v>
      </c>
      <c r="S276" s="347" t="str">
        <f t="shared" si="8"/>
        <v>change</v>
      </c>
      <c r="T276" s="342" t="s">
        <v>56</v>
      </c>
      <c r="U276" s="342" t="s">
        <v>2453</v>
      </c>
      <c r="V276" s="342" t="s">
        <v>2454</v>
      </c>
      <c r="W276" s="342" t="s">
        <v>2455</v>
      </c>
      <c r="X276" s="342" t="s">
        <v>69</v>
      </c>
      <c r="Y276" s="349" t="s">
        <v>2456</v>
      </c>
      <c r="Z276" s="342" t="s">
        <v>71</v>
      </c>
      <c r="AA276" s="342" t="s">
        <v>218</v>
      </c>
      <c r="AB276" s="342" t="s">
        <v>152</v>
      </c>
      <c r="AC276" s="342" t="s">
        <v>74</v>
      </c>
      <c r="AD276" s="342"/>
      <c r="AE276" s="342" t="s">
        <v>2457</v>
      </c>
      <c r="AF276" s="349" t="s">
        <v>3766</v>
      </c>
      <c r="AG276" s="342" t="s">
        <v>74</v>
      </c>
      <c r="AH276" s="342" t="s">
        <v>76</v>
      </c>
      <c r="AI276" s="342" t="s">
        <v>74</v>
      </c>
      <c r="AJ276" s="342" t="s">
        <v>77</v>
      </c>
      <c r="AK276" s="342" t="s">
        <v>97</v>
      </c>
      <c r="AL276" s="342" t="s">
        <v>79</v>
      </c>
      <c r="AM276" s="342" t="s">
        <v>74</v>
      </c>
      <c r="AN276" s="342"/>
      <c r="AO276" s="342" t="s">
        <v>2458</v>
      </c>
      <c r="AP276" s="342" t="s">
        <v>81</v>
      </c>
      <c r="AQ276" s="349" t="s">
        <v>130</v>
      </c>
      <c r="AR276" s="342" t="s">
        <v>83</v>
      </c>
      <c r="AS276" s="342" t="s">
        <v>84</v>
      </c>
      <c r="AT276" s="342" t="s">
        <v>45</v>
      </c>
      <c r="AU276" s="342" t="s">
        <v>85</v>
      </c>
      <c r="AV276" s="342"/>
      <c r="AW276" s="342"/>
      <c r="AX276" s="343" t="str">
        <f>IF(OR(Tableau3[[#This Row],[Option GTR]]&lt;&gt;"",Tableau3[[#This Row],[GTR spécifique]]&lt;&gt;""),"GTRS1","GTRS2")</f>
        <v>GTRS2</v>
      </c>
      <c r="AY276" s="342" t="s">
        <v>738</v>
      </c>
      <c r="AZ276" s="342"/>
      <c r="BA276" s="342"/>
    </row>
    <row r="277" spans="1:53" s="326" customFormat="1" ht="18.149999999999999" customHeight="1" x14ac:dyDescent="0.3">
      <c r="A277" s="340" t="s">
        <v>53</v>
      </c>
      <c r="B277" s="340" t="s">
        <v>54</v>
      </c>
      <c r="C277" s="340" t="s">
        <v>2398</v>
      </c>
      <c r="D277" s="340" t="s">
        <v>56</v>
      </c>
      <c r="E277" s="340" t="s">
        <v>57</v>
      </c>
      <c r="F277" s="340" t="s">
        <v>58</v>
      </c>
      <c r="G277" s="340" t="s">
        <v>59</v>
      </c>
      <c r="H277" s="340" t="s">
        <v>60</v>
      </c>
      <c r="I277" s="340" t="s">
        <v>61</v>
      </c>
      <c r="J277" s="340" t="s">
        <v>2459</v>
      </c>
      <c r="K277" s="340" t="s">
        <v>2460</v>
      </c>
      <c r="L277" s="345" t="str">
        <f>VLOOKUP(K277,'20260309 suivi sites'!F:F,1,0)</f>
        <v>31LABA021AOG</v>
      </c>
      <c r="M277" s="340" t="s">
        <v>64</v>
      </c>
      <c r="N277" s="340" t="s">
        <v>65</v>
      </c>
      <c r="O277" s="340" t="s">
        <v>64</v>
      </c>
      <c r="P277" s="338">
        <v>43776</v>
      </c>
      <c r="Q277" s="341">
        <v>45756</v>
      </c>
      <c r="R277" s="347" t="b">
        <f t="shared" si="9"/>
        <v>0</v>
      </c>
      <c r="S277" s="347" t="str">
        <f t="shared" si="8"/>
        <v>change</v>
      </c>
      <c r="T277" s="342" t="s">
        <v>56</v>
      </c>
      <c r="U277" s="342" t="s">
        <v>2461</v>
      </c>
      <c r="V277" s="342" t="s">
        <v>1290</v>
      </c>
      <c r="W277" s="342" t="s">
        <v>2462</v>
      </c>
      <c r="X277" s="342" t="s">
        <v>69</v>
      </c>
      <c r="Y277" s="349" t="s">
        <v>2463</v>
      </c>
      <c r="Z277" s="342" t="s">
        <v>71</v>
      </c>
      <c r="AA277" s="342" t="s">
        <v>72</v>
      </c>
      <c r="AB277" s="342" t="s">
        <v>73</v>
      </c>
      <c r="AC277" s="342" t="s">
        <v>74</v>
      </c>
      <c r="AD277" s="342"/>
      <c r="AE277" s="342" t="s">
        <v>2464</v>
      </c>
      <c r="AF277" s="349" t="s">
        <v>3764</v>
      </c>
      <c r="AG277" s="342" t="s">
        <v>74</v>
      </c>
      <c r="AH277" s="342" t="s">
        <v>76</v>
      </c>
      <c r="AI277" s="342" t="s">
        <v>74</v>
      </c>
      <c r="AJ277" s="342" t="s">
        <v>77</v>
      </c>
      <c r="AK277" s="342" t="s">
        <v>97</v>
      </c>
      <c r="AL277" s="342" t="s">
        <v>79</v>
      </c>
      <c r="AM277" s="342" t="s">
        <v>74</v>
      </c>
      <c r="AN277" s="342"/>
      <c r="AO277" s="342" t="s">
        <v>2465</v>
      </c>
      <c r="AP277" s="342" t="s">
        <v>81</v>
      </c>
      <c r="AQ277" s="349" t="s">
        <v>99</v>
      </c>
      <c r="AR277" s="342" t="s">
        <v>83</v>
      </c>
      <c r="AS277" s="342" t="s">
        <v>84</v>
      </c>
      <c r="AT277" s="342" t="s">
        <v>45</v>
      </c>
      <c r="AU277" s="342" t="s">
        <v>85</v>
      </c>
      <c r="AV277" s="342"/>
      <c r="AW277" s="342"/>
      <c r="AX277" s="343" t="str">
        <f>IF(OR(Tableau3[[#This Row],[Option GTR]]&lt;&gt;"",Tableau3[[#This Row],[GTR spécifique]]&lt;&gt;""),"GTRS1","GTRS2")</f>
        <v>GTRS2</v>
      </c>
      <c r="AY277" s="342" t="s">
        <v>143</v>
      </c>
      <c r="AZ277" s="342"/>
      <c r="BA277" s="342" t="s">
        <v>2466</v>
      </c>
    </row>
    <row r="278" spans="1:53" s="326" customFormat="1" ht="18.149999999999999" customHeight="1" x14ac:dyDescent="0.3">
      <c r="A278" s="340" t="s">
        <v>53</v>
      </c>
      <c r="B278" s="340" t="s">
        <v>54</v>
      </c>
      <c r="C278" s="340" t="s">
        <v>2398</v>
      </c>
      <c r="D278" s="340" t="s">
        <v>56</v>
      </c>
      <c r="E278" s="340" t="s">
        <v>57</v>
      </c>
      <c r="F278" s="340" t="s">
        <v>58</v>
      </c>
      <c r="G278" s="340" t="s">
        <v>59</v>
      </c>
      <c r="H278" s="340" t="s">
        <v>60</v>
      </c>
      <c r="I278" s="340" t="s">
        <v>61</v>
      </c>
      <c r="J278" s="340" t="s">
        <v>2467</v>
      </c>
      <c r="K278" s="340" t="s">
        <v>2468</v>
      </c>
      <c r="L278" s="345" t="str">
        <f>VLOOKUP(K278,'20260309 suivi sites'!F:F,1,0)</f>
        <v>24STCA011AOG</v>
      </c>
      <c r="M278" s="340" t="s">
        <v>64</v>
      </c>
      <c r="N278" s="340" t="s">
        <v>65</v>
      </c>
      <c r="O278" s="340" t="s">
        <v>64</v>
      </c>
      <c r="P278" s="338">
        <v>43538</v>
      </c>
      <c r="Q278" s="341">
        <v>45769</v>
      </c>
      <c r="R278" s="347" t="b">
        <f t="shared" si="9"/>
        <v>0</v>
      </c>
      <c r="S278" s="347" t="str">
        <f t="shared" si="8"/>
        <v>change</v>
      </c>
      <c r="T278" s="342" t="s">
        <v>56</v>
      </c>
      <c r="U278" s="342" t="s">
        <v>2469</v>
      </c>
      <c r="V278" s="342" t="s">
        <v>2470</v>
      </c>
      <c r="W278" s="342" t="s">
        <v>2471</v>
      </c>
      <c r="X278" s="342" t="s">
        <v>69</v>
      </c>
      <c r="Y278" s="349" t="s">
        <v>2472</v>
      </c>
      <c r="Z278" s="342" t="s">
        <v>71</v>
      </c>
      <c r="AA278" s="342" t="s">
        <v>72</v>
      </c>
      <c r="AB278" s="342" t="s">
        <v>73</v>
      </c>
      <c r="AC278" s="342" t="s">
        <v>74</v>
      </c>
      <c r="AD278" s="342"/>
      <c r="AE278" s="342" t="s">
        <v>2473</v>
      </c>
      <c r="AF278" s="349" t="s">
        <v>3771</v>
      </c>
      <c r="AG278" s="342" t="s">
        <v>74</v>
      </c>
      <c r="AH278" s="342" t="s">
        <v>76</v>
      </c>
      <c r="AI278" s="342" t="s">
        <v>74</v>
      </c>
      <c r="AJ278" s="342" t="s">
        <v>77</v>
      </c>
      <c r="AK278" s="342" t="s">
        <v>97</v>
      </c>
      <c r="AL278" s="342" t="s">
        <v>79</v>
      </c>
      <c r="AM278" s="342" t="s">
        <v>74</v>
      </c>
      <c r="AN278" s="342"/>
      <c r="AO278" s="342" t="s">
        <v>2474</v>
      </c>
      <c r="AP278" s="342" t="s">
        <v>81</v>
      </c>
      <c r="AQ278" s="349" t="s">
        <v>222</v>
      </c>
      <c r="AR278" s="342" t="s">
        <v>83</v>
      </c>
      <c r="AS278" s="342" t="s">
        <v>84</v>
      </c>
      <c r="AT278" s="342" t="s">
        <v>45</v>
      </c>
      <c r="AU278" s="342" t="s">
        <v>85</v>
      </c>
      <c r="AV278" s="342"/>
      <c r="AW278" s="342"/>
      <c r="AX278" s="343" t="str">
        <f>IF(OR(Tableau3[[#This Row],[Option GTR]]&lt;&gt;"",Tableau3[[#This Row],[GTR spécifique]]&lt;&gt;""),"GTRS1","GTRS2")</f>
        <v>GTRS2</v>
      </c>
      <c r="AY278" s="342" t="s">
        <v>143</v>
      </c>
      <c r="AZ278" s="342"/>
      <c r="BA278" s="342" t="s">
        <v>2475</v>
      </c>
    </row>
    <row r="279" spans="1:53" s="326" customFormat="1" ht="18.149999999999999" customHeight="1" x14ac:dyDescent="0.3">
      <c r="A279" s="340" t="s">
        <v>53</v>
      </c>
      <c r="B279" s="340" t="s">
        <v>54</v>
      </c>
      <c r="C279" s="340" t="s">
        <v>2398</v>
      </c>
      <c r="D279" s="340" t="s">
        <v>56</v>
      </c>
      <c r="E279" s="340" t="s">
        <v>57</v>
      </c>
      <c r="F279" s="340" t="s">
        <v>58</v>
      </c>
      <c r="G279" s="340" t="s">
        <v>59</v>
      </c>
      <c r="H279" s="340" t="s">
        <v>60</v>
      </c>
      <c r="I279" s="340" t="s">
        <v>61</v>
      </c>
      <c r="J279" s="340" t="s">
        <v>2476</v>
      </c>
      <c r="K279" s="340" t="s">
        <v>2477</v>
      </c>
      <c r="L279" s="345" t="str">
        <f>VLOOKUP(K279,'20260309 suivi sites'!F:F,1,0)</f>
        <v>07MEYR011AOB</v>
      </c>
      <c r="M279" s="340" t="s">
        <v>64</v>
      </c>
      <c r="N279" s="340" t="s">
        <v>65</v>
      </c>
      <c r="O279" s="340" t="s">
        <v>64</v>
      </c>
      <c r="P279" s="338">
        <v>43543</v>
      </c>
      <c r="Q279" s="341">
        <v>43754</v>
      </c>
      <c r="R279" s="347" t="b">
        <f t="shared" si="9"/>
        <v>0</v>
      </c>
      <c r="S279" s="347" t="str">
        <f t="shared" si="8"/>
        <v>change</v>
      </c>
      <c r="T279" s="342" t="s">
        <v>56</v>
      </c>
      <c r="U279" s="342" t="s">
        <v>2478</v>
      </c>
      <c r="V279" s="342" t="s">
        <v>2479</v>
      </c>
      <c r="W279" s="342" t="s">
        <v>2480</v>
      </c>
      <c r="X279" s="342" t="s">
        <v>69</v>
      </c>
      <c r="Y279" s="349" t="s">
        <v>2481</v>
      </c>
      <c r="Z279" s="342" t="s">
        <v>71</v>
      </c>
      <c r="AA279" s="342" t="s">
        <v>218</v>
      </c>
      <c r="AB279" s="342" t="s">
        <v>152</v>
      </c>
      <c r="AC279" s="342" t="s">
        <v>74</v>
      </c>
      <c r="AD279" s="342"/>
      <c r="AE279" s="342" t="s">
        <v>2482</v>
      </c>
      <c r="AF279" s="349" t="s">
        <v>3773</v>
      </c>
      <c r="AG279" s="342" t="s">
        <v>74</v>
      </c>
      <c r="AH279" s="342" t="s">
        <v>74</v>
      </c>
      <c r="AI279" s="342" t="s">
        <v>74</v>
      </c>
      <c r="AJ279" s="342" t="s">
        <v>77</v>
      </c>
      <c r="AK279" s="342" t="s">
        <v>97</v>
      </c>
      <c r="AL279" s="342" t="s">
        <v>79</v>
      </c>
      <c r="AM279" s="342" t="s">
        <v>74</v>
      </c>
      <c r="AN279" s="342"/>
      <c r="AO279" s="342" t="s">
        <v>2483</v>
      </c>
      <c r="AP279" s="342" t="s">
        <v>81</v>
      </c>
      <c r="AQ279" s="349" t="s">
        <v>748</v>
      </c>
      <c r="AR279" s="342" t="s">
        <v>83</v>
      </c>
      <c r="AS279" s="342" t="s">
        <v>84</v>
      </c>
      <c r="AT279" s="342" t="s">
        <v>45</v>
      </c>
      <c r="AU279" s="342" t="s">
        <v>85</v>
      </c>
      <c r="AV279" s="342"/>
      <c r="AW279" s="342"/>
      <c r="AX279" s="343" t="str">
        <f>IF(OR(Tableau3[[#This Row],[Option GTR]]&lt;&gt;"",Tableau3[[#This Row],[GTR spécifique]]&lt;&gt;""),"GTRS1","GTRS2")</f>
        <v>GTRS2</v>
      </c>
      <c r="AY279" s="342" t="s">
        <v>738</v>
      </c>
      <c r="AZ279" s="342"/>
      <c r="BA279" s="342" t="s">
        <v>2484</v>
      </c>
    </row>
    <row r="280" spans="1:53" s="326" customFormat="1" ht="18.149999999999999" customHeight="1" x14ac:dyDescent="0.3">
      <c r="A280" s="340" t="s">
        <v>53</v>
      </c>
      <c r="B280" s="340" t="s">
        <v>54</v>
      </c>
      <c r="C280" s="340" t="s">
        <v>2398</v>
      </c>
      <c r="D280" s="340" t="s">
        <v>56</v>
      </c>
      <c r="E280" s="340" t="s">
        <v>57</v>
      </c>
      <c r="F280" s="340" t="s">
        <v>58</v>
      </c>
      <c r="G280" s="340" t="s">
        <v>59</v>
      </c>
      <c r="H280" s="340" t="s">
        <v>60</v>
      </c>
      <c r="I280" s="340" t="s">
        <v>61</v>
      </c>
      <c r="J280" s="340" t="s">
        <v>2485</v>
      </c>
      <c r="K280" s="340" t="s">
        <v>2486</v>
      </c>
      <c r="L280" s="345" t="str">
        <f>VLOOKUP(K280,'20260309 suivi sites'!F:F,1,0)</f>
        <v>15NEUV011AOS</v>
      </c>
      <c r="M280" s="340" t="s">
        <v>64</v>
      </c>
      <c r="N280" s="340" t="s">
        <v>65</v>
      </c>
      <c r="O280" s="340" t="s">
        <v>64</v>
      </c>
      <c r="P280" s="338">
        <v>43565</v>
      </c>
      <c r="Q280" s="341">
        <v>43823</v>
      </c>
      <c r="R280" s="347" t="b">
        <f t="shared" si="9"/>
        <v>0</v>
      </c>
      <c r="S280" s="347" t="str">
        <f t="shared" si="8"/>
        <v>change</v>
      </c>
      <c r="T280" s="342" t="s">
        <v>56</v>
      </c>
      <c r="U280" s="342" t="s">
        <v>2487</v>
      </c>
      <c r="V280" s="342" t="s">
        <v>2488</v>
      </c>
      <c r="W280" s="342" t="s">
        <v>2489</v>
      </c>
      <c r="X280" s="342" t="s">
        <v>69</v>
      </c>
      <c r="Y280" s="349" t="s">
        <v>2490</v>
      </c>
      <c r="Z280" s="342" t="s">
        <v>71</v>
      </c>
      <c r="AA280" s="342" t="s">
        <v>72</v>
      </c>
      <c r="AB280" s="342" t="s">
        <v>73</v>
      </c>
      <c r="AC280" s="342" t="s">
        <v>74</v>
      </c>
      <c r="AD280" s="342"/>
      <c r="AE280" s="342" t="s">
        <v>2491</v>
      </c>
      <c r="AF280" s="349" t="s">
        <v>3766</v>
      </c>
      <c r="AG280" s="342" t="s">
        <v>74</v>
      </c>
      <c r="AH280" s="342" t="s">
        <v>76</v>
      </c>
      <c r="AI280" s="342" t="s">
        <v>74</v>
      </c>
      <c r="AJ280" s="342" t="s">
        <v>77</v>
      </c>
      <c r="AK280" s="342" t="s">
        <v>97</v>
      </c>
      <c r="AL280" s="342" t="s">
        <v>79</v>
      </c>
      <c r="AM280" s="342" t="s">
        <v>74</v>
      </c>
      <c r="AN280" s="342"/>
      <c r="AO280" s="342" t="s">
        <v>2492</v>
      </c>
      <c r="AP280" s="342" t="s">
        <v>81</v>
      </c>
      <c r="AQ280" s="349" t="s">
        <v>130</v>
      </c>
      <c r="AR280" s="342" t="s">
        <v>83</v>
      </c>
      <c r="AS280" s="342" t="s">
        <v>84</v>
      </c>
      <c r="AT280" s="342" t="s">
        <v>45</v>
      </c>
      <c r="AU280" s="342" t="s">
        <v>85</v>
      </c>
      <c r="AV280" s="342"/>
      <c r="AW280" s="342"/>
      <c r="AX280" s="343" t="str">
        <f>IF(OR(Tableau3[[#This Row],[Option GTR]]&lt;&gt;"",Tableau3[[#This Row],[GTR spécifique]]&lt;&gt;""),"GTRS1","GTRS2")</f>
        <v>GTRS2</v>
      </c>
      <c r="AY280" s="342" t="s">
        <v>143</v>
      </c>
      <c r="AZ280" s="342"/>
      <c r="BA280" s="342" t="s">
        <v>365</v>
      </c>
    </row>
    <row r="281" spans="1:53" s="326" customFormat="1" ht="18.149999999999999" customHeight="1" x14ac:dyDescent="0.3">
      <c r="A281" s="340" t="s">
        <v>53</v>
      </c>
      <c r="B281" s="340" t="s">
        <v>54</v>
      </c>
      <c r="C281" s="340" t="s">
        <v>2398</v>
      </c>
      <c r="D281" s="340" t="s">
        <v>56</v>
      </c>
      <c r="E281" s="340" t="s">
        <v>57</v>
      </c>
      <c r="F281" s="340" t="s">
        <v>58</v>
      </c>
      <c r="G281" s="340" t="s">
        <v>59</v>
      </c>
      <c r="H281" s="340" t="s">
        <v>60</v>
      </c>
      <c r="I281" s="340" t="s">
        <v>61</v>
      </c>
      <c r="J281" s="340" t="s">
        <v>2493</v>
      </c>
      <c r="K281" s="340" t="s">
        <v>2494</v>
      </c>
      <c r="L281" s="345" t="str">
        <f>VLOOKUP(K281,'20260309 suivi sites'!F:F,1,0)</f>
        <v>43MONI031AOB</v>
      </c>
      <c r="M281" s="340" t="s">
        <v>64</v>
      </c>
      <c r="N281" s="340" t="s">
        <v>65</v>
      </c>
      <c r="O281" s="340" t="s">
        <v>64</v>
      </c>
      <c r="P281" s="338">
        <v>43788</v>
      </c>
      <c r="Q281" s="341">
        <v>44746</v>
      </c>
      <c r="R281" s="347" t="b">
        <f t="shared" si="9"/>
        <v>0</v>
      </c>
      <c r="S281" s="347" t="str">
        <f t="shared" si="8"/>
        <v>change</v>
      </c>
      <c r="T281" s="342" t="s">
        <v>1439</v>
      </c>
      <c r="U281" s="342" t="s">
        <v>2495</v>
      </c>
      <c r="V281" s="342" t="s">
        <v>2496</v>
      </c>
      <c r="W281" s="342" t="s">
        <v>2497</v>
      </c>
      <c r="X281" s="342" t="s">
        <v>69</v>
      </c>
      <c r="Y281" s="349" t="s">
        <v>2498</v>
      </c>
      <c r="Z281" s="342" t="s">
        <v>71</v>
      </c>
      <c r="AA281" s="342" t="s">
        <v>218</v>
      </c>
      <c r="AB281" s="342" t="s">
        <v>152</v>
      </c>
      <c r="AC281" s="342" t="s">
        <v>74</v>
      </c>
      <c r="AD281" s="342"/>
      <c r="AE281" s="342" t="s">
        <v>2499</v>
      </c>
      <c r="AF281" s="349" t="s">
        <v>3773</v>
      </c>
      <c r="AG281" s="342" t="s">
        <v>74</v>
      </c>
      <c r="AH281" s="342" t="s">
        <v>74</v>
      </c>
      <c r="AI281" s="342" t="s">
        <v>74</v>
      </c>
      <c r="AJ281" s="342" t="s">
        <v>77</v>
      </c>
      <c r="AK281" s="342" t="s">
        <v>97</v>
      </c>
      <c r="AL281" s="342" t="s">
        <v>79</v>
      </c>
      <c r="AM281" s="342" t="s">
        <v>74</v>
      </c>
      <c r="AN281" s="342"/>
      <c r="AO281" s="342" t="s">
        <v>2500</v>
      </c>
      <c r="AP281" s="342" t="s">
        <v>81</v>
      </c>
      <c r="AQ281" s="349" t="s">
        <v>748</v>
      </c>
      <c r="AR281" s="342" t="s">
        <v>83</v>
      </c>
      <c r="AS281" s="342" t="s">
        <v>84</v>
      </c>
      <c r="AT281" s="342" t="s">
        <v>45</v>
      </c>
      <c r="AU281" s="342" t="s">
        <v>85</v>
      </c>
      <c r="AV281" s="342"/>
      <c r="AW281" s="342"/>
      <c r="AX281" s="343" t="str">
        <f>IF(OR(Tableau3[[#This Row],[Option GTR]]&lt;&gt;"",Tableau3[[#This Row],[GTR spécifique]]&lt;&gt;""),"GTRS1","GTRS2")</f>
        <v>GTRS2</v>
      </c>
      <c r="AY281" s="342" t="s">
        <v>738</v>
      </c>
      <c r="AZ281" s="342"/>
      <c r="BA281" s="342" t="s">
        <v>2501</v>
      </c>
    </row>
    <row r="282" spans="1:53" s="326" customFormat="1" ht="18.149999999999999" customHeight="1" x14ac:dyDescent="0.3">
      <c r="A282" s="340" t="s">
        <v>53</v>
      </c>
      <c r="B282" s="340" t="s">
        <v>54</v>
      </c>
      <c r="C282" s="340" t="s">
        <v>2398</v>
      </c>
      <c r="D282" s="340" t="s">
        <v>56</v>
      </c>
      <c r="E282" s="340" t="s">
        <v>57</v>
      </c>
      <c r="F282" s="340" t="s">
        <v>58</v>
      </c>
      <c r="G282" s="340" t="s">
        <v>59</v>
      </c>
      <c r="H282" s="340" t="s">
        <v>60</v>
      </c>
      <c r="I282" s="340" t="s">
        <v>61</v>
      </c>
      <c r="J282" s="340" t="s">
        <v>2502</v>
      </c>
      <c r="K282" s="340" t="s">
        <v>2503</v>
      </c>
      <c r="L282" s="345" t="str">
        <f>VLOOKUP(K282,'20260309 suivi sites'!F:F,1,0)</f>
        <v>63QUEU011AOB</v>
      </c>
      <c r="M282" s="340" t="s">
        <v>64</v>
      </c>
      <c r="N282" s="340" t="s">
        <v>65</v>
      </c>
      <c r="O282" s="340" t="s">
        <v>64</v>
      </c>
      <c r="P282" s="338">
        <v>43794</v>
      </c>
      <c r="Q282" s="341">
        <v>45609</v>
      </c>
      <c r="R282" s="347" t="b">
        <f t="shared" si="9"/>
        <v>0</v>
      </c>
      <c r="S282" s="347" t="str">
        <f t="shared" si="8"/>
        <v>change</v>
      </c>
      <c r="T282" s="342" t="s">
        <v>1439</v>
      </c>
      <c r="U282" s="342" t="s">
        <v>2504</v>
      </c>
      <c r="V282" s="342" t="s">
        <v>2505</v>
      </c>
      <c r="W282" s="342" t="s">
        <v>2506</v>
      </c>
      <c r="X282" s="342" t="s">
        <v>69</v>
      </c>
      <c r="Y282" s="349" t="s">
        <v>2507</v>
      </c>
      <c r="Z282" s="342" t="s">
        <v>71</v>
      </c>
      <c r="AA282" s="342" t="s">
        <v>218</v>
      </c>
      <c r="AB282" s="342" t="s">
        <v>152</v>
      </c>
      <c r="AC282" s="342" t="s">
        <v>74</v>
      </c>
      <c r="AD282" s="342"/>
      <c r="AE282" s="342" t="s">
        <v>2508</v>
      </c>
      <c r="AF282" s="349" t="s">
        <v>3773</v>
      </c>
      <c r="AG282" s="342" t="s">
        <v>74</v>
      </c>
      <c r="AH282" s="342" t="s">
        <v>74</v>
      </c>
      <c r="AI282" s="342" t="s">
        <v>74</v>
      </c>
      <c r="AJ282" s="342" t="s">
        <v>77</v>
      </c>
      <c r="AK282" s="342" t="s">
        <v>97</v>
      </c>
      <c r="AL282" s="342" t="s">
        <v>79</v>
      </c>
      <c r="AM282" s="342" t="s">
        <v>74</v>
      </c>
      <c r="AN282" s="342"/>
      <c r="AO282" s="342" t="s">
        <v>2509</v>
      </c>
      <c r="AP282" s="342" t="s">
        <v>81</v>
      </c>
      <c r="AQ282" s="349" t="s">
        <v>748</v>
      </c>
      <c r="AR282" s="342" t="s">
        <v>83</v>
      </c>
      <c r="AS282" s="342" t="s">
        <v>84</v>
      </c>
      <c r="AT282" s="342" t="s">
        <v>45</v>
      </c>
      <c r="AU282" s="342" t="s">
        <v>85</v>
      </c>
      <c r="AV282" s="342"/>
      <c r="AW282" s="342"/>
      <c r="AX282" s="343" t="str">
        <f>IF(OR(Tableau3[[#This Row],[Option GTR]]&lt;&gt;"",Tableau3[[#This Row],[GTR spécifique]]&lt;&gt;""),"GTRS1","GTRS2")</f>
        <v>GTRS2</v>
      </c>
      <c r="AY282" s="342" t="s">
        <v>738</v>
      </c>
      <c r="AZ282" s="342"/>
      <c r="BA282" s="342" t="s">
        <v>2510</v>
      </c>
    </row>
    <row r="283" spans="1:53" s="326" customFormat="1" ht="18.149999999999999" customHeight="1" x14ac:dyDescent="0.3">
      <c r="A283" s="340" t="s">
        <v>53</v>
      </c>
      <c r="B283" s="340" t="s">
        <v>54</v>
      </c>
      <c r="C283" s="340" t="s">
        <v>2398</v>
      </c>
      <c r="D283" s="340" t="s">
        <v>56</v>
      </c>
      <c r="E283" s="340" t="s">
        <v>57</v>
      </c>
      <c r="F283" s="340" t="s">
        <v>58</v>
      </c>
      <c r="G283" s="340" t="s">
        <v>59</v>
      </c>
      <c r="H283" s="340" t="s">
        <v>60</v>
      </c>
      <c r="I283" s="340" t="s">
        <v>61</v>
      </c>
      <c r="J283" s="340" t="s">
        <v>2511</v>
      </c>
      <c r="K283" s="340" t="s">
        <v>2512</v>
      </c>
      <c r="L283" s="345" t="str">
        <f>VLOOKUP(K283,'20260309 suivi sites'!F:F,1,0)</f>
        <v>12LETR011AOM</v>
      </c>
      <c r="M283" s="340" t="s">
        <v>64</v>
      </c>
      <c r="N283" s="340" t="s">
        <v>65</v>
      </c>
      <c r="O283" s="340" t="s">
        <v>1774</v>
      </c>
      <c r="P283" s="338">
        <v>44098</v>
      </c>
      <c r="Q283" s="341"/>
      <c r="R283" s="347" t="b">
        <f t="shared" si="9"/>
        <v>0</v>
      </c>
      <c r="S283" s="347" t="str">
        <f t="shared" si="8"/>
        <v>change</v>
      </c>
      <c r="T283" s="342" t="s">
        <v>1439</v>
      </c>
      <c r="U283" s="342" t="s">
        <v>2513</v>
      </c>
      <c r="V283" s="342" t="s">
        <v>2514</v>
      </c>
      <c r="W283" s="342" t="s">
        <v>2515</v>
      </c>
      <c r="X283" s="342" t="s">
        <v>69</v>
      </c>
      <c r="Y283" s="349" t="s">
        <v>2516</v>
      </c>
      <c r="Z283" s="342" t="s">
        <v>71</v>
      </c>
      <c r="AA283" s="342" t="s">
        <v>218</v>
      </c>
      <c r="AB283" s="342" t="s">
        <v>152</v>
      </c>
      <c r="AC283" s="342" t="s">
        <v>74</v>
      </c>
      <c r="AD283" s="342"/>
      <c r="AE283" s="342" t="s">
        <v>2517</v>
      </c>
      <c r="AF283" s="349" t="s">
        <v>3770</v>
      </c>
      <c r="AG283" s="342" t="s">
        <v>74</v>
      </c>
      <c r="AH283" s="342" t="s">
        <v>76</v>
      </c>
      <c r="AI283" s="342" t="s">
        <v>74</v>
      </c>
      <c r="AJ283" s="342" t="s">
        <v>77</v>
      </c>
      <c r="AK283" s="342" t="s">
        <v>97</v>
      </c>
      <c r="AL283" s="342" t="s">
        <v>79</v>
      </c>
      <c r="AM283" s="342" t="s">
        <v>74</v>
      </c>
      <c r="AN283" s="342"/>
      <c r="AO283" s="342" t="s">
        <v>2518</v>
      </c>
      <c r="AP283" s="342" t="s">
        <v>81</v>
      </c>
      <c r="AQ283" s="349" t="s">
        <v>210</v>
      </c>
      <c r="AR283" s="342" t="s">
        <v>83</v>
      </c>
      <c r="AS283" s="342" t="s">
        <v>84</v>
      </c>
      <c r="AT283" s="342" t="s">
        <v>45</v>
      </c>
      <c r="AU283" s="342" t="s">
        <v>85</v>
      </c>
      <c r="AV283" s="342"/>
      <c r="AW283" s="342"/>
      <c r="AX283" s="343" t="str">
        <f>IF(OR(Tableau3[[#This Row],[Option GTR]]&lt;&gt;"",Tableau3[[#This Row],[GTR spécifique]]&lt;&gt;""),"GTRS1","GTRS2")</f>
        <v>GTRS2</v>
      </c>
      <c r="AY283" s="342" t="s">
        <v>355</v>
      </c>
      <c r="AZ283" s="342"/>
      <c r="BA283" s="342" t="s">
        <v>3813</v>
      </c>
    </row>
    <row r="284" spans="1:53" s="326" customFormat="1" ht="18.149999999999999" customHeight="1" x14ac:dyDescent="0.3">
      <c r="A284" s="340" t="s">
        <v>53</v>
      </c>
      <c r="B284" s="340" t="s">
        <v>54</v>
      </c>
      <c r="C284" s="340" t="s">
        <v>2398</v>
      </c>
      <c r="D284" s="340" t="s">
        <v>56</v>
      </c>
      <c r="E284" s="340" t="s">
        <v>57</v>
      </c>
      <c r="F284" s="340" t="s">
        <v>58</v>
      </c>
      <c r="G284" s="340" t="s">
        <v>59</v>
      </c>
      <c r="H284" s="340" t="s">
        <v>60</v>
      </c>
      <c r="I284" s="340" t="s">
        <v>61</v>
      </c>
      <c r="J284" s="340" t="s">
        <v>2519</v>
      </c>
      <c r="K284" s="340" t="s">
        <v>2520</v>
      </c>
      <c r="L284" s="345" t="str">
        <f>VLOOKUP(K284,'20260309 suivi sites'!F:F,1,0)</f>
        <v>34OLAR011AOM</v>
      </c>
      <c r="M284" s="340" t="s">
        <v>64</v>
      </c>
      <c r="N284" s="340" t="s">
        <v>65</v>
      </c>
      <c r="O284" s="340" t="s">
        <v>104</v>
      </c>
      <c r="P284" s="338">
        <v>44244</v>
      </c>
      <c r="Q284" s="341"/>
      <c r="R284" s="347" t="b">
        <f t="shared" si="9"/>
        <v>0</v>
      </c>
      <c r="S284" s="347" t="str">
        <f t="shared" si="8"/>
        <v>change</v>
      </c>
      <c r="T284" s="342" t="s">
        <v>1439</v>
      </c>
      <c r="U284" s="342" t="s">
        <v>2521</v>
      </c>
      <c r="V284" s="342" t="s">
        <v>2522</v>
      </c>
      <c r="W284" s="342" t="s">
        <v>2523</v>
      </c>
      <c r="X284" s="342" t="s">
        <v>69</v>
      </c>
      <c r="Y284" s="349" t="s">
        <v>2524</v>
      </c>
      <c r="Z284" s="342" t="s">
        <v>71</v>
      </c>
      <c r="AA284" s="342" t="s">
        <v>218</v>
      </c>
      <c r="AB284" s="342" t="s">
        <v>152</v>
      </c>
      <c r="AC284" s="342" t="s">
        <v>74</v>
      </c>
      <c r="AD284" s="342"/>
      <c r="AE284" s="342" t="s">
        <v>2525</v>
      </c>
      <c r="AF284" s="349" t="s">
        <v>3770</v>
      </c>
      <c r="AG284" s="342" t="s">
        <v>74</v>
      </c>
      <c r="AH284" s="342" t="s">
        <v>76</v>
      </c>
      <c r="AI284" s="342" t="s">
        <v>74</v>
      </c>
      <c r="AJ284" s="342" t="s">
        <v>77</v>
      </c>
      <c r="AK284" s="342" t="s">
        <v>97</v>
      </c>
      <c r="AL284" s="342" t="s">
        <v>79</v>
      </c>
      <c r="AM284" s="342" t="s">
        <v>74</v>
      </c>
      <c r="AN284" s="342"/>
      <c r="AO284" s="342" t="s">
        <v>2526</v>
      </c>
      <c r="AP284" s="342" t="s">
        <v>81</v>
      </c>
      <c r="AQ284" s="349" t="s">
        <v>210</v>
      </c>
      <c r="AR284" s="342" t="s">
        <v>83</v>
      </c>
      <c r="AS284" s="342" t="s">
        <v>84</v>
      </c>
      <c r="AT284" s="342" t="s">
        <v>45</v>
      </c>
      <c r="AU284" s="342" t="s">
        <v>85</v>
      </c>
      <c r="AV284" s="342" t="s">
        <v>480</v>
      </c>
      <c r="AW284" s="342"/>
      <c r="AX284" s="343" t="str">
        <f>IF(OR(Tableau3[[#This Row],[Option GTR]]&lt;&gt;"",Tableau3[[#This Row],[GTR spécifique]]&lt;&gt;""),"GTRS1","GTRS2")</f>
        <v>GTRS1</v>
      </c>
      <c r="AY284" s="342" t="s">
        <v>355</v>
      </c>
      <c r="AZ284" s="342"/>
      <c r="BA284" s="342" t="s">
        <v>3814</v>
      </c>
    </row>
    <row r="285" spans="1:53" s="326" customFormat="1" ht="18.149999999999999" customHeight="1" x14ac:dyDescent="0.3">
      <c r="A285" s="340" t="s">
        <v>53</v>
      </c>
      <c r="B285" s="340" t="s">
        <v>54</v>
      </c>
      <c r="C285" s="340" t="s">
        <v>2398</v>
      </c>
      <c r="D285" s="340" t="s">
        <v>56</v>
      </c>
      <c r="E285" s="340" t="s">
        <v>57</v>
      </c>
      <c r="F285" s="340" t="s">
        <v>58</v>
      </c>
      <c r="G285" s="340" t="s">
        <v>59</v>
      </c>
      <c r="H285" s="340" t="s">
        <v>60</v>
      </c>
      <c r="I285" s="340" t="s">
        <v>61</v>
      </c>
      <c r="J285" s="340" t="s">
        <v>2527</v>
      </c>
      <c r="K285" s="340" t="s">
        <v>2528</v>
      </c>
      <c r="L285" s="345" t="str">
        <f>VLOOKUP(K285,'20260309 suivi sites'!F:F,1,0)</f>
        <v>38CORP011AOS</v>
      </c>
      <c r="M285" s="340" t="s">
        <v>64</v>
      </c>
      <c r="N285" s="340" t="s">
        <v>65</v>
      </c>
      <c r="O285" s="340" t="s">
        <v>64</v>
      </c>
      <c r="P285" s="338">
        <v>44195</v>
      </c>
      <c r="Q285" s="341">
        <v>45890</v>
      </c>
      <c r="R285" s="347" t="b">
        <f t="shared" si="9"/>
        <v>0</v>
      </c>
      <c r="S285" s="347" t="str">
        <f t="shared" si="8"/>
        <v>change</v>
      </c>
      <c r="T285" s="342" t="s">
        <v>1439</v>
      </c>
      <c r="U285" s="342" t="s">
        <v>2529</v>
      </c>
      <c r="V285" s="342" t="s">
        <v>2530</v>
      </c>
      <c r="W285" s="342" t="s">
        <v>2531</v>
      </c>
      <c r="X285" s="342" t="s">
        <v>69</v>
      </c>
      <c r="Y285" s="349" t="s">
        <v>2532</v>
      </c>
      <c r="Z285" s="342" t="s">
        <v>71</v>
      </c>
      <c r="AA285" s="342" t="s">
        <v>72</v>
      </c>
      <c r="AB285" s="342" t="s">
        <v>73</v>
      </c>
      <c r="AC285" s="342" t="s">
        <v>74</v>
      </c>
      <c r="AD285" s="342"/>
      <c r="AE285" s="342" t="s">
        <v>2533</v>
      </c>
      <c r="AF285" s="349" t="s">
        <v>3770</v>
      </c>
      <c r="AG285" s="342" t="s">
        <v>74</v>
      </c>
      <c r="AH285" s="342" t="s">
        <v>76</v>
      </c>
      <c r="AI285" s="342" t="s">
        <v>74</v>
      </c>
      <c r="AJ285" s="342" t="s">
        <v>77</v>
      </c>
      <c r="AK285" s="342" t="s">
        <v>97</v>
      </c>
      <c r="AL285" s="342" t="s">
        <v>79</v>
      </c>
      <c r="AM285" s="342" t="s">
        <v>74</v>
      </c>
      <c r="AN285" s="342"/>
      <c r="AO285" s="342" t="s">
        <v>2534</v>
      </c>
      <c r="AP285" s="342" t="s">
        <v>81</v>
      </c>
      <c r="AQ285" s="349" t="s">
        <v>210</v>
      </c>
      <c r="AR285" s="342" t="s">
        <v>83</v>
      </c>
      <c r="AS285" s="342" t="s">
        <v>84</v>
      </c>
      <c r="AT285" s="342" t="s">
        <v>45</v>
      </c>
      <c r="AU285" s="342" t="s">
        <v>85</v>
      </c>
      <c r="AV285" s="342"/>
      <c r="AW285" s="342"/>
      <c r="AX285" s="343" t="str">
        <f>IF(OR(Tableau3[[#This Row],[Option GTR]]&lt;&gt;"",Tableau3[[#This Row],[GTR spécifique]]&lt;&gt;""),"GTRS1","GTRS2")</f>
        <v>GTRS2</v>
      </c>
      <c r="AY285" s="342" t="s">
        <v>143</v>
      </c>
      <c r="AZ285" s="342"/>
      <c r="BA285" s="342" t="s">
        <v>2535</v>
      </c>
    </row>
    <row r="286" spans="1:53" s="326" customFormat="1" ht="18.149999999999999" customHeight="1" x14ac:dyDescent="0.3">
      <c r="A286" s="340" t="s">
        <v>53</v>
      </c>
      <c r="B286" s="340" t="s">
        <v>54</v>
      </c>
      <c r="C286" s="340" t="s">
        <v>2398</v>
      </c>
      <c r="D286" s="340" t="s">
        <v>56</v>
      </c>
      <c r="E286" s="340" t="s">
        <v>57</v>
      </c>
      <c r="F286" s="340" t="s">
        <v>58</v>
      </c>
      <c r="G286" s="340" t="s">
        <v>59</v>
      </c>
      <c r="H286" s="340" t="s">
        <v>60</v>
      </c>
      <c r="I286" s="340" t="s">
        <v>61</v>
      </c>
      <c r="J286" s="340" t="s">
        <v>2536</v>
      </c>
      <c r="K286" s="340" t="s">
        <v>2537</v>
      </c>
      <c r="L286" s="345" t="str">
        <f>VLOOKUP(K286,'20260309 suivi sites'!F:F,1,0)</f>
        <v>46CAJA011AOB</v>
      </c>
      <c r="M286" s="340" t="s">
        <v>64</v>
      </c>
      <c r="N286" s="340" t="s">
        <v>65</v>
      </c>
      <c r="O286" s="340" t="s">
        <v>64</v>
      </c>
      <c r="P286" s="338">
        <v>43850</v>
      </c>
      <c r="Q286" s="341">
        <v>45632</v>
      </c>
      <c r="R286" s="347" t="b">
        <f t="shared" si="9"/>
        <v>0</v>
      </c>
      <c r="S286" s="347" t="str">
        <f t="shared" si="8"/>
        <v>change</v>
      </c>
      <c r="T286" s="342" t="s">
        <v>1439</v>
      </c>
      <c r="U286" s="342" t="s">
        <v>2538</v>
      </c>
      <c r="V286" s="342" t="s">
        <v>2539</v>
      </c>
      <c r="W286" s="342" t="s">
        <v>2540</v>
      </c>
      <c r="X286" s="342" t="s">
        <v>69</v>
      </c>
      <c r="Y286" s="349" t="s">
        <v>2541</v>
      </c>
      <c r="Z286" s="342" t="s">
        <v>71</v>
      </c>
      <c r="AA286" s="342" t="s">
        <v>218</v>
      </c>
      <c r="AB286" s="342" t="s">
        <v>152</v>
      </c>
      <c r="AC286" s="342" t="s">
        <v>74</v>
      </c>
      <c r="AD286" s="342"/>
      <c r="AE286" s="342" t="s">
        <v>2542</v>
      </c>
      <c r="AF286" s="349" t="s">
        <v>3766</v>
      </c>
      <c r="AG286" s="342" t="s">
        <v>74</v>
      </c>
      <c r="AH286" s="342" t="s">
        <v>76</v>
      </c>
      <c r="AI286" s="342" t="s">
        <v>74</v>
      </c>
      <c r="AJ286" s="342" t="s">
        <v>382</v>
      </c>
      <c r="AK286" s="342" t="s">
        <v>97</v>
      </c>
      <c r="AL286" s="342" t="s">
        <v>79</v>
      </c>
      <c r="AM286" s="342" t="s">
        <v>74</v>
      </c>
      <c r="AN286" s="342"/>
      <c r="AO286" s="342" t="s">
        <v>2543</v>
      </c>
      <c r="AP286" s="342" t="s">
        <v>81</v>
      </c>
      <c r="AQ286" s="349" t="s">
        <v>142</v>
      </c>
      <c r="AR286" s="342" t="s">
        <v>83</v>
      </c>
      <c r="AS286" s="342" t="s">
        <v>84</v>
      </c>
      <c r="AT286" s="342" t="s">
        <v>45</v>
      </c>
      <c r="AU286" s="342" t="s">
        <v>85</v>
      </c>
      <c r="AV286" s="342"/>
      <c r="AW286" s="342"/>
      <c r="AX286" s="343" t="str">
        <f>IF(OR(Tableau3[[#This Row],[Option GTR]]&lt;&gt;"",Tableau3[[#This Row],[GTR spécifique]]&lt;&gt;""),"GTRS1","GTRS2")</f>
        <v>GTRS2</v>
      </c>
      <c r="AY286" s="342" t="s">
        <v>355</v>
      </c>
      <c r="AZ286" s="342"/>
      <c r="BA286" s="342" t="s">
        <v>2544</v>
      </c>
    </row>
    <row r="287" spans="1:53" s="326" customFormat="1" ht="18.149999999999999" customHeight="1" x14ac:dyDescent="0.3">
      <c r="A287" s="340" t="s">
        <v>53</v>
      </c>
      <c r="B287" s="340" t="s">
        <v>54</v>
      </c>
      <c r="C287" s="340" t="s">
        <v>2398</v>
      </c>
      <c r="D287" s="340" t="s">
        <v>56</v>
      </c>
      <c r="E287" s="340" t="s">
        <v>57</v>
      </c>
      <c r="F287" s="340" t="s">
        <v>58</v>
      </c>
      <c r="G287" s="340" t="s">
        <v>59</v>
      </c>
      <c r="H287" s="340" t="s">
        <v>60</v>
      </c>
      <c r="I287" s="340" t="s">
        <v>61</v>
      </c>
      <c r="J287" s="340" t="s">
        <v>2545</v>
      </c>
      <c r="K287" s="340" t="s">
        <v>2546</v>
      </c>
      <c r="L287" s="345" t="str">
        <f>VLOOKUP(K287,'20260309 suivi sites'!F:F,1,0)</f>
        <v>73AVRI011AOM</v>
      </c>
      <c r="M287" s="340" t="s">
        <v>64</v>
      </c>
      <c r="N287" s="340" t="s">
        <v>65</v>
      </c>
      <c r="O287" s="340" t="s">
        <v>64</v>
      </c>
      <c r="P287" s="338">
        <v>44195</v>
      </c>
      <c r="Q287" s="341">
        <v>45848</v>
      </c>
      <c r="R287" s="347" t="b">
        <f t="shared" si="9"/>
        <v>0</v>
      </c>
      <c r="S287" s="347" t="str">
        <f t="shared" si="8"/>
        <v>change</v>
      </c>
      <c r="T287" s="342" t="s">
        <v>1439</v>
      </c>
      <c r="U287" s="342" t="s">
        <v>2547</v>
      </c>
      <c r="V287" s="342" t="s">
        <v>2548</v>
      </c>
      <c r="W287" s="342" t="s">
        <v>2549</v>
      </c>
      <c r="X287" s="342" t="s">
        <v>69</v>
      </c>
      <c r="Y287" s="349" t="s">
        <v>2550</v>
      </c>
      <c r="Z287" s="342" t="s">
        <v>71</v>
      </c>
      <c r="AA287" s="342" t="s">
        <v>218</v>
      </c>
      <c r="AB287" s="342" t="s">
        <v>152</v>
      </c>
      <c r="AC287" s="342" t="s">
        <v>74</v>
      </c>
      <c r="AD287" s="342"/>
      <c r="AE287" s="342" t="s">
        <v>2551</v>
      </c>
      <c r="AF287" s="349" t="s">
        <v>3769</v>
      </c>
      <c r="AG287" s="342" t="s">
        <v>74</v>
      </c>
      <c r="AH287" s="342" t="s">
        <v>76</v>
      </c>
      <c r="AI287" s="342" t="s">
        <v>74</v>
      </c>
      <c r="AJ287" s="342" t="s">
        <v>77</v>
      </c>
      <c r="AK287" s="342" t="s">
        <v>165</v>
      </c>
      <c r="AL287" s="342" t="s">
        <v>79</v>
      </c>
      <c r="AM287" s="342" t="s">
        <v>74</v>
      </c>
      <c r="AN287" s="342"/>
      <c r="AO287" s="342" t="s">
        <v>2552</v>
      </c>
      <c r="AP287" s="342" t="s">
        <v>81</v>
      </c>
      <c r="AQ287" s="349" t="s">
        <v>200</v>
      </c>
      <c r="AR287" s="342" t="s">
        <v>83</v>
      </c>
      <c r="AS287" s="342" t="s">
        <v>84</v>
      </c>
      <c r="AT287" s="342" t="s">
        <v>45</v>
      </c>
      <c r="AU287" s="342" t="s">
        <v>85</v>
      </c>
      <c r="AV287" s="342"/>
      <c r="AW287" s="342"/>
      <c r="AX287" s="343" t="str">
        <f>IF(OR(Tableau3[[#This Row],[Option GTR]]&lt;&gt;"",Tableau3[[#This Row],[GTR spécifique]]&lt;&gt;""),"GTRS1","GTRS2")</f>
        <v>GTRS2</v>
      </c>
      <c r="AY287" s="342" t="s">
        <v>355</v>
      </c>
      <c r="AZ287" s="342"/>
      <c r="BA287" s="342" t="s">
        <v>2553</v>
      </c>
    </row>
    <row r="288" spans="1:53" s="326" customFormat="1" ht="18.149999999999999" customHeight="1" x14ac:dyDescent="0.3">
      <c r="A288" s="340" t="s">
        <v>53</v>
      </c>
      <c r="B288" s="340" t="s">
        <v>54</v>
      </c>
      <c r="C288" s="340" t="s">
        <v>2398</v>
      </c>
      <c r="D288" s="340" t="s">
        <v>56</v>
      </c>
      <c r="E288" s="340" t="s">
        <v>57</v>
      </c>
      <c r="F288" s="340" t="s">
        <v>58</v>
      </c>
      <c r="G288" s="340" t="s">
        <v>59</v>
      </c>
      <c r="H288" s="340" t="s">
        <v>60</v>
      </c>
      <c r="I288" s="340" t="s">
        <v>61</v>
      </c>
      <c r="J288" s="340" t="s">
        <v>2554</v>
      </c>
      <c r="K288" s="340" t="s">
        <v>2555</v>
      </c>
      <c r="L288" s="345" t="str">
        <f>VLOOKUP(K288,'20260309 suivi sites'!F:F,1,0)</f>
        <v>81ARTH011AOM</v>
      </c>
      <c r="M288" s="340" t="s">
        <v>64</v>
      </c>
      <c r="N288" s="340" t="s">
        <v>65</v>
      </c>
      <c r="O288" s="340" t="s">
        <v>64</v>
      </c>
      <c r="P288" s="338">
        <v>44098</v>
      </c>
      <c r="Q288" s="341">
        <v>44098</v>
      </c>
      <c r="R288" s="347" t="b">
        <f t="shared" si="9"/>
        <v>1</v>
      </c>
      <c r="S288" s="347" t="str">
        <f t="shared" si="8"/>
        <v>création</v>
      </c>
      <c r="T288" s="342" t="s">
        <v>1439</v>
      </c>
      <c r="U288" s="342" t="s">
        <v>2556</v>
      </c>
      <c r="V288" s="342" t="s">
        <v>2557</v>
      </c>
      <c r="W288" s="342" t="s">
        <v>2558</v>
      </c>
      <c r="X288" s="342" t="s">
        <v>69</v>
      </c>
      <c r="Y288" s="349" t="s">
        <v>2559</v>
      </c>
      <c r="Z288" s="342" t="s">
        <v>71</v>
      </c>
      <c r="AA288" s="342" t="s">
        <v>218</v>
      </c>
      <c r="AB288" s="342" t="s">
        <v>152</v>
      </c>
      <c r="AC288" s="342" t="s">
        <v>74</v>
      </c>
      <c r="AD288" s="342"/>
      <c r="AE288" s="342" t="s">
        <v>2560</v>
      </c>
      <c r="AF288" s="349" t="s">
        <v>3764</v>
      </c>
      <c r="AG288" s="342" t="s">
        <v>74</v>
      </c>
      <c r="AH288" s="342" t="s">
        <v>74</v>
      </c>
      <c r="AI288" s="342" t="s">
        <v>74</v>
      </c>
      <c r="AJ288" s="342" t="s">
        <v>77</v>
      </c>
      <c r="AK288" s="342" t="s">
        <v>97</v>
      </c>
      <c r="AL288" s="342" t="s">
        <v>79</v>
      </c>
      <c r="AM288" s="342" t="s">
        <v>74</v>
      </c>
      <c r="AN288" s="342"/>
      <c r="AO288" s="342" t="s">
        <v>2561</v>
      </c>
      <c r="AP288" s="342" t="s">
        <v>81</v>
      </c>
      <c r="AQ288" s="349" t="s">
        <v>1303</v>
      </c>
      <c r="AR288" s="342" t="s">
        <v>83</v>
      </c>
      <c r="AS288" s="342" t="s">
        <v>84</v>
      </c>
      <c r="AT288" s="342" t="s">
        <v>45</v>
      </c>
      <c r="AU288" s="342" t="s">
        <v>85</v>
      </c>
      <c r="AV288" s="342" t="s">
        <v>480</v>
      </c>
      <c r="AW288" s="342"/>
      <c r="AX288" s="343" t="str">
        <f>IF(OR(Tableau3[[#This Row],[Option GTR]]&lt;&gt;"",Tableau3[[#This Row],[GTR spécifique]]&lt;&gt;""),"GTRS1","GTRS2")</f>
        <v>GTRS1</v>
      </c>
      <c r="AY288" s="342" t="s">
        <v>355</v>
      </c>
      <c r="AZ288" s="342" t="s">
        <v>2156</v>
      </c>
      <c r="BA288" s="344" t="s">
        <v>2562</v>
      </c>
    </row>
    <row r="289" spans="1:53" s="326" customFormat="1" ht="18.149999999999999" customHeight="1" x14ac:dyDescent="0.3">
      <c r="A289" s="340" t="s">
        <v>53</v>
      </c>
      <c r="B289" s="340" t="s">
        <v>54</v>
      </c>
      <c r="C289" s="340" t="s">
        <v>2398</v>
      </c>
      <c r="D289" s="340" t="s">
        <v>56</v>
      </c>
      <c r="E289" s="340" t="s">
        <v>57</v>
      </c>
      <c r="F289" s="340" t="s">
        <v>58</v>
      </c>
      <c r="G289" s="340" t="s">
        <v>59</v>
      </c>
      <c r="H289" s="340" t="s">
        <v>60</v>
      </c>
      <c r="I289" s="340" t="s">
        <v>61</v>
      </c>
      <c r="J289" s="340" t="s">
        <v>2563</v>
      </c>
      <c r="K289" s="340" t="s">
        <v>2564</v>
      </c>
      <c r="L289" s="345" t="str">
        <f>VLOOKUP(K289,'20260309 suivi sites'!F:F,1,0)</f>
        <v>81RIVI011AOM</v>
      </c>
      <c r="M289" s="340" t="s">
        <v>64</v>
      </c>
      <c r="N289" s="340" t="s">
        <v>65</v>
      </c>
      <c r="O289" s="340" t="s">
        <v>64</v>
      </c>
      <c r="P289" s="338">
        <v>44097</v>
      </c>
      <c r="Q289" s="341">
        <v>44097</v>
      </c>
      <c r="R289" s="347" t="b">
        <f t="shared" si="9"/>
        <v>1</v>
      </c>
      <c r="S289" s="347" t="str">
        <f t="shared" si="8"/>
        <v>création</v>
      </c>
      <c r="T289" s="342" t="s">
        <v>1439</v>
      </c>
      <c r="U289" s="342" t="s">
        <v>2565</v>
      </c>
      <c r="V289" s="342" t="s">
        <v>1211</v>
      </c>
      <c r="W289" s="342" t="s">
        <v>2566</v>
      </c>
      <c r="X289" s="342" t="s">
        <v>69</v>
      </c>
      <c r="Y289" s="349" t="s">
        <v>2567</v>
      </c>
      <c r="Z289" s="342" t="s">
        <v>71</v>
      </c>
      <c r="AA289" s="342" t="s">
        <v>218</v>
      </c>
      <c r="AB289" s="342" t="s">
        <v>152</v>
      </c>
      <c r="AC289" s="342" t="s">
        <v>74</v>
      </c>
      <c r="AD289" s="342"/>
      <c r="AE289" s="342" t="s">
        <v>2568</v>
      </c>
      <c r="AF289" s="349" t="s">
        <v>3775</v>
      </c>
      <c r="AG289" s="342" t="s">
        <v>74</v>
      </c>
      <c r="AH289" s="342" t="s">
        <v>74</v>
      </c>
      <c r="AI289" s="342" t="s">
        <v>74</v>
      </c>
      <c r="AJ289" s="342" t="s">
        <v>77</v>
      </c>
      <c r="AK289" s="342" t="s">
        <v>97</v>
      </c>
      <c r="AL289" s="342" t="s">
        <v>79</v>
      </c>
      <c r="AM289" s="342" t="s">
        <v>74</v>
      </c>
      <c r="AN289" s="342"/>
      <c r="AO289" s="342" t="s">
        <v>2569</v>
      </c>
      <c r="AP289" s="342" t="s">
        <v>81</v>
      </c>
      <c r="AQ289" s="349" t="s">
        <v>509</v>
      </c>
      <c r="AR289" s="342" t="s">
        <v>83</v>
      </c>
      <c r="AS289" s="342" t="s">
        <v>84</v>
      </c>
      <c r="AT289" s="342" t="s">
        <v>45</v>
      </c>
      <c r="AU289" s="342" t="s">
        <v>85</v>
      </c>
      <c r="AV289" s="342" t="s">
        <v>480</v>
      </c>
      <c r="AW289" s="342"/>
      <c r="AX289" s="343" t="str">
        <f>IF(OR(Tableau3[[#This Row],[Option GTR]]&lt;&gt;"",Tableau3[[#This Row],[GTR spécifique]]&lt;&gt;""),"GTRS1","GTRS2")</f>
        <v>GTRS1</v>
      </c>
      <c r="AY289" s="342" t="s">
        <v>738</v>
      </c>
      <c r="AZ289" s="342" t="s">
        <v>2035</v>
      </c>
      <c r="BA289" s="344" t="s">
        <v>2570</v>
      </c>
    </row>
    <row r="290" spans="1:53" s="326" customFormat="1" ht="18.149999999999999" customHeight="1" x14ac:dyDescent="0.3">
      <c r="A290" s="340" t="s">
        <v>53</v>
      </c>
      <c r="B290" s="340" t="s">
        <v>54</v>
      </c>
      <c r="C290" s="340" t="s">
        <v>2398</v>
      </c>
      <c r="D290" s="340" t="s">
        <v>56</v>
      </c>
      <c r="E290" s="340" t="s">
        <v>57</v>
      </c>
      <c r="F290" s="340" t="s">
        <v>58</v>
      </c>
      <c r="G290" s="340" t="s">
        <v>59</v>
      </c>
      <c r="H290" s="340" t="s">
        <v>60</v>
      </c>
      <c r="I290" s="340" t="s">
        <v>61</v>
      </c>
      <c r="J290" s="340" t="s">
        <v>2571</v>
      </c>
      <c r="K290" s="340" t="s">
        <v>2572</v>
      </c>
      <c r="L290" s="345" t="str">
        <f>VLOOKUP(K290,'20260309 suivi sites'!F:F,1,0)</f>
        <v>06STMA011AOS</v>
      </c>
      <c r="M290" s="340" t="s">
        <v>64</v>
      </c>
      <c r="N290" s="340" t="s">
        <v>65</v>
      </c>
      <c r="O290" s="340" t="s">
        <v>64</v>
      </c>
      <c r="P290" s="338">
        <v>44007</v>
      </c>
      <c r="Q290" s="341">
        <v>45267</v>
      </c>
      <c r="R290" s="347" t="b">
        <f t="shared" si="9"/>
        <v>0</v>
      </c>
      <c r="S290" s="347" t="str">
        <f t="shared" si="8"/>
        <v>change</v>
      </c>
      <c r="T290" s="342" t="s">
        <v>1439</v>
      </c>
      <c r="U290" s="342" t="s">
        <v>2573</v>
      </c>
      <c r="V290" s="342" t="s">
        <v>2574</v>
      </c>
      <c r="W290" s="342" t="s">
        <v>2575</v>
      </c>
      <c r="X290" s="342" t="s">
        <v>69</v>
      </c>
      <c r="Y290" s="349" t="s">
        <v>2576</v>
      </c>
      <c r="Z290" s="342" t="s">
        <v>71</v>
      </c>
      <c r="AA290" s="342" t="s">
        <v>72</v>
      </c>
      <c r="AB290" s="342" t="s">
        <v>73</v>
      </c>
      <c r="AC290" s="342" t="s">
        <v>74</v>
      </c>
      <c r="AD290" s="342"/>
      <c r="AE290" s="342" t="s">
        <v>2577</v>
      </c>
      <c r="AF290" s="349" t="s">
        <v>3764</v>
      </c>
      <c r="AG290" s="342" t="s">
        <v>74</v>
      </c>
      <c r="AH290" s="342" t="s">
        <v>74</v>
      </c>
      <c r="AI290" s="342" t="s">
        <v>74</v>
      </c>
      <c r="AJ290" s="342" t="s">
        <v>77</v>
      </c>
      <c r="AK290" s="342" t="s">
        <v>97</v>
      </c>
      <c r="AL290" s="342" t="s">
        <v>79</v>
      </c>
      <c r="AM290" s="342" t="s">
        <v>74</v>
      </c>
      <c r="AN290" s="342"/>
      <c r="AO290" s="342" t="s">
        <v>2578</v>
      </c>
      <c r="AP290" s="342" t="s">
        <v>81</v>
      </c>
      <c r="AQ290" s="349" t="s">
        <v>130</v>
      </c>
      <c r="AR290" s="342" t="s">
        <v>83</v>
      </c>
      <c r="AS290" s="342" t="s">
        <v>84</v>
      </c>
      <c r="AT290" s="342" t="s">
        <v>45</v>
      </c>
      <c r="AU290" s="342" t="s">
        <v>85</v>
      </c>
      <c r="AV290" s="342"/>
      <c r="AW290" s="342"/>
      <c r="AX290" s="343" t="str">
        <f>IF(OR(Tableau3[[#This Row],[Option GTR]]&lt;&gt;"",Tableau3[[#This Row],[GTR spécifique]]&lt;&gt;""),"GTRS1","GTRS2")</f>
        <v>GTRS2</v>
      </c>
      <c r="AY290" s="342" t="s">
        <v>143</v>
      </c>
      <c r="AZ290" s="342"/>
      <c r="BA290" s="342" t="s">
        <v>2579</v>
      </c>
    </row>
    <row r="291" spans="1:53" s="326" customFormat="1" ht="18.149999999999999" customHeight="1" x14ac:dyDescent="0.3">
      <c r="A291" s="340" t="s">
        <v>53</v>
      </c>
      <c r="B291" s="340" t="s">
        <v>54</v>
      </c>
      <c r="C291" s="340" t="s">
        <v>2398</v>
      </c>
      <c r="D291" s="340" t="s">
        <v>56</v>
      </c>
      <c r="E291" s="340" t="s">
        <v>57</v>
      </c>
      <c r="F291" s="340" t="s">
        <v>58</v>
      </c>
      <c r="G291" s="340" t="s">
        <v>59</v>
      </c>
      <c r="H291" s="340" t="s">
        <v>60</v>
      </c>
      <c r="I291" s="340" t="s">
        <v>61</v>
      </c>
      <c r="J291" s="340" t="s">
        <v>2580</v>
      </c>
      <c r="K291" s="340" t="s">
        <v>2581</v>
      </c>
      <c r="L291" s="345" t="str">
        <f>VLOOKUP(K291,'20260309 suivi sites'!F:F,1,0)</f>
        <v>87STMA011AOS</v>
      </c>
      <c r="M291" s="340" t="s">
        <v>64</v>
      </c>
      <c r="N291" s="340" t="s">
        <v>65</v>
      </c>
      <c r="O291" s="340" t="s">
        <v>64</v>
      </c>
      <c r="P291" s="338">
        <v>44111</v>
      </c>
      <c r="Q291" s="341">
        <v>45371</v>
      </c>
      <c r="R291" s="347" t="b">
        <f t="shared" si="9"/>
        <v>0</v>
      </c>
      <c r="S291" s="347" t="str">
        <f t="shared" si="8"/>
        <v>change</v>
      </c>
      <c r="T291" s="342" t="s">
        <v>1439</v>
      </c>
      <c r="U291" s="342" t="s">
        <v>2582</v>
      </c>
      <c r="V291" s="342" t="s">
        <v>2583</v>
      </c>
      <c r="W291" s="342" t="s">
        <v>2584</v>
      </c>
      <c r="X291" s="342" t="s">
        <v>69</v>
      </c>
      <c r="Y291" s="349" t="s">
        <v>2585</v>
      </c>
      <c r="Z291" s="342" t="s">
        <v>71</v>
      </c>
      <c r="AA291" s="342" t="s">
        <v>72</v>
      </c>
      <c r="AB291" s="342" t="s">
        <v>73</v>
      </c>
      <c r="AC291" s="342" t="s">
        <v>74</v>
      </c>
      <c r="AD291" s="342"/>
      <c r="AE291" s="342" t="s">
        <v>2586</v>
      </c>
      <c r="AF291" s="349" t="s">
        <v>3771</v>
      </c>
      <c r="AG291" s="342" t="s">
        <v>74</v>
      </c>
      <c r="AH291" s="342" t="s">
        <v>76</v>
      </c>
      <c r="AI291" s="342" t="s">
        <v>74</v>
      </c>
      <c r="AJ291" s="342" t="s">
        <v>77</v>
      </c>
      <c r="AK291" s="342" t="s">
        <v>97</v>
      </c>
      <c r="AL291" s="342" t="s">
        <v>79</v>
      </c>
      <c r="AM291" s="342" t="s">
        <v>74</v>
      </c>
      <c r="AN291" s="342"/>
      <c r="AO291" s="342" t="s">
        <v>2587</v>
      </c>
      <c r="AP291" s="342" t="s">
        <v>81</v>
      </c>
      <c r="AQ291" s="349" t="s">
        <v>130</v>
      </c>
      <c r="AR291" s="342" t="s">
        <v>83</v>
      </c>
      <c r="AS291" s="342" t="s">
        <v>84</v>
      </c>
      <c r="AT291" s="342" t="s">
        <v>45</v>
      </c>
      <c r="AU291" s="342"/>
      <c r="AV291" s="342"/>
      <c r="AW291" s="342"/>
      <c r="AX291" s="343" t="str">
        <f>IF(OR(Tableau3[[#This Row],[Option GTR]]&lt;&gt;"",Tableau3[[#This Row],[GTR spécifique]]&lt;&gt;""),"GTRS1","GTRS2")</f>
        <v>GTRS2</v>
      </c>
      <c r="AY291" s="342" t="s">
        <v>143</v>
      </c>
      <c r="AZ291" s="342"/>
      <c r="BA291" s="342" t="s">
        <v>2588</v>
      </c>
    </row>
    <row r="292" spans="1:53" s="326" customFormat="1" ht="18.149999999999999" customHeight="1" x14ac:dyDescent="0.3">
      <c r="A292" s="340" t="s">
        <v>53</v>
      </c>
      <c r="B292" s="340" t="s">
        <v>54</v>
      </c>
      <c r="C292" s="340" t="s">
        <v>2398</v>
      </c>
      <c r="D292" s="340" t="s">
        <v>56</v>
      </c>
      <c r="E292" s="340" t="s">
        <v>57</v>
      </c>
      <c r="F292" s="340" t="s">
        <v>58</v>
      </c>
      <c r="G292" s="340" t="s">
        <v>59</v>
      </c>
      <c r="H292" s="340" t="s">
        <v>846</v>
      </c>
      <c r="I292" s="340" t="s">
        <v>61</v>
      </c>
      <c r="J292" s="340" t="s">
        <v>2589</v>
      </c>
      <c r="K292" s="340" t="s">
        <v>2590</v>
      </c>
      <c r="L292" s="345" t="str">
        <f>VLOOKUP(K292,'20260309 suivi sites'!F:F,1,0)</f>
        <v>19VOUT011AOS</v>
      </c>
      <c r="M292" s="340" t="s">
        <v>64</v>
      </c>
      <c r="N292" s="340" t="s">
        <v>65</v>
      </c>
      <c r="O292" s="340" t="s">
        <v>64</v>
      </c>
      <c r="P292" s="338">
        <v>43823</v>
      </c>
      <c r="Q292" s="341">
        <v>43917</v>
      </c>
      <c r="R292" s="347" t="b">
        <f t="shared" si="9"/>
        <v>0</v>
      </c>
      <c r="S292" s="347" t="str">
        <f t="shared" si="8"/>
        <v>change</v>
      </c>
      <c r="T292" s="342" t="s">
        <v>61</v>
      </c>
      <c r="U292" s="342" t="s">
        <v>2591</v>
      </c>
      <c r="V292" s="342" t="s">
        <v>2592</v>
      </c>
      <c r="W292" s="342" t="s">
        <v>2593</v>
      </c>
      <c r="X292" s="342" t="s">
        <v>69</v>
      </c>
      <c r="Y292" s="349" t="s">
        <v>2594</v>
      </c>
      <c r="Z292" s="342" t="s">
        <v>71</v>
      </c>
      <c r="AA292" s="342" t="s">
        <v>72</v>
      </c>
      <c r="AB292" s="342" t="s">
        <v>73</v>
      </c>
      <c r="AC292" s="342" t="s">
        <v>74</v>
      </c>
      <c r="AD292" s="342"/>
      <c r="AE292" s="342" t="s">
        <v>2595</v>
      </c>
      <c r="AF292" s="349" t="s">
        <v>3766</v>
      </c>
      <c r="AG292" s="342" t="s">
        <v>74</v>
      </c>
      <c r="AH292" s="342" t="s">
        <v>76</v>
      </c>
      <c r="AI292" s="342" t="s">
        <v>74</v>
      </c>
      <c r="AJ292" s="342" t="s">
        <v>77</v>
      </c>
      <c r="AK292" s="342" t="s">
        <v>97</v>
      </c>
      <c r="AL292" s="342" t="s">
        <v>79</v>
      </c>
      <c r="AM292" s="342" t="s">
        <v>74</v>
      </c>
      <c r="AN292" s="342"/>
      <c r="AO292" s="342" t="s">
        <v>2596</v>
      </c>
      <c r="AP292" s="342" t="s">
        <v>81</v>
      </c>
      <c r="AQ292" s="349" t="s">
        <v>130</v>
      </c>
      <c r="AR292" s="342" t="s">
        <v>83</v>
      </c>
      <c r="AS292" s="342" t="s">
        <v>84</v>
      </c>
      <c r="AT292" s="342" t="s">
        <v>45</v>
      </c>
      <c r="AU292" s="342" t="s">
        <v>85</v>
      </c>
      <c r="AV292" s="342"/>
      <c r="AW292" s="342"/>
      <c r="AX292" s="343" t="str">
        <f>IF(OR(Tableau3[[#This Row],[Option GTR]]&lt;&gt;"",Tableau3[[#This Row],[GTR spécifique]]&lt;&gt;""),"GTRS1","GTRS2")</f>
        <v>GTRS2</v>
      </c>
      <c r="AY292" s="342" t="s">
        <v>143</v>
      </c>
      <c r="AZ292" s="342"/>
      <c r="BA292" s="342" t="s">
        <v>918</v>
      </c>
    </row>
    <row r="293" spans="1:53" s="326" customFormat="1" ht="18.149999999999999" customHeight="1" x14ac:dyDescent="0.3">
      <c r="A293" s="340" t="s">
        <v>53</v>
      </c>
      <c r="B293" s="340" t="s">
        <v>54</v>
      </c>
      <c r="C293" s="340" t="s">
        <v>2398</v>
      </c>
      <c r="D293" s="340" t="s">
        <v>56</v>
      </c>
      <c r="E293" s="340" t="s">
        <v>57</v>
      </c>
      <c r="F293" s="340" t="s">
        <v>58</v>
      </c>
      <c r="G293" s="340" t="s">
        <v>59</v>
      </c>
      <c r="H293" s="340" t="s">
        <v>846</v>
      </c>
      <c r="I293" s="340" t="s">
        <v>61</v>
      </c>
      <c r="J293" s="340" t="s">
        <v>2597</v>
      </c>
      <c r="K293" s="340" t="s">
        <v>2598</v>
      </c>
      <c r="L293" s="345" t="str">
        <f>VLOOKUP(K293,'20260309 suivi sites'!F:F,1,0)</f>
        <v>88RAON011AOS</v>
      </c>
      <c r="M293" s="340" t="s">
        <v>64</v>
      </c>
      <c r="N293" s="340" t="s">
        <v>65</v>
      </c>
      <c r="O293" s="340" t="s">
        <v>64</v>
      </c>
      <c r="P293" s="338">
        <v>44104</v>
      </c>
      <c r="Q293" s="341">
        <v>44105</v>
      </c>
      <c r="R293" s="347" t="b">
        <f t="shared" si="9"/>
        <v>0</v>
      </c>
      <c r="S293" s="347" t="str">
        <f t="shared" si="8"/>
        <v>change</v>
      </c>
      <c r="T293" s="342" t="s">
        <v>56</v>
      </c>
      <c r="U293" s="342" t="s">
        <v>2599</v>
      </c>
      <c r="V293" s="342" t="s">
        <v>2600</v>
      </c>
      <c r="W293" s="342" t="s">
        <v>2601</v>
      </c>
      <c r="X293" s="342" t="s">
        <v>69</v>
      </c>
      <c r="Y293" s="349" t="s">
        <v>2602</v>
      </c>
      <c r="Z293" s="342" t="s">
        <v>71</v>
      </c>
      <c r="AA293" s="342" t="s">
        <v>72</v>
      </c>
      <c r="AB293" s="342" t="s">
        <v>73</v>
      </c>
      <c r="AC293" s="342" t="s">
        <v>74</v>
      </c>
      <c r="AD293" s="342"/>
      <c r="AE293" s="342" t="s">
        <v>2603</v>
      </c>
      <c r="AF293" s="349" t="s">
        <v>3766</v>
      </c>
      <c r="AG293" s="342" t="s">
        <v>74</v>
      </c>
      <c r="AH293" s="342" t="s">
        <v>76</v>
      </c>
      <c r="AI293" s="342" t="s">
        <v>74</v>
      </c>
      <c r="AJ293" s="342" t="s">
        <v>140</v>
      </c>
      <c r="AK293" s="342" t="s">
        <v>97</v>
      </c>
      <c r="AL293" s="342" t="s">
        <v>79</v>
      </c>
      <c r="AM293" s="342" t="s">
        <v>74</v>
      </c>
      <c r="AN293" s="342"/>
      <c r="AO293" s="342" t="s">
        <v>2604</v>
      </c>
      <c r="AP293" s="342" t="s">
        <v>81</v>
      </c>
      <c r="AQ293" s="349" t="s">
        <v>130</v>
      </c>
      <c r="AR293" s="342" t="s">
        <v>83</v>
      </c>
      <c r="AS293" s="342" t="s">
        <v>84</v>
      </c>
      <c r="AT293" s="342" t="s">
        <v>45</v>
      </c>
      <c r="AU293" s="342" t="s">
        <v>85</v>
      </c>
      <c r="AV293" s="342" t="s">
        <v>120</v>
      </c>
      <c r="AW293" s="342"/>
      <c r="AX293" s="343" t="str">
        <f>IF(OR(Tableau3[[#This Row],[Option GTR]]&lt;&gt;"",Tableau3[[#This Row],[GTR spécifique]]&lt;&gt;""),"GTRS1","GTRS2")</f>
        <v>GTRS1</v>
      </c>
      <c r="AY293" s="342" t="s">
        <v>143</v>
      </c>
      <c r="AZ293" s="342"/>
      <c r="BA293" s="344" t="s">
        <v>2605</v>
      </c>
    </row>
    <row r="294" spans="1:53" s="326" customFormat="1" ht="18.149999999999999" customHeight="1" x14ac:dyDescent="0.3">
      <c r="A294" s="340" t="s">
        <v>53</v>
      </c>
      <c r="B294" s="340" t="s">
        <v>54</v>
      </c>
      <c r="C294" s="340" t="s">
        <v>2398</v>
      </c>
      <c r="D294" s="340" t="s">
        <v>56</v>
      </c>
      <c r="E294" s="340" t="s">
        <v>57</v>
      </c>
      <c r="F294" s="340" t="s">
        <v>58</v>
      </c>
      <c r="G294" s="340" t="s">
        <v>59</v>
      </c>
      <c r="H294" s="340" t="s">
        <v>846</v>
      </c>
      <c r="I294" s="340" t="s">
        <v>61</v>
      </c>
      <c r="J294" s="340" t="s">
        <v>2606</v>
      </c>
      <c r="K294" s="340" t="s">
        <v>2607</v>
      </c>
      <c r="L294" s="345" t="str">
        <f>VLOOKUP(K294,'20260309 suivi sites'!F:F,1,0)</f>
        <v>12MURD021AOM</v>
      </c>
      <c r="M294" s="340" t="s">
        <v>64</v>
      </c>
      <c r="N294" s="340" t="s">
        <v>65</v>
      </c>
      <c r="O294" s="340" t="s">
        <v>64</v>
      </c>
      <c r="P294" s="338">
        <v>43882</v>
      </c>
      <c r="Q294" s="341">
        <v>44200</v>
      </c>
      <c r="R294" s="347" t="b">
        <f t="shared" si="9"/>
        <v>0</v>
      </c>
      <c r="S294" s="347" t="str">
        <f t="shared" si="8"/>
        <v>change</v>
      </c>
      <c r="T294" s="342" t="s">
        <v>56</v>
      </c>
      <c r="U294" s="342" t="s">
        <v>2608</v>
      </c>
      <c r="V294" s="342" t="s">
        <v>550</v>
      </c>
      <c r="W294" s="342" t="s">
        <v>2609</v>
      </c>
      <c r="X294" s="342" t="s">
        <v>69</v>
      </c>
      <c r="Y294" s="349" t="s">
        <v>2610</v>
      </c>
      <c r="Z294" s="342" t="s">
        <v>71</v>
      </c>
      <c r="AA294" s="342" t="s">
        <v>218</v>
      </c>
      <c r="AB294" s="342" t="s">
        <v>152</v>
      </c>
      <c r="AC294" s="342" t="s">
        <v>74</v>
      </c>
      <c r="AD294" s="342"/>
      <c r="AE294" s="342" t="s">
        <v>2611</v>
      </c>
      <c r="AF294" s="349" t="s">
        <v>3773</v>
      </c>
      <c r="AG294" s="342" t="s">
        <v>74</v>
      </c>
      <c r="AH294" s="342" t="s">
        <v>74</v>
      </c>
      <c r="AI294" s="342" t="s">
        <v>74</v>
      </c>
      <c r="AJ294" s="342" t="s">
        <v>77</v>
      </c>
      <c r="AK294" s="342" t="s">
        <v>97</v>
      </c>
      <c r="AL294" s="342" t="s">
        <v>152</v>
      </c>
      <c r="AM294" s="342" t="s">
        <v>74</v>
      </c>
      <c r="AN294" s="342"/>
      <c r="AO294" s="342" t="s">
        <v>2612</v>
      </c>
      <c r="AP294" s="342" t="s">
        <v>81</v>
      </c>
      <c r="AQ294" s="349" t="s">
        <v>748</v>
      </c>
      <c r="AR294" s="342" t="s">
        <v>83</v>
      </c>
      <c r="AS294" s="342" t="s">
        <v>84</v>
      </c>
      <c r="AT294" s="342" t="s">
        <v>45</v>
      </c>
      <c r="AU294" s="342" t="s">
        <v>85</v>
      </c>
      <c r="AV294" s="342"/>
      <c r="AW294" s="342"/>
      <c r="AX294" s="343" t="str">
        <f>IF(OR(Tableau3[[#This Row],[Option GTR]]&lt;&gt;"",Tableau3[[#This Row],[GTR spécifique]]&lt;&gt;""),"GTRS1","GTRS2")</f>
        <v>GTRS2</v>
      </c>
      <c r="AY294" s="342" t="s">
        <v>794</v>
      </c>
      <c r="AZ294" s="342"/>
      <c r="BA294" s="342" t="s">
        <v>2338</v>
      </c>
    </row>
    <row r="295" spans="1:53" s="326" customFormat="1" ht="18.149999999999999" customHeight="1" x14ac:dyDescent="0.3">
      <c r="A295" s="340" t="s">
        <v>53</v>
      </c>
      <c r="B295" s="340" t="s">
        <v>54</v>
      </c>
      <c r="C295" s="340" t="s">
        <v>2398</v>
      </c>
      <c r="D295" s="340" t="s">
        <v>56</v>
      </c>
      <c r="E295" s="340" t="s">
        <v>57</v>
      </c>
      <c r="F295" s="340" t="s">
        <v>58</v>
      </c>
      <c r="G295" s="340" t="s">
        <v>59</v>
      </c>
      <c r="H295" s="340" t="s">
        <v>846</v>
      </c>
      <c r="I295" s="340" t="s">
        <v>61</v>
      </c>
      <c r="J295" s="340" t="s">
        <v>2613</v>
      </c>
      <c r="K295" s="340" t="s">
        <v>2614</v>
      </c>
      <c r="L295" s="345" t="str">
        <f>VLOOKUP(K295,'20260309 suivi sites'!F:F,1,0)</f>
        <v>15LARO011AOS</v>
      </c>
      <c r="M295" s="340" t="s">
        <v>64</v>
      </c>
      <c r="N295" s="340" t="s">
        <v>65</v>
      </c>
      <c r="O295" s="340" t="s">
        <v>64</v>
      </c>
      <c r="P295" s="338">
        <v>43649</v>
      </c>
      <c r="Q295" s="341">
        <v>43964</v>
      </c>
      <c r="R295" s="347" t="b">
        <f t="shared" si="9"/>
        <v>0</v>
      </c>
      <c r="S295" s="347" t="str">
        <f t="shared" si="8"/>
        <v>change</v>
      </c>
      <c r="T295" s="342" t="s">
        <v>56</v>
      </c>
      <c r="U295" s="342" t="s">
        <v>2615</v>
      </c>
      <c r="V295" s="342" t="s">
        <v>2616</v>
      </c>
      <c r="W295" s="342" t="s">
        <v>2617</v>
      </c>
      <c r="X295" s="342" t="s">
        <v>69</v>
      </c>
      <c r="Y295" s="349" t="s">
        <v>2618</v>
      </c>
      <c r="Z295" s="342" t="s">
        <v>71</v>
      </c>
      <c r="AA295" s="342" t="s">
        <v>72</v>
      </c>
      <c r="AB295" s="342" t="s">
        <v>73</v>
      </c>
      <c r="AC295" s="342" t="s">
        <v>74</v>
      </c>
      <c r="AD295" s="342"/>
      <c r="AE295" s="342" t="s">
        <v>2619</v>
      </c>
      <c r="AF295" s="349" t="s">
        <v>3771</v>
      </c>
      <c r="AG295" s="342" t="s">
        <v>74</v>
      </c>
      <c r="AH295" s="342" t="s">
        <v>76</v>
      </c>
      <c r="AI295" s="342" t="s">
        <v>74</v>
      </c>
      <c r="AJ295" s="342" t="s">
        <v>77</v>
      </c>
      <c r="AK295" s="342" t="s">
        <v>97</v>
      </c>
      <c r="AL295" s="342" t="s">
        <v>79</v>
      </c>
      <c r="AM295" s="342" t="s">
        <v>74</v>
      </c>
      <c r="AN295" s="342"/>
      <c r="AO295" s="342" t="s">
        <v>2620</v>
      </c>
      <c r="AP295" s="342" t="s">
        <v>81</v>
      </c>
      <c r="AQ295" s="349" t="s">
        <v>927</v>
      </c>
      <c r="AR295" s="342" t="s">
        <v>83</v>
      </c>
      <c r="AS295" s="342" t="s">
        <v>84</v>
      </c>
      <c r="AT295" s="342" t="s">
        <v>45</v>
      </c>
      <c r="AU295" s="342" t="s">
        <v>85</v>
      </c>
      <c r="AV295" s="342"/>
      <c r="AW295" s="342"/>
      <c r="AX295" s="343" t="str">
        <f>IF(OR(Tableau3[[#This Row],[Option GTR]]&lt;&gt;"",Tableau3[[#This Row],[GTR spécifique]]&lt;&gt;""),"GTRS1","GTRS2")</f>
        <v>GTRS2</v>
      </c>
      <c r="AY295" s="342" t="s">
        <v>143</v>
      </c>
      <c r="AZ295" s="342"/>
      <c r="BA295" s="342" t="s">
        <v>2621</v>
      </c>
    </row>
    <row r="296" spans="1:53" s="326" customFormat="1" ht="18.149999999999999" customHeight="1" x14ac:dyDescent="0.3">
      <c r="A296" s="340" t="s">
        <v>53</v>
      </c>
      <c r="B296" s="340" t="s">
        <v>54</v>
      </c>
      <c r="C296" s="340" t="s">
        <v>2398</v>
      </c>
      <c r="D296" s="340" t="s">
        <v>56</v>
      </c>
      <c r="E296" s="340" t="s">
        <v>57</v>
      </c>
      <c r="F296" s="340" t="s">
        <v>58</v>
      </c>
      <c r="G296" s="340" t="s">
        <v>59</v>
      </c>
      <c r="H296" s="340" t="s">
        <v>846</v>
      </c>
      <c r="I296" s="340" t="s">
        <v>61</v>
      </c>
      <c r="J296" s="340" t="s">
        <v>2622</v>
      </c>
      <c r="K296" s="340" t="s">
        <v>2623</v>
      </c>
      <c r="L296" s="345" t="str">
        <f>VLOOKUP(K296,'20260309 suivi sites'!F:F,1,0)</f>
        <v>31TOUL021AOP</v>
      </c>
      <c r="M296" s="340" t="s">
        <v>64</v>
      </c>
      <c r="N296" s="340" t="s">
        <v>65</v>
      </c>
      <c r="O296" s="340" t="s">
        <v>64</v>
      </c>
      <c r="P296" s="338">
        <v>43728</v>
      </c>
      <c r="Q296" s="341">
        <v>44263</v>
      </c>
      <c r="R296" s="347" t="b">
        <f t="shared" si="9"/>
        <v>0</v>
      </c>
      <c r="S296" s="347" t="str">
        <f t="shared" si="8"/>
        <v>change</v>
      </c>
      <c r="T296" s="342" t="s">
        <v>56</v>
      </c>
      <c r="U296" s="342" t="s">
        <v>2624</v>
      </c>
      <c r="V296" s="342" t="s">
        <v>1830</v>
      </c>
      <c r="W296" s="342" t="s">
        <v>1831</v>
      </c>
      <c r="X296" s="342" t="s">
        <v>69</v>
      </c>
      <c r="Y296" s="349" t="s">
        <v>2625</v>
      </c>
      <c r="Z296" s="342" t="s">
        <v>71</v>
      </c>
      <c r="AA296" s="342" t="s">
        <v>72</v>
      </c>
      <c r="AB296" s="342" t="s">
        <v>73</v>
      </c>
      <c r="AC296" s="342" t="s">
        <v>74</v>
      </c>
      <c r="AD296" s="342"/>
      <c r="AE296" s="342" t="s">
        <v>2626</v>
      </c>
      <c r="AF296" s="349" t="s">
        <v>3779</v>
      </c>
      <c r="AG296" s="342" t="s">
        <v>74</v>
      </c>
      <c r="AH296" s="342" t="s">
        <v>76</v>
      </c>
      <c r="AI296" s="342" t="s">
        <v>74</v>
      </c>
      <c r="AJ296" s="342" t="s">
        <v>77</v>
      </c>
      <c r="AK296" s="342" t="s">
        <v>78</v>
      </c>
      <c r="AL296" s="342" t="s">
        <v>79</v>
      </c>
      <c r="AM296" s="342" t="s">
        <v>166</v>
      </c>
      <c r="AN296" s="342" t="s">
        <v>2627</v>
      </c>
      <c r="AO296" s="342" t="s">
        <v>2628</v>
      </c>
      <c r="AP296" s="342" t="s">
        <v>81</v>
      </c>
      <c r="AQ296" s="349" t="s">
        <v>1634</v>
      </c>
      <c r="AR296" s="342" t="s">
        <v>83</v>
      </c>
      <c r="AS296" s="342" t="s">
        <v>84</v>
      </c>
      <c r="AT296" s="342" t="s">
        <v>45</v>
      </c>
      <c r="AU296" s="342" t="s">
        <v>85</v>
      </c>
      <c r="AV296" s="342" t="s">
        <v>120</v>
      </c>
      <c r="AW296" s="342"/>
      <c r="AX296" s="343" t="str">
        <f>IF(OR(Tableau3[[#This Row],[Option GTR]]&lt;&gt;"",Tableau3[[#This Row],[GTR spécifique]]&lt;&gt;""),"GTRS1","GTRS2")</f>
        <v>GTRS1</v>
      </c>
      <c r="AY296" s="342" t="s">
        <v>86</v>
      </c>
      <c r="AZ296" s="342"/>
      <c r="BA296" s="342" t="s">
        <v>2629</v>
      </c>
    </row>
    <row r="297" spans="1:53" s="326" customFormat="1" ht="18.149999999999999" customHeight="1" x14ac:dyDescent="0.3">
      <c r="A297" s="340" t="s">
        <v>53</v>
      </c>
      <c r="B297" s="340" t="s">
        <v>54</v>
      </c>
      <c r="C297" s="340" t="s">
        <v>2398</v>
      </c>
      <c r="D297" s="340" t="s">
        <v>56</v>
      </c>
      <c r="E297" s="340" t="s">
        <v>57</v>
      </c>
      <c r="F297" s="340" t="s">
        <v>58</v>
      </c>
      <c r="G297" s="340" t="s">
        <v>59</v>
      </c>
      <c r="H297" s="340" t="s">
        <v>846</v>
      </c>
      <c r="I297" s="340" t="s">
        <v>61</v>
      </c>
      <c r="J297" s="340" t="s">
        <v>2630</v>
      </c>
      <c r="K297" s="340" t="s">
        <v>2631</v>
      </c>
      <c r="L297" s="345" t="str">
        <f>VLOOKUP(K297,'20260309 suivi sites'!F:F,1,0)</f>
        <v>09PERL011AOM</v>
      </c>
      <c r="M297" s="340" t="s">
        <v>64</v>
      </c>
      <c r="N297" s="340" t="s">
        <v>65</v>
      </c>
      <c r="O297" s="340" t="s">
        <v>64</v>
      </c>
      <c r="P297" s="338">
        <v>43818</v>
      </c>
      <c r="Q297" s="341">
        <v>43931</v>
      </c>
      <c r="R297" s="347" t="b">
        <f t="shared" si="9"/>
        <v>0</v>
      </c>
      <c r="S297" s="347" t="str">
        <f t="shared" si="8"/>
        <v>change</v>
      </c>
      <c r="T297" s="342" t="s">
        <v>1439</v>
      </c>
      <c r="U297" s="342" t="s">
        <v>2632</v>
      </c>
      <c r="V297" s="342" t="s">
        <v>2633</v>
      </c>
      <c r="W297" s="342" t="s">
        <v>2634</v>
      </c>
      <c r="X297" s="342" t="s">
        <v>69</v>
      </c>
      <c r="Y297" s="349" t="s">
        <v>2635</v>
      </c>
      <c r="Z297" s="342" t="s">
        <v>71</v>
      </c>
      <c r="AA297" s="342" t="s">
        <v>218</v>
      </c>
      <c r="AB297" s="342" t="s">
        <v>152</v>
      </c>
      <c r="AC297" s="342" t="s">
        <v>74</v>
      </c>
      <c r="AD297" s="342"/>
      <c r="AE297" s="342" t="s">
        <v>2636</v>
      </c>
      <c r="AF297" s="349" t="s">
        <v>3771</v>
      </c>
      <c r="AG297" s="342" t="s">
        <v>74</v>
      </c>
      <c r="AH297" s="342" t="s">
        <v>74</v>
      </c>
      <c r="AI297" s="342" t="s">
        <v>74</v>
      </c>
      <c r="AJ297" s="342" t="s">
        <v>77</v>
      </c>
      <c r="AK297" s="342" t="s">
        <v>97</v>
      </c>
      <c r="AL297" s="342" t="s">
        <v>79</v>
      </c>
      <c r="AM297" s="342" t="s">
        <v>74</v>
      </c>
      <c r="AN297" s="342"/>
      <c r="AO297" s="342" t="s">
        <v>2637</v>
      </c>
      <c r="AP297" s="342" t="s">
        <v>81</v>
      </c>
      <c r="AQ297" s="349" t="s">
        <v>927</v>
      </c>
      <c r="AR297" s="342" t="s">
        <v>83</v>
      </c>
      <c r="AS297" s="342" t="s">
        <v>84</v>
      </c>
      <c r="AT297" s="342" t="s">
        <v>45</v>
      </c>
      <c r="AU297" s="342" t="s">
        <v>85</v>
      </c>
      <c r="AV297" s="342"/>
      <c r="AW297" s="342"/>
      <c r="AX297" s="343" t="str">
        <f>IF(OR(Tableau3[[#This Row],[Option GTR]]&lt;&gt;"",Tableau3[[#This Row],[GTR spécifique]]&lt;&gt;""),"GTRS1","GTRS2")</f>
        <v>GTRS2</v>
      </c>
      <c r="AY297" s="342" t="s">
        <v>355</v>
      </c>
      <c r="AZ297" s="342"/>
      <c r="BA297" s="342" t="s">
        <v>855</v>
      </c>
    </row>
    <row r="298" spans="1:53" s="326" customFormat="1" ht="18.149999999999999" customHeight="1" x14ac:dyDescent="0.3">
      <c r="A298" s="340" t="s">
        <v>53</v>
      </c>
      <c r="B298" s="340" t="s">
        <v>54</v>
      </c>
      <c r="C298" s="340" t="s">
        <v>2398</v>
      </c>
      <c r="D298" s="340" t="s">
        <v>56</v>
      </c>
      <c r="E298" s="340" t="s">
        <v>57</v>
      </c>
      <c r="F298" s="340" t="s">
        <v>58</v>
      </c>
      <c r="G298" s="340" t="s">
        <v>59</v>
      </c>
      <c r="H298" s="340" t="s">
        <v>846</v>
      </c>
      <c r="I298" s="340" t="s">
        <v>61</v>
      </c>
      <c r="J298" s="340" t="s">
        <v>2638</v>
      </c>
      <c r="K298" s="340" t="s">
        <v>2639</v>
      </c>
      <c r="L298" s="345" t="str">
        <f>VLOOKUP(K298,'20260309 suivi sites'!F:F,1,0)</f>
        <v>38CLON011AOB</v>
      </c>
      <c r="M298" s="340" t="s">
        <v>64</v>
      </c>
      <c r="N298" s="340" t="s">
        <v>65</v>
      </c>
      <c r="O298" s="340" t="s">
        <v>64</v>
      </c>
      <c r="P298" s="338">
        <v>43867</v>
      </c>
      <c r="Q298" s="341">
        <v>44200</v>
      </c>
      <c r="R298" s="347" t="b">
        <f t="shared" si="9"/>
        <v>0</v>
      </c>
      <c r="S298" s="347" t="str">
        <f t="shared" si="8"/>
        <v>change</v>
      </c>
      <c r="T298" s="342" t="s">
        <v>1439</v>
      </c>
      <c r="U298" s="342" t="s">
        <v>2640</v>
      </c>
      <c r="V298" s="342" t="s">
        <v>2641</v>
      </c>
      <c r="W298" s="342" t="s">
        <v>2642</v>
      </c>
      <c r="X298" s="342" t="s">
        <v>69</v>
      </c>
      <c r="Y298" s="349" t="s">
        <v>2643</v>
      </c>
      <c r="Z298" s="342" t="s">
        <v>71</v>
      </c>
      <c r="AA298" s="342" t="s">
        <v>218</v>
      </c>
      <c r="AB298" s="342" t="s">
        <v>152</v>
      </c>
      <c r="AC298" s="342" t="s">
        <v>74</v>
      </c>
      <c r="AD298" s="342"/>
      <c r="AE298" s="342" t="s">
        <v>2644</v>
      </c>
      <c r="AF298" s="349" t="s">
        <v>3773</v>
      </c>
      <c r="AG298" s="342" t="s">
        <v>74</v>
      </c>
      <c r="AH298" s="342" t="s">
        <v>74</v>
      </c>
      <c r="AI298" s="342" t="s">
        <v>74</v>
      </c>
      <c r="AJ298" s="342" t="s">
        <v>77</v>
      </c>
      <c r="AK298" s="342" t="s">
        <v>97</v>
      </c>
      <c r="AL298" s="342" t="s">
        <v>79</v>
      </c>
      <c r="AM298" s="342" t="s">
        <v>74</v>
      </c>
      <c r="AN298" s="342"/>
      <c r="AO298" s="342" t="s">
        <v>2645</v>
      </c>
      <c r="AP298" s="342" t="s">
        <v>81</v>
      </c>
      <c r="AQ298" s="349" t="s">
        <v>748</v>
      </c>
      <c r="AR298" s="342" t="s">
        <v>83</v>
      </c>
      <c r="AS298" s="342" t="s">
        <v>84</v>
      </c>
      <c r="AT298" s="342" t="s">
        <v>45</v>
      </c>
      <c r="AU298" s="342" t="s">
        <v>85</v>
      </c>
      <c r="AV298" s="342"/>
      <c r="AW298" s="342"/>
      <c r="AX298" s="343" t="str">
        <f>IF(OR(Tableau3[[#This Row],[Option GTR]]&lt;&gt;"",Tableau3[[#This Row],[GTR spécifique]]&lt;&gt;""),"GTRS1","GTRS2")</f>
        <v>GTRS2</v>
      </c>
      <c r="AY298" s="342" t="s">
        <v>738</v>
      </c>
      <c r="AZ298" s="342"/>
      <c r="BA298" s="342" t="s">
        <v>2338</v>
      </c>
    </row>
    <row r="299" spans="1:53" s="326" customFormat="1" ht="18.149999999999999" customHeight="1" x14ac:dyDescent="0.3">
      <c r="A299" s="340" t="s">
        <v>53</v>
      </c>
      <c r="B299" s="340" t="s">
        <v>54</v>
      </c>
      <c r="C299" s="340" t="s">
        <v>2398</v>
      </c>
      <c r="D299" s="340" t="s">
        <v>56</v>
      </c>
      <c r="E299" s="340" t="s">
        <v>57</v>
      </c>
      <c r="F299" s="340" t="s">
        <v>58</v>
      </c>
      <c r="G299" s="340" t="s">
        <v>59</v>
      </c>
      <c r="H299" s="340" t="s">
        <v>846</v>
      </c>
      <c r="I299" s="340" t="s">
        <v>61</v>
      </c>
      <c r="J299" s="340" t="s">
        <v>2646</v>
      </c>
      <c r="K299" s="340" t="s">
        <v>2647</v>
      </c>
      <c r="L299" s="345" t="str">
        <f>VLOOKUP(K299,'20260309 suivi sites'!F:F,1,0)</f>
        <v>74MIEU011AOB</v>
      </c>
      <c r="M299" s="340" t="s">
        <v>64</v>
      </c>
      <c r="N299" s="340" t="s">
        <v>65</v>
      </c>
      <c r="O299" s="340" t="s">
        <v>64</v>
      </c>
      <c r="P299" s="338">
        <v>43865</v>
      </c>
      <c r="Q299" s="341">
        <v>44078</v>
      </c>
      <c r="R299" s="347" t="b">
        <f t="shared" si="9"/>
        <v>0</v>
      </c>
      <c r="S299" s="347" t="str">
        <f t="shared" si="8"/>
        <v>change</v>
      </c>
      <c r="T299" s="342" t="s">
        <v>1439</v>
      </c>
      <c r="U299" s="342" t="s">
        <v>2648</v>
      </c>
      <c r="V299" s="342" t="s">
        <v>2649</v>
      </c>
      <c r="W299" s="342" t="s">
        <v>2650</v>
      </c>
      <c r="X299" s="342" t="s">
        <v>69</v>
      </c>
      <c r="Y299" s="349" t="s">
        <v>2651</v>
      </c>
      <c r="Z299" s="342" t="s">
        <v>71</v>
      </c>
      <c r="AA299" s="342" t="s">
        <v>218</v>
      </c>
      <c r="AB299" s="342" t="s">
        <v>152</v>
      </c>
      <c r="AC299" s="342" t="s">
        <v>74</v>
      </c>
      <c r="AD299" s="342"/>
      <c r="AE299" s="342" t="s">
        <v>2652</v>
      </c>
      <c r="AF299" s="349" t="s">
        <v>3773</v>
      </c>
      <c r="AG299" s="342" t="s">
        <v>74</v>
      </c>
      <c r="AH299" s="342" t="s">
        <v>74</v>
      </c>
      <c r="AI299" s="342" t="s">
        <v>74</v>
      </c>
      <c r="AJ299" s="342" t="s">
        <v>77</v>
      </c>
      <c r="AK299" s="342" t="s">
        <v>97</v>
      </c>
      <c r="AL299" s="342" t="s">
        <v>79</v>
      </c>
      <c r="AM299" s="342" t="s">
        <v>74</v>
      </c>
      <c r="AN299" s="342"/>
      <c r="AO299" s="342" t="s">
        <v>2653</v>
      </c>
      <c r="AP299" s="342" t="s">
        <v>81</v>
      </c>
      <c r="AQ299" s="349" t="s">
        <v>748</v>
      </c>
      <c r="AR299" s="342" t="s">
        <v>83</v>
      </c>
      <c r="AS299" s="342" t="s">
        <v>84</v>
      </c>
      <c r="AT299" s="342" t="s">
        <v>45</v>
      </c>
      <c r="AU299" s="342" t="s">
        <v>85</v>
      </c>
      <c r="AV299" s="342"/>
      <c r="AW299" s="342"/>
      <c r="AX299" s="343" t="str">
        <f>IF(OR(Tableau3[[#This Row],[Option GTR]]&lt;&gt;"",Tableau3[[#This Row],[GTR spécifique]]&lt;&gt;""),"GTRS1","GTRS2")</f>
        <v>GTRS2</v>
      </c>
      <c r="AY299" s="342" t="s">
        <v>794</v>
      </c>
      <c r="AZ299" s="342"/>
      <c r="BA299" s="342" t="s">
        <v>2654</v>
      </c>
    </row>
    <row r="300" spans="1:53" s="326" customFormat="1" ht="18.149999999999999" customHeight="1" x14ac:dyDescent="0.3">
      <c r="A300" s="340" t="s">
        <v>53</v>
      </c>
      <c r="B300" s="340" t="s">
        <v>54</v>
      </c>
      <c r="C300" s="340" t="s">
        <v>2398</v>
      </c>
      <c r="D300" s="340" t="s">
        <v>56</v>
      </c>
      <c r="E300" s="340" t="s">
        <v>57</v>
      </c>
      <c r="F300" s="340" t="s">
        <v>58</v>
      </c>
      <c r="G300" s="340" t="s">
        <v>59</v>
      </c>
      <c r="H300" s="340" t="s">
        <v>846</v>
      </c>
      <c r="I300" s="340" t="s">
        <v>61</v>
      </c>
      <c r="J300" s="340" t="s">
        <v>2655</v>
      </c>
      <c r="K300" s="340" t="s">
        <v>2656</v>
      </c>
      <c r="L300" s="345" t="str">
        <f>VLOOKUP(K300,'20260309 suivi sites'!F:F,1,0)</f>
        <v>23STPI011AOB</v>
      </c>
      <c r="M300" s="340" t="s">
        <v>64</v>
      </c>
      <c r="N300" s="340" t="s">
        <v>65</v>
      </c>
      <c r="O300" s="340" t="s">
        <v>64</v>
      </c>
      <c r="P300" s="338">
        <v>43725</v>
      </c>
      <c r="Q300" s="341">
        <v>43866</v>
      </c>
      <c r="R300" s="347" t="b">
        <f t="shared" si="9"/>
        <v>0</v>
      </c>
      <c r="S300" s="347" t="str">
        <f t="shared" si="8"/>
        <v>change</v>
      </c>
      <c r="T300" s="342" t="s">
        <v>1439</v>
      </c>
      <c r="U300" s="342" t="s">
        <v>2657</v>
      </c>
      <c r="V300" s="342" t="s">
        <v>2040</v>
      </c>
      <c r="W300" s="342" t="s">
        <v>2658</v>
      </c>
      <c r="X300" s="342" t="s">
        <v>69</v>
      </c>
      <c r="Y300" s="349" t="s">
        <v>2659</v>
      </c>
      <c r="Z300" s="342" t="s">
        <v>71</v>
      </c>
      <c r="AA300" s="342" t="s">
        <v>218</v>
      </c>
      <c r="AB300" s="342" t="s">
        <v>152</v>
      </c>
      <c r="AC300" s="342" t="s">
        <v>74</v>
      </c>
      <c r="AD300" s="342"/>
      <c r="AE300" s="342" t="s">
        <v>2660</v>
      </c>
      <c r="AF300" s="349" t="s">
        <v>3773</v>
      </c>
      <c r="AG300" s="342" t="s">
        <v>74</v>
      </c>
      <c r="AH300" s="342" t="s">
        <v>74</v>
      </c>
      <c r="AI300" s="342" t="s">
        <v>74</v>
      </c>
      <c r="AJ300" s="342" t="s">
        <v>77</v>
      </c>
      <c r="AK300" s="342" t="s">
        <v>97</v>
      </c>
      <c r="AL300" s="342" t="s">
        <v>79</v>
      </c>
      <c r="AM300" s="342" t="s">
        <v>74</v>
      </c>
      <c r="AN300" s="342"/>
      <c r="AO300" s="342" t="s">
        <v>2661</v>
      </c>
      <c r="AP300" s="342" t="s">
        <v>81</v>
      </c>
      <c r="AQ300" s="349" t="s">
        <v>748</v>
      </c>
      <c r="AR300" s="342" t="s">
        <v>83</v>
      </c>
      <c r="AS300" s="342" t="s">
        <v>84</v>
      </c>
      <c r="AT300" s="342" t="s">
        <v>45</v>
      </c>
      <c r="AU300" s="342" t="s">
        <v>85</v>
      </c>
      <c r="AV300" s="342"/>
      <c r="AW300" s="342"/>
      <c r="AX300" s="343" t="str">
        <f>IF(OR(Tableau3[[#This Row],[Option GTR]]&lt;&gt;"",Tableau3[[#This Row],[GTR spécifique]]&lt;&gt;""),"GTRS1","GTRS2")</f>
        <v>GTRS2</v>
      </c>
      <c r="AY300" s="342" t="s">
        <v>738</v>
      </c>
      <c r="AZ300" s="342"/>
      <c r="BA300" s="342" t="s">
        <v>2045</v>
      </c>
    </row>
    <row r="301" spans="1:53" s="326" customFormat="1" ht="18.149999999999999" customHeight="1" x14ac:dyDescent="0.3">
      <c r="A301" s="340" t="s">
        <v>53</v>
      </c>
      <c r="B301" s="340" t="s">
        <v>54</v>
      </c>
      <c r="C301" s="340" t="s">
        <v>2398</v>
      </c>
      <c r="D301" s="340" t="s">
        <v>56</v>
      </c>
      <c r="E301" s="340" t="s">
        <v>57</v>
      </c>
      <c r="F301" s="340" t="s">
        <v>58</v>
      </c>
      <c r="G301" s="340" t="s">
        <v>59</v>
      </c>
      <c r="H301" s="340" t="s">
        <v>846</v>
      </c>
      <c r="I301" s="340" t="s">
        <v>61</v>
      </c>
      <c r="J301" s="340" t="s">
        <v>2662</v>
      </c>
      <c r="K301" s="340" t="s">
        <v>2663</v>
      </c>
      <c r="L301" s="345" t="str">
        <f>VLOOKUP(K301,'20260309 suivi sites'!F:F,1,0)</f>
        <v>38LAFE011AOB</v>
      </c>
      <c r="M301" s="340" t="s">
        <v>64</v>
      </c>
      <c r="N301" s="340" t="s">
        <v>65</v>
      </c>
      <c r="O301" s="340" t="s">
        <v>64</v>
      </c>
      <c r="P301" s="338">
        <v>44098</v>
      </c>
      <c r="Q301" s="341">
        <v>44195</v>
      </c>
      <c r="R301" s="347" t="b">
        <f t="shared" si="9"/>
        <v>0</v>
      </c>
      <c r="S301" s="347" t="str">
        <f t="shared" si="8"/>
        <v>change</v>
      </c>
      <c r="T301" s="342" t="s">
        <v>1439</v>
      </c>
      <c r="U301" s="342" t="s">
        <v>2664</v>
      </c>
      <c r="V301" s="342" t="s">
        <v>2665</v>
      </c>
      <c r="W301" s="342" t="s">
        <v>2666</v>
      </c>
      <c r="X301" s="342" t="s">
        <v>69</v>
      </c>
      <c r="Y301" s="349" t="s">
        <v>2667</v>
      </c>
      <c r="Z301" s="342" t="s">
        <v>71</v>
      </c>
      <c r="AA301" s="342" t="s">
        <v>218</v>
      </c>
      <c r="AB301" s="342" t="s">
        <v>152</v>
      </c>
      <c r="AC301" s="342" t="s">
        <v>74</v>
      </c>
      <c r="AD301" s="342"/>
      <c r="AE301" s="342" t="s">
        <v>2668</v>
      </c>
      <c r="AF301" s="349" t="s">
        <v>3773</v>
      </c>
      <c r="AG301" s="342" t="s">
        <v>74</v>
      </c>
      <c r="AH301" s="342" t="s">
        <v>74</v>
      </c>
      <c r="AI301" s="342" t="s">
        <v>74</v>
      </c>
      <c r="AJ301" s="342" t="s">
        <v>77</v>
      </c>
      <c r="AK301" s="342" t="s">
        <v>97</v>
      </c>
      <c r="AL301" s="342" t="s">
        <v>79</v>
      </c>
      <c r="AM301" s="342" t="s">
        <v>74</v>
      </c>
      <c r="AN301" s="342"/>
      <c r="AO301" s="342" t="s">
        <v>2669</v>
      </c>
      <c r="AP301" s="342" t="s">
        <v>81</v>
      </c>
      <c r="AQ301" s="349" t="s">
        <v>748</v>
      </c>
      <c r="AR301" s="342" t="s">
        <v>83</v>
      </c>
      <c r="AS301" s="342" t="s">
        <v>84</v>
      </c>
      <c r="AT301" s="342" t="s">
        <v>45</v>
      </c>
      <c r="AU301" s="342" t="s">
        <v>85</v>
      </c>
      <c r="AV301" s="342"/>
      <c r="AW301" s="342"/>
      <c r="AX301" s="343" t="str">
        <f>IF(OR(Tableau3[[#This Row],[Option GTR]]&lt;&gt;"",Tableau3[[#This Row],[GTR spécifique]]&lt;&gt;""),"GTRS1","GTRS2")</f>
        <v>GTRS2</v>
      </c>
      <c r="AY301" s="342" t="s">
        <v>738</v>
      </c>
      <c r="AZ301" s="342"/>
      <c r="BA301" s="342" t="s">
        <v>862</v>
      </c>
    </row>
    <row r="302" spans="1:53" s="326" customFormat="1" ht="18.149999999999999" customHeight="1" x14ac:dyDescent="0.3">
      <c r="A302" s="340" t="s">
        <v>53</v>
      </c>
      <c r="B302" s="340" t="s">
        <v>54</v>
      </c>
      <c r="C302" s="340" t="s">
        <v>2398</v>
      </c>
      <c r="D302" s="340" t="s">
        <v>56</v>
      </c>
      <c r="E302" s="340" t="s">
        <v>57</v>
      </c>
      <c r="F302" s="340" t="s">
        <v>58</v>
      </c>
      <c r="G302" s="340" t="s">
        <v>59</v>
      </c>
      <c r="H302" s="340" t="s">
        <v>846</v>
      </c>
      <c r="I302" s="340" t="s">
        <v>61</v>
      </c>
      <c r="J302" s="340" t="s">
        <v>2670</v>
      </c>
      <c r="K302" s="340" t="s">
        <v>2671</v>
      </c>
      <c r="L302" s="345" t="str">
        <f>VLOOKUP(K302,'20260309 suivi sites'!F:F,1,0)</f>
        <v>47LETE011AOS</v>
      </c>
      <c r="M302" s="340" t="s">
        <v>64</v>
      </c>
      <c r="N302" s="340" t="s">
        <v>65</v>
      </c>
      <c r="O302" s="340" t="s">
        <v>64</v>
      </c>
      <c r="P302" s="338">
        <v>43998</v>
      </c>
      <c r="Q302" s="341">
        <v>44195</v>
      </c>
      <c r="R302" s="347" t="b">
        <f t="shared" si="9"/>
        <v>0</v>
      </c>
      <c r="S302" s="347" t="str">
        <f t="shared" si="8"/>
        <v>change</v>
      </c>
      <c r="T302" s="342" t="s">
        <v>1439</v>
      </c>
      <c r="U302" s="342" t="s">
        <v>2672</v>
      </c>
      <c r="V302" s="342" t="s">
        <v>2673</v>
      </c>
      <c r="W302" s="342" t="s">
        <v>2674</v>
      </c>
      <c r="X302" s="342" t="s">
        <v>69</v>
      </c>
      <c r="Y302" s="349" t="s">
        <v>2675</v>
      </c>
      <c r="Z302" s="342" t="s">
        <v>71</v>
      </c>
      <c r="AA302" s="342" t="s">
        <v>72</v>
      </c>
      <c r="AB302" s="342" t="s">
        <v>73</v>
      </c>
      <c r="AC302" s="342" t="s">
        <v>74</v>
      </c>
      <c r="AD302" s="342"/>
      <c r="AE302" s="342" t="s">
        <v>2676</v>
      </c>
      <c r="AF302" s="349" t="s">
        <v>3766</v>
      </c>
      <c r="AG302" s="342" t="s">
        <v>74</v>
      </c>
      <c r="AH302" s="342" t="s">
        <v>74</v>
      </c>
      <c r="AI302" s="342" t="s">
        <v>74</v>
      </c>
      <c r="AJ302" s="342" t="s">
        <v>140</v>
      </c>
      <c r="AK302" s="342" t="s">
        <v>97</v>
      </c>
      <c r="AL302" s="342" t="s">
        <v>79</v>
      </c>
      <c r="AM302" s="342" t="s">
        <v>74</v>
      </c>
      <c r="AN302" s="342"/>
      <c r="AO302" s="342" t="s">
        <v>2677</v>
      </c>
      <c r="AP302" s="342" t="s">
        <v>81</v>
      </c>
      <c r="AQ302" s="349" t="s">
        <v>130</v>
      </c>
      <c r="AR302" s="342" t="s">
        <v>83</v>
      </c>
      <c r="AS302" s="342" t="s">
        <v>84</v>
      </c>
      <c r="AT302" s="342" t="s">
        <v>45</v>
      </c>
      <c r="AU302" s="342" t="s">
        <v>85</v>
      </c>
      <c r="AV302" s="342"/>
      <c r="AW302" s="342"/>
      <c r="AX302" s="343" t="str">
        <f>IF(OR(Tableau3[[#This Row],[Option GTR]]&lt;&gt;"",Tableau3[[#This Row],[GTR spécifique]]&lt;&gt;""),"GTRS1","GTRS2")</f>
        <v>GTRS2</v>
      </c>
      <c r="AY302" s="342" t="s">
        <v>143</v>
      </c>
      <c r="AZ302" s="342"/>
      <c r="BA302" s="342" t="s">
        <v>862</v>
      </c>
    </row>
    <row r="303" spans="1:53" s="326" customFormat="1" ht="18.149999999999999" customHeight="1" x14ac:dyDescent="0.3">
      <c r="A303" s="340" t="s">
        <v>53</v>
      </c>
      <c r="B303" s="340" t="s">
        <v>54</v>
      </c>
      <c r="C303" s="340" t="s">
        <v>2398</v>
      </c>
      <c r="D303" s="340" t="s">
        <v>56</v>
      </c>
      <c r="E303" s="340" t="s">
        <v>57</v>
      </c>
      <c r="F303" s="340" t="s">
        <v>58</v>
      </c>
      <c r="G303" s="340" t="s">
        <v>59</v>
      </c>
      <c r="H303" s="340" t="s">
        <v>846</v>
      </c>
      <c r="I303" s="340" t="s">
        <v>61</v>
      </c>
      <c r="J303" s="340" t="s">
        <v>2678</v>
      </c>
      <c r="K303" s="340" t="s">
        <v>2679</v>
      </c>
      <c r="L303" s="345" t="str">
        <f>VLOOKUP(K303,'20260309 suivi sites'!F:F,1,0)</f>
        <v>86MILL011AOB</v>
      </c>
      <c r="M303" s="340" t="s">
        <v>64</v>
      </c>
      <c r="N303" s="340" t="s">
        <v>771</v>
      </c>
      <c r="O303" s="340" t="s">
        <v>64</v>
      </c>
      <c r="P303" s="338">
        <v>43852</v>
      </c>
      <c r="Q303" s="341">
        <v>43852</v>
      </c>
      <c r="R303" s="347" t="b">
        <f t="shared" si="9"/>
        <v>1</v>
      </c>
      <c r="S303" s="347" t="str">
        <f t="shared" si="8"/>
        <v>création</v>
      </c>
      <c r="T303" s="342" t="s">
        <v>1439</v>
      </c>
      <c r="U303" s="342" t="s">
        <v>2680</v>
      </c>
      <c r="V303" s="342" t="s">
        <v>2231</v>
      </c>
      <c r="W303" s="342" t="s">
        <v>2681</v>
      </c>
      <c r="X303" s="342" t="s">
        <v>69</v>
      </c>
      <c r="Y303" s="349" t="s">
        <v>2682</v>
      </c>
      <c r="Z303" s="342" t="s">
        <v>71</v>
      </c>
      <c r="AA303" s="342" t="s">
        <v>218</v>
      </c>
      <c r="AB303" s="342" t="s">
        <v>152</v>
      </c>
      <c r="AC303" s="342" t="s">
        <v>74</v>
      </c>
      <c r="AD303" s="342"/>
      <c r="AE303" s="342" t="s">
        <v>2683</v>
      </c>
      <c r="AF303" s="349" t="s">
        <v>3773</v>
      </c>
      <c r="AG303" s="342" t="s">
        <v>74</v>
      </c>
      <c r="AH303" s="342" t="s">
        <v>74</v>
      </c>
      <c r="AI303" s="342" t="s">
        <v>74</v>
      </c>
      <c r="AJ303" s="342" t="s">
        <v>77</v>
      </c>
      <c r="AK303" s="342" t="s">
        <v>97</v>
      </c>
      <c r="AL303" s="342" t="s">
        <v>79</v>
      </c>
      <c r="AM303" s="342" t="s">
        <v>74</v>
      </c>
      <c r="AN303" s="342"/>
      <c r="AO303" s="342" t="s">
        <v>2684</v>
      </c>
      <c r="AP303" s="342" t="s">
        <v>81</v>
      </c>
      <c r="AQ303" s="349" t="s">
        <v>748</v>
      </c>
      <c r="AR303" s="342" t="s">
        <v>83</v>
      </c>
      <c r="AS303" s="342" t="s">
        <v>290</v>
      </c>
      <c r="AT303" s="342" t="s">
        <v>45</v>
      </c>
      <c r="AU303" s="342" t="s">
        <v>85</v>
      </c>
      <c r="AV303" s="342"/>
      <c r="AW303" s="342"/>
      <c r="AX303" s="343" t="str">
        <f>IF(OR(Tableau3[[#This Row],[Option GTR]]&lt;&gt;"",Tableau3[[#This Row],[GTR spécifique]]&lt;&gt;""),"GTRS1","GTRS2")</f>
        <v>GTRS2</v>
      </c>
      <c r="AY303" s="342" t="s">
        <v>738</v>
      </c>
      <c r="AZ303" s="342" t="s">
        <v>2068</v>
      </c>
      <c r="BA303" s="342" t="s">
        <v>2685</v>
      </c>
    </row>
    <row r="304" spans="1:53" s="326" customFormat="1" ht="18.149999999999999" customHeight="1" x14ac:dyDescent="0.3">
      <c r="A304" s="340" t="s">
        <v>53</v>
      </c>
      <c r="B304" s="340" t="s">
        <v>54</v>
      </c>
      <c r="C304" s="340" t="s">
        <v>2398</v>
      </c>
      <c r="D304" s="340" t="s">
        <v>56</v>
      </c>
      <c r="E304" s="340" t="s">
        <v>57</v>
      </c>
      <c r="F304" s="340" t="s">
        <v>58</v>
      </c>
      <c r="G304" s="340" t="s">
        <v>59</v>
      </c>
      <c r="H304" s="340" t="s">
        <v>846</v>
      </c>
      <c r="I304" s="340" t="s">
        <v>61</v>
      </c>
      <c r="J304" s="340" t="s">
        <v>2686</v>
      </c>
      <c r="K304" s="340" t="s">
        <v>2687</v>
      </c>
      <c r="L304" s="346" t="str">
        <f>VLOOKUP(K304,'20260309 suivi sites'!F:F,1,0)</f>
        <v>87STJU011AOB</v>
      </c>
      <c r="M304" s="340" t="s">
        <v>64</v>
      </c>
      <c r="N304" s="340" t="s">
        <v>771</v>
      </c>
      <c r="O304" s="340" t="s">
        <v>64</v>
      </c>
      <c r="P304" s="339">
        <v>43782</v>
      </c>
      <c r="Q304" s="341">
        <v>43782</v>
      </c>
      <c r="R304" s="348" t="b">
        <f t="shared" si="9"/>
        <v>1</v>
      </c>
      <c r="S304" s="348" t="str">
        <f t="shared" si="8"/>
        <v>création</v>
      </c>
      <c r="T304" s="342" t="s">
        <v>1439</v>
      </c>
      <c r="U304" s="342" t="s">
        <v>2688</v>
      </c>
      <c r="V304" s="342" t="s">
        <v>2689</v>
      </c>
      <c r="W304" s="342" t="s">
        <v>2690</v>
      </c>
      <c r="X304" s="342" t="s">
        <v>69</v>
      </c>
      <c r="Y304" s="349" t="s">
        <v>2691</v>
      </c>
      <c r="Z304" s="342" t="s">
        <v>71</v>
      </c>
      <c r="AA304" s="342" t="s">
        <v>218</v>
      </c>
      <c r="AB304" s="342" t="s">
        <v>152</v>
      </c>
      <c r="AC304" s="342" t="s">
        <v>74</v>
      </c>
      <c r="AD304" s="342"/>
      <c r="AE304" s="342" t="s">
        <v>2692</v>
      </c>
      <c r="AF304" s="349" t="s">
        <v>3773</v>
      </c>
      <c r="AG304" s="342" t="s">
        <v>74</v>
      </c>
      <c r="AH304" s="342" t="s">
        <v>74</v>
      </c>
      <c r="AI304" s="342" t="s">
        <v>74</v>
      </c>
      <c r="AJ304" s="342" t="s">
        <v>77</v>
      </c>
      <c r="AK304" s="342" t="s">
        <v>97</v>
      </c>
      <c r="AL304" s="342" t="s">
        <v>79</v>
      </c>
      <c r="AM304" s="342" t="s">
        <v>74</v>
      </c>
      <c r="AN304" s="342"/>
      <c r="AO304" s="342" t="s">
        <v>2693</v>
      </c>
      <c r="AP304" s="342" t="s">
        <v>81</v>
      </c>
      <c r="AQ304" s="349" t="s">
        <v>748</v>
      </c>
      <c r="AR304" s="342" t="s">
        <v>83</v>
      </c>
      <c r="AS304" s="342" t="s">
        <v>290</v>
      </c>
      <c r="AT304" s="342" t="s">
        <v>45</v>
      </c>
      <c r="AU304" s="342" t="s">
        <v>85</v>
      </c>
      <c r="AV304" s="342"/>
      <c r="AW304" s="342"/>
      <c r="AX304" s="343" t="str">
        <f>IF(OR(Tableau3[[#This Row],[Option GTR]]&lt;&gt;"",Tableau3[[#This Row],[GTR spécifique]]&lt;&gt;""),"GTRS1","GTRS2")</f>
        <v>GTRS2</v>
      </c>
      <c r="AY304" s="342" t="s">
        <v>738</v>
      </c>
      <c r="AZ304" s="342" t="s">
        <v>2694</v>
      </c>
      <c r="BA304" s="342" t="s">
        <v>2695</v>
      </c>
    </row>
  </sheetData>
  <phoneticPr fontId="6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9E271-A205-48DD-BBCD-FCBD70D0A274}">
  <sheetPr codeName="Sheet4"/>
  <dimension ref="A1:U159"/>
  <sheetViews>
    <sheetView topLeftCell="F1" workbookViewId="0">
      <selection sqref="A1:E1"/>
    </sheetView>
  </sheetViews>
  <sheetFormatPr defaultColWidth="11.44140625" defaultRowHeight="14.4" x14ac:dyDescent="0.3"/>
  <cols>
    <col min="1" max="1" width="19.44140625" style="75" hidden="1" customWidth="1"/>
    <col min="2" max="2" width="10" style="75" hidden="1" customWidth="1"/>
    <col min="3" max="3" width="14.44140625" style="120" hidden="1" customWidth="1"/>
    <col min="4" max="4" width="12.88671875" style="120" hidden="1" customWidth="1"/>
    <col min="5" max="5" width="17.5546875" style="119" hidden="1" customWidth="1"/>
    <col min="9" max="9" width="19.44140625" style="160" bestFit="1" customWidth="1"/>
    <col min="10" max="10" width="10" style="160" bestFit="1" customWidth="1"/>
    <col min="11" max="11" width="14.44140625" style="161" bestFit="1" customWidth="1"/>
    <col min="12" max="12" width="12.88671875" style="161" bestFit="1" customWidth="1"/>
    <col min="13" max="13" width="17.5546875" style="162" bestFit="1" customWidth="1"/>
    <col min="17" max="17" width="21.5546875" style="38" customWidth="1"/>
    <col min="18" max="18" width="56.6640625" style="38" customWidth="1"/>
    <col min="19" max="19" width="21.33203125" style="38" customWidth="1"/>
    <col min="20" max="20" width="18.109375" style="38" bestFit="1" customWidth="1"/>
    <col min="21" max="21" width="46.6640625" style="38" customWidth="1"/>
  </cols>
  <sheetData>
    <row r="1" spans="1:21" x14ac:dyDescent="0.3">
      <c r="A1" s="1037" t="s">
        <v>3532</v>
      </c>
      <c r="B1" s="1037"/>
      <c r="C1" s="1037"/>
      <c r="D1" s="1037"/>
      <c r="E1" s="1037"/>
      <c r="I1" s="1018" t="s">
        <v>3532</v>
      </c>
      <c r="J1" s="1018"/>
      <c r="K1" s="1018"/>
      <c r="L1" s="1018"/>
      <c r="M1" s="1018"/>
    </row>
    <row r="2" spans="1:21" x14ac:dyDescent="0.3">
      <c r="A2" s="64"/>
      <c r="B2" s="64"/>
      <c r="C2" s="96"/>
      <c r="D2" s="97"/>
      <c r="E2" s="98"/>
      <c r="I2" s="145"/>
      <c r="J2" s="145"/>
      <c r="K2" s="146"/>
      <c r="L2" s="147"/>
      <c r="M2" s="148"/>
      <c r="S2" s="1080" t="s">
        <v>3533</v>
      </c>
      <c r="T2" s="1080"/>
      <c r="U2" s="196" t="s">
        <v>3534</v>
      </c>
    </row>
    <row r="3" spans="1:21" ht="51" x14ac:dyDescent="0.3">
      <c r="A3" s="65" t="s">
        <v>3535</v>
      </c>
      <c r="B3" s="66" t="s">
        <v>3536</v>
      </c>
      <c r="C3" s="99" t="s">
        <v>3537</v>
      </c>
      <c r="D3" s="99" t="s">
        <v>3538</v>
      </c>
      <c r="E3" s="99" t="s">
        <v>3539</v>
      </c>
      <c r="I3" s="149" t="s">
        <v>3535</v>
      </c>
      <c r="J3" s="150" t="s">
        <v>3536</v>
      </c>
      <c r="K3" s="151" t="s">
        <v>3537</v>
      </c>
      <c r="L3" s="151" t="s">
        <v>3538</v>
      </c>
      <c r="M3" s="151" t="s">
        <v>3539</v>
      </c>
      <c r="Q3" s="1081" t="s">
        <v>3540</v>
      </c>
      <c r="R3" s="1081" t="s">
        <v>3541</v>
      </c>
      <c r="S3" s="229" t="s">
        <v>3542</v>
      </c>
      <c r="T3" s="229" t="s">
        <v>3543</v>
      </c>
      <c r="U3" s="1083" t="s">
        <v>3544</v>
      </c>
    </row>
    <row r="4" spans="1:21" x14ac:dyDescent="0.3">
      <c r="A4" s="67" t="s">
        <v>3545</v>
      </c>
      <c r="B4" s="1038">
        <v>601.99999999999989</v>
      </c>
      <c r="C4" s="1041">
        <v>279</v>
      </c>
      <c r="D4" s="1042"/>
      <c r="E4" s="1043"/>
      <c r="I4" s="152" t="s">
        <v>3545</v>
      </c>
      <c r="J4" s="1019">
        <v>601.99999999999989</v>
      </c>
      <c r="K4" s="125">
        <v>279</v>
      </c>
      <c r="L4" s="125">
        <v>279</v>
      </c>
      <c r="M4" s="125">
        <v>279</v>
      </c>
      <c r="Q4" s="1082"/>
      <c r="R4" s="1082"/>
      <c r="S4" s="229">
        <v>36</v>
      </c>
      <c r="T4" s="229">
        <v>66</v>
      </c>
      <c r="U4" s="1084"/>
    </row>
    <row r="5" spans="1:21" x14ac:dyDescent="0.3">
      <c r="A5" s="67" t="s">
        <v>3546</v>
      </c>
      <c r="B5" s="1039"/>
      <c r="C5" s="1044">
        <v>285</v>
      </c>
      <c r="D5" s="1045"/>
      <c r="E5" s="1046"/>
      <c r="I5" s="152" t="s">
        <v>3546</v>
      </c>
      <c r="J5" s="1020"/>
      <c r="K5" s="126">
        <v>285</v>
      </c>
      <c r="L5" s="126">
        <v>285</v>
      </c>
      <c r="M5" s="126">
        <v>285</v>
      </c>
    </row>
    <row r="6" spans="1:21" x14ac:dyDescent="0.3">
      <c r="A6" s="67" t="s">
        <v>2867</v>
      </c>
      <c r="B6" s="1039"/>
      <c r="C6" s="1041">
        <v>290</v>
      </c>
      <c r="D6" s="1043"/>
      <c r="E6" s="100">
        <v>775</v>
      </c>
      <c r="I6" s="152" t="s">
        <v>2867</v>
      </c>
      <c r="J6" s="1020"/>
      <c r="K6" s="125">
        <v>290</v>
      </c>
      <c r="L6" s="125">
        <v>290</v>
      </c>
      <c r="M6" s="127">
        <v>775</v>
      </c>
    </row>
    <row r="7" spans="1:21" x14ac:dyDescent="0.3">
      <c r="A7" s="67" t="s">
        <v>2757</v>
      </c>
      <c r="B7" s="1039"/>
      <c r="C7" s="1047">
        <v>356</v>
      </c>
      <c r="D7" s="1048"/>
      <c r="E7" s="101">
        <v>896</v>
      </c>
      <c r="I7" s="152" t="s">
        <v>2757</v>
      </c>
      <c r="J7" s="1020"/>
      <c r="K7" s="128">
        <v>356</v>
      </c>
      <c r="L7" s="128">
        <v>356</v>
      </c>
      <c r="M7" s="128">
        <v>896</v>
      </c>
    </row>
    <row r="8" spans="1:21" x14ac:dyDescent="0.3">
      <c r="A8" s="67" t="s">
        <v>3068</v>
      </c>
      <c r="B8" s="1039"/>
      <c r="C8" s="1029">
        <v>469</v>
      </c>
      <c r="D8" s="1030"/>
      <c r="E8" s="102">
        <v>1024</v>
      </c>
      <c r="I8" s="152" t="s">
        <v>3068</v>
      </c>
      <c r="J8" s="1020"/>
      <c r="K8" s="129">
        <v>469</v>
      </c>
      <c r="L8" s="129">
        <v>469</v>
      </c>
      <c r="M8" s="130">
        <v>1024</v>
      </c>
    </row>
    <row r="9" spans="1:21" x14ac:dyDescent="0.3">
      <c r="A9" s="67" t="s">
        <v>2751</v>
      </c>
      <c r="B9" s="1039"/>
      <c r="C9" s="1047">
        <f>ROUND(568.41198185659,0)</f>
        <v>568</v>
      </c>
      <c r="D9" s="1048"/>
      <c r="E9" s="101">
        <v>1071</v>
      </c>
      <c r="I9" s="152" t="s">
        <v>2751</v>
      </c>
      <c r="J9" s="1020"/>
      <c r="K9" s="128">
        <v>568</v>
      </c>
      <c r="L9" s="128">
        <v>568</v>
      </c>
      <c r="M9" s="128">
        <v>1071</v>
      </c>
    </row>
    <row r="10" spans="1:21" x14ac:dyDescent="0.3">
      <c r="A10" s="67" t="s">
        <v>3547</v>
      </c>
      <c r="B10" s="1039"/>
      <c r="C10" s="1029">
        <f>ROUND(603.61198185659,0)</f>
        <v>604</v>
      </c>
      <c r="D10" s="1030"/>
      <c r="E10" s="102">
        <v>1129</v>
      </c>
      <c r="I10" s="152" t="s">
        <v>3547</v>
      </c>
      <c r="J10" s="1020"/>
      <c r="K10" s="129">
        <v>604</v>
      </c>
      <c r="L10" s="129">
        <v>604</v>
      </c>
      <c r="M10" s="130">
        <v>1129</v>
      </c>
    </row>
    <row r="11" spans="1:21" x14ac:dyDescent="0.3">
      <c r="A11" s="67" t="s">
        <v>2777</v>
      </c>
      <c r="B11" s="1039"/>
      <c r="C11" s="1047">
        <f>ROUND(674.61198185659,0)</f>
        <v>675</v>
      </c>
      <c r="D11" s="1048"/>
      <c r="E11" s="101">
        <v>1288</v>
      </c>
      <c r="I11" s="152" t="s">
        <v>2777</v>
      </c>
      <c r="J11" s="1020"/>
      <c r="K11" s="128">
        <v>675</v>
      </c>
      <c r="L11" s="128">
        <v>675</v>
      </c>
      <c r="M11" s="128">
        <v>1288</v>
      </c>
    </row>
    <row r="12" spans="1:21" x14ac:dyDescent="0.3">
      <c r="A12" s="67" t="s">
        <v>3548</v>
      </c>
      <c r="B12" s="1039"/>
      <c r="C12" s="1029">
        <f>ROUND(733.11198185659,0)</f>
        <v>733</v>
      </c>
      <c r="D12" s="1030"/>
      <c r="E12" s="102">
        <v>1432</v>
      </c>
      <c r="I12" s="152" t="s">
        <v>3548</v>
      </c>
      <c r="J12" s="1020"/>
      <c r="K12" s="129">
        <v>733</v>
      </c>
      <c r="L12" s="129">
        <v>733</v>
      </c>
      <c r="M12" s="130">
        <v>1432</v>
      </c>
    </row>
    <row r="13" spans="1:21" x14ac:dyDescent="0.3">
      <c r="A13" s="67" t="s">
        <v>2877</v>
      </c>
      <c r="B13" s="1039"/>
      <c r="C13" s="1047">
        <f>ROUND(737.61198185659,0)</f>
        <v>738</v>
      </c>
      <c r="D13" s="1048"/>
      <c r="E13" s="101">
        <v>1437</v>
      </c>
      <c r="I13" s="152" t="s">
        <v>2877</v>
      </c>
      <c r="J13" s="1020"/>
      <c r="K13" s="128">
        <v>738</v>
      </c>
      <c r="L13" s="128">
        <v>738</v>
      </c>
      <c r="M13" s="128">
        <v>1437</v>
      </c>
    </row>
    <row r="14" spans="1:21" x14ac:dyDescent="0.3">
      <c r="A14" s="67" t="s">
        <v>3102</v>
      </c>
      <c r="B14" s="1039"/>
      <c r="C14" s="1029">
        <f>ROUND(860.61198185659,0)</f>
        <v>861</v>
      </c>
      <c r="D14" s="1030"/>
      <c r="E14" s="102">
        <v>1716</v>
      </c>
      <c r="I14" s="152" t="s">
        <v>3102</v>
      </c>
      <c r="J14" s="1020"/>
      <c r="K14" s="129">
        <v>861</v>
      </c>
      <c r="L14" s="129">
        <v>861</v>
      </c>
      <c r="M14" s="130">
        <v>1716</v>
      </c>
    </row>
    <row r="15" spans="1:21" x14ac:dyDescent="0.3">
      <c r="A15" s="67" t="s">
        <v>3207</v>
      </c>
      <c r="B15" s="1039"/>
      <c r="C15" s="101">
        <f>ROUND(1181.61198185659,0)</f>
        <v>1182</v>
      </c>
      <c r="D15" s="101">
        <v>2394.6119818565899</v>
      </c>
      <c r="E15" s="101">
        <v>2565</v>
      </c>
      <c r="I15" s="152" t="s">
        <v>3207</v>
      </c>
      <c r="J15" s="1020"/>
      <c r="K15" s="128">
        <v>1182</v>
      </c>
      <c r="L15" s="128">
        <v>2394.6119818565899</v>
      </c>
      <c r="M15" s="128">
        <v>2565</v>
      </c>
    </row>
    <row r="16" spans="1:21" x14ac:dyDescent="0.3">
      <c r="A16" s="67" t="s">
        <v>3549</v>
      </c>
      <c r="B16" s="1039"/>
      <c r="C16" s="103">
        <f>ROUND(1213.61198185659,0)</f>
        <v>1214</v>
      </c>
      <c r="D16" s="103">
        <v>2425.6119818565899</v>
      </c>
      <c r="E16" s="102">
        <v>2724</v>
      </c>
      <c r="I16" s="152" t="s">
        <v>3549</v>
      </c>
      <c r="J16" s="1020"/>
      <c r="K16" s="129">
        <v>1214</v>
      </c>
      <c r="L16" s="129">
        <v>2425.6119818565899</v>
      </c>
      <c r="M16" s="130">
        <v>2724</v>
      </c>
    </row>
    <row r="17" spans="1:13" x14ac:dyDescent="0.3">
      <c r="A17" s="67" t="s">
        <v>3550</v>
      </c>
      <c r="B17" s="1039"/>
      <c r="C17" s="101">
        <f>ROUND(1336.61198185659,0)</f>
        <v>1337</v>
      </c>
      <c r="D17" s="101">
        <v>2688.6119818565899</v>
      </c>
      <c r="E17" s="1024" t="s">
        <v>3551</v>
      </c>
      <c r="I17" s="152" t="s">
        <v>3550</v>
      </c>
      <c r="J17" s="1020"/>
      <c r="K17" s="128">
        <v>1337</v>
      </c>
      <c r="L17" s="128">
        <v>2688.6119818565899</v>
      </c>
      <c r="M17" s="131" t="s">
        <v>3551</v>
      </c>
    </row>
    <row r="18" spans="1:13" x14ac:dyDescent="0.3">
      <c r="A18" s="67" t="s">
        <v>3552</v>
      </c>
      <c r="B18" s="1039"/>
      <c r="C18" s="103">
        <f>ROUND(1383.61198185659,0)</f>
        <v>1384</v>
      </c>
      <c r="D18" s="103">
        <v>3133.6119818565899</v>
      </c>
      <c r="E18" s="1025"/>
      <c r="I18" s="152" t="s">
        <v>3552</v>
      </c>
      <c r="J18" s="1020"/>
      <c r="K18" s="129">
        <v>1384</v>
      </c>
      <c r="L18" s="129">
        <v>3133.6119818565899</v>
      </c>
      <c r="M18" s="131" t="s">
        <v>3551</v>
      </c>
    </row>
    <row r="19" spans="1:13" x14ac:dyDescent="0.3">
      <c r="A19" s="67" t="s">
        <v>3553</v>
      </c>
      <c r="B19" s="1039"/>
      <c r="C19" s="101">
        <f>ROUND(1430.61198185659,0)</f>
        <v>1431</v>
      </c>
      <c r="D19" s="101">
        <v>3180.6119818565899</v>
      </c>
      <c r="E19" s="1025"/>
      <c r="I19" s="152" t="s">
        <v>3553</v>
      </c>
      <c r="J19" s="1020"/>
      <c r="K19" s="128">
        <v>1431</v>
      </c>
      <c r="L19" s="128">
        <v>3181</v>
      </c>
      <c r="M19" s="131" t="s">
        <v>3551</v>
      </c>
    </row>
    <row r="20" spans="1:13" x14ac:dyDescent="0.3">
      <c r="A20" s="67" t="s">
        <v>3554</v>
      </c>
      <c r="B20" s="1039"/>
      <c r="C20" s="103">
        <f>ROUND(1487.61198185659,0)</f>
        <v>1488</v>
      </c>
      <c r="D20" s="103">
        <v>4113.6119818565903</v>
      </c>
      <c r="E20" s="1025"/>
      <c r="I20" s="152" t="s">
        <v>3554</v>
      </c>
      <c r="J20" s="1020"/>
      <c r="K20" s="129">
        <v>1488</v>
      </c>
      <c r="L20" s="129">
        <v>4114</v>
      </c>
      <c r="M20" s="131" t="s">
        <v>3551</v>
      </c>
    </row>
    <row r="21" spans="1:13" x14ac:dyDescent="0.3">
      <c r="A21" s="67" t="s">
        <v>3555</v>
      </c>
      <c r="B21" s="1039"/>
      <c r="C21" s="101">
        <v>1525.6119818565901</v>
      </c>
      <c r="D21" s="101">
        <v>4151.6119818565903</v>
      </c>
      <c r="E21" s="1025"/>
      <c r="I21" s="152" t="s">
        <v>3555</v>
      </c>
      <c r="J21" s="1020"/>
      <c r="K21" s="128">
        <v>1526</v>
      </c>
      <c r="L21" s="128">
        <v>4152</v>
      </c>
      <c r="M21" s="131" t="s">
        <v>3551</v>
      </c>
    </row>
    <row r="22" spans="1:13" x14ac:dyDescent="0.3">
      <c r="A22" s="67" t="s">
        <v>3556</v>
      </c>
      <c r="B22" s="1039"/>
      <c r="C22" s="103">
        <v>1563.6119818565901</v>
      </c>
      <c r="D22" s="103">
        <v>4189.6119818565903</v>
      </c>
      <c r="E22" s="1025"/>
      <c r="I22" s="152" t="s">
        <v>3556</v>
      </c>
      <c r="J22" s="1020"/>
      <c r="K22" s="129">
        <v>1564</v>
      </c>
      <c r="L22" s="129">
        <v>4190</v>
      </c>
      <c r="M22" s="131" t="s">
        <v>3551</v>
      </c>
    </row>
    <row r="23" spans="1:13" x14ac:dyDescent="0.3">
      <c r="A23" s="67" t="s">
        <v>3557</v>
      </c>
      <c r="B23" s="1039"/>
      <c r="C23" s="101">
        <v>1601.6119818565901</v>
      </c>
      <c r="D23" s="101">
        <v>4227.6119818565903</v>
      </c>
      <c r="E23" s="1025"/>
      <c r="I23" s="152" t="s">
        <v>3557</v>
      </c>
      <c r="J23" s="1020"/>
      <c r="K23" s="128">
        <v>1602</v>
      </c>
      <c r="L23" s="128">
        <v>4228</v>
      </c>
      <c r="M23" s="131" t="s">
        <v>3551</v>
      </c>
    </row>
    <row r="24" spans="1:13" x14ac:dyDescent="0.3">
      <c r="A24" s="67" t="s">
        <v>3558</v>
      </c>
      <c r="B24" s="1039"/>
      <c r="C24" s="103">
        <v>2274.6119818565899</v>
      </c>
      <c r="D24" s="1024" t="s">
        <v>3551</v>
      </c>
      <c r="E24" s="1025"/>
      <c r="I24" s="152" t="s">
        <v>3558</v>
      </c>
      <c r="J24" s="1020"/>
      <c r="K24" s="129">
        <v>2275</v>
      </c>
      <c r="L24" s="131" t="s">
        <v>3551</v>
      </c>
      <c r="M24" s="131" t="s">
        <v>3551</v>
      </c>
    </row>
    <row r="25" spans="1:13" x14ac:dyDescent="0.3">
      <c r="A25" s="67" t="s">
        <v>3559</v>
      </c>
      <c r="B25" s="1039"/>
      <c r="C25" s="101">
        <v>2465.6119818565899</v>
      </c>
      <c r="D25" s="1025"/>
      <c r="E25" s="1025"/>
      <c r="I25" s="152" t="s">
        <v>3559</v>
      </c>
      <c r="J25" s="1020"/>
      <c r="K25" s="128">
        <v>2466</v>
      </c>
      <c r="L25" s="131" t="s">
        <v>3551</v>
      </c>
      <c r="M25" s="131" t="s">
        <v>3551</v>
      </c>
    </row>
    <row r="26" spans="1:13" x14ac:dyDescent="0.3">
      <c r="A26" s="67" t="s">
        <v>3560</v>
      </c>
      <c r="B26" s="1039"/>
      <c r="C26" s="103">
        <v>2656.6119818565899</v>
      </c>
      <c r="D26" s="1025"/>
      <c r="E26" s="1025"/>
      <c r="I26" s="152" t="s">
        <v>3560</v>
      </c>
      <c r="J26" s="1020"/>
      <c r="K26" s="129">
        <v>2657</v>
      </c>
      <c r="L26" s="131" t="s">
        <v>3551</v>
      </c>
      <c r="M26" s="131" t="s">
        <v>3551</v>
      </c>
    </row>
    <row r="27" spans="1:13" x14ac:dyDescent="0.3">
      <c r="A27" s="67" t="s">
        <v>3561</v>
      </c>
      <c r="B27" s="1039"/>
      <c r="C27" s="101">
        <v>2846.6119818565899</v>
      </c>
      <c r="D27" s="1025"/>
      <c r="E27" s="1025"/>
      <c r="I27" s="152" t="s">
        <v>3561</v>
      </c>
      <c r="J27" s="1020"/>
      <c r="K27" s="128">
        <v>2847</v>
      </c>
      <c r="L27" s="131" t="s">
        <v>3551</v>
      </c>
      <c r="M27" s="131" t="s">
        <v>3551</v>
      </c>
    </row>
    <row r="28" spans="1:13" x14ac:dyDescent="0.3">
      <c r="A28" s="67" t="s">
        <v>3562</v>
      </c>
      <c r="B28" s="1039"/>
      <c r="C28" s="103">
        <v>3037.6119818565899</v>
      </c>
      <c r="D28" s="1025"/>
      <c r="E28" s="1025"/>
      <c r="I28" s="152" t="s">
        <v>3562</v>
      </c>
      <c r="J28" s="1020"/>
      <c r="K28" s="129">
        <v>3038</v>
      </c>
      <c r="L28" s="131" t="s">
        <v>3551</v>
      </c>
      <c r="M28" s="131" t="s">
        <v>3551</v>
      </c>
    </row>
    <row r="29" spans="1:13" x14ac:dyDescent="0.3">
      <c r="A29" s="67" t="s">
        <v>3563</v>
      </c>
      <c r="B29" s="1039"/>
      <c r="C29" s="101">
        <v>3419.6119818565899</v>
      </c>
      <c r="D29" s="1025"/>
      <c r="E29" s="1025"/>
      <c r="I29" s="152" t="s">
        <v>3563</v>
      </c>
      <c r="J29" s="1020"/>
      <c r="K29" s="128">
        <v>3420</v>
      </c>
      <c r="L29" s="131" t="s">
        <v>3551</v>
      </c>
      <c r="M29" s="131" t="s">
        <v>3551</v>
      </c>
    </row>
    <row r="30" spans="1:13" x14ac:dyDescent="0.3">
      <c r="A30" s="67" t="s">
        <v>3564</v>
      </c>
      <c r="B30" s="1039"/>
      <c r="C30" s="103">
        <v>3800.6119818565899</v>
      </c>
      <c r="D30" s="1025"/>
      <c r="E30" s="1025"/>
      <c r="I30" s="152" t="s">
        <v>3564</v>
      </c>
      <c r="J30" s="1020"/>
      <c r="K30" s="129">
        <v>3801</v>
      </c>
      <c r="L30" s="131" t="s">
        <v>3551</v>
      </c>
      <c r="M30" s="131" t="s">
        <v>3551</v>
      </c>
    </row>
    <row r="31" spans="1:13" x14ac:dyDescent="0.3">
      <c r="A31" s="67" t="s">
        <v>3565</v>
      </c>
      <c r="B31" s="1039"/>
      <c r="C31" s="101">
        <v>4181.6119818565894</v>
      </c>
      <c r="D31" s="1025"/>
      <c r="E31" s="1025"/>
      <c r="I31" s="152" t="s">
        <v>3565</v>
      </c>
      <c r="J31" s="1020"/>
      <c r="K31" s="128">
        <v>4182</v>
      </c>
      <c r="L31" s="131" t="s">
        <v>3551</v>
      </c>
      <c r="M31" s="131" t="s">
        <v>3551</v>
      </c>
    </row>
    <row r="32" spans="1:13" x14ac:dyDescent="0.3">
      <c r="A32" s="67" t="s">
        <v>3566</v>
      </c>
      <c r="B32" s="1039"/>
      <c r="C32" s="103">
        <v>4563.6119818565903</v>
      </c>
      <c r="D32" s="1025"/>
      <c r="E32" s="1025"/>
      <c r="I32" s="152" t="s">
        <v>3566</v>
      </c>
      <c r="J32" s="1020"/>
      <c r="K32" s="129">
        <v>4564</v>
      </c>
      <c r="L32" s="131" t="s">
        <v>3551</v>
      </c>
      <c r="M32" s="131" t="s">
        <v>3551</v>
      </c>
    </row>
    <row r="33" spans="1:13" x14ac:dyDescent="0.3">
      <c r="A33" s="67" t="s">
        <v>3567</v>
      </c>
      <c r="B33" s="1040"/>
      <c r="C33" s="101">
        <v>4944.6119818565903</v>
      </c>
      <c r="D33" s="1025"/>
      <c r="E33" s="1025"/>
      <c r="I33" s="152" t="s">
        <v>3567</v>
      </c>
      <c r="J33" s="1021"/>
      <c r="K33" s="128">
        <v>4945</v>
      </c>
      <c r="L33" s="131" t="s">
        <v>3551</v>
      </c>
      <c r="M33" s="131" t="s">
        <v>3551</v>
      </c>
    </row>
    <row r="34" spans="1:13" x14ac:dyDescent="0.3">
      <c r="A34" s="67" t="s">
        <v>3568</v>
      </c>
      <c r="B34" s="1035" t="s">
        <v>3551</v>
      </c>
      <c r="C34" s="1024" t="s">
        <v>3551</v>
      </c>
      <c r="D34" s="1025"/>
      <c r="E34" s="1025"/>
      <c r="I34" s="152" t="s">
        <v>3568</v>
      </c>
      <c r="J34" s="1022" t="s">
        <v>3551</v>
      </c>
      <c r="K34" s="131" t="s">
        <v>3551</v>
      </c>
      <c r="L34" s="131" t="s">
        <v>3551</v>
      </c>
      <c r="M34" s="131" t="s">
        <v>3551</v>
      </c>
    </row>
    <row r="35" spans="1:13" x14ac:dyDescent="0.3">
      <c r="A35" s="67" t="s">
        <v>3569</v>
      </c>
      <c r="B35" s="1036"/>
      <c r="C35" s="1026"/>
      <c r="D35" s="1026"/>
      <c r="E35" s="1026"/>
      <c r="I35" s="152" t="s">
        <v>3569</v>
      </c>
      <c r="J35" s="1023"/>
      <c r="K35" s="131" t="s">
        <v>3551</v>
      </c>
      <c r="L35" s="131" t="s">
        <v>3551</v>
      </c>
      <c r="M35" s="131" t="s">
        <v>3551</v>
      </c>
    </row>
    <row r="36" spans="1:13" x14ac:dyDescent="0.3">
      <c r="A36" s="68" t="s">
        <v>3570</v>
      </c>
      <c r="B36" s="1053">
        <v>745.1</v>
      </c>
      <c r="C36" s="1041">
        <v>279</v>
      </c>
      <c r="D36" s="1042"/>
      <c r="E36" s="1043"/>
      <c r="I36" s="153" t="s">
        <v>3570</v>
      </c>
      <c r="J36" s="1013">
        <v>745.1</v>
      </c>
      <c r="K36" s="125">
        <v>279</v>
      </c>
      <c r="L36" s="125">
        <v>279</v>
      </c>
      <c r="M36" s="125">
        <v>279</v>
      </c>
    </row>
    <row r="37" spans="1:13" x14ac:dyDescent="0.3">
      <c r="A37" s="68" t="s">
        <v>3571</v>
      </c>
      <c r="B37" s="1054"/>
      <c r="C37" s="1056">
        <v>285</v>
      </c>
      <c r="D37" s="1057"/>
      <c r="E37" s="1058"/>
      <c r="I37" s="153" t="s">
        <v>3571</v>
      </c>
      <c r="J37" s="1014"/>
      <c r="K37" s="132">
        <v>285</v>
      </c>
      <c r="L37" s="132">
        <v>285</v>
      </c>
      <c r="M37" s="132">
        <v>285</v>
      </c>
    </row>
    <row r="38" spans="1:13" x14ac:dyDescent="0.3">
      <c r="A38" s="68" t="s">
        <v>3572</v>
      </c>
      <c r="B38" s="1054"/>
      <c r="C38" s="1041">
        <v>290</v>
      </c>
      <c r="D38" s="1042"/>
      <c r="E38" s="1043"/>
      <c r="I38" s="153" t="s">
        <v>3572</v>
      </c>
      <c r="J38" s="1014"/>
      <c r="K38" s="125">
        <v>290</v>
      </c>
      <c r="L38" s="125">
        <v>290</v>
      </c>
      <c r="M38" s="125">
        <v>290</v>
      </c>
    </row>
    <row r="39" spans="1:13" x14ac:dyDescent="0.3">
      <c r="A39" s="68" t="s">
        <v>3573</v>
      </c>
      <c r="B39" s="1054"/>
      <c r="C39" s="1027">
        <v>356.21198185659011</v>
      </c>
      <c r="D39" s="1028"/>
      <c r="E39" s="104">
        <v>896.21198185659011</v>
      </c>
      <c r="I39" s="153" t="s">
        <v>3573</v>
      </c>
      <c r="J39" s="1014"/>
      <c r="K39" s="133">
        <v>356</v>
      </c>
      <c r="L39" s="133">
        <v>356.21198185659011</v>
      </c>
      <c r="M39" s="133">
        <v>896</v>
      </c>
    </row>
    <row r="40" spans="1:13" x14ac:dyDescent="0.3">
      <c r="A40" s="68" t="s">
        <v>3574</v>
      </c>
      <c r="B40" s="1054"/>
      <c r="C40" s="1029">
        <v>469.01198185659007</v>
      </c>
      <c r="D40" s="1030"/>
      <c r="E40" s="103">
        <v>1024.0119818565902</v>
      </c>
      <c r="I40" s="153" t="s">
        <v>3574</v>
      </c>
      <c r="J40" s="1014"/>
      <c r="K40" s="129">
        <v>469</v>
      </c>
      <c r="L40" s="129">
        <v>469.01198185659007</v>
      </c>
      <c r="M40" s="129">
        <v>1024</v>
      </c>
    </row>
    <row r="41" spans="1:13" x14ac:dyDescent="0.3">
      <c r="A41" s="68" t="s">
        <v>3575</v>
      </c>
      <c r="B41" s="1054"/>
      <c r="C41" s="1027">
        <v>568.41198185659005</v>
      </c>
      <c r="D41" s="1028"/>
      <c r="E41" s="104">
        <v>1071.41198185659</v>
      </c>
      <c r="I41" s="153" t="s">
        <v>3575</v>
      </c>
      <c r="J41" s="1014"/>
      <c r="K41" s="133">
        <v>568</v>
      </c>
      <c r="L41" s="133">
        <v>568.41198185659005</v>
      </c>
      <c r="M41" s="133">
        <v>1071</v>
      </c>
    </row>
    <row r="42" spans="1:13" x14ac:dyDescent="0.3">
      <c r="A42" s="68" t="s">
        <v>3576</v>
      </c>
      <c r="B42" s="1054"/>
      <c r="C42" s="1029">
        <v>603.61198185659009</v>
      </c>
      <c r="D42" s="1030"/>
      <c r="E42" s="103">
        <v>1128.6119818565901</v>
      </c>
      <c r="I42" s="153" t="s">
        <v>3576</v>
      </c>
      <c r="J42" s="1014"/>
      <c r="K42" s="129">
        <v>604</v>
      </c>
      <c r="L42" s="129">
        <v>603.61198185659009</v>
      </c>
      <c r="M42" s="129">
        <v>1129</v>
      </c>
    </row>
    <row r="43" spans="1:13" x14ac:dyDescent="0.3">
      <c r="A43" s="68" t="s">
        <v>3577</v>
      </c>
      <c r="B43" s="1054"/>
      <c r="C43" s="1027">
        <v>674.61198185659009</v>
      </c>
      <c r="D43" s="1028"/>
      <c r="E43" s="104">
        <v>1287.6119818565901</v>
      </c>
      <c r="I43" s="153" t="s">
        <v>3577</v>
      </c>
      <c r="J43" s="1014"/>
      <c r="K43" s="133">
        <v>675</v>
      </c>
      <c r="L43" s="133">
        <v>674.61198185659009</v>
      </c>
      <c r="M43" s="133">
        <v>1288</v>
      </c>
    </row>
    <row r="44" spans="1:13" x14ac:dyDescent="0.3">
      <c r="A44" s="68" t="s">
        <v>3578</v>
      </c>
      <c r="B44" s="1054"/>
      <c r="C44" s="1029">
        <v>733.11198185659009</v>
      </c>
      <c r="D44" s="1030"/>
      <c r="E44" s="103">
        <v>1432.1119818565901</v>
      </c>
      <c r="I44" s="153" t="s">
        <v>3578</v>
      </c>
      <c r="J44" s="1014"/>
      <c r="K44" s="129">
        <v>733</v>
      </c>
      <c r="L44" s="129">
        <v>733.11198185659009</v>
      </c>
      <c r="M44" s="129">
        <v>1432</v>
      </c>
    </row>
    <row r="45" spans="1:13" x14ac:dyDescent="0.3">
      <c r="A45" s="68" t="s">
        <v>3579</v>
      </c>
      <c r="B45" s="1054"/>
      <c r="C45" s="1027">
        <v>737.61198185659009</v>
      </c>
      <c r="D45" s="1028"/>
      <c r="E45" s="104">
        <v>1436.6119818565901</v>
      </c>
      <c r="I45" s="153" t="s">
        <v>3579</v>
      </c>
      <c r="J45" s="1014"/>
      <c r="K45" s="133">
        <v>738</v>
      </c>
      <c r="L45" s="133">
        <v>737.61198185659009</v>
      </c>
      <c r="M45" s="133">
        <v>1437</v>
      </c>
    </row>
    <row r="46" spans="1:13" x14ac:dyDescent="0.3">
      <c r="A46" s="68" t="s">
        <v>3580</v>
      </c>
      <c r="B46" s="1054"/>
      <c r="C46" s="1029">
        <v>860.61198185659009</v>
      </c>
      <c r="D46" s="1030"/>
      <c r="E46" s="103">
        <v>1715.6119818565901</v>
      </c>
      <c r="I46" s="153" t="s">
        <v>3580</v>
      </c>
      <c r="J46" s="1014"/>
      <c r="K46" s="129">
        <v>861</v>
      </c>
      <c r="L46" s="129">
        <v>860.61198185659009</v>
      </c>
      <c r="M46" s="129">
        <v>1716</v>
      </c>
    </row>
    <row r="47" spans="1:13" x14ac:dyDescent="0.3">
      <c r="A47" s="68" t="s">
        <v>3581</v>
      </c>
      <c r="B47" s="1054"/>
      <c r="C47" s="104">
        <v>1181.6119818565901</v>
      </c>
      <c r="D47" s="105">
        <v>2394.6119818565899</v>
      </c>
      <c r="E47" s="104">
        <v>2564.6119818565899</v>
      </c>
      <c r="I47" s="153" t="s">
        <v>3581</v>
      </c>
      <c r="J47" s="1014"/>
      <c r="K47" s="133">
        <v>1182</v>
      </c>
      <c r="L47" s="133">
        <v>2394.6119818565899</v>
      </c>
      <c r="M47" s="133">
        <v>2565</v>
      </c>
    </row>
    <row r="48" spans="1:13" x14ac:dyDescent="0.3">
      <c r="A48" s="68" t="s">
        <v>3582</v>
      </c>
      <c r="B48" s="1054"/>
      <c r="C48" s="103">
        <v>1213.6119818565901</v>
      </c>
      <c r="D48" s="106">
        <v>2425.6119818565899</v>
      </c>
      <c r="E48" s="103">
        <v>2723.6119818565899</v>
      </c>
      <c r="I48" s="153" t="s">
        <v>3582</v>
      </c>
      <c r="J48" s="1014"/>
      <c r="K48" s="129">
        <v>1214</v>
      </c>
      <c r="L48" s="129">
        <v>2425.6119818565899</v>
      </c>
      <c r="M48" s="129">
        <v>2724</v>
      </c>
    </row>
    <row r="49" spans="1:13" x14ac:dyDescent="0.3">
      <c r="A49" s="68" t="s">
        <v>3583</v>
      </c>
      <c r="B49" s="1054"/>
      <c r="C49" s="104">
        <v>1336.6119818565901</v>
      </c>
      <c r="D49" s="105">
        <v>2688.6119818565899</v>
      </c>
      <c r="E49" s="1024" t="s">
        <v>3551</v>
      </c>
      <c r="I49" s="153" t="s">
        <v>3583</v>
      </c>
      <c r="J49" s="1014"/>
      <c r="K49" s="133">
        <v>1337</v>
      </c>
      <c r="L49" s="133">
        <v>2688.6119818565899</v>
      </c>
      <c r="M49" s="131" t="s">
        <v>3551</v>
      </c>
    </row>
    <row r="50" spans="1:13" x14ac:dyDescent="0.3">
      <c r="A50" s="68" t="s">
        <v>3584</v>
      </c>
      <c r="B50" s="1054"/>
      <c r="C50" s="103">
        <v>1383.6119818565901</v>
      </c>
      <c r="D50" s="106">
        <v>3133.6119818565899</v>
      </c>
      <c r="E50" s="1025"/>
      <c r="I50" s="153" t="s">
        <v>3584</v>
      </c>
      <c r="J50" s="1014"/>
      <c r="K50" s="129">
        <v>1384</v>
      </c>
      <c r="L50" s="129">
        <v>3133.6119818565899</v>
      </c>
      <c r="M50" s="131" t="s">
        <v>3551</v>
      </c>
    </row>
    <row r="51" spans="1:13" x14ac:dyDescent="0.3">
      <c r="A51" s="68" t="s">
        <v>3585</v>
      </c>
      <c r="B51" s="1054"/>
      <c r="C51" s="104">
        <v>1430.6119818565901</v>
      </c>
      <c r="D51" s="105">
        <v>3180.6119818565899</v>
      </c>
      <c r="E51" s="1025"/>
      <c r="I51" s="153" t="s">
        <v>3585</v>
      </c>
      <c r="J51" s="1014"/>
      <c r="K51" s="133">
        <v>1431</v>
      </c>
      <c r="L51" s="133">
        <v>3180.6119818565899</v>
      </c>
      <c r="M51" s="131" t="s">
        <v>3551</v>
      </c>
    </row>
    <row r="52" spans="1:13" x14ac:dyDescent="0.3">
      <c r="A52" s="68" t="s">
        <v>3586</v>
      </c>
      <c r="B52" s="1054"/>
      <c r="C52" s="103">
        <v>1487.6119818565901</v>
      </c>
      <c r="D52" s="106">
        <v>4113.6119818565903</v>
      </c>
      <c r="E52" s="1025"/>
      <c r="I52" s="153" t="s">
        <v>3586</v>
      </c>
      <c r="J52" s="1014"/>
      <c r="K52" s="129">
        <v>1488</v>
      </c>
      <c r="L52" s="129">
        <v>4113.6119818565903</v>
      </c>
      <c r="M52" s="131" t="s">
        <v>3551</v>
      </c>
    </row>
    <row r="53" spans="1:13" x14ac:dyDescent="0.3">
      <c r="A53" s="68" t="s">
        <v>3587</v>
      </c>
      <c r="B53" s="1054"/>
      <c r="C53" s="104">
        <v>1525.6119818565901</v>
      </c>
      <c r="D53" s="105">
        <v>4151.6119818565903</v>
      </c>
      <c r="E53" s="1025"/>
      <c r="I53" s="153" t="s">
        <v>3587</v>
      </c>
      <c r="J53" s="1014"/>
      <c r="K53" s="133">
        <v>1526</v>
      </c>
      <c r="L53" s="133">
        <v>4151.6119818565903</v>
      </c>
      <c r="M53" s="131" t="s">
        <v>3551</v>
      </c>
    </row>
    <row r="54" spans="1:13" x14ac:dyDescent="0.3">
      <c r="A54" s="68" t="s">
        <v>3588</v>
      </c>
      <c r="B54" s="1054"/>
      <c r="C54" s="103">
        <v>1563.6119818565901</v>
      </c>
      <c r="D54" s="106">
        <v>4189.6119818565903</v>
      </c>
      <c r="E54" s="1025"/>
      <c r="I54" s="153" t="s">
        <v>3588</v>
      </c>
      <c r="J54" s="1014"/>
      <c r="K54" s="129">
        <v>1564</v>
      </c>
      <c r="L54" s="129">
        <v>4189.6119818565903</v>
      </c>
      <c r="M54" s="131" t="s">
        <v>3551</v>
      </c>
    </row>
    <row r="55" spans="1:13" x14ac:dyDescent="0.3">
      <c r="A55" s="68" t="s">
        <v>3589</v>
      </c>
      <c r="B55" s="1054"/>
      <c r="C55" s="104">
        <v>1601.6119818565901</v>
      </c>
      <c r="D55" s="105">
        <v>4227.6119818565903</v>
      </c>
      <c r="E55" s="1025"/>
      <c r="I55" s="153" t="s">
        <v>3589</v>
      </c>
      <c r="J55" s="1014"/>
      <c r="K55" s="133">
        <v>1602</v>
      </c>
      <c r="L55" s="133">
        <v>4227.6119818565903</v>
      </c>
      <c r="M55" s="131" t="s">
        <v>3551</v>
      </c>
    </row>
    <row r="56" spans="1:13" x14ac:dyDescent="0.3">
      <c r="A56" s="68" t="s">
        <v>3590</v>
      </c>
      <c r="B56" s="1054"/>
      <c r="C56" s="107">
        <v>2274.6119818565899</v>
      </c>
      <c r="D56" s="1024" t="s">
        <v>3551</v>
      </c>
      <c r="E56" s="1025"/>
      <c r="I56" s="153" t="s">
        <v>3590</v>
      </c>
      <c r="J56" s="1014"/>
      <c r="K56" s="129">
        <v>2275</v>
      </c>
      <c r="L56" s="131" t="s">
        <v>3551</v>
      </c>
      <c r="M56" s="131" t="s">
        <v>3551</v>
      </c>
    </row>
    <row r="57" spans="1:13" x14ac:dyDescent="0.3">
      <c r="A57" s="68" t="s">
        <v>3591</v>
      </c>
      <c r="B57" s="1054"/>
      <c r="C57" s="108">
        <v>2465.6119818565899</v>
      </c>
      <c r="D57" s="1025"/>
      <c r="E57" s="1025"/>
      <c r="I57" s="153" t="s">
        <v>3591</v>
      </c>
      <c r="J57" s="1014"/>
      <c r="K57" s="133">
        <v>2466</v>
      </c>
      <c r="L57" s="131" t="s">
        <v>3551</v>
      </c>
      <c r="M57" s="131" t="s">
        <v>3551</v>
      </c>
    </row>
    <row r="58" spans="1:13" x14ac:dyDescent="0.3">
      <c r="A58" s="68" t="s">
        <v>3592</v>
      </c>
      <c r="B58" s="1054"/>
      <c r="C58" s="107">
        <v>2656.6119818565899</v>
      </c>
      <c r="D58" s="1025"/>
      <c r="E58" s="1025"/>
      <c r="I58" s="153" t="s">
        <v>3592</v>
      </c>
      <c r="J58" s="1014"/>
      <c r="K58" s="129">
        <v>2657</v>
      </c>
      <c r="L58" s="131" t="s">
        <v>3551</v>
      </c>
      <c r="M58" s="131" t="s">
        <v>3551</v>
      </c>
    </row>
    <row r="59" spans="1:13" x14ac:dyDescent="0.3">
      <c r="A59" s="68" t="s">
        <v>3593</v>
      </c>
      <c r="B59" s="1054"/>
      <c r="C59" s="108">
        <v>2846.6119818565899</v>
      </c>
      <c r="D59" s="1025"/>
      <c r="E59" s="1025"/>
      <c r="I59" s="153" t="s">
        <v>3593</v>
      </c>
      <c r="J59" s="1014"/>
      <c r="K59" s="133">
        <v>2847</v>
      </c>
      <c r="L59" s="131" t="s">
        <v>3551</v>
      </c>
      <c r="M59" s="131" t="s">
        <v>3551</v>
      </c>
    </row>
    <row r="60" spans="1:13" x14ac:dyDescent="0.3">
      <c r="A60" s="68" t="s">
        <v>3594</v>
      </c>
      <c r="B60" s="1054"/>
      <c r="C60" s="107">
        <v>3037.6119818565899</v>
      </c>
      <c r="D60" s="1025"/>
      <c r="E60" s="1025"/>
      <c r="I60" s="153" t="s">
        <v>3594</v>
      </c>
      <c r="J60" s="1014"/>
      <c r="K60" s="129">
        <v>3038</v>
      </c>
      <c r="L60" s="131" t="s">
        <v>3551</v>
      </c>
      <c r="M60" s="131" t="s">
        <v>3551</v>
      </c>
    </row>
    <row r="61" spans="1:13" x14ac:dyDescent="0.3">
      <c r="A61" s="68" t="s">
        <v>3595</v>
      </c>
      <c r="B61" s="1054"/>
      <c r="C61" s="108">
        <v>3419.6119818565899</v>
      </c>
      <c r="D61" s="1025"/>
      <c r="E61" s="1025"/>
      <c r="I61" s="153" t="s">
        <v>3595</v>
      </c>
      <c r="J61" s="1014"/>
      <c r="K61" s="133">
        <v>3420</v>
      </c>
      <c r="L61" s="131" t="s">
        <v>3551</v>
      </c>
      <c r="M61" s="131" t="s">
        <v>3551</v>
      </c>
    </row>
    <row r="62" spans="1:13" x14ac:dyDescent="0.3">
      <c r="A62" s="68" t="s">
        <v>3596</v>
      </c>
      <c r="B62" s="1054"/>
      <c r="C62" s="107">
        <v>3800.6119818565899</v>
      </c>
      <c r="D62" s="1025"/>
      <c r="E62" s="1025"/>
      <c r="I62" s="153" t="s">
        <v>3596</v>
      </c>
      <c r="J62" s="1014"/>
      <c r="K62" s="129">
        <v>3801</v>
      </c>
      <c r="L62" s="131" t="s">
        <v>3551</v>
      </c>
      <c r="M62" s="131" t="s">
        <v>3551</v>
      </c>
    </row>
    <row r="63" spans="1:13" x14ac:dyDescent="0.3">
      <c r="A63" s="68" t="s">
        <v>3597</v>
      </c>
      <c r="B63" s="1054"/>
      <c r="C63" s="108">
        <v>4181.6119818565894</v>
      </c>
      <c r="D63" s="1025"/>
      <c r="E63" s="1025"/>
      <c r="I63" s="153" t="s">
        <v>3597</v>
      </c>
      <c r="J63" s="1014"/>
      <c r="K63" s="133">
        <v>4182</v>
      </c>
      <c r="L63" s="131" t="s">
        <v>3551</v>
      </c>
      <c r="M63" s="131" t="s">
        <v>3551</v>
      </c>
    </row>
    <row r="64" spans="1:13" x14ac:dyDescent="0.3">
      <c r="A64" s="68" t="s">
        <v>3598</v>
      </c>
      <c r="B64" s="1055"/>
      <c r="C64" s="107">
        <v>4563.6119818565903</v>
      </c>
      <c r="D64" s="1025"/>
      <c r="E64" s="1025"/>
      <c r="I64" s="153" t="s">
        <v>3598</v>
      </c>
      <c r="J64" s="1015"/>
      <c r="K64" s="129">
        <v>4564</v>
      </c>
      <c r="L64" s="131" t="s">
        <v>3551</v>
      </c>
      <c r="M64" s="131" t="s">
        <v>3551</v>
      </c>
    </row>
    <row r="65" spans="1:13" x14ac:dyDescent="0.3">
      <c r="A65" s="68" t="s">
        <v>3599</v>
      </c>
      <c r="B65" s="69">
        <v>675.16666666666674</v>
      </c>
      <c r="C65" s="107">
        <v>6885.6119818565903</v>
      </c>
      <c r="D65" s="1025"/>
      <c r="E65" s="1025"/>
      <c r="I65" s="153" t="s">
        <v>3599</v>
      </c>
      <c r="J65" s="154">
        <v>675.16666666666674</v>
      </c>
      <c r="K65" s="129">
        <v>6886</v>
      </c>
      <c r="L65" s="131" t="s">
        <v>3551</v>
      </c>
      <c r="M65" s="131" t="s">
        <v>3551</v>
      </c>
    </row>
    <row r="66" spans="1:13" x14ac:dyDescent="0.3">
      <c r="A66" s="68" t="s">
        <v>3600</v>
      </c>
      <c r="B66" s="1049" t="s">
        <v>3551</v>
      </c>
      <c r="C66" s="1051" t="s">
        <v>3551</v>
      </c>
      <c r="D66" s="1025"/>
      <c r="E66" s="1025"/>
      <c r="I66" s="153" t="s">
        <v>3600</v>
      </c>
      <c r="J66" s="1016" t="s">
        <v>3551</v>
      </c>
      <c r="K66" s="134" t="s">
        <v>3551</v>
      </c>
      <c r="L66" s="131" t="s">
        <v>3551</v>
      </c>
      <c r="M66" s="131" t="s">
        <v>3551</v>
      </c>
    </row>
    <row r="67" spans="1:13" x14ac:dyDescent="0.3">
      <c r="A67" s="68" t="s">
        <v>3601</v>
      </c>
      <c r="B67" s="1050"/>
      <c r="C67" s="1052"/>
      <c r="D67" s="1026"/>
      <c r="E67" s="1026"/>
      <c r="I67" s="153" t="s">
        <v>3601</v>
      </c>
      <c r="J67" s="1017"/>
      <c r="K67" s="134"/>
      <c r="L67" s="131" t="s">
        <v>3551</v>
      </c>
      <c r="M67" s="131" t="s">
        <v>3551</v>
      </c>
    </row>
    <row r="68" spans="1:13" x14ac:dyDescent="0.3">
      <c r="A68" s="70" t="s">
        <v>3602</v>
      </c>
      <c r="B68" s="1059">
        <v>651.99999999999989</v>
      </c>
      <c r="C68" s="1041">
        <v>440</v>
      </c>
      <c r="D68" s="1042"/>
      <c r="E68" s="1043"/>
      <c r="I68" s="155" t="s">
        <v>3602</v>
      </c>
      <c r="J68" s="1010">
        <v>651.99999999999989</v>
      </c>
      <c r="K68" s="125">
        <v>440</v>
      </c>
      <c r="L68" s="125">
        <v>440</v>
      </c>
      <c r="M68" s="125">
        <v>440</v>
      </c>
    </row>
    <row r="69" spans="1:13" x14ac:dyDescent="0.3">
      <c r="A69" s="70" t="s">
        <v>3603</v>
      </c>
      <c r="B69" s="1060"/>
      <c r="C69" s="1062">
        <v>446</v>
      </c>
      <c r="D69" s="1063"/>
      <c r="E69" s="1064"/>
      <c r="I69" s="155" t="s">
        <v>3603</v>
      </c>
      <c r="J69" s="1011"/>
      <c r="K69" s="135">
        <v>446</v>
      </c>
      <c r="L69" s="135">
        <v>446</v>
      </c>
      <c r="M69" s="135">
        <v>446</v>
      </c>
    </row>
    <row r="70" spans="1:13" x14ac:dyDescent="0.3">
      <c r="A70" s="70" t="s">
        <v>3604</v>
      </c>
      <c r="B70" s="1060"/>
      <c r="C70" s="1041">
        <v>450</v>
      </c>
      <c r="D70" s="1042"/>
      <c r="E70" s="1043"/>
      <c r="I70" s="155" t="s">
        <v>3604</v>
      </c>
      <c r="J70" s="1011"/>
      <c r="K70" s="125">
        <v>450</v>
      </c>
      <c r="L70" s="125">
        <v>450</v>
      </c>
      <c r="M70" s="125">
        <v>450</v>
      </c>
    </row>
    <row r="71" spans="1:13" x14ac:dyDescent="0.3">
      <c r="A71" s="70" t="s">
        <v>2809</v>
      </c>
      <c r="B71" s="1060"/>
      <c r="C71" s="1033">
        <v>545</v>
      </c>
      <c r="D71" s="1065"/>
      <c r="E71" s="109">
        <v>1632.4564263010345</v>
      </c>
      <c r="I71" s="155" t="s">
        <v>2809</v>
      </c>
      <c r="J71" s="1011"/>
      <c r="K71" s="136">
        <v>545</v>
      </c>
      <c r="L71" s="136">
        <v>545</v>
      </c>
      <c r="M71" s="137">
        <v>1632</v>
      </c>
    </row>
    <row r="72" spans="1:13" x14ac:dyDescent="0.3">
      <c r="A72" s="70" t="s">
        <v>3144</v>
      </c>
      <c r="B72" s="1060"/>
      <c r="C72" s="1066">
        <v>701</v>
      </c>
      <c r="D72" s="1067"/>
      <c r="E72" s="103">
        <v>1802.2564263010347</v>
      </c>
      <c r="I72" s="155" t="s">
        <v>3144</v>
      </c>
      <c r="J72" s="1011"/>
      <c r="K72" s="138">
        <v>701</v>
      </c>
      <c r="L72" s="138">
        <v>701</v>
      </c>
      <c r="M72" s="129">
        <v>1802</v>
      </c>
    </row>
    <row r="73" spans="1:13" x14ac:dyDescent="0.3">
      <c r="A73" s="70" t="s">
        <v>2909</v>
      </c>
      <c r="B73" s="1060"/>
      <c r="C73" s="1031">
        <v>978.65642630103446</v>
      </c>
      <c r="D73" s="1032"/>
      <c r="E73" s="109">
        <v>1987.6564263010346</v>
      </c>
      <c r="I73" s="155" t="s">
        <v>2909</v>
      </c>
      <c r="J73" s="1011"/>
      <c r="K73" s="137">
        <v>979</v>
      </c>
      <c r="L73" s="137">
        <v>978.65642630103446</v>
      </c>
      <c r="M73" s="137">
        <v>1988</v>
      </c>
    </row>
    <row r="74" spans="1:13" x14ac:dyDescent="0.3">
      <c r="A74" s="70" t="s">
        <v>2885</v>
      </c>
      <c r="B74" s="1060"/>
      <c r="C74" s="1029">
        <v>1026.8564263010344</v>
      </c>
      <c r="D74" s="1030"/>
      <c r="E74" s="103">
        <v>2034.8564263010346</v>
      </c>
      <c r="I74" s="155" t="s">
        <v>2885</v>
      </c>
      <c r="J74" s="1011"/>
      <c r="K74" s="129">
        <v>1027</v>
      </c>
      <c r="L74" s="129">
        <v>1026.8564263010344</v>
      </c>
      <c r="M74" s="129">
        <v>2035</v>
      </c>
    </row>
    <row r="75" spans="1:13" x14ac:dyDescent="0.3">
      <c r="A75" s="70" t="s">
        <v>2813</v>
      </c>
      <c r="B75" s="1060"/>
      <c r="C75" s="1031">
        <v>1148.8564263010346</v>
      </c>
      <c r="D75" s="1032"/>
      <c r="E75" s="109">
        <v>2383.8564263010344</v>
      </c>
      <c r="I75" s="155" t="s">
        <v>2813</v>
      </c>
      <c r="J75" s="1011"/>
      <c r="K75" s="137">
        <v>1149</v>
      </c>
      <c r="L75" s="137">
        <v>1148.8564263010346</v>
      </c>
      <c r="M75" s="137">
        <v>2384</v>
      </c>
    </row>
    <row r="76" spans="1:13" x14ac:dyDescent="0.3">
      <c r="A76" s="70" t="s">
        <v>3605</v>
      </c>
      <c r="B76" s="1060"/>
      <c r="C76" s="1029">
        <v>1244.3564263010346</v>
      </c>
      <c r="D76" s="1030"/>
      <c r="E76" s="103">
        <v>2618.3564263010344</v>
      </c>
      <c r="I76" s="155" t="s">
        <v>3605</v>
      </c>
      <c r="J76" s="1011"/>
      <c r="K76" s="129">
        <v>1244</v>
      </c>
      <c r="L76" s="129">
        <v>1244.3564263010346</v>
      </c>
      <c r="M76" s="129">
        <v>2618</v>
      </c>
    </row>
    <row r="77" spans="1:13" x14ac:dyDescent="0.3">
      <c r="A77" s="70" t="s">
        <v>2940</v>
      </c>
      <c r="B77" s="1060"/>
      <c r="C77" s="1031">
        <v>1248.8564263010346</v>
      </c>
      <c r="D77" s="1032"/>
      <c r="E77" s="109">
        <v>2622.8564263010344</v>
      </c>
      <c r="I77" s="155" t="s">
        <v>2940</v>
      </c>
      <c r="J77" s="1011"/>
      <c r="K77" s="137">
        <v>1249</v>
      </c>
      <c r="L77" s="137">
        <v>1248.8564263010346</v>
      </c>
      <c r="M77" s="137">
        <v>2623</v>
      </c>
    </row>
    <row r="78" spans="1:13" x14ac:dyDescent="0.3">
      <c r="A78" s="70" t="s">
        <v>2791</v>
      </c>
      <c r="B78" s="1060"/>
      <c r="C78" s="1029">
        <v>1453.8564263010346</v>
      </c>
      <c r="D78" s="1030"/>
      <c r="E78" s="103">
        <v>3151.8564263010344</v>
      </c>
      <c r="I78" s="155" t="s">
        <v>2791</v>
      </c>
      <c r="J78" s="1011"/>
      <c r="K78" s="129">
        <v>1454</v>
      </c>
      <c r="L78" s="129">
        <v>1453.8564263010346</v>
      </c>
      <c r="M78" s="129">
        <v>3152</v>
      </c>
    </row>
    <row r="79" spans="1:13" x14ac:dyDescent="0.3">
      <c r="A79" s="70" t="s">
        <v>3100</v>
      </c>
      <c r="B79" s="1060"/>
      <c r="C79" s="110">
        <v>1627.8564263010346</v>
      </c>
      <c r="D79" s="109">
        <v>4053.8564263010344</v>
      </c>
      <c r="E79" s="109">
        <v>4370.8564263010348</v>
      </c>
      <c r="I79" s="155" t="s">
        <v>3100</v>
      </c>
      <c r="J79" s="1011"/>
      <c r="K79" s="137">
        <v>1628</v>
      </c>
      <c r="L79" s="137">
        <v>4053.8564263010344</v>
      </c>
      <c r="M79" s="137">
        <v>4371</v>
      </c>
    </row>
    <row r="80" spans="1:13" x14ac:dyDescent="0.3">
      <c r="A80" s="70" t="s">
        <v>3606</v>
      </c>
      <c r="B80" s="1060"/>
      <c r="C80" s="111">
        <v>1664.8564263010346</v>
      </c>
      <c r="D80" s="103">
        <v>4071.8564263010344</v>
      </c>
      <c r="E80" s="103">
        <v>4679.8564263010348</v>
      </c>
      <c r="I80" s="155" t="s">
        <v>3606</v>
      </c>
      <c r="J80" s="1011"/>
      <c r="K80" s="129">
        <v>1665</v>
      </c>
      <c r="L80" s="129">
        <v>4071.8564263010344</v>
      </c>
      <c r="M80" s="129">
        <v>4680</v>
      </c>
    </row>
    <row r="81" spans="1:13" x14ac:dyDescent="0.3">
      <c r="A81" s="70" t="s">
        <v>3165</v>
      </c>
      <c r="B81" s="1060"/>
      <c r="C81" s="110">
        <v>1841.8564263010346</v>
      </c>
      <c r="D81" s="109">
        <v>4546.8564263010348</v>
      </c>
      <c r="E81" s="1024" t="s">
        <v>3551</v>
      </c>
      <c r="I81" s="155" t="s">
        <v>3165</v>
      </c>
      <c r="J81" s="1011"/>
      <c r="K81" s="137">
        <v>1842</v>
      </c>
      <c r="L81" s="137">
        <v>4546.8564263010348</v>
      </c>
      <c r="M81" s="131" t="s">
        <v>3551</v>
      </c>
    </row>
    <row r="82" spans="1:13" x14ac:dyDescent="0.3">
      <c r="A82" s="70" t="s">
        <v>3607</v>
      </c>
      <c r="B82" s="1060"/>
      <c r="C82" s="111">
        <v>1898.8564263010346</v>
      </c>
      <c r="D82" s="103">
        <v>5397.8564263010348</v>
      </c>
      <c r="E82" s="1025"/>
      <c r="I82" s="155" t="s">
        <v>3607</v>
      </c>
      <c r="J82" s="1011"/>
      <c r="K82" s="129">
        <v>1899</v>
      </c>
      <c r="L82" s="129">
        <v>5397.8564263010348</v>
      </c>
      <c r="M82" s="131" t="s">
        <v>3551</v>
      </c>
    </row>
    <row r="83" spans="1:13" x14ac:dyDescent="0.3">
      <c r="A83" s="70" t="s">
        <v>3608</v>
      </c>
      <c r="B83" s="1060"/>
      <c r="C83" s="110">
        <v>1955.8564263010346</v>
      </c>
      <c r="D83" s="109">
        <v>5454.8564263010348</v>
      </c>
      <c r="E83" s="1025"/>
      <c r="I83" s="155" t="s">
        <v>3608</v>
      </c>
      <c r="J83" s="1011"/>
      <c r="K83" s="137">
        <v>1956</v>
      </c>
      <c r="L83" s="137">
        <v>5454.8564263010348</v>
      </c>
      <c r="M83" s="131" t="s">
        <v>3551</v>
      </c>
    </row>
    <row r="84" spans="1:13" x14ac:dyDescent="0.3">
      <c r="A84" s="70" t="s">
        <v>3609</v>
      </c>
      <c r="B84" s="1060"/>
      <c r="C84" s="111">
        <v>2020.8564263010346</v>
      </c>
      <c r="D84" s="103">
        <v>7273.8564263010348</v>
      </c>
      <c r="E84" s="1025"/>
      <c r="I84" s="155" t="s">
        <v>3609</v>
      </c>
      <c r="J84" s="1011"/>
      <c r="K84" s="129">
        <v>2021</v>
      </c>
      <c r="L84" s="129">
        <v>7273.8564263010348</v>
      </c>
      <c r="M84" s="131" t="s">
        <v>3551</v>
      </c>
    </row>
    <row r="85" spans="1:13" x14ac:dyDescent="0.3">
      <c r="A85" s="70" t="s">
        <v>3610</v>
      </c>
      <c r="B85" s="1060"/>
      <c r="C85" s="110">
        <v>2068.8564263010348</v>
      </c>
      <c r="D85" s="109">
        <v>7320.8564263010348</v>
      </c>
      <c r="E85" s="1025"/>
      <c r="I85" s="155" t="s">
        <v>3610</v>
      </c>
      <c r="J85" s="1011"/>
      <c r="K85" s="137">
        <v>2069</v>
      </c>
      <c r="L85" s="137">
        <v>7320.8564263010348</v>
      </c>
      <c r="M85" s="131" t="s">
        <v>3551</v>
      </c>
    </row>
    <row r="86" spans="1:13" x14ac:dyDescent="0.3">
      <c r="A86" s="70" t="s">
        <v>3611</v>
      </c>
      <c r="B86" s="1060"/>
      <c r="C86" s="111">
        <v>2116.8564263010348</v>
      </c>
      <c r="D86" s="103">
        <v>7368.8564263010348</v>
      </c>
      <c r="E86" s="1025"/>
      <c r="I86" s="155" t="s">
        <v>3611</v>
      </c>
      <c r="J86" s="1011"/>
      <c r="K86" s="129">
        <v>2117</v>
      </c>
      <c r="L86" s="129">
        <v>7368.8564263010348</v>
      </c>
      <c r="M86" s="131" t="s">
        <v>3551</v>
      </c>
    </row>
    <row r="87" spans="1:13" x14ac:dyDescent="0.3">
      <c r="A87" s="70" t="s">
        <v>3612</v>
      </c>
      <c r="B87" s="1060"/>
      <c r="C87" s="110">
        <v>2164.8564263010344</v>
      </c>
      <c r="D87" s="109">
        <v>7416.8564263010348</v>
      </c>
      <c r="E87" s="1025"/>
      <c r="I87" s="155" t="s">
        <v>3612</v>
      </c>
      <c r="J87" s="1011"/>
      <c r="K87" s="137">
        <v>2165</v>
      </c>
      <c r="L87" s="137">
        <v>7416.8564263010348</v>
      </c>
      <c r="M87" s="131" t="s">
        <v>3551</v>
      </c>
    </row>
    <row r="88" spans="1:13" x14ac:dyDescent="0.3">
      <c r="A88" s="70" t="s">
        <v>3613</v>
      </c>
      <c r="B88" s="1060"/>
      <c r="C88" s="103">
        <v>3303.8564263010344</v>
      </c>
      <c r="D88" s="1024" t="s">
        <v>3551</v>
      </c>
      <c r="E88" s="1025"/>
      <c r="I88" s="155" t="s">
        <v>3613</v>
      </c>
      <c r="J88" s="1011"/>
      <c r="K88" s="129">
        <v>3304</v>
      </c>
      <c r="L88" s="131" t="s">
        <v>3551</v>
      </c>
      <c r="M88" s="131" t="s">
        <v>3551</v>
      </c>
    </row>
    <row r="89" spans="1:13" x14ac:dyDescent="0.3">
      <c r="A89" s="70" t="s">
        <v>3614</v>
      </c>
      <c r="B89" s="1060"/>
      <c r="C89" s="109">
        <v>3541.8564263010344</v>
      </c>
      <c r="D89" s="1025"/>
      <c r="E89" s="1025"/>
      <c r="I89" s="155" t="s">
        <v>3614</v>
      </c>
      <c r="J89" s="1011"/>
      <c r="K89" s="137">
        <v>3542</v>
      </c>
      <c r="L89" s="131" t="s">
        <v>3551</v>
      </c>
      <c r="M89" s="131" t="s">
        <v>3551</v>
      </c>
    </row>
    <row r="90" spans="1:13" x14ac:dyDescent="0.3">
      <c r="A90" s="70" t="s">
        <v>3615</v>
      </c>
      <c r="B90" s="1060"/>
      <c r="C90" s="103">
        <v>3780.8564263010344</v>
      </c>
      <c r="D90" s="1025"/>
      <c r="E90" s="1025"/>
      <c r="I90" s="155" t="s">
        <v>3615</v>
      </c>
      <c r="J90" s="1011"/>
      <c r="K90" s="129">
        <v>3781</v>
      </c>
      <c r="L90" s="131" t="s">
        <v>3551</v>
      </c>
      <c r="M90" s="131" t="s">
        <v>3551</v>
      </c>
    </row>
    <row r="91" spans="1:13" x14ac:dyDescent="0.3">
      <c r="A91" s="70" t="s">
        <v>3616</v>
      </c>
      <c r="B91" s="1060"/>
      <c r="C91" s="109">
        <v>4018.8564263010344</v>
      </c>
      <c r="D91" s="1025"/>
      <c r="E91" s="1025"/>
      <c r="I91" s="155" t="s">
        <v>3616</v>
      </c>
      <c r="J91" s="1011"/>
      <c r="K91" s="137">
        <v>4019</v>
      </c>
      <c r="L91" s="131" t="s">
        <v>3551</v>
      </c>
      <c r="M91" s="131" t="s">
        <v>3551</v>
      </c>
    </row>
    <row r="92" spans="1:13" x14ac:dyDescent="0.3">
      <c r="A92" s="70" t="s">
        <v>3617</v>
      </c>
      <c r="B92" s="1060"/>
      <c r="C92" s="103">
        <v>4257.8564263010348</v>
      </c>
      <c r="D92" s="1025"/>
      <c r="E92" s="1025"/>
      <c r="I92" s="155" t="s">
        <v>3617</v>
      </c>
      <c r="J92" s="1011"/>
      <c r="K92" s="129">
        <v>4258</v>
      </c>
      <c r="L92" s="131" t="s">
        <v>3551</v>
      </c>
      <c r="M92" s="131" t="s">
        <v>3551</v>
      </c>
    </row>
    <row r="93" spans="1:13" x14ac:dyDescent="0.3">
      <c r="A93" s="70" t="s">
        <v>3618</v>
      </c>
      <c r="B93" s="1060"/>
      <c r="C93" s="109">
        <v>4733.8564263010348</v>
      </c>
      <c r="D93" s="1025"/>
      <c r="E93" s="1025"/>
      <c r="I93" s="155" t="s">
        <v>3618</v>
      </c>
      <c r="J93" s="1011"/>
      <c r="K93" s="137">
        <v>4734</v>
      </c>
      <c r="L93" s="131" t="s">
        <v>3551</v>
      </c>
      <c r="M93" s="131" t="s">
        <v>3551</v>
      </c>
    </row>
    <row r="94" spans="1:13" x14ac:dyDescent="0.3">
      <c r="A94" s="70" t="s">
        <v>3619</v>
      </c>
      <c r="B94" s="1060"/>
      <c r="C94" s="103">
        <v>5210.8564263010348</v>
      </c>
      <c r="D94" s="1025"/>
      <c r="E94" s="1025"/>
      <c r="I94" s="155" t="s">
        <v>3619</v>
      </c>
      <c r="J94" s="1011"/>
      <c r="K94" s="129">
        <v>5211</v>
      </c>
      <c r="L94" s="131" t="s">
        <v>3551</v>
      </c>
      <c r="M94" s="131" t="s">
        <v>3551</v>
      </c>
    </row>
    <row r="95" spans="1:13" x14ac:dyDescent="0.3">
      <c r="A95" s="70" t="s">
        <v>3620</v>
      </c>
      <c r="B95" s="1060"/>
      <c r="C95" s="109">
        <v>5687.8564263010348</v>
      </c>
      <c r="D95" s="1025"/>
      <c r="E95" s="1025"/>
      <c r="I95" s="155" t="s">
        <v>3620</v>
      </c>
      <c r="J95" s="1011"/>
      <c r="K95" s="137">
        <v>5688</v>
      </c>
      <c r="L95" s="131" t="s">
        <v>3551</v>
      </c>
      <c r="M95" s="131" t="s">
        <v>3551</v>
      </c>
    </row>
    <row r="96" spans="1:13" x14ac:dyDescent="0.3">
      <c r="A96" s="70" t="s">
        <v>3621</v>
      </c>
      <c r="B96" s="1060"/>
      <c r="C96" s="102">
        <v>6164.8564263010348</v>
      </c>
      <c r="D96" s="1025"/>
      <c r="E96" s="1025"/>
      <c r="I96" s="155" t="s">
        <v>3621</v>
      </c>
      <c r="J96" s="1011"/>
      <c r="K96" s="130">
        <v>6165</v>
      </c>
      <c r="L96" s="131" t="s">
        <v>3551</v>
      </c>
      <c r="M96" s="131" t="s">
        <v>3551</v>
      </c>
    </row>
    <row r="97" spans="1:13" x14ac:dyDescent="0.3">
      <c r="A97" s="70" t="s">
        <v>3622</v>
      </c>
      <c r="B97" s="1060"/>
      <c r="C97" s="109">
        <v>6641.8564263010348</v>
      </c>
      <c r="D97" s="1025"/>
      <c r="E97" s="1025"/>
      <c r="I97" s="155" t="s">
        <v>3622</v>
      </c>
      <c r="J97" s="1011"/>
      <c r="K97" s="137">
        <v>6642</v>
      </c>
      <c r="L97" s="131" t="s">
        <v>3551</v>
      </c>
      <c r="M97" s="131" t="s">
        <v>3551</v>
      </c>
    </row>
    <row r="98" spans="1:13" x14ac:dyDescent="0.3">
      <c r="A98" s="70" t="s">
        <v>3623</v>
      </c>
      <c r="B98" s="1060"/>
      <c r="C98" s="1024" t="s">
        <v>3551</v>
      </c>
      <c r="D98" s="1025"/>
      <c r="E98" s="1025"/>
      <c r="I98" s="155" t="s">
        <v>3623</v>
      </c>
      <c r="J98" s="1011"/>
      <c r="K98" s="131" t="s">
        <v>3551</v>
      </c>
      <c r="L98" s="131" t="s">
        <v>3551</v>
      </c>
      <c r="M98" s="131" t="s">
        <v>3551</v>
      </c>
    </row>
    <row r="99" spans="1:13" x14ac:dyDescent="0.3">
      <c r="A99" s="70" t="s">
        <v>3624</v>
      </c>
      <c r="B99" s="1060"/>
      <c r="C99" s="1026"/>
      <c r="D99" s="1026"/>
      <c r="E99" s="1026"/>
      <c r="I99" s="155" t="s">
        <v>3624</v>
      </c>
      <c r="J99" s="1011"/>
      <c r="K99" s="131" t="s">
        <v>3551</v>
      </c>
      <c r="L99" s="131" t="s">
        <v>3551</v>
      </c>
      <c r="M99" s="131" t="s">
        <v>3551</v>
      </c>
    </row>
    <row r="100" spans="1:13" x14ac:dyDescent="0.3">
      <c r="A100" s="71" t="s">
        <v>3625</v>
      </c>
      <c r="B100" s="1060"/>
      <c r="C100" s="1033">
        <v>457</v>
      </c>
      <c r="D100" s="1034"/>
      <c r="E100" s="1034"/>
      <c r="I100" s="156" t="s">
        <v>3625</v>
      </c>
      <c r="J100" s="1011"/>
      <c r="K100" s="136">
        <v>457</v>
      </c>
      <c r="L100" s="136">
        <v>457</v>
      </c>
      <c r="M100" s="136">
        <v>457</v>
      </c>
    </row>
    <row r="101" spans="1:13" x14ac:dyDescent="0.3">
      <c r="A101" s="71" t="s">
        <v>3626</v>
      </c>
      <c r="B101" s="1060"/>
      <c r="C101" s="1066">
        <v>523</v>
      </c>
      <c r="D101" s="1071"/>
      <c r="E101" s="103">
        <v>974.45642630103453</v>
      </c>
      <c r="I101" s="156" t="s">
        <v>3626</v>
      </c>
      <c r="J101" s="1011"/>
      <c r="K101" s="138">
        <v>523</v>
      </c>
      <c r="L101" s="138">
        <v>523</v>
      </c>
      <c r="M101" s="129">
        <v>974</v>
      </c>
    </row>
    <row r="102" spans="1:13" x14ac:dyDescent="0.3">
      <c r="A102" s="71" t="s">
        <v>3627</v>
      </c>
      <c r="B102" s="1060"/>
      <c r="C102" s="1066">
        <v>523</v>
      </c>
      <c r="D102" s="1071"/>
      <c r="E102" s="109">
        <v>997.45642630103453</v>
      </c>
      <c r="I102" s="156" t="s">
        <v>3627</v>
      </c>
      <c r="J102" s="1011"/>
      <c r="K102" s="138">
        <v>523</v>
      </c>
      <c r="L102" s="138">
        <v>523</v>
      </c>
      <c r="M102" s="137">
        <v>997</v>
      </c>
    </row>
    <row r="103" spans="1:13" x14ac:dyDescent="0.3">
      <c r="A103" s="71" t="s">
        <v>3628</v>
      </c>
      <c r="B103" s="1060"/>
      <c r="C103" s="1066">
        <v>636</v>
      </c>
      <c r="D103" s="1071"/>
      <c r="E103" s="103">
        <v>1125.2564263010347</v>
      </c>
      <c r="I103" s="156" t="s">
        <v>3628</v>
      </c>
      <c r="J103" s="1011"/>
      <c r="K103" s="138">
        <v>636</v>
      </c>
      <c r="L103" s="138">
        <v>636</v>
      </c>
      <c r="M103" s="129">
        <v>1125</v>
      </c>
    </row>
    <row r="104" spans="1:13" x14ac:dyDescent="0.3">
      <c r="A104" s="71" t="s">
        <v>3629</v>
      </c>
      <c r="B104" s="1060"/>
      <c r="C104" s="1031">
        <v>658.25642630103448</v>
      </c>
      <c r="D104" s="1032"/>
      <c r="E104" s="109">
        <v>1760.2564263010347</v>
      </c>
      <c r="I104" s="156" t="s">
        <v>3629</v>
      </c>
      <c r="J104" s="1011"/>
      <c r="K104" s="137">
        <v>658</v>
      </c>
      <c r="L104" s="137">
        <v>658.25642630103448</v>
      </c>
      <c r="M104" s="137">
        <v>1760</v>
      </c>
    </row>
    <row r="105" spans="1:13" x14ac:dyDescent="0.3">
      <c r="A105" s="71" t="s">
        <v>3630</v>
      </c>
      <c r="B105" s="1060"/>
      <c r="C105" s="1066">
        <v>735</v>
      </c>
      <c r="D105" s="1067"/>
      <c r="E105" s="103">
        <v>1172.6564263010346</v>
      </c>
      <c r="I105" s="156" t="s">
        <v>3630</v>
      </c>
      <c r="J105" s="1011"/>
      <c r="K105" s="138">
        <v>735</v>
      </c>
      <c r="L105" s="138">
        <v>735</v>
      </c>
      <c r="M105" s="129">
        <v>1173</v>
      </c>
    </row>
    <row r="106" spans="1:13" x14ac:dyDescent="0.3">
      <c r="A106" s="71" t="s">
        <v>3631</v>
      </c>
      <c r="B106" s="1060"/>
      <c r="C106" s="1031">
        <v>848.65642630103446</v>
      </c>
      <c r="D106" s="1032"/>
      <c r="E106" s="109">
        <v>1897.6564263010346</v>
      </c>
      <c r="I106" s="156" t="s">
        <v>3631</v>
      </c>
      <c r="J106" s="1011"/>
      <c r="K106" s="137">
        <v>849</v>
      </c>
      <c r="L106" s="137">
        <v>848.65642630103446</v>
      </c>
      <c r="M106" s="137">
        <v>1898</v>
      </c>
    </row>
    <row r="107" spans="1:13" x14ac:dyDescent="0.3">
      <c r="A107" s="71" t="s">
        <v>3632</v>
      </c>
      <c r="B107" s="1060"/>
      <c r="C107" s="1029">
        <v>792.8564263010345</v>
      </c>
      <c r="D107" s="1030"/>
      <c r="E107" s="103">
        <v>1864.8564263010346</v>
      </c>
      <c r="I107" s="156" t="s">
        <v>3632</v>
      </c>
      <c r="J107" s="1011"/>
      <c r="K107" s="129">
        <v>793</v>
      </c>
      <c r="L107" s="129">
        <v>792.8564263010345</v>
      </c>
      <c r="M107" s="129">
        <v>1865</v>
      </c>
    </row>
    <row r="108" spans="1:13" x14ac:dyDescent="0.3">
      <c r="A108" s="71" t="s">
        <v>3633</v>
      </c>
      <c r="B108" s="1060"/>
      <c r="C108" s="1031">
        <v>954.8564263010345</v>
      </c>
      <c r="D108" s="1032"/>
      <c r="E108" s="109">
        <v>2113.8564263010344</v>
      </c>
      <c r="I108" s="156" t="s">
        <v>3633</v>
      </c>
      <c r="J108" s="1011"/>
      <c r="K108" s="137">
        <v>955</v>
      </c>
      <c r="L108" s="137">
        <v>954.8564263010345</v>
      </c>
      <c r="M108" s="137">
        <v>2114</v>
      </c>
    </row>
    <row r="109" spans="1:13" x14ac:dyDescent="0.3">
      <c r="A109" s="71" t="s">
        <v>3634</v>
      </c>
      <c r="B109" s="1060"/>
      <c r="C109" s="1029">
        <v>1084.8564263010346</v>
      </c>
      <c r="D109" s="1030"/>
      <c r="E109" s="103">
        <v>2203.8564263010344</v>
      </c>
      <c r="I109" s="156" t="s">
        <v>3634</v>
      </c>
      <c r="J109" s="1011"/>
      <c r="K109" s="129">
        <v>1085</v>
      </c>
      <c r="L109" s="129">
        <v>1084.8564263010346</v>
      </c>
      <c r="M109" s="129">
        <v>2204</v>
      </c>
    </row>
    <row r="110" spans="1:13" x14ac:dyDescent="0.3">
      <c r="A110" s="71" t="s">
        <v>3635</v>
      </c>
      <c r="B110" s="1060"/>
      <c r="C110" s="1031">
        <v>1122.8564263010346</v>
      </c>
      <c r="D110" s="1032"/>
      <c r="E110" s="109">
        <v>2301.8564263010344</v>
      </c>
      <c r="I110" s="156" t="s">
        <v>3635</v>
      </c>
      <c r="J110" s="1011"/>
      <c r="K110" s="137">
        <v>1123</v>
      </c>
      <c r="L110" s="137">
        <v>1122.8564263010346</v>
      </c>
      <c r="M110" s="137">
        <v>2302</v>
      </c>
    </row>
    <row r="111" spans="1:13" x14ac:dyDescent="0.3">
      <c r="A111" s="71" t="s">
        <v>3636</v>
      </c>
      <c r="B111" s="1060"/>
      <c r="C111" s="1029">
        <v>1147.8564263010346</v>
      </c>
      <c r="D111" s="1030"/>
      <c r="E111" s="103">
        <v>2352.8564263010344</v>
      </c>
      <c r="I111" s="156" t="s">
        <v>3636</v>
      </c>
      <c r="J111" s="1011"/>
      <c r="K111" s="129">
        <v>1148</v>
      </c>
      <c r="L111" s="129">
        <v>1147.8564263010346</v>
      </c>
      <c r="M111" s="129">
        <v>2353</v>
      </c>
    </row>
    <row r="112" spans="1:13" x14ac:dyDescent="0.3">
      <c r="A112" s="71" t="s">
        <v>3637</v>
      </c>
      <c r="B112" s="1061"/>
      <c r="C112" s="1031">
        <v>1270.8564263010346</v>
      </c>
      <c r="D112" s="1032"/>
      <c r="E112" s="109">
        <v>2631.8564263010344</v>
      </c>
      <c r="I112" s="156" t="s">
        <v>3637</v>
      </c>
      <c r="J112" s="1012"/>
      <c r="K112" s="137">
        <v>1271</v>
      </c>
      <c r="L112" s="137">
        <v>1270.8564263010346</v>
      </c>
      <c r="M112" s="137">
        <v>2632</v>
      </c>
    </row>
    <row r="113" spans="1:13" x14ac:dyDescent="0.3">
      <c r="A113" s="72" t="s">
        <v>3638</v>
      </c>
      <c r="B113" s="1068">
        <v>651.99999999999989</v>
      </c>
      <c r="C113" s="1066">
        <v>440</v>
      </c>
      <c r="D113" s="1071"/>
      <c r="E113" s="1067"/>
      <c r="I113" s="157" t="s">
        <v>3638</v>
      </c>
      <c r="J113" s="1007">
        <v>651.99999999999989</v>
      </c>
      <c r="K113" s="138">
        <v>440</v>
      </c>
      <c r="L113" s="138">
        <v>440</v>
      </c>
      <c r="M113" s="138">
        <v>440</v>
      </c>
    </row>
    <row r="114" spans="1:13" x14ac:dyDescent="0.3">
      <c r="A114" s="72" t="s">
        <v>3639</v>
      </c>
      <c r="B114" s="1069"/>
      <c r="C114" s="1072">
        <v>446</v>
      </c>
      <c r="D114" s="1073"/>
      <c r="E114" s="1074"/>
      <c r="I114" s="157" t="s">
        <v>3639</v>
      </c>
      <c r="J114" s="1008"/>
      <c r="K114" s="139">
        <v>446</v>
      </c>
      <c r="L114" s="139">
        <v>446</v>
      </c>
      <c r="M114" s="139">
        <v>446</v>
      </c>
    </row>
    <row r="115" spans="1:13" x14ac:dyDescent="0.3">
      <c r="A115" s="72" t="s">
        <v>3640</v>
      </c>
      <c r="B115" s="1069"/>
      <c r="C115" s="1066">
        <v>450</v>
      </c>
      <c r="D115" s="1071"/>
      <c r="E115" s="1067"/>
      <c r="I115" s="157" t="s">
        <v>3640</v>
      </c>
      <c r="J115" s="1008"/>
      <c r="K115" s="138">
        <v>450</v>
      </c>
      <c r="L115" s="138">
        <v>450</v>
      </c>
      <c r="M115" s="138">
        <v>450</v>
      </c>
    </row>
    <row r="116" spans="1:13" x14ac:dyDescent="0.3">
      <c r="A116" s="72" t="s">
        <v>2916</v>
      </c>
      <c r="B116" s="1069"/>
      <c r="C116" s="1075">
        <v>545.45642630103453</v>
      </c>
      <c r="D116" s="1076"/>
      <c r="E116" s="112">
        <v>1632.4564263010345</v>
      </c>
      <c r="I116" s="157" t="s">
        <v>2916</v>
      </c>
      <c r="J116" s="1008"/>
      <c r="K116" s="140">
        <v>545</v>
      </c>
      <c r="L116" s="140">
        <v>545</v>
      </c>
      <c r="M116" s="140">
        <v>1632</v>
      </c>
    </row>
    <row r="117" spans="1:13" x14ac:dyDescent="0.3">
      <c r="A117" s="72" t="s">
        <v>2801</v>
      </c>
      <c r="B117" s="1069"/>
      <c r="C117" s="1029">
        <v>701.25642630103448</v>
      </c>
      <c r="D117" s="1030"/>
      <c r="E117" s="103">
        <v>1802.2564263010347</v>
      </c>
      <c r="I117" s="157" t="s">
        <v>2801</v>
      </c>
      <c r="J117" s="1008"/>
      <c r="K117" s="129">
        <v>701</v>
      </c>
      <c r="L117" s="129">
        <v>701</v>
      </c>
      <c r="M117" s="129">
        <v>1802</v>
      </c>
    </row>
    <row r="118" spans="1:13" x14ac:dyDescent="0.3">
      <c r="A118" s="72" t="s">
        <v>2768</v>
      </c>
      <c r="B118" s="1069"/>
      <c r="C118" s="1075">
        <v>978.65642630103446</v>
      </c>
      <c r="D118" s="1076"/>
      <c r="E118" s="112">
        <v>1987.6564263010346</v>
      </c>
      <c r="I118" s="157" t="s">
        <v>2768</v>
      </c>
      <c r="J118" s="1008"/>
      <c r="K118" s="140">
        <v>979</v>
      </c>
      <c r="L118" s="140">
        <v>979</v>
      </c>
      <c r="M118" s="140">
        <v>1988</v>
      </c>
    </row>
    <row r="119" spans="1:13" x14ac:dyDescent="0.3">
      <c r="A119" s="72" t="s">
        <v>2884</v>
      </c>
      <c r="B119" s="1069"/>
      <c r="C119" s="1029">
        <v>1026.8564263010344</v>
      </c>
      <c r="D119" s="1030"/>
      <c r="E119" s="103">
        <v>2034.8564263010346</v>
      </c>
      <c r="I119" s="157" t="s">
        <v>2884</v>
      </c>
      <c r="J119" s="1008"/>
      <c r="K119" s="129">
        <v>1027</v>
      </c>
      <c r="L119" s="129">
        <v>1027</v>
      </c>
      <c r="M119" s="129">
        <v>2035</v>
      </c>
    </row>
    <row r="120" spans="1:13" x14ac:dyDescent="0.3">
      <c r="A120" s="72" t="s">
        <v>2748</v>
      </c>
      <c r="B120" s="1069"/>
      <c r="C120" s="1075">
        <v>1148.8564263010346</v>
      </c>
      <c r="D120" s="1076"/>
      <c r="E120" s="112">
        <v>2383.8564263010344</v>
      </c>
      <c r="I120" s="157" t="s">
        <v>2748</v>
      </c>
      <c r="J120" s="1008"/>
      <c r="K120" s="140">
        <v>1149</v>
      </c>
      <c r="L120" s="140">
        <v>1149</v>
      </c>
      <c r="M120" s="140">
        <v>2384</v>
      </c>
    </row>
    <row r="121" spans="1:13" x14ac:dyDescent="0.3">
      <c r="A121" s="72" t="s">
        <v>3641</v>
      </c>
      <c r="B121" s="1069"/>
      <c r="C121" s="1029">
        <v>1244.3564263010346</v>
      </c>
      <c r="D121" s="1030"/>
      <c r="E121" s="103">
        <v>2618.3564263010344</v>
      </c>
      <c r="I121" s="157" t="s">
        <v>3641</v>
      </c>
      <c r="J121" s="1008"/>
      <c r="K121" s="129">
        <v>1244</v>
      </c>
      <c r="L121" s="129">
        <v>1244</v>
      </c>
      <c r="M121" s="129">
        <v>2618</v>
      </c>
    </row>
    <row r="122" spans="1:13" x14ac:dyDescent="0.3">
      <c r="A122" s="72" t="s">
        <v>2765</v>
      </c>
      <c r="B122" s="1069"/>
      <c r="C122" s="1075">
        <v>1248.8564263010346</v>
      </c>
      <c r="D122" s="1076"/>
      <c r="E122" s="112">
        <v>2622.8564263010344</v>
      </c>
      <c r="I122" s="157" t="s">
        <v>2765</v>
      </c>
      <c r="J122" s="1008"/>
      <c r="K122" s="140">
        <v>1249</v>
      </c>
      <c r="L122" s="140">
        <v>1249</v>
      </c>
      <c r="M122" s="140">
        <v>2623</v>
      </c>
    </row>
    <row r="123" spans="1:13" x14ac:dyDescent="0.3">
      <c r="A123" s="72" t="s">
        <v>2784</v>
      </c>
      <c r="B123" s="1069"/>
      <c r="C123" s="1029">
        <v>1453.8564263010346</v>
      </c>
      <c r="D123" s="1030"/>
      <c r="E123" s="103">
        <v>3151.8564263010344</v>
      </c>
      <c r="I123" s="157" t="s">
        <v>2784</v>
      </c>
      <c r="J123" s="1008"/>
      <c r="K123" s="129">
        <v>1454</v>
      </c>
      <c r="L123" s="129">
        <v>1454</v>
      </c>
      <c r="M123" s="129">
        <v>3152</v>
      </c>
    </row>
    <row r="124" spans="1:13" x14ac:dyDescent="0.3">
      <c r="A124" s="72" t="s">
        <v>3642</v>
      </c>
      <c r="B124" s="1069"/>
      <c r="C124" s="1029">
        <v>1564</v>
      </c>
      <c r="D124" s="1030"/>
      <c r="E124" s="103">
        <v>3926.3564263010344</v>
      </c>
      <c r="I124" s="157" t="s">
        <v>3642</v>
      </c>
      <c r="J124" s="1008"/>
      <c r="K124" s="129">
        <v>1564</v>
      </c>
      <c r="L124" s="129">
        <v>1564</v>
      </c>
      <c r="M124" s="129">
        <v>3926</v>
      </c>
    </row>
    <row r="125" spans="1:13" x14ac:dyDescent="0.3">
      <c r="A125" s="72" t="s">
        <v>2745</v>
      </c>
      <c r="B125" s="1069"/>
      <c r="C125" s="103">
        <v>1627.8564263010346</v>
      </c>
      <c r="D125" s="113">
        <v>4053.8564263010344</v>
      </c>
      <c r="E125" s="112">
        <v>4370.8564263010348</v>
      </c>
      <c r="I125" s="157" t="s">
        <v>2745</v>
      </c>
      <c r="J125" s="1008"/>
      <c r="K125" s="129">
        <v>1628</v>
      </c>
      <c r="L125" s="129">
        <v>4054</v>
      </c>
      <c r="M125" s="140">
        <v>4371</v>
      </c>
    </row>
    <row r="126" spans="1:13" x14ac:dyDescent="0.3">
      <c r="A126" s="72" t="s">
        <v>2926</v>
      </c>
      <c r="B126" s="1069"/>
      <c r="C126" s="112">
        <v>1664.8564263010346</v>
      </c>
      <c r="D126" s="114">
        <v>4071.8564263010344</v>
      </c>
      <c r="E126" s="103">
        <v>4679.8564263010348</v>
      </c>
      <c r="I126" s="157" t="s">
        <v>2926</v>
      </c>
      <c r="J126" s="1008"/>
      <c r="K126" s="140">
        <v>1665</v>
      </c>
      <c r="L126" s="142">
        <v>4072</v>
      </c>
      <c r="M126" s="129">
        <v>4680</v>
      </c>
    </row>
    <row r="127" spans="1:13" x14ac:dyDescent="0.3">
      <c r="A127" s="72" t="s">
        <v>2742</v>
      </c>
      <c r="B127" s="1069"/>
      <c r="C127" s="103">
        <v>1841.8564263010346</v>
      </c>
      <c r="D127" s="113">
        <v>4546.8564263010348</v>
      </c>
      <c r="E127" s="1077" t="s">
        <v>3551</v>
      </c>
      <c r="I127" s="157" t="s">
        <v>2742</v>
      </c>
      <c r="J127" s="1008"/>
      <c r="K127" s="129">
        <v>1842</v>
      </c>
      <c r="L127" s="141">
        <v>4547</v>
      </c>
      <c r="M127" s="143" t="s">
        <v>3551</v>
      </c>
    </row>
    <row r="128" spans="1:13" x14ac:dyDescent="0.3">
      <c r="A128" s="72" t="s">
        <v>3065</v>
      </c>
      <c r="B128" s="1069"/>
      <c r="C128" s="112">
        <v>1898.8564263010346</v>
      </c>
      <c r="D128" s="114">
        <v>5397.8564263010348</v>
      </c>
      <c r="E128" s="1078"/>
      <c r="I128" s="157" t="s">
        <v>3065</v>
      </c>
      <c r="J128" s="1008"/>
      <c r="K128" s="140">
        <v>1899</v>
      </c>
      <c r="L128" s="142">
        <v>5398</v>
      </c>
      <c r="M128" s="143" t="s">
        <v>3551</v>
      </c>
    </row>
    <row r="129" spans="1:13" x14ac:dyDescent="0.3">
      <c r="A129" s="72" t="s">
        <v>3643</v>
      </c>
      <c r="B129" s="1069"/>
      <c r="C129" s="103">
        <v>1955.8564263010346</v>
      </c>
      <c r="D129" s="113">
        <v>5454.8564263010348</v>
      </c>
      <c r="E129" s="1078"/>
      <c r="I129" s="157" t="s">
        <v>3643</v>
      </c>
      <c r="J129" s="1008"/>
      <c r="K129" s="129">
        <v>1956</v>
      </c>
      <c r="L129" s="141">
        <v>5455</v>
      </c>
      <c r="M129" s="143" t="s">
        <v>3551</v>
      </c>
    </row>
    <row r="130" spans="1:13" x14ac:dyDescent="0.3">
      <c r="A130" s="72" t="s">
        <v>3644</v>
      </c>
      <c r="B130" s="1069"/>
      <c r="C130" s="112">
        <v>2020.8564263010346</v>
      </c>
      <c r="D130" s="114">
        <v>7273.8564263010348</v>
      </c>
      <c r="E130" s="1078"/>
      <c r="I130" s="157" t="s">
        <v>3644</v>
      </c>
      <c r="J130" s="1008"/>
      <c r="K130" s="140">
        <v>2021</v>
      </c>
      <c r="L130" s="142">
        <v>7274</v>
      </c>
      <c r="M130" s="143" t="s">
        <v>3551</v>
      </c>
    </row>
    <row r="131" spans="1:13" x14ac:dyDescent="0.3">
      <c r="A131" s="72" t="s">
        <v>3645</v>
      </c>
      <c r="B131" s="1069"/>
      <c r="C131" s="103">
        <v>2068.8564263010348</v>
      </c>
      <c r="D131" s="113">
        <v>7320.8564263010348</v>
      </c>
      <c r="E131" s="1078"/>
      <c r="I131" s="157" t="s">
        <v>3645</v>
      </c>
      <c r="J131" s="1008"/>
      <c r="K131" s="129">
        <v>2069</v>
      </c>
      <c r="L131" s="141">
        <v>7321</v>
      </c>
      <c r="M131" s="143" t="s">
        <v>3551</v>
      </c>
    </row>
    <row r="132" spans="1:13" x14ac:dyDescent="0.3">
      <c r="A132" s="72" t="s">
        <v>3646</v>
      </c>
      <c r="B132" s="1069"/>
      <c r="C132" s="112">
        <v>2116.8564263010348</v>
      </c>
      <c r="D132" s="114">
        <v>7368.8564263010348</v>
      </c>
      <c r="E132" s="1078"/>
      <c r="I132" s="157" t="s">
        <v>3646</v>
      </c>
      <c r="J132" s="1008"/>
      <c r="K132" s="140">
        <v>2117</v>
      </c>
      <c r="L132" s="142">
        <v>7369</v>
      </c>
      <c r="M132" s="143" t="s">
        <v>3551</v>
      </c>
    </row>
    <row r="133" spans="1:13" x14ac:dyDescent="0.3">
      <c r="A133" s="72" t="s">
        <v>3647</v>
      </c>
      <c r="B133" s="1069"/>
      <c r="C133" s="103">
        <v>2164.8564263010344</v>
      </c>
      <c r="D133" s="113">
        <v>7416.8564263010348</v>
      </c>
      <c r="E133" s="1078"/>
      <c r="I133" s="157" t="s">
        <v>3647</v>
      </c>
      <c r="J133" s="1008"/>
      <c r="K133" s="129">
        <v>2165</v>
      </c>
      <c r="L133" s="141">
        <v>7417</v>
      </c>
      <c r="M133" s="143" t="s">
        <v>3551</v>
      </c>
    </row>
    <row r="134" spans="1:13" x14ac:dyDescent="0.3">
      <c r="A134" s="72" t="s">
        <v>3648</v>
      </c>
      <c r="B134" s="1069"/>
      <c r="C134" s="112">
        <v>3303.8564263010344</v>
      </c>
      <c r="D134" s="1024" t="s">
        <v>3551</v>
      </c>
      <c r="E134" s="1078"/>
      <c r="I134" s="157" t="s">
        <v>3648</v>
      </c>
      <c r="J134" s="1008"/>
      <c r="K134" s="140">
        <v>3304</v>
      </c>
      <c r="L134" s="131" t="s">
        <v>3551</v>
      </c>
      <c r="M134" s="143" t="s">
        <v>3551</v>
      </c>
    </row>
    <row r="135" spans="1:13" x14ac:dyDescent="0.3">
      <c r="A135" s="72" t="s">
        <v>3649</v>
      </c>
      <c r="B135" s="1069"/>
      <c r="C135" s="103">
        <v>3541.8564263010344</v>
      </c>
      <c r="D135" s="1025"/>
      <c r="E135" s="1078"/>
      <c r="I135" s="157" t="s">
        <v>3649</v>
      </c>
      <c r="J135" s="1008"/>
      <c r="K135" s="129">
        <v>3542</v>
      </c>
      <c r="L135" s="131" t="s">
        <v>3551</v>
      </c>
      <c r="M135" s="143" t="s">
        <v>3551</v>
      </c>
    </row>
    <row r="136" spans="1:13" x14ac:dyDescent="0.3">
      <c r="A136" s="72" t="s">
        <v>3650</v>
      </c>
      <c r="B136" s="1069"/>
      <c r="C136" s="112">
        <v>3780.8564263010344</v>
      </c>
      <c r="D136" s="1025"/>
      <c r="E136" s="1078"/>
      <c r="I136" s="157" t="s">
        <v>3650</v>
      </c>
      <c r="J136" s="1008"/>
      <c r="K136" s="140">
        <v>3781</v>
      </c>
      <c r="L136" s="131" t="s">
        <v>3551</v>
      </c>
      <c r="M136" s="143" t="s">
        <v>3551</v>
      </c>
    </row>
    <row r="137" spans="1:13" x14ac:dyDescent="0.3">
      <c r="A137" s="72" t="s">
        <v>3651</v>
      </c>
      <c r="B137" s="1069"/>
      <c r="C137" s="103">
        <v>4018.8564263010344</v>
      </c>
      <c r="D137" s="1025"/>
      <c r="E137" s="1078"/>
      <c r="I137" s="157" t="s">
        <v>3651</v>
      </c>
      <c r="J137" s="1008"/>
      <c r="K137" s="129">
        <v>4019</v>
      </c>
      <c r="L137" s="131" t="s">
        <v>3551</v>
      </c>
      <c r="M137" s="143" t="s">
        <v>3551</v>
      </c>
    </row>
    <row r="138" spans="1:13" x14ac:dyDescent="0.3">
      <c r="A138" s="72" t="s">
        <v>3652</v>
      </c>
      <c r="B138" s="1069"/>
      <c r="C138" s="112">
        <v>4257.8564263010348</v>
      </c>
      <c r="D138" s="1025"/>
      <c r="E138" s="1078"/>
      <c r="I138" s="157" t="s">
        <v>3652</v>
      </c>
      <c r="J138" s="1008"/>
      <c r="K138" s="140">
        <v>4258</v>
      </c>
      <c r="L138" s="131" t="s">
        <v>3551</v>
      </c>
      <c r="M138" s="143" t="s">
        <v>3551</v>
      </c>
    </row>
    <row r="139" spans="1:13" x14ac:dyDescent="0.3">
      <c r="A139" s="72" t="s">
        <v>3653</v>
      </c>
      <c r="B139" s="1069"/>
      <c r="C139" s="103">
        <v>4733.8564263010348</v>
      </c>
      <c r="D139" s="1025"/>
      <c r="E139" s="1078"/>
      <c r="I139" s="157" t="s">
        <v>3653</v>
      </c>
      <c r="J139" s="1008"/>
      <c r="K139" s="129">
        <v>4734</v>
      </c>
      <c r="L139" s="131" t="s">
        <v>3551</v>
      </c>
      <c r="M139" s="143" t="s">
        <v>3551</v>
      </c>
    </row>
    <row r="140" spans="1:13" x14ac:dyDescent="0.3">
      <c r="A140" s="72" t="s">
        <v>3654</v>
      </c>
      <c r="B140" s="1069"/>
      <c r="C140" s="112">
        <v>5210.8564263010348</v>
      </c>
      <c r="D140" s="1025"/>
      <c r="E140" s="1078"/>
      <c r="I140" s="157" t="s">
        <v>3654</v>
      </c>
      <c r="J140" s="1008"/>
      <c r="K140" s="140">
        <v>5211</v>
      </c>
      <c r="L140" s="131" t="s">
        <v>3551</v>
      </c>
      <c r="M140" s="143" t="s">
        <v>3551</v>
      </c>
    </row>
    <row r="141" spans="1:13" x14ac:dyDescent="0.3">
      <c r="A141" s="72" t="s">
        <v>3655</v>
      </c>
      <c r="B141" s="1069"/>
      <c r="C141" s="103">
        <v>5687.8564263010348</v>
      </c>
      <c r="D141" s="1025"/>
      <c r="E141" s="1078"/>
      <c r="I141" s="157" t="s">
        <v>3655</v>
      </c>
      <c r="J141" s="1008"/>
      <c r="K141" s="129">
        <v>5688</v>
      </c>
      <c r="L141" s="131" t="s">
        <v>3551</v>
      </c>
      <c r="M141" s="143" t="s">
        <v>3551</v>
      </c>
    </row>
    <row r="142" spans="1:13" x14ac:dyDescent="0.3">
      <c r="A142" s="72" t="s">
        <v>3656</v>
      </c>
      <c r="B142" s="1069"/>
      <c r="C142" s="112">
        <v>6164.8564263010348</v>
      </c>
      <c r="D142" s="1025"/>
      <c r="E142" s="1078"/>
      <c r="I142" s="157" t="s">
        <v>3656</v>
      </c>
      <c r="J142" s="1008"/>
      <c r="K142" s="140">
        <v>6165</v>
      </c>
      <c r="L142" s="131" t="s">
        <v>3551</v>
      </c>
      <c r="M142" s="143" t="s">
        <v>3551</v>
      </c>
    </row>
    <row r="143" spans="1:13" x14ac:dyDescent="0.3">
      <c r="A143" s="72" t="s">
        <v>3657</v>
      </c>
      <c r="B143" s="1069"/>
      <c r="C143" s="103">
        <v>6641.8564263010348</v>
      </c>
      <c r="D143" s="1025"/>
      <c r="E143" s="1078"/>
      <c r="I143" s="157" t="s">
        <v>3657</v>
      </c>
      <c r="J143" s="1008"/>
      <c r="K143" s="129">
        <v>6642</v>
      </c>
      <c r="L143" s="131" t="s">
        <v>3551</v>
      </c>
      <c r="M143" s="143" t="s">
        <v>3551</v>
      </c>
    </row>
    <row r="144" spans="1:13" x14ac:dyDescent="0.3">
      <c r="A144" s="72" t="s">
        <v>3658</v>
      </c>
      <c r="B144" s="1069"/>
      <c r="C144" s="1087" t="s">
        <v>3551</v>
      </c>
      <c r="D144" s="1025"/>
      <c r="E144" s="1078"/>
      <c r="I144" s="157" t="s">
        <v>3658</v>
      </c>
      <c r="J144" s="1008"/>
      <c r="K144" s="144" t="s">
        <v>3551</v>
      </c>
      <c r="L144" s="131" t="s">
        <v>3551</v>
      </c>
      <c r="M144" s="143" t="s">
        <v>3551</v>
      </c>
    </row>
    <row r="145" spans="1:13" x14ac:dyDescent="0.3">
      <c r="A145" s="72" t="s">
        <v>3659</v>
      </c>
      <c r="B145" s="1069"/>
      <c r="C145" s="1088"/>
      <c r="D145" s="1026"/>
      <c r="E145" s="1079"/>
      <c r="I145" s="157" t="s">
        <v>3659</v>
      </c>
      <c r="J145" s="1008"/>
      <c r="K145" s="144" t="s">
        <v>3551</v>
      </c>
      <c r="L145" s="131" t="s">
        <v>3551</v>
      </c>
      <c r="M145" s="143" t="s">
        <v>3551</v>
      </c>
    </row>
    <row r="146" spans="1:13" x14ac:dyDescent="0.3">
      <c r="A146" s="73" t="s">
        <v>3660</v>
      </c>
      <c r="B146" s="1069"/>
      <c r="C146" s="1066">
        <v>456</v>
      </c>
      <c r="D146" s="1071"/>
      <c r="E146" s="1071"/>
      <c r="I146" s="158" t="s">
        <v>3660</v>
      </c>
      <c r="J146" s="1008"/>
      <c r="K146" s="138">
        <v>456</v>
      </c>
      <c r="L146" s="138">
        <v>456</v>
      </c>
      <c r="M146" s="138">
        <v>456</v>
      </c>
    </row>
    <row r="147" spans="1:13" x14ac:dyDescent="0.3">
      <c r="A147" s="73" t="s">
        <v>3661</v>
      </c>
      <c r="B147" s="1069"/>
      <c r="C147" s="1072">
        <v>523</v>
      </c>
      <c r="D147" s="1074"/>
      <c r="E147" s="115">
        <v>974.45642630103453</v>
      </c>
      <c r="I147" s="158" t="s">
        <v>3661</v>
      </c>
      <c r="J147" s="1008"/>
      <c r="K147" s="139">
        <v>523</v>
      </c>
      <c r="L147" s="139">
        <v>523</v>
      </c>
      <c r="M147" s="142">
        <v>974</v>
      </c>
    </row>
    <row r="148" spans="1:13" x14ac:dyDescent="0.3">
      <c r="A148" s="73" t="s">
        <v>3662</v>
      </c>
      <c r="B148" s="1069"/>
      <c r="C148" s="1072">
        <v>523</v>
      </c>
      <c r="D148" s="1074"/>
      <c r="E148" s="116">
        <v>997.45642630103453</v>
      </c>
      <c r="I148" s="158" t="s">
        <v>3662</v>
      </c>
      <c r="J148" s="1008"/>
      <c r="K148" s="139">
        <v>523</v>
      </c>
      <c r="L148" s="139">
        <v>523</v>
      </c>
      <c r="M148" s="141">
        <v>997</v>
      </c>
    </row>
    <row r="149" spans="1:13" x14ac:dyDescent="0.3">
      <c r="A149" s="73" t="s">
        <v>3663</v>
      </c>
      <c r="B149" s="1069"/>
      <c r="C149" s="1072">
        <v>636</v>
      </c>
      <c r="D149" s="1074"/>
      <c r="E149" s="115">
        <v>1125.2564263010347</v>
      </c>
      <c r="I149" s="158" t="s">
        <v>3663</v>
      </c>
      <c r="J149" s="1008"/>
      <c r="K149" s="139">
        <v>636</v>
      </c>
      <c r="L149" s="139">
        <v>636</v>
      </c>
      <c r="M149" s="142">
        <v>1125</v>
      </c>
    </row>
    <row r="150" spans="1:13" x14ac:dyDescent="0.3">
      <c r="A150" s="73" t="s">
        <v>3664</v>
      </c>
      <c r="B150" s="1069"/>
      <c r="C150" s="1029">
        <v>658.25642630103448</v>
      </c>
      <c r="D150" s="1030"/>
      <c r="E150" s="113">
        <v>1760.2564263010347</v>
      </c>
      <c r="I150" s="158" t="s">
        <v>3664</v>
      </c>
      <c r="J150" s="1008"/>
      <c r="K150" s="129">
        <v>658</v>
      </c>
      <c r="L150" s="129">
        <v>658</v>
      </c>
      <c r="M150" s="141">
        <v>1760</v>
      </c>
    </row>
    <row r="151" spans="1:13" x14ac:dyDescent="0.3">
      <c r="A151" s="73" t="s">
        <v>3665</v>
      </c>
      <c r="B151" s="1069"/>
      <c r="C151" s="1072">
        <v>735</v>
      </c>
      <c r="D151" s="1074"/>
      <c r="E151" s="114">
        <v>1172.6564263010346</v>
      </c>
      <c r="I151" s="158" t="s">
        <v>3665</v>
      </c>
      <c r="J151" s="1008"/>
      <c r="K151" s="139">
        <v>735</v>
      </c>
      <c r="L151" s="139">
        <v>735</v>
      </c>
      <c r="M151" s="142">
        <v>1173</v>
      </c>
    </row>
    <row r="152" spans="1:13" x14ac:dyDescent="0.3">
      <c r="A152" s="73" t="s">
        <v>3666</v>
      </c>
      <c r="B152" s="1069"/>
      <c r="C152" s="1029">
        <v>848.65642630103446</v>
      </c>
      <c r="D152" s="1030"/>
      <c r="E152" s="113">
        <v>1897.6564263010346</v>
      </c>
      <c r="I152" s="158" t="s">
        <v>3666</v>
      </c>
      <c r="J152" s="1008"/>
      <c r="K152" s="129">
        <v>849</v>
      </c>
      <c r="L152" s="129">
        <v>849</v>
      </c>
      <c r="M152" s="141">
        <v>1898</v>
      </c>
    </row>
    <row r="153" spans="1:13" x14ac:dyDescent="0.3">
      <c r="A153" s="73" t="s">
        <v>3667</v>
      </c>
      <c r="B153" s="1069"/>
      <c r="C153" s="1075">
        <v>792.8564263010345</v>
      </c>
      <c r="D153" s="1076"/>
      <c r="E153" s="114">
        <v>1864.8564263010346</v>
      </c>
      <c r="I153" s="158" t="s">
        <v>3667</v>
      </c>
      <c r="J153" s="1008"/>
      <c r="K153" s="140">
        <v>793</v>
      </c>
      <c r="L153" s="140">
        <v>793</v>
      </c>
      <c r="M153" s="142">
        <v>1865</v>
      </c>
    </row>
    <row r="154" spans="1:13" x14ac:dyDescent="0.3">
      <c r="A154" s="73" t="s">
        <v>3668</v>
      </c>
      <c r="B154" s="1069"/>
      <c r="C154" s="1029">
        <v>954.8564263010345</v>
      </c>
      <c r="D154" s="1030"/>
      <c r="E154" s="113">
        <v>2113.8564263010344</v>
      </c>
      <c r="I154" s="158" t="s">
        <v>3668</v>
      </c>
      <c r="J154" s="1008"/>
      <c r="K154" s="129">
        <v>955</v>
      </c>
      <c r="L154" s="129">
        <v>955</v>
      </c>
      <c r="M154" s="141">
        <v>2114</v>
      </c>
    </row>
    <row r="155" spans="1:13" x14ac:dyDescent="0.3">
      <c r="A155" s="73" t="s">
        <v>3669</v>
      </c>
      <c r="B155" s="1069"/>
      <c r="C155" s="1075">
        <v>1084.8564263010346</v>
      </c>
      <c r="D155" s="1076"/>
      <c r="E155" s="114">
        <v>2203.8564263010344</v>
      </c>
      <c r="I155" s="158" t="s">
        <v>3669</v>
      </c>
      <c r="J155" s="1008"/>
      <c r="K155" s="140">
        <v>1085</v>
      </c>
      <c r="L155" s="140">
        <v>1085</v>
      </c>
      <c r="M155" s="142">
        <v>2204</v>
      </c>
    </row>
    <row r="156" spans="1:13" x14ac:dyDescent="0.3">
      <c r="A156" s="73" t="s">
        <v>3670</v>
      </c>
      <c r="B156" s="1069"/>
      <c r="C156" s="1029">
        <v>1122.8564263010346</v>
      </c>
      <c r="D156" s="1030"/>
      <c r="E156" s="113">
        <v>2301.8564263010344</v>
      </c>
      <c r="I156" s="158" t="s">
        <v>3670</v>
      </c>
      <c r="J156" s="1008"/>
      <c r="K156" s="129">
        <v>1123</v>
      </c>
      <c r="L156" s="129">
        <v>1123</v>
      </c>
      <c r="M156" s="141">
        <v>2302</v>
      </c>
    </row>
    <row r="157" spans="1:13" x14ac:dyDescent="0.3">
      <c r="A157" s="73" t="s">
        <v>3671</v>
      </c>
      <c r="B157" s="1069"/>
      <c r="C157" s="1075">
        <v>1147.8564263010346</v>
      </c>
      <c r="D157" s="1076"/>
      <c r="E157" s="114">
        <v>2352.8564263010344</v>
      </c>
      <c r="I157" s="158" t="s">
        <v>3671</v>
      </c>
      <c r="J157" s="1008"/>
      <c r="K157" s="140">
        <v>1148</v>
      </c>
      <c r="L157" s="140">
        <v>1148</v>
      </c>
      <c r="M157" s="142">
        <v>2353</v>
      </c>
    </row>
    <row r="158" spans="1:13" x14ac:dyDescent="0.3">
      <c r="A158" s="73" t="s">
        <v>3672</v>
      </c>
      <c r="B158" s="1069"/>
      <c r="C158" s="1029">
        <v>1160.8564263010346</v>
      </c>
      <c r="D158" s="1030"/>
      <c r="E158" s="113">
        <v>2492.3564263010344</v>
      </c>
      <c r="I158" s="158" t="s">
        <v>3672</v>
      </c>
      <c r="J158" s="1008"/>
      <c r="K158" s="129">
        <v>1161</v>
      </c>
      <c r="L158" s="129">
        <v>1161</v>
      </c>
      <c r="M158" s="141">
        <v>2492</v>
      </c>
    </row>
    <row r="159" spans="1:13" ht="15" thickBot="1" x14ac:dyDescent="0.35">
      <c r="A159" s="74" t="s">
        <v>3673</v>
      </c>
      <c r="B159" s="1070"/>
      <c r="C159" s="1085">
        <v>1270.8564263010346</v>
      </c>
      <c r="D159" s="1086"/>
      <c r="E159" s="117">
        <v>2631.8564263010344</v>
      </c>
      <c r="I159" s="159" t="s">
        <v>3673</v>
      </c>
      <c r="J159" s="1009"/>
      <c r="K159" s="140">
        <v>1271</v>
      </c>
      <c r="L159" s="140">
        <v>1271</v>
      </c>
      <c r="M159" s="142">
        <v>2632</v>
      </c>
    </row>
  </sheetData>
  <mergeCells count="102">
    <mergeCell ref="S2:T2"/>
    <mergeCell ref="Q3:Q4"/>
    <mergeCell ref="R3:R4"/>
    <mergeCell ref="U3:U4"/>
    <mergeCell ref="C150:D150"/>
    <mergeCell ref="C158:D158"/>
    <mergeCell ref="C159:D159"/>
    <mergeCell ref="C152:D152"/>
    <mergeCell ref="C153:D153"/>
    <mergeCell ref="C154:D154"/>
    <mergeCell ref="C155:D155"/>
    <mergeCell ref="C156:D156"/>
    <mergeCell ref="C157:D157"/>
    <mergeCell ref="C144:C145"/>
    <mergeCell ref="C146:E146"/>
    <mergeCell ref="C147:D147"/>
    <mergeCell ref="C148:D148"/>
    <mergeCell ref="C149:D149"/>
    <mergeCell ref="C112:D112"/>
    <mergeCell ref="C101:D101"/>
    <mergeCell ref="C102:D102"/>
    <mergeCell ref="C103:D103"/>
    <mergeCell ref="C104:D104"/>
    <mergeCell ref="C105:D105"/>
    <mergeCell ref="B113:B159"/>
    <mergeCell ref="C113:E113"/>
    <mergeCell ref="C114:E114"/>
    <mergeCell ref="C115:E115"/>
    <mergeCell ref="C116:D116"/>
    <mergeCell ref="C117:D117"/>
    <mergeCell ref="C118:D118"/>
    <mergeCell ref="C119:D119"/>
    <mergeCell ref="C120:D120"/>
    <mergeCell ref="C121:D121"/>
    <mergeCell ref="C151:D151"/>
    <mergeCell ref="C122:D122"/>
    <mergeCell ref="C123:D123"/>
    <mergeCell ref="C124:D124"/>
    <mergeCell ref="E127:E145"/>
    <mergeCell ref="D134:D145"/>
    <mergeCell ref="B68:B112"/>
    <mergeCell ref="C68:E68"/>
    <mergeCell ref="C69:E69"/>
    <mergeCell ref="C70:E70"/>
    <mergeCell ref="C71:D71"/>
    <mergeCell ref="C72:D72"/>
    <mergeCell ref="C73:D73"/>
    <mergeCell ref="C74:D74"/>
    <mergeCell ref="C75:D75"/>
    <mergeCell ref="C76:D76"/>
    <mergeCell ref="C77:D77"/>
    <mergeCell ref="C78:D78"/>
    <mergeCell ref="E81:E99"/>
    <mergeCell ref="D88:D99"/>
    <mergeCell ref="C98:C99"/>
    <mergeCell ref="B66:B67"/>
    <mergeCell ref="C66:C67"/>
    <mergeCell ref="B36:B64"/>
    <mergeCell ref="C36:E36"/>
    <mergeCell ref="C37:E37"/>
    <mergeCell ref="C38:E38"/>
    <mergeCell ref="C39:D39"/>
    <mergeCell ref="C40:D40"/>
    <mergeCell ref="C41:D41"/>
    <mergeCell ref="C42:D42"/>
    <mergeCell ref="C43:D43"/>
    <mergeCell ref="C44:D44"/>
    <mergeCell ref="B34:B35"/>
    <mergeCell ref="C34:C35"/>
    <mergeCell ref="A1:E1"/>
    <mergeCell ref="B4:B33"/>
    <mergeCell ref="C4:E4"/>
    <mergeCell ref="C5:E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E17:E35"/>
    <mergeCell ref="J113:J159"/>
    <mergeCell ref="J68:J112"/>
    <mergeCell ref="J36:J64"/>
    <mergeCell ref="J66:J67"/>
    <mergeCell ref="I1:M1"/>
    <mergeCell ref="J4:J33"/>
    <mergeCell ref="J34:J35"/>
    <mergeCell ref="D24:D35"/>
    <mergeCell ref="C45:D45"/>
    <mergeCell ref="C46:D46"/>
    <mergeCell ref="E49:E67"/>
    <mergeCell ref="D56:D67"/>
    <mergeCell ref="C106:D106"/>
    <mergeCell ref="C107:D107"/>
    <mergeCell ref="C108:D108"/>
    <mergeCell ref="C109:D109"/>
    <mergeCell ref="C110:D110"/>
    <mergeCell ref="C111:D111"/>
    <mergeCell ref="C100:E100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1C315-93DB-49CA-9114-F40D4AA69EDD}">
  <sheetPr codeName="Sheet5"/>
  <dimension ref="A1:U49"/>
  <sheetViews>
    <sheetView topLeftCell="F1" workbookViewId="0">
      <selection sqref="A1:E1"/>
    </sheetView>
  </sheetViews>
  <sheetFormatPr defaultColWidth="11.44140625" defaultRowHeight="14.4" x14ac:dyDescent="0.3"/>
  <cols>
    <col min="1" max="1" width="17.44140625" hidden="1" customWidth="1"/>
    <col min="2" max="2" width="22" hidden="1" customWidth="1"/>
    <col min="3" max="3" width="14.44140625" hidden="1" customWidth="1"/>
    <col min="4" max="4" width="16.109375" style="166" hidden="1" customWidth="1"/>
    <col min="5" max="5" width="16.5546875" style="166" hidden="1" customWidth="1"/>
    <col min="8" max="8" width="17.44140625" customWidth="1"/>
    <col min="9" max="9" width="22" customWidth="1"/>
    <col min="10" max="10" width="14.44140625" customWidth="1"/>
    <col min="11" max="11" width="16.109375" style="166" customWidth="1"/>
    <col min="12" max="12" width="16.5546875" style="176" customWidth="1"/>
    <col min="16" max="20" width="0" hidden="1" customWidth="1"/>
  </cols>
  <sheetData>
    <row r="1" spans="1:21" x14ac:dyDescent="0.3">
      <c r="A1" s="1037" t="s">
        <v>3532</v>
      </c>
      <c r="B1" s="1037"/>
      <c r="C1" s="1037"/>
      <c r="D1" s="1037"/>
      <c r="E1" s="1037"/>
      <c r="H1" s="1037" t="s">
        <v>3532</v>
      </c>
      <c r="I1" s="1037"/>
      <c r="J1" s="1037"/>
      <c r="K1" s="1037"/>
      <c r="L1" s="1037"/>
      <c r="O1" s="45"/>
      <c r="P1" s="45" t="s">
        <v>3674</v>
      </c>
      <c r="Q1" s="45"/>
      <c r="R1" s="45"/>
      <c r="S1" s="45" t="s">
        <v>3675</v>
      </c>
      <c r="T1" s="45"/>
      <c r="U1" s="45"/>
    </row>
    <row r="2" spans="1:21" x14ac:dyDescent="0.3">
      <c r="A2" s="64"/>
      <c r="B2" s="64"/>
      <c r="C2" s="64"/>
      <c r="D2" s="164"/>
      <c r="E2" s="165"/>
      <c r="H2" s="64"/>
      <c r="I2" s="64"/>
      <c r="J2" s="64"/>
      <c r="K2" s="164"/>
      <c r="L2" s="118"/>
      <c r="O2" s="45" t="s">
        <v>3676</v>
      </c>
      <c r="P2" s="45" t="s">
        <v>3677</v>
      </c>
      <c r="Q2" s="45" t="s">
        <v>3677</v>
      </c>
      <c r="R2" s="45" t="s">
        <v>3678</v>
      </c>
      <c r="S2" s="45" t="s">
        <v>3679</v>
      </c>
      <c r="T2" s="45" t="s">
        <v>3680</v>
      </c>
      <c r="U2" s="45" t="s">
        <v>3681</v>
      </c>
    </row>
    <row r="3" spans="1:21" ht="51" x14ac:dyDescent="0.3">
      <c r="A3" s="65" t="s">
        <v>3535</v>
      </c>
      <c r="B3" s="65" t="s">
        <v>3535</v>
      </c>
      <c r="C3" s="66" t="s">
        <v>3536</v>
      </c>
      <c r="D3" s="66" t="s">
        <v>3538</v>
      </c>
      <c r="E3" s="66" t="s">
        <v>3682</v>
      </c>
      <c r="H3" s="65" t="s">
        <v>3535</v>
      </c>
      <c r="I3" s="65" t="s">
        <v>3535</v>
      </c>
      <c r="J3" s="66" t="s">
        <v>3536</v>
      </c>
      <c r="K3" s="66" t="s">
        <v>3538</v>
      </c>
      <c r="L3" s="99" t="s">
        <v>3682</v>
      </c>
      <c r="O3" s="45"/>
      <c r="P3" s="45"/>
      <c r="Q3" s="45"/>
      <c r="R3" s="45"/>
      <c r="S3" s="45"/>
      <c r="T3" s="45"/>
      <c r="U3" s="45"/>
    </row>
    <row r="4" spans="1:21" x14ac:dyDescent="0.3">
      <c r="A4" s="67" t="s">
        <v>3683</v>
      </c>
      <c r="B4" s="76" t="s">
        <v>3684</v>
      </c>
      <c r="C4" s="1038">
        <v>601.99999999999989</v>
      </c>
      <c r="D4" s="167">
        <v>317</v>
      </c>
      <c r="E4" s="85">
        <v>317</v>
      </c>
      <c r="H4" s="67" t="s">
        <v>3683</v>
      </c>
      <c r="I4" s="76" t="s">
        <v>3684</v>
      </c>
      <c r="J4" s="1038">
        <v>601.99999999999989</v>
      </c>
      <c r="K4" s="177">
        <v>317</v>
      </c>
      <c r="L4" s="169">
        <v>317</v>
      </c>
      <c r="O4" s="45"/>
      <c r="P4" s="45" t="s">
        <v>3685</v>
      </c>
      <c r="Q4" s="45" t="s">
        <v>3686</v>
      </c>
      <c r="R4" s="45"/>
      <c r="S4" s="45"/>
      <c r="T4" s="45"/>
      <c r="U4" s="45"/>
    </row>
    <row r="5" spans="1:21" x14ac:dyDescent="0.3">
      <c r="A5" s="67" t="s">
        <v>2757</v>
      </c>
      <c r="B5" s="76" t="s">
        <v>3687</v>
      </c>
      <c r="C5" s="1039"/>
      <c r="D5" s="77">
        <v>412</v>
      </c>
      <c r="E5" s="78">
        <v>996.21198185659011</v>
      </c>
      <c r="H5" s="67" t="s">
        <v>2757</v>
      </c>
      <c r="I5" s="76" t="s">
        <v>3687</v>
      </c>
      <c r="J5" s="1039"/>
      <c r="K5" s="178">
        <v>412</v>
      </c>
      <c r="L5" s="170">
        <v>996</v>
      </c>
      <c r="O5" s="45">
        <v>0.5</v>
      </c>
      <c r="P5" s="45">
        <v>8</v>
      </c>
      <c r="Q5" s="45">
        <v>0.27</v>
      </c>
      <c r="R5" s="45">
        <v>8</v>
      </c>
      <c r="S5" s="45">
        <v>0</v>
      </c>
      <c r="T5" s="45">
        <v>0.27</v>
      </c>
      <c r="U5" s="45">
        <v>0</v>
      </c>
    </row>
    <row r="6" spans="1:21" x14ac:dyDescent="0.3">
      <c r="A6" s="67" t="s">
        <v>3068</v>
      </c>
      <c r="B6" s="76" t="s">
        <v>3688</v>
      </c>
      <c r="C6" s="1039"/>
      <c r="D6" s="79">
        <v>619.01198185659007</v>
      </c>
      <c r="E6" s="79">
        <v>1174.0119818565902</v>
      </c>
      <c r="H6" s="67" t="s">
        <v>3068</v>
      </c>
      <c r="I6" s="76" t="s">
        <v>3688</v>
      </c>
      <c r="J6" s="1039"/>
      <c r="K6" s="179">
        <v>619</v>
      </c>
      <c r="L6" s="171">
        <v>1174</v>
      </c>
      <c r="O6" s="45">
        <v>1</v>
      </c>
      <c r="P6" s="45">
        <v>15</v>
      </c>
      <c r="Q6" s="45">
        <v>0.26</v>
      </c>
      <c r="R6" s="45">
        <v>15</v>
      </c>
      <c r="S6" s="45">
        <v>0</v>
      </c>
      <c r="T6" s="45">
        <v>0.26</v>
      </c>
      <c r="U6" s="45">
        <v>0</v>
      </c>
    </row>
    <row r="7" spans="1:21" x14ac:dyDescent="0.3">
      <c r="A7" s="67" t="s">
        <v>2751</v>
      </c>
      <c r="B7" s="76" t="s">
        <v>3689</v>
      </c>
      <c r="C7" s="1039"/>
      <c r="D7" s="78">
        <v>818.41198185659005</v>
      </c>
      <c r="E7" s="78">
        <v>1321.41198185659</v>
      </c>
      <c r="H7" s="67" t="s">
        <v>2751</v>
      </c>
      <c r="I7" s="76" t="s">
        <v>3689</v>
      </c>
      <c r="J7" s="1039"/>
      <c r="K7" s="180">
        <v>818</v>
      </c>
      <c r="L7" s="170">
        <v>1321</v>
      </c>
      <c r="O7" s="45">
        <v>2</v>
      </c>
      <c r="P7" s="45">
        <v>20</v>
      </c>
      <c r="Q7" s="45">
        <v>0.17</v>
      </c>
      <c r="R7" s="45">
        <v>30</v>
      </c>
      <c r="S7" s="45">
        <v>10</v>
      </c>
      <c r="T7" s="45">
        <v>0.26</v>
      </c>
      <c r="U7" s="45">
        <v>9</v>
      </c>
    </row>
    <row r="8" spans="1:21" x14ac:dyDescent="0.3">
      <c r="A8" s="67" t="s">
        <v>3547</v>
      </c>
      <c r="B8" s="76" t="s">
        <v>3690</v>
      </c>
      <c r="C8" s="1039"/>
      <c r="D8" s="79">
        <v>978.61198185659009</v>
      </c>
      <c r="E8" s="79">
        <v>1503.6119818565901</v>
      </c>
      <c r="H8" s="67" t="s">
        <v>3547</v>
      </c>
      <c r="I8" s="76" t="s">
        <v>3690</v>
      </c>
      <c r="J8" s="1039"/>
      <c r="K8" s="179">
        <v>979</v>
      </c>
      <c r="L8" s="171">
        <v>1504</v>
      </c>
      <c r="O8" s="45">
        <v>4</v>
      </c>
      <c r="P8" s="45">
        <v>40</v>
      </c>
      <c r="Q8" s="45">
        <v>0.17</v>
      </c>
      <c r="R8" s="45">
        <v>70</v>
      </c>
      <c r="S8" s="45">
        <v>30</v>
      </c>
      <c r="T8" s="45">
        <v>0.3</v>
      </c>
      <c r="U8" s="45">
        <v>27</v>
      </c>
    </row>
    <row r="9" spans="1:21" x14ac:dyDescent="0.3">
      <c r="A9" s="67" t="s">
        <v>2777</v>
      </c>
      <c r="B9" s="76" t="s">
        <v>3691</v>
      </c>
      <c r="C9" s="1039"/>
      <c r="D9" s="78">
        <v>1174.6119818565901</v>
      </c>
      <c r="E9" s="78">
        <v>1787.6119818565901</v>
      </c>
      <c r="H9" s="67" t="s">
        <v>2777</v>
      </c>
      <c r="I9" s="76" t="s">
        <v>3691</v>
      </c>
      <c r="J9" s="1039"/>
      <c r="K9" s="180">
        <v>1175</v>
      </c>
      <c r="L9" s="170">
        <v>1788</v>
      </c>
      <c r="O9" s="45">
        <v>6</v>
      </c>
      <c r="P9" s="45">
        <v>60</v>
      </c>
      <c r="Q9" s="45">
        <v>0.17</v>
      </c>
      <c r="R9" s="45">
        <v>100</v>
      </c>
      <c r="S9" s="45">
        <v>40</v>
      </c>
      <c r="T9" s="45">
        <v>0.28000000000000003</v>
      </c>
      <c r="U9" s="45">
        <v>36</v>
      </c>
    </row>
    <row r="10" spans="1:21" x14ac:dyDescent="0.3">
      <c r="A10" s="67" t="s">
        <v>3207</v>
      </c>
      <c r="B10" s="76" t="s">
        <v>3692</v>
      </c>
      <c r="C10" s="1039"/>
      <c r="D10" s="80">
        <v>3923.6</v>
      </c>
      <c r="E10" s="121" t="s">
        <v>3693</v>
      </c>
      <c r="H10" s="67" t="s">
        <v>3207</v>
      </c>
      <c r="I10" s="76" t="s">
        <v>3692</v>
      </c>
      <c r="J10" s="1039"/>
      <c r="K10" s="181">
        <v>3924</v>
      </c>
      <c r="L10" s="188" t="s">
        <v>3693</v>
      </c>
      <c r="O10" s="45">
        <v>10</v>
      </c>
      <c r="P10" s="45">
        <v>120</v>
      </c>
      <c r="Q10" s="45">
        <v>0.2</v>
      </c>
      <c r="R10" s="45">
        <v>180</v>
      </c>
      <c r="S10" s="45">
        <v>60</v>
      </c>
      <c r="T10" s="45">
        <v>0.31</v>
      </c>
      <c r="U10" s="45">
        <v>5</v>
      </c>
    </row>
    <row r="11" spans="1:21" x14ac:dyDescent="0.3">
      <c r="A11" s="67" t="s">
        <v>3549</v>
      </c>
      <c r="B11" s="76" t="s">
        <v>3694</v>
      </c>
      <c r="C11" s="1039"/>
      <c r="D11" s="78">
        <v>5100</v>
      </c>
      <c r="E11" s="121" t="s">
        <v>3693</v>
      </c>
      <c r="H11" s="67" t="s">
        <v>3549</v>
      </c>
      <c r="I11" s="76" t="s">
        <v>3694</v>
      </c>
      <c r="J11" s="1039"/>
      <c r="K11" s="180">
        <v>5100</v>
      </c>
      <c r="L11" s="188" t="s">
        <v>3693</v>
      </c>
      <c r="O11" s="45">
        <v>15</v>
      </c>
      <c r="P11" s="45">
        <v>200</v>
      </c>
      <c r="Q11" s="45">
        <v>0.23</v>
      </c>
      <c r="R11" s="45">
        <v>260</v>
      </c>
      <c r="S11" s="45">
        <v>60</v>
      </c>
      <c r="T11" s="45">
        <v>0.28999999999999998</v>
      </c>
      <c r="U11" s="45">
        <v>5</v>
      </c>
    </row>
    <row r="12" spans="1:21" x14ac:dyDescent="0.3">
      <c r="A12" s="67" t="s">
        <v>3550</v>
      </c>
      <c r="B12" s="76" t="s">
        <v>3695</v>
      </c>
      <c r="C12" s="1039"/>
      <c r="D12" s="79">
        <v>5182.6119818565903</v>
      </c>
      <c r="E12" s="121" t="s">
        <v>3693</v>
      </c>
      <c r="H12" s="67" t="s">
        <v>3550</v>
      </c>
      <c r="I12" s="76" t="s">
        <v>3695</v>
      </c>
      <c r="J12" s="1039"/>
      <c r="K12" s="179">
        <v>5183</v>
      </c>
      <c r="L12" s="188" t="s">
        <v>3693</v>
      </c>
      <c r="O12" s="45">
        <v>20</v>
      </c>
      <c r="P12" s="45">
        <v>300</v>
      </c>
      <c r="Q12" s="45">
        <v>0.26</v>
      </c>
      <c r="R12" s="45">
        <v>350</v>
      </c>
      <c r="S12" s="45">
        <v>50</v>
      </c>
      <c r="T12" s="45">
        <v>0.3</v>
      </c>
      <c r="U12" s="45">
        <v>5</v>
      </c>
    </row>
    <row r="13" spans="1:21" x14ac:dyDescent="0.3">
      <c r="A13" s="67" t="s">
        <v>3552</v>
      </c>
      <c r="B13" s="76" t="s">
        <v>3696</v>
      </c>
      <c r="C13" s="1040"/>
      <c r="D13" s="78">
        <v>7691.6119818565903</v>
      </c>
      <c r="E13" s="121" t="s">
        <v>3693</v>
      </c>
      <c r="H13" s="67" t="s">
        <v>3552</v>
      </c>
      <c r="I13" s="76" t="s">
        <v>3696</v>
      </c>
      <c r="J13" s="1040"/>
      <c r="K13" s="180">
        <v>7692</v>
      </c>
      <c r="L13" s="188" t="s">
        <v>3693</v>
      </c>
      <c r="O13" s="45">
        <v>25</v>
      </c>
      <c r="P13" s="45">
        <v>350</v>
      </c>
      <c r="Q13" s="45">
        <v>0.24</v>
      </c>
      <c r="R13" s="45">
        <v>450</v>
      </c>
      <c r="S13" s="45">
        <v>100</v>
      </c>
      <c r="T13" s="45">
        <v>0.31</v>
      </c>
      <c r="U13" s="45">
        <v>9</v>
      </c>
    </row>
    <row r="14" spans="1:21" x14ac:dyDescent="0.3">
      <c r="A14" s="68" t="s">
        <v>3575</v>
      </c>
      <c r="B14" s="76" t="s">
        <v>3697</v>
      </c>
      <c r="C14" s="1053">
        <v>652</v>
      </c>
      <c r="D14" s="79">
        <v>818.41198185659005</v>
      </c>
      <c r="E14" s="79">
        <v>1321.41198185659</v>
      </c>
      <c r="H14" s="68" t="s">
        <v>3575</v>
      </c>
      <c r="I14" s="76" t="s">
        <v>3697</v>
      </c>
      <c r="J14" s="1053">
        <v>652</v>
      </c>
      <c r="K14" s="179">
        <v>818</v>
      </c>
      <c r="L14" s="171">
        <v>1321</v>
      </c>
      <c r="O14" s="45">
        <v>30</v>
      </c>
      <c r="P14" s="45">
        <v>400</v>
      </c>
      <c r="Q14" s="45">
        <v>0.23</v>
      </c>
      <c r="R14" s="45">
        <v>550</v>
      </c>
      <c r="S14" s="45">
        <v>150</v>
      </c>
      <c r="T14" s="45">
        <v>0.31</v>
      </c>
      <c r="U14" s="45">
        <v>14</v>
      </c>
    </row>
    <row r="15" spans="1:21" x14ac:dyDescent="0.3">
      <c r="A15" s="68" t="s">
        <v>3579</v>
      </c>
      <c r="B15" s="76" t="s">
        <v>3698</v>
      </c>
      <c r="C15" s="1054"/>
      <c r="D15" s="81">
        <v>1302</v>
      </c>
      <c r="E15" s="121" t="s">
        <v>3693</v>
      </c>
      <c r="H15" s="68" t="s">
        <v>3579</v>
      </c>
      <c r="I15" s="76" t="s">
        <v>3698</v>
      </c>
      <c r="J15" s="1054"/>
      <c r="K15" s="182">
        <v>1302</v>
      </c>
      <c r="L15" s="188" t="s">
        <v>3693</v>
      </c>
      <c r="O15" s="45">
        <v>50</v>
      </c>
      <c r="P15" s="45">
        <v>500</v>
      </c>
      <c r="Q15" s="45">
        <v>0.17</v>
      </c>
      <c r="R15" s="45">
        <v>900</v>
      </c>
      <c r="S15" s="45">
        <v>400</v>
      </c>
      <c r="T15" s="45">
        <v>0.31</v>
      </c>
      <c r="U15" s="45">
        <v>36</v>
      </c>
    </row>
    <row r="16" spans="1:21" x14ac:dyDescent="0.3">
      <c r="A16" s="68" t="s">
        <v>3580</v>
      </c>
      <c r="B16" s="76" t="s">
        <v>3699</v>
      </c>
      <c r="C16" s="1054"/>
      <c r="D16" s="79">
        <v>1405.6119818565901</v>
      </c>
      <c r="E16" s="121" t="s">
        <v>3693</v>
      </c>
      <c r="H16" s="68" t="s">
        <v>3580</v>
      </c>
      <c r="I16" s="76" t="s">
        <v>3699</v>
      </c>
      <c r="J16" s="1054"/>
      <c r="K16" s="179">
        <v>1406</v>
      </c>
      <c r="L16" s="188" t="s">
        <v>3693</v>
      </c>
      <c r="O16" s="45">
        <v>100</v>
      </c>
      <c r="P16" s="45">
        <v>600</v>
      </c>
      <c r="Q16" s="45">
        <v>0.1</v>
      </c>
      <c r="R16" s="45">
        <v>1800</v>
      </c>
      <c r="S16" s="45">
        <v>1200</v>
      </c>
      <c r="T16" s="45">
        <v>0.31</v>
      </c>
      <c r="U16" s="45">
        <v>108</v>
      </c>
    </row>
    <row r="17" spans="1:21" x14ac:dyDescent="0.3">
      <c r="A17" s="68" t="s">
        <v>3581</v>
      </c>
      <c r="B17" s="76"/>
      <c r="C17" s="1054"/>
      <c r="D17" s="81">
        <v>5100.6119818565903</v>
      </c>
      <c r="E17" s="121" t="s">
        <v>3693</v>
      </c>
      <c r="H17" s="68" t="s">
        <v>3581</v>
      </c>
      <c r="I17" s="76"/>
      <c r="J17" s="1054"/>
      <c r="K17" s="182">
        <v>5101</v>
      </c>
      <c r="L17" s="188" t="s">
        <v>3693</v>
      </c>
      <c r="O17" s="45">
        <v>150</v>
      </c>
      <c r="P17" s="45">
        <v>700</v>
      </c>
      <c r="Q17" s="45">
        <v>0.08</v>
      </c>
      <c r="R17" s="45">
        <v>2600</v>
      </c>
      <c r="S17" s="45">
        <v>1900</v>
      </c>
      <c r="T17" s="45">
        <v>0.28999999999999998</v>
      </c>
      <c r="U17" s="45">
        <v>171</v>
      </c>
    </row>
    <row r="18" spans="1:21" x14ac:dyDescent="0.3">
      <c r="A18" s="68" t="s">
        <v>3583</v>
      </c>
      <c r="B18" s="76"/>
      <c r="C18" s="1054"/>
      <c r="D18" s="80">
        <v>5191.6119818565903</v>
      </c>
      <c r="E18" s="121" t="s">
        <v>3693</v>
      </c>
      <c r="H18" s="68" t="s">
        <v>3583</v>
      </c>
      <c r="I18" s="76"/>
      <c r="J18" s="1054"/>
      <c r="K18" s="181">
        <v>5192</v>
      </c>
      <c r="L18" s="188" t="s">
        <v>3693</v>
      </c>
      <c r="O18" s="45">
        <v>200</v>
      </c>
      <c r="P18" s="45">
        <v>800</v>
      </c>
      <c r="Q18" s="45">
        <v>7.0000000000000007E-2</v>
      </c>
      <c r="R18" s="45">
        <v>3600</v>
      </c>
      <c r="S18" s="45">
        <v>2800</v>
      </c>
      <c r="T18" s="45">
        <v>0.31</v>
      </c>
      <c r="U18" s="45">
        <v>252</v>
      </c>
    </row>
    <row r="19" spans="1:21" x14ac:dyDescent="0.3">
      <c r="A19" s="68" t="s">
        <v>3584</v>
      </c>
      <c r="B19" s="76"/>
      <c r="C19" s="1054"/>
      <c r="D19" s="81">
        <v>7700.6119818565903</v>
      </c>
      <c r="E19" s="121" t="s">
        <v>3693</v>
      </c>
      <c r="H19" s="68" t="s">
        <v>3584</v>
      </c>
      <c r="I19" s="76"/>
      <c r="J19" s="1054"/>
      <c r="K19" s="182">
        <v>7701</v>
      </c>
      <c r="L19" s="188" t="s">
        <v>3693</v>
      </c>
      <c r="O19" s="45">
        <v>300</v>
      </c>
      <c r="P19" s="45">
        <v>900</v>
      </c>
      <c r="Q19" s="45">
        <v>0.05</v>
      </c>
      <c r="R19" s="45">
        <v>5500</v>
      </c>
      <c r="S19" s="45">
        <v>4600</v>
      </c>
      <c r="T19" s="45">
        <v>0.31</v>
      </c>
      <c r="U19" s="45">
        <v>414</v>
      </c>
    </row>
    <row r="20" spans="1:21" x14ac:dyDescent="0.3">
      <c r="A20" s="68" t="s">
        <v>3585</v>
      </c>
      <c r="B20" s="76"/>
      <c r="C20" s="1055"/>
      <c r="D20" s="80">
        <v>7991.6119818565903</v>
      </c>
      <c r="E20" s="121" t="s">
        <v>3693</v>
      </c>
      <c r="H20" s="68" t="s">
        <v>3585</v>
      </c>
      <c r="I20" s="76"/>
      <c r="J20" s="1055"/>
      <c r="K20" s="181">
        <v>7992</v>
      </c>
      <c r="L20" s="188" t="s">
        <v>3693</v>
      </c>
      <c r="O20" s="45">
        <v>400</v>
      </c>
      <c r="P20" s="45">
        <v>1000</v>
      </c>
      <c r="Q20" s="45">
        <v>0.04</v>
      </c>
      <c r="R20" s="45">
        <v>7000</v>
      </c>
      <c r="S20" s="45">
        <v>6000</v>
      </c>
      <c r="T20" s="45">
        <v>0.3</v>
      </c>
      <c r="U20" s="45">
        <v>540</v>
      </c>
    </row>
    <row r="21" spans="1:21" x14ac:dyDescent="0.3">
      <c r="A21" s="70" t="s">
        <v>2909</v>
      </c>
      <c r="B21" s="76" t="s">
        <v>3700</v>
      </c>
      <c r="C21" s="1059">
        <v>631.99999999999989</v>
      </c>
      <c r="D21" s="82">
        <v>1228.6564263010346</v>
      </c>
      <c r="E21" s="82">
        <v>2237.6564263010346</v>
      </c>
      <c r="H21" s="70" t="s">
        <v>2909</v>
      </c>
      <c r="I21" s="76" t="s">
        <v>3700</v>
      </c>
      <c r="J21" s="1059">
        <v>631.99999999999989</v>
      </c>
      <c r="K21" s="183">
        <v>1229</v>
      </c>
      <c r="L21" s="172">
        <v>2238</v>
      </c>
      <c r="O21" s="45">
        <v>500</v>
      </c>
      <c r="P21" s="45">
        <v>1200</v>
      </c>
      <c r="Q21" s="45">
        <v>0.04</v>
      </c>
      <c r="R21" s="45">
        <v>9000</v>
      </c>
      <c r="S21" s="45">
        <v>7800</v>
      </c>
      <c r="T21" s="45">
        <v>0.31</v>
      </c>
      <c r="U21" s="45">
        <v>702</v>
      </c>
    </row>
    <row r="22" spans="1:21" x14ac:dyDescent="0.3">
      <c r="A22" s="70" t="s">
        <v>2885</v>
      </c>
      <c r="B22" s="76" t="s">
        <v>3701</v>
      </c>
      <c r="C22" s="1060"/>
      <c r="D22" s="79">
        <v>1401.8564263010346</v>
      </c>
      <c r="E22" s="79">
        <v>2409.8564263010348</v>
      </c>
      <c r="H22" s="70" t="s">
        <v>2885</v>
      </c>
      <c r="I22" s="76" t="s">
        <v>3701</v>
      </c>
      <c r="J22" s="1060"/>
      <c r="K22" s="179">
        <v>1402</v>
      </c>
      <c r="L22" s="171">
        <v>2410</v>
      </c>
      <c r="O22" s="45">
        <v>600</v>
      </c>
      <c r="P22" s="45">
        <v>1200</v>
      </c>
      <c r="Q22" s="45">
        <v>0.03</v>
      </c>
      <c r="R22" s="45">
        <v>10000</v>
      </c>
      <c r="S22" s="45">
        <v>8800</v>
      </c>
      <c r="T22" s="45">
        <v>0.28000000000000003</v>
      </c>
      <c r="U22" s="45">
        <v>792</v>
      </c>
    </row>
    <row r="23" spans="1:21" x14ac:dyDescent="0.3">
      <c r="A23" s="70" t="s">
        <v>2813</v>
      </c>
      <c r="B23" s="76" t="s">
        <v>3702</v>
      </c>
      <c r="C23" s="1060"/>
      <c r="D23" s="82">
        <v>1648.8564263010346</v>
      </c>
      <c r="E23" s="82">
        <v>2883.8564263010344</v>
      </c>
      <c r="H23" s="70" t="s">
        <v>2813</v>
      </c>
      <c r="I23" s="76" t="s">
        <v>3702</v>
      </c>
      <c r="J23" s="1060"/>
      <c r="K23" s="183">
        <v>1649</v>
      </c>
      <c r="L23" s="172">
        <v>2884</v>
      </c>
      <c r="O23" s="45">
        <v>700</v>
      </c>
      <c r="P23" s="45">
        <v>1200</v>
      </c>
      <c r="Q23" s="45">
        <v>0.03</v>
      </c>
      <c r="R23" s="45">
        <v>10000</v>
      </c>
      <c r="S23" s="45">
        <v>8800</v>
      </c>
      <c r="T23" s="45">
        <v>0.24</v>
      </c>
      <c r="U23" s="45">
        <v>792</v>
      </c>
    </row>
    <row r="24" spans="1:21" x14ac:dyDescent="0.3">
      <c r="A24" s="70" t="s">
        <v>2940</v>
      </c>
      <c r="B24" s="76" t="s">
        <v>3703</v>
      </c>
      <c r="C24" s="1060"/>
      <c r="D24" s="79">
        <v>1998.8564263010346</v>
      </c>
      <c r="E24" s="79">
        <v>3372.8564263010344</v>
      </c>
      <c r="H24" s="70" t="s">
        <v>2940</v>
      </c>
      <c r="I24" s="76" t="s">
        <v>3703</v>
      </c>
      <c r="J24" s="1060"/>
      <c r="K24" s="179">
        <v>1999</v>
      </c>
      <c r="L24" s="171">
        <v>3373</v>
      </c>
      <c r="O24" s="45">
        <v>800</v>
      </c>
      <c r="P24" s="45">
        <v>1200</v>
      </c>
      <c r="Q24" s="45">
        <v>0.03</v>
      </c>
      <c r="R24" s="45">
        <v>15000</v>
      </c>
      <c r="S24" s="45">
        <v>13800</v>
      </c>
      <c r="T24" s="45">
        <v>0.32</v>
      </c>
      <c r="U24" s="45">
        <v>1242</v>
      </c>
    </row>
    <row r="25" spans="1:21" x14ac:dyDescent="0.3">
      <c r="A25" s="70" t="s">
        <v>2791</v>
      </c>
      <c r="B25" s="76" t="s">
        <v>3704</v>
      </c>
      <c r="C25" s="1061"/>
      <c r="D25" s="82">
        <v>2661.8564263010344</v>
      </c>
      <c r="E25" s="82" t="s">
        <v>3693</v>
      </c>
      <c r="H25" s="70" t="s">
        <v>2791</v>
      </c>
      <c r="I25" s="76" t="s">
        <v>3704</v>
      </c>
      <c r="J25" s="1061"/>
      <c r="K25" s="183">
        <v>2662</v>
      </c>
      <c r="L25" s="172" t="s">
        <v>3693</v>
      </c>
      <c r="O25" s="45">
        <v>1000</v>
      </c>
      <c r="P25" s="45">
        <v>1200</v>
      </c>
      <c r="Q25" s="45">
        <v>0.02</v>
      </c>
      <c r="R25" s="45">
        <v>20000</v>
      </c>
      <c r="S25" s="45">
        <v>18800</v>
      </c>
      <c r="T25" s="45">
        <v>0.34</v>
      </c>
      <c r="U25" s="45">
        <v>1692</v>
      </c>
    </row>
    <row r="26" spans="1:21" x14ac:dyDescent="0.3">
      <c r="A26" s="72" t="s">
        <v>3639</v>
      </c>
      <c r="B26" s="76" t="s">
        <v>3705</v>
      </c>
      <c r="C26" s="1068">
        <v>631.99999999999989</v>
      </c>
      <c r="D26" s="84">
        <v>460</v>
      </c>
      <c r="E26" s="84">
        <v>460</v>
      </c>
      <c r="H26" s="72" t="s">
        <v>3639</v>
      </c>
      <c r="I26" s="76" t="s">
        <v>3705</v>
      </c>
      <c r="J26" s="1068">
        <v>631.99999999999989</v>
      </c>
      <c r="K26" s="184">
        <v>460</v>
      </c>
      <c r="L26" s="173">
        <v>460</v>
      </c>
      <c r="O26" s="45">
        <v>1500</v>
      </c>
      <c r="P26" s="45">
        <v>1200</v>
      </c>
      <c r="Q26" s="45">
        <v>0.01</v>
      </c>
      <c r="R26" s="45">
        <v>25000</v>
      </c>
      <c r="S26" s="45">
        <v>23800</v>
      </c>
      <c r="T26" s="45">
        <v>0.28000000000000003</v>
      </c>
      <c r="U26" s="45">
        <v>2142</v>
      </c>
    </row>
    <row r="27" spans="1:21" x14ac:dyDescent="0.3">
      <c r="A27" s="72" t="s">
        <v>3640</v>
      </c>
      <c r="B27" s="76" t="s">
        <v>3706</v>
      </c>
      <c r="C27" s="1069"/>
      <c r="D27" s="85">
        <v>479</v>
      </c>
      <c r="E27" s="85">
        <v>479</v>
      </c>
      <c r="H27" s="72" t="s">
        <v>3640</v>
      </c>
      <c r="I27" s="76" t="s">
        <v>3706</v>
      </c>
      <c r="J27" s="1069"/>
      <c r="K27" s="168">
        <v>479</v>
      </c>
      <c r="L27" s="174">
        <v>479</v>
      </c>
      <c r="O27" s="45">
        <v>2000</v>
      </c>
      <c r="P27" s="45">
        <v>1200</v>
      </c>
      <c r="Q27" s="45">
        <v>0.01</v>
      </c>
      <c r="R27" s="45">
        <v>30000</v>
      </c>
      <c r="S27" s="45">
        <v>28800</v>
      </c>
      <c r="T27" s="45">
        <v>0.26</v>
      </c>
      <c r="U27" s="45">
        <v>2592</v>
      </c>
    </row>
    <row r="28" spans="1:21" x14ac:dyDescent="0.3">
      <c r="A28" s="72" t="s">
        <v>2916</v>
      </c>
      <c r="B28" s="76" t="s">
        <v>3707</v>
      </c>
      <c r="C28" s="1069"/>
      <c r="D28" s="83">
        <v>645.45642630103453</v>
      </c>
      <c r="E28" s="83">
        <v>1732.4564263010345</v>
      </c>
      <c r="H28" s="72" t="s">
        <v>2916</v>
      </c>
      <c r="I28" s="76" t="s">
        <v>3707</v>
      </c>
      <c r="J28" s="1069"/>
      <c r="K28" s="185">
        <v>645</v>
      </c>
      <c r="L28" s="175">
        <v>1732</v>
      </c>
      <c r="O28" s="45">
        <v>2500</v>
      </c>
      <c r="P28" s="45">
        <v>1200</v>
      </c>
      <c r="Q28" s="45">
        <v>0.01</v>
      </c>
      <c r="R28" s="45">
        <v>30000</v>
      </c>
      <c r="S28" s="45">
        <v>28800</v>
      </c>
      <c r="T28" s="45">
        <v>0.2</v>
      </c>
      <c r="U28" s="45">
        <v>2592</v>
      </c>
    </row>
    <row r="29" spans="1:21" x14ac:dyDescent="0.3">
      <c r="A29" s="72" t="s">
        <v>2801</v>
      </c>
      <c r="B29" s="76" t="s">
        <v>3708</v>
      </c>
      <c r="C29" s="1069"/>
      <c r="D29" s="79">
        <v>899.25642630103448</v>
      </c>
      <c r="E29" s="79">
        <v>1952.2564263010347</v>
      </c>
      <c r="H29" s="72" t="s">
        <v>2801</v>
      </c>
      <c r="I29" s="76" t="s">
        <v>3708</v>
      </c>
      <c r="J29" s="1069"/>
      <c r="K29" s="179">
        <v>899</v>
      </c>
      <c r="L29" s="171">
        <v>1952</v>
      </c>
      <c r="O29" s="45">
        <v>3000</v>
      </c>
      <c r="P29" s="45">
        <v>1200</v>
      </c>
      <c r="Q29" s="45">
        <v>0.01</v>
      </c>
      <c r="R29" s="45">
        <v>30000</v>
      </c>
      <c r="S29" s="45">
        <v>28800</v>
      </c>
      <c r="T29" s="45">
        <v>0.17</v>
      </c>
      <c r="U29" s="45">
        <v>2592</v>
      </c>
    </row>
    <row r="30" spans="1:21" x14ac:dyDescent="0.3">
      <c r="A30" s="72" t="s">
        <v>2768</v>
      </c>
      <c r="B30" s="76" t="s">
        <v>3709</v>
      </c>
      <c r="C30" s="1069"/>
      <c r="D30" s="83">
        <v>1228.6564263010346</v>
      </c>
      <c r="E30" s="83">
        <v>2237.6564263010346</v>
      </c>
      <c r="H30" s="72" t="s">
        <v>2768</v>
      </c>
      <c r="I30" s="76" t="s">
        <v>3709</v>
      </c>
      <c r="J30" s="1069"/>
      <c r="K30" s="185">
        <v>1229</v>
      </c>
      <c r="L30" s="175">
        <v>2238</v>
      </c>
      <c r="O30" s="45">
        <v>4000</v>
      </c>
      <c r="P30" s="45">
        <v>1200</v>
      </c>
      <c r="Q30" s="45">
        <v>0.01</v>
      </c>
      <c r="R30" s="45">
        <v>30000</v>
      </c>
      <c r="S30" s="45">
        <v>28800</v>
      </c>
      <c r="T30" s="45">
        <v>0.13</v>
      </c>
      <c r="U30" s="45">
        <v>2592</v>
      </c>
    </row>
    <row r="31" spans="1:21" x14ac:dyDescent="0.3">
      <c r="A31" s="72" t="s">
        <v>2884</v>
      </c>
      <c r="B31" s="76" t="s">
        <v>3710</v>
      </c>
      <c r="C31" s="1069"/>
      <c r="D31" s="79">
        <v>1401.8564263010346</v>
      </c>
      <c r="E31" s="79">
        <v>2409.8564263010348</v>
      </c>
      <c r="H31" s="72" t="s">
        <v>2884</v>
      </c>
      <c r="I31" s="76" t="s">
        <v>3710</v>
      </c>
      <c r="J31" s="1069"/>
      <c r="K31" s="179">
        <v>1402</v>
      </c>
      <c r="L31" s="171">
        <v>2410</v>
      </c>
      <c r="O31" s="45">
        <v>5000</v>
      </c>
      <c r="P31" s="45">
        <v>1200</v>
      </c>
      <c r="Q31" s="45">
        <v>0</v>
      </c>
      <c r="R31" s="45">
        <v>30000</v>
      </c>
      <c r="S31" s="45">
        <v>28800</v>
      </c>
      <c r="T31" s="45">
        <v>0.1</v>
      </c>
      <c r="U31" s="45">
        <v>2592</v>
      </c>
    </row>
    <row r="32" spans="1:21" x14ac:dyDescent="0.3">
      <c r="A32" s="72" t="s">
        <v>2748</v>
      </c>
      <c r="B32" s="76" t="s">
        <v>3711</v>
      </c>
      <c r="C32" s="1069"/>
      <c r="D32" s="83">
        <v>1648.8564263010346</v>
      </c>
      <c r="E32" s="83">
        <v>2883.8564263010344</v>
      </c>
      <c r="H32" s="72" t="s">
        <v>2748</v>
      </c>
      <c r="I32" s="76" t="s">
        <v>3711</v>
      </c>
      <c r="J32" s="1069"/>
      <c r="K32" s="185">
        <v>1649</v>
      </c>
      <c r="L32" s="175">
        <v>2884</v>
      </c>
      <c r="O32" s="45">
        <v>6000</v>
      </c>
      <c r="P32" s="45">
        <v>1200</v>
      </c>
      <c r="Q32" s="45">
        <v>0</v>
      </c>
      <c r="R32" s="45">
        <v>30000</v>
      </c>
      <c r="S32" s="45">
        <v>28800</v>
      </c>
      <c r="T32" s="45">
        <v>0.09</v>
      </c>
      <c r="U32" s="45">
        <v>2592</v>
      </c>
    </row>
    <row r="33" spans="1:21" x14ac:dyDescent="0.3">
      <c r="A33" s="72" t="s">
        <v>3641</v>
      </c>
      <c r="B33" s="76" t="s">
        <v>3712</v>
      </c>
      <c r="C33" s="1069"/>
      <c r="D33" s="79">
        <v>1994.3564263010346</v>
      </c>
      <c r="E33" s="79">
        <v>3368.3564263010344</v>
      </c>
      <c r="H33" s="72" t="s">
        <v>3641</v>
      </c>
      <c r="I33" s="76" t="s">
        <v>3712</v>
      </c>
      <c r="J33" s="1069"/>
      <c r="K33" s="179">
        <v>1994</v>
      </c>
      <c r="L33" s="171">
        <v>3368</v>
      </c>
      <c r="O33" s="45">
        <v>7000</v>
      </c>
      <c r="P33" s="45">
        <v>1200</v>
      </c>
      <c r="Q33" s="45">
        <v>0</v>
      </c>
      <c r="R33" s="45">
        <v>30000</v>
      </c>
      <c r="S33" s="45">
        <v>28800</v>
      </c>
      <c r="T33" s="45">
        <v>7.0000000000000007E-2</v>
      </c>
      <c r="U33" s="45">
        <v>2592</v>
      </c>
    </row>
    <row r="34" spans="1:21" x14ac:dyDescent="0.3">
      <c r="A34" s="72" t="s">
        <v>2765</v>
      </c>
      <c r="B34" s="76" t="s">
        <v>3713</v>
      </c>
      <c r="C34" s="1069"/>
      <c r="D34" s="83">
        <v>1998.8564263010346</v>
      </c>
      <c r="E34" s="83">
        <v>3372.8564263010344</v>
      </c>
      <c r="H34" s="72" t="s">
        <v>2765</v>
      </c>
      <c r="I34" s="76" t="s">
        <v>3713</v>
      </c>
      <c r="J34" s="1069"/>
      <c r="K34" s="185">
        <v>1999</v>
      </c>
      <c r="L34" s="175">
        <v>3373</v>
      </c>
      <c r="O34" s="45">
        <v>8000</v>
      </c>
      <c r="P34" s="45">
        <v>1200</v>
      </c>
      <c r="Q34" s="45">
        <v>0</v>
      </c>
      <c r="R34" s="45">
        <v>30000</v>
      </c>
      <c r="S34" s="45">
        <v>28800</v>
      </c>
      <c r="T34" s="45">
        <v>0.06</v>
      </c>
      <c r="U34" s="45">
        <v>2592</v>
      </c>
    </row>
    <row r="35" spans="1:21" x14ac:dyDescent="0.3">
      <c r="A35" s="72" t="s">
        <v>2784</v>
      </c>
      <c r="B35" s="76" t="s">
        <v>3714</v>
      </c>
      <c r="C35" s="1069"/>
      <c r="D35" s="79">
        <v>2661.8564263010344</v>
      </c>
      <c r="E35" s="1093" t="s">
        <v>3693</v>
      </c>
      <c r="H35" s="72" t="s">
        <v>2784</v>
      </c>
      <c r="I35" s="76" t="s">
        <v>3714</v>
      </c>
      <c r="J35" s="1069"/>
      <c r="K35" s="179">
        <v>2662</v>
      </c>
      <c r="L35" s="188" t="s">
        <v>3693</v>
      </c>
      <c r="O35" s="45">
        <v>9000</v>
      </c>
      <c r="P35" s="45">
        <v>1200</v>
      </c>
      <c r="Q35" s="45">
        <v>0</v>
      </c>
      <c r="R35" s="45">
        <v>30000</v>
      </c>
      <c r="S35" s="45">
        <v>28800</v>
      </c>
      <c r="T35" s="45">
        <v>0.06</v>
      </c>
      <c r="U35" s="45">
        <v>2592</v>
      </c>
    </row>
    <row r="36" spans="1:21" x14ac:dyDescent="0.3">
      <c r="A36" s="72" t="s">
        <v>2745</v>
      </c>
      <c r="B36" s="76" t="s">
        <v>3715</v>
      </c>
      <c r="C36" s="1069"/>
      <c r="D36" s="83">
        <v>10042.856426301034</v>
      </c>
      <c r="E36" s="1094"/>
      <c r="H36" s="72" t="s">
        <v>2745</v>
      </c>
      <c r="I36" s="76" t="s">
        <v>3715</v>
      </c>
      <c r="J36" s="1069"/>
      <c r="K36" s="185">
        <v>10043</v>
      </c>
      <c r="L36" s="188" t="s">
        <v>3693</v>
      </c>
      <c r="O36" s="45">
        <v>10000</v>
      </c>
      <c r="P36" s="45">
        <v>1200</v>
      </c>
      <c r="Q36" s="45">
        <v>0</v>
      </c>
      <c r="R36" s="45">
        <v>30000</v>
      </c>
      <c r="S36" s="45">
        <v>28800</v>
      </c>
      <c r="T36" s="45">
        <v>0.05</v>
      </c>
      <c r="U36" s="45">
        <v>2592</v>
      </c>
    </row>
    <row r="37" spans="1:21" x14ac:dyDescent="0.3">
      <c r="A37" s="72" t="s">
        <v>3660</v>
      </c>
      <c r="B37" s="76" t="s">
        <v>3716</v>
      </c>
      <c r="C37" s="1069"/>
      <c r="D37" s="122">
        <v>484</v>
      </c>
      <c r="E37" s="123">
        <v>484</v>
      </c>
      <c r="H37" s="72" t="s">
        <v>3660</v>
      </c>
      <c r="I37" s="76" t="s">
        <v>3716</v>
      </c>
      <c r="J37" s="1069"/>
      <c r="K37" s="168">
        <v>484</v>
      </c>
      <c r="L37" s="174">
        <v>484</v>
      </c>
    </row>
    <row r="38" spans="1:21" x14ac:dyDescent="0.3">
      <c r="A38" s="72" t="s">
        <v>3661</v>
      </c>
      <c r="B38" s="76" t="s">
        <v>3717</v>
      </c>
      <c r="C38" s="1069"/>
      <c r="D38" s="84">
        <v>579</v>
      </c>
      <c r="E38" s="83">
        <v>1098.4564263010345</v>
      </c>
      <c r="H38" s="72" t="s">
        <v>3661</v>
      </c>
      <c r="I38" s="76" t="s">
        <v>3717</v>
      </c>
      <c r="J38" s="1069"/>
      <c r="K38" s="184">
        <v>579</v>
      </c>
      <c r="L38" s="175">
        <v>1098</v>
      </c>
    </row>
    <row r="39" spans="1:21" x14ac:dyDescent="0.3">
      <c r="A39" s="72" t="s">
        <v>3662</v>
      </c>
      <c r="B39" s="76" t="s">
        <v>3718</v>
      </c>
      <c r="C39" s="1069"/>
      <c r="D39" s="84">
        <v>579</v>
      </c>
      <c r="E39" s="79">
        <v>1121.4564263010345</v>
      </c>
      <c r="H39" s="72" t="s">
        <v>3662</v>
      </c>
      <c r="I39" s="76" t="s">
        <v>3718</v>
      </c>
      <c r="J39" s="1069"/>
      <c r="K39" s="184">
        <v>579</v>
      </c>
      <c r="L39" s="171">
        <v>1121</v>
      </c>
    </row>
    <row r="40" spans="1:21" x14ac:dyDescent="0.3">
      <c r="A40" s="72" t="s">
        <v>3663</v>
      </c>
      <c r="B40" s="76" t="s">
        <v>3719</v>
      </c>
      <c r="C40" s="1069"/>
      <c r="D40" s="84">
        <v>720</v>
      </c>
      <c r="E40" s="83">
        <v>1299.2564263010347</v>
      </c>
      <c r="H40" s="72" t="s">
        <v>3663</v>
      </c>
      <c r="I40" s="76" t="s">
        <v>3719</v>
      </c>
      <c r="J40" s="1069"/>
      <c r="K40" s="184">
        <v>720</v>
      </c>
      <c r="L40" s="175">
        <v>1299</v>
      </c>
    </row>
    <row r="41" spans="1:21" x14ac:dyDescent="0.3">
      <c r="A41" s="72" t="s">
        <v>3665</v>
      </c>
      <c r="B41" s="76" t="s">
        <v>3720</v>
      </c>
      <c r="C41" s="1069"/>
      <c r="D41" s="85">
        <v>985</v>
      </c>
      <c r="E41" s="79">
        <v>1476.6564263010346</v>
      </c>
      <c r="H41" s="72" t="s">
        <v>3665</v>
      </c>
      <c r="I41" s="76" t="s">
        <v>3720</v>
      </c>
      <c r="J41" s="1069"/>
      <c r="K41" s="168">
        <v>985</v>
      </c>
      <c r="L41" s="171">
        <v>1477</v>
      </c>
    </row>
    <row r="42" spans="1:21" x14ac:dyDescent="0.3">
      <c r="A42" s="72" t="s">
        <v>3668</v>
      </c>
      <c r="B42" s="76" t="s">
        <v>3721</v>
      </c>
      <c r="C42" s="1069"/>
      <c r="D42" s="83">
        <v>1454.8564263010346</v>
      </c>
      <c r="E42" s="83">
        <v>2667.8564263010344</v>
      </c>
      <c r="H42" s="72" t="s">
        <v>3668</v>
      </c>
      <c r="I42" s="76" t="s">
        <v>3721</v>
      </c>
      <c r="J42" s="1069"/>
      <c r="K42" s="185">
        <v>1455</v>
      </c>
      <c r="L42" s="175">
        <v>2668</v>
      </c>
    </row>
    <row r="43" spans="1:21" x14ac:dyDescent="0.3">
      <c r="A43" s="72" t="s">
        <v>3670</v>
      </c>
      <c r="B43" s="76" t="s">
        <v>3722</v>
      </c>
      <c r="C43" s="1092"/>
      <c r="D43" s="79">
        <v>1872.8564263010346</v>
      </c>
      <c r="E43" s="79">
        <v>3105.8564263010344</v>
      </c>
      <c r="H43" s="72" t="s">
        <v>3670</v>
      </c>
      <c r="I43" s="76" t="s">
        <v>3722</v>
      </c>
      <c r="J43" s="1092"/>
      <c r="K43" s="179">
        <v>1873</v>
      </c>
      <c r="L43" s="171">
        <v>3106</v>
      </c>
    </row>
    <row r="44" spans="1:21" x14ac:dyDescent="0.3">
      <c r="A44" s="86" t="s">
        <v>3723</v>
      </c>
      <c r="B44" s="76" t="s">
        <v>3724</v>
      </c>
      <c r="C44" s="1089">
        <v>701.99999999999989</v>
      </c>
      <c r="D44" s="79">
        <v>868.68642630103454</v>
      </c>
      <c r="E44" s="121" t="s">
        <v>3693</v>
      </c>
      <c r="H44" s="86" t="s">
        <v>3723</v>
      </c>
      <c r="I44" s="76" t="s">
        <v>3724</v>
      </c>
      <c r="J44" s="1089">
        <v>701.99999999999989</v>
      </c>
      <c r="K44" s="179">
        <v>869</v>
      </c>
      <c r="L44" s="188" t="s">
        <v>3693</v>
      </c>
    </row>
    <row r="45" spans="1:21" x14ac:dyDescent="0.3">
      <c r="A45" s="86" t="s">
        <v>3725</v>
      </c>
      <c r="B45" s="76" t="s">
        <v>3726</v>
      </c>
      <c r="C45" s="1090"/>
      <c r="D45" s="87">
        <v>946.13642630103459</v>
      </c>
      <c r="E45" s="121" t="s">
        <v>3693</v>
      </c>
      <c r="H45" s="86" t="s">
        <v>3725</v>
      </c>
      <c r="I45" s="76" t="s">
        <v>3726</v>
      </c>
      <c r="J45" s="1090"/>
      <c r="K45" s="186">
        <v>946</v>
      </c>
      <c r="L45" s="188" t="s">
        <v>3693</v>
      </c>
    </row>
    <row r="46" spans="1:21" x14ac:dyDescent="0.3">
      <c r="A46" s="86" t="s">
        <v>3727</v>
      </c>
      <c r="B46" s="76" t="s">
        <v>3728</v>
      </c>
      <c r="C46" s="1090"/>
      <c r="D46" s="79">
        <v>1197.9364263010345</v>
      </c>
      <c r="E46" s="121" t="s">
        <v>3693</v>
      </c>
      <c r="H46" s="86" t="s">
        <v>3727</v>
      </c>
      <c r="I46" s="76" t="s">
        <v>3728</v>
      </c>
      <c r="J46" s="1090"/>
      <c r="K46" s="179">
        <v>1198</v>
      </c>
      <c r="L46" s="188" t="s">
        <v>3693</v>
      </c>
    </row>
    <row r="47" spans="1:21" x14ac:dyDescent="0.3">
      <c r="A47" s="86" t="s">
        <v>3729</v>
      </c>
      <c r="B47" s="76" t="s">
        <v>3730</v>
      </c>
      <c r="C47" s="1090"/>
      <c r="D47" s="87">
        <v>1781.1364263010346</v>
      </c>
      <c r="E47" s="121" t="s">
        <v>3693</v>
      </c>
      <c r="H47" s="86" t="s">
        <v>3729</v>
      </c>
      <c r="I47" s="76" t="s">
        <v>3730</v>
      </c>
      <c r="J47" s="1090"/>
      <c r="K47" s="186">
        <v>1781</v>
      </c>
      <c r="L47" s="188" t="s">
        <v>3693</v>
      </c>
    </row>
    <row r="48" spans="1:21" x14ac:dyDescent="0.3">
      <c r="A48" s="86" t="s">
        <v>2738</v>
      </c>
      <c r="B48" s="76" t="s">
        <v>3731</v>
      </c>
      <c r="C48" s="1090"/>
      <c r="D48" s="79">
        <v>3214.3364263010344</v>
      </c>
      <c r="E48" s="121" t="s">
        <v>3693</v>
      </c>
      <c r="H48" s="86" t="s">
        <v>2738</v>
      </c>
      <c r="I48" s="76" t="s">
        <v>3731</v>
      </c>
      <c r="J48" s="1090"/>
      <c r="K48" s="179">
        <v>3214</v>
      </c>
      <c r="L48" s="188" t="s">
        <v>3693</v>
      </c>
    </row>
    <row r="49" spans="1:12" ht="15" thickBot="1" x14ac:dyDescent="0.35">
      <c r="A49" s="88" t="s">
        <v>2771</v>
      </c>
      <c r="B49" s="89" t="s">
        <v>3732</v>
      </c>
      <c r="C49" s="1091"/>
      <c r="D49" s="90">
        <v>10595.336426301033</v>
      </c>
      <c r="E49" s="121" t="s">
        <v>3693</v>
      </c>
      <c r="H49" s="88" t="s">
        <v>2771</v>
      </c>
      <c r="I49" s="89" t="s">
        <v>3732</v>
      </c>
      <c r="J49" s="1091"/>
      <c r="K49" s="187">
        <v>10595</v>
      </c>
      <c r="L49" s="188" t="s">
        <v>3693</v>
      </c>
    </row>
  </sheetData>
  <mergeCells count="13">
    <mergeCell ref="J44:J49"/>
    <mergeCell ref="H1:L1"/>
    <mergeCell ref="J4:J13"/>
    <mergeCell ref="J14:J20"/>
    <mergeCell ref="J21:J25"/>
    <mergeCell ref="J26:J43"/>
    <mergeCell ref="A1:E1"/>
    <mergeCell ref="C4:C13"/>
    <mergeCell ref="C44:C49"/>
    <mergeCell ref="C21:C25"/>
    <mergeCell ref="C26:C43"/>
    <mergeCell ref="E35:E36"/>
    <mergeCell ref="C14:C20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048B2-A01A-42E6-A129-2E8D8224B0AC}">
  <sheetPr codeName="Sheet7"/>
  <dimension ref="A1"/>
  <sheetViews>
    <sheetView workbookViewId="0"/>
  </sheetViews>
  <sheetFormatPr defaultColWidth="9.109375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48BFC-7EC3-4900-86BA-7216120AA2C1}">
  <sheetPr codeName="Sheet6"/>
  <dimension ref="A1:W36"/>
  <sheetViews>
    <sheetView topLeftCell="H1" workbookViewId="0">
      <selection activeCell="Q9" sqref="Q9"/>
    </sheetView>
  </sheetViews>
  <sheetFormatPr defaultColWidth="11.44140625" defaultRowHeight="14.4" x14ac:dyDescent="0.3"/>
  <cols>
    <col min="1" max="7" width="0" hidden="1" customWidth="1"/>
  </cols>
  <sheetData>
    <row r="1" spans="1:23" ht="49.5" customHeight="1" x14ac:dyDescent="0.3">
      <c r="A1" s="91"/>
      <c r="B1" s="1095" t="s">
        <v>3674</v>
      </c>
      <c r="C1" s="1095"/>
      <c r="D1" s="44"/>
      <c r="E1" s="1095" t="s">
        <v>3675</v>
      </c>
      <c r="F1" s="1095"/>
      <c r="G1" s="1095"/>
      <c r="K1" s="42"/>
      <c r="L1" s="1097" t="s">
        <v>3674</v>
      </c>
      <c r="M1" s="1097"/>
      <c r="N1" s="43"/>
      <c r="O1" s="1097" t="s">
        <v>3675</v>
      </c>
      <c r="P1" s="1097"/>
      <c r="Q1" s="1097"/>
    </row>
    <row r="2" spans="1:23" ht="15" customHeight="1" x14ac:dyDescent="0.3">
      <c r="A2" s="1096" t="s">
        <v>3676</v>
      </c>
      <c r="B2" s="92" t="s">
        <v>3677</v>
      </c>
      <c r="C2" s="92" t="s">
        <v>3677</v>
      </c>
      <c r="D2" s="1096"/>
      <c r="E2" s="1095" t="s">
        <v>3679</v>
      </c>
      <c r="F2" s="1095" t="s">
        <v>3680</v>
      </c>
      <c r="G2" s="1095" t="s">
        <v>3681</v>
      </c>
      <c r="K2" s="1098" t="s">
        <v>3676</v>
      </c>
      <c r="L2" s="189" t="s">
        <v>3677</v>
      </c>
      <c r="M2" s="189" t="s">
        <v>3677</v>
      </c>
      <c r="N2" s="1099" t="s">
        <v>3678</v>
      </c>
      <c r="O2" s="1097" t="s">
        <v>3679</v>
      </c>
      <c r="P2" s="1097" t="s">
        <v>3680</v>
      </c>
      <c r="Q2" s="1097" t="s">
        <v>3681</v>
      </c>
    </row>
    <row r="3" spans="1:23" x14ac:dyDescent="0.3">
      <c r="A3" s="1096"/>
      <c r="B3" s="92"/>
      <c r="C3" s="92"/>
      <c r="D3" s="1096"/>
      <c r="E3" s="1095"/>
      <c r="F3" s="1095"/>
      <c r="G3" s="1095"/>
      <c r="K3" s="1098"/>
      <c r="L3" s="189"/>
      <c r="M3" s="189"/>
      <c r="N3" s="1099"/>
      <c r="O3" s="1097"/>
      <c r="P3" s="1097"/>
      <c r="Q3" s="1097"/>
    </row>
    <row r="4" spans="1:23" ht="66" x14ac:dyDescent="0.3">
      <c r="A4" s="1096"/>
      <c r="B4" s="92" t="s">
        <v>3685</v>
      </c>
      <c r="C4" s="92" t="s">
        <v>3686</v>
      </c>
      <c r="D4" s="1096"/>
      <c r="E4" s="1095"/>
      <c r="F4" s="1095"/>
      <c r="G4" s="1095"/>
      <c r="K4" s="1098"/>
      <c r="L4" s="189" t="s">
        <v>3685</v>
      </c>
      <c r="M4" s="189" t="s">
        <v>3686</v>
      </c>
      <c r="N4" s="1099"/>
      <c r="O4" s="1097"/>
      <c r="P4" s="1097"/>
      <c r="Q4" s="1097"/>
    </row>
    <row r="5" spans="1:23" x14ac:dyDescent="0.3">
      <c r="A5" s="44">
        <v>0.5</v>
      </c>
      <c r="B5" s="44">
        <v>8</v>
      </c>
      <c r="C5" s="93">
        <v>0.27</v>
      </c>
      <c r="D5" s="44"/>
      <c r="E5" s="44">
        <v>0</v>
      </c>
      <c r="F5" s="93">
        <v>0.27</v>
      </c>
      <c r="G5" s="94">
        <v>0</v>
      </c>
      <c r="K5" s="43">
        <v>0.5</v>
      </c>
      <c r="L5" s="43">
        <v>8</v>
      </c>
      <c r="M5" s="190">
        <v>0.27</v>
      </c>
      <c r="N5" s="203">
        <f>L5+O5</f>
        <v>8</v>
      </c>
      <c r="O5" s="43">
        <v>0</v>
      </c>
      <c r="P5" s="190">
        <v>0.27</v>
      </c>
      <c r="Q5" s="191">
        <f>ROUND(G5,)</f>
        <v>0</v>
      </c>
    </row>
    <row r="6" spans="1:23" x14ac:dyDescent="0.3">
      <c r="A6" s="44">
        <v>1</v>
      </c>
      <c r="B6" s="44">
        <v>15</v>
      </c>
      <c r="C6" s="93">
        <v>0.26</v>
      </c>
      <c r="D6" s="44"/>
      <c r="E6" s="44">
        <v>0</v>
      </c>
      <c r="F6" s="93">
        <v>0.26</v>
      </c>
      <c r="G6" s="94">
        <v>0</v>
      </c>
      <c r="K6" s="43">
        <v>1</v>
      </c>
      <c r="L6" s="43">
        <v>15</v>
      </c>
      <c r="M6" s="190">
        <v>0.26</v>
      </c>
      <c r="N6" s="203">
        <f t="shared" ref="N6:N36" si="0">L6+O6</f>
        <v>15</v>
      </c>
      <c r="O6" s="43">
        <v>0</v>
      </c>
      <c r="P6" s="190">
        <v>0.26</v>
      </c>
      <c r="Q6" s="191">
        <f t="shared" ref="Q6:Q36" si="1">ROUND(G6,)</f>
        <v>0</v>
      </c>
      <c r="U6" s="976"/>
      <c r="V6" s="977"/>
      <c r="W6" s="977"/>
    </row>
    <row r="7" spans="1:23" x14ac:dyDescent="0.3">
      <c r="A7" s="44">
        <v>2</v>
      </c>
      <c r="B7" s="44">
        <v>20</v>
      </c>
      <c r="C7" s="93">
        <v>0.17</v>
      </c>
      <c r="D7" s="44"/>
      <c r="E7" s="44">
        <v>10</v>
      </c>
      <c r="F7" s="93">
        <v>0.26</v>
      </c>
      <c r="G7" s="94">
        <v>8.9</v>
      </c>
      <c r="K7" s="43">
        <v>2</v>
      </c>
      <c r="L7" s="43">
        <v>20</v>
      </c>
      <c r="M7" s="190">
        <v>0.17</v>
      </c>
      <c r="N7" s="203">
        <f t="shared" si="0"/>
        <v>30</v>
      </c>
      <c r="O7" s="43">
        <v>10</v>
      </c>
      <c r="P7" s="190">
        <v>0.26</v>
      </c>
      <c r="Q7" s="191">
        <f t="shared" si="1"/>
        <v>9</v>
      </c>
    </row>
    <row r="8" spans="1:23" x14ac:dyDescent="0.3">
      <c r="A8" s="44">
        <v>4</v>
      </c>
      <c r="B8" s="44">
        <v>40</v>
      </c>
      <c r="C8" s="93">
        <v>0.17</v>
      </c>
      <c r="D8" s="44"/>
      <c r="E8" s="44">
        <v>30</v>
      </c>
      <c r="F8" s="93">
        <v>0.3</v>
      </c>
      <c r="G8" s="94">
        <v>26.7</v>
      </c>
      <c r="K8" s="43">
        <v>4</v>
      </c>
      <c r="L8" s="43">
        <v>40</v>
      </c>
      <c r="M8" s="190">
        <v>0.17</v>
      </c>
      <c r="N8" s="203">
        <f t="shared" si="0"/>
        <v>70</v>
      </c>
      <c r="O8" s="43">
        <v>30</v>
      </c>
      <c r="P8" s="190">
        <v>0.3</v>
      </c>
      <c r="Q8" s="191">
        <f t="shared" si="1"/>
        <v>27</v>
      </c>
    </row>
    <row r="9" spans="1:23" x14ac:dyDescent="0.3">
      <c r="A9" s="44">
        <v>6</v>
      </c>
      <c r="B9" s="44">
        <v>60</v>
      </c>
      <c r="C9" s="93">
        <v>0.17</v>
      </c>
      <c r="D9" s="44"/>
      <c r="E9" s="44">
        <v>40</v>
      </c>
      <c r="F9" s="93">
        <v>0.28000000000000003</v>
      </c>
      <c r="G9" s="94">
        <v>35.6</v>
      </c>
      <c r="K9" s="43">
        <v>6</v>
      </c>
      <c r="L9" s="43">
        <v>60</v>
      </c>
      <c r="M9" s="190">
        <v>0.17</v>
      </c>
      <c r="N9" s="203">
        <f t="shared" si="0"/>
        <v>100</v>
      </c>
      <c r="O9" s="43">
        <v>40</v>
      </c>
      <c r="P9" s="190">
        <v>0.28000000000000003</v>
      </c>
      <c r="Q9" s="191">
        <f t="shared" si="1"/>
        <v>36</v>
      </c>
    </row>
    <row r="10" spans="1:23" x14ac:dyDescent="0.3">
      <c r="A10" s="44">
        <v>10</v>
      </c>
      <c r="B10" s="44">
        <v>120</v>
      </c>
      <c r="C10" s="93">
        <v>0.2</v>
      </c>
      <c r="D10" s="44"/>
      <c r="E10" s="44">
        <v>60</v>
      </c>
      <c r="F10" s="93">
        <v>0.31</v>
      </c>
      <c r="G10" s="94">
        <v>5.4</v>
      </c>
      <c r="K10" s="43">
        <v>10</v>
      </c>
      <c r="L10" s="43">
        <v>120</v>
      </c>
      <c r="M10" s="190">
        <v>0.2</v>
      </c>
      <c r="N10" s="203">
        <f t="shared" si="0"/>
        <v>180</v>
      </c>
      <c r="O10" s="43">
        <v>60</v>
      </c>
      <c r="P10" s="190">
        <v>0.31</v>
      </c>
      <c r="Q10" s="191">
        <f t="shared" si="1"/>
        <v>5</v>
      </c>
    </row>
    <row r="11" spans="1:23" x14ac:dyDescent="0.3">
      <c r="A11" s="44">
        <v>15</v>
      </c>
      <c r="B11" s="44">
        <v>200</v>
      </c>
      <c r="C11" s="93">
        <v>0.23</v>
      </c>
      <c r="D11" s="44"/>
      <c r="E11" s="44">
        <v>60</v>
      </c>
      <c r="F11" s="93">
        <v>0.28999999999999998</v>
      </c>
      <c r="G11" s="94">
        <v>5.4</v>
      </c>
      <c r="K11" s="43">
        <v>15</v>
      </c>
      <c r="L11" s="43">
        <v>200</v>
      </c>
      <c r="M11" s="190">
        <v>0.23</v>
      </c>
      <c r="N11" s="203">
        <f t="shared" si="0"/>
        <v>260</v>
      </c>
      <c r="O11" s="43">
        <v>60</v>
      </c>
      <c r="P11" s="190">
        <v>0.28999999999999998</v>
      </c>
      <c r="Q11" s="191">
        <f t="shared" si="1"/>
        <v>5</v>
      </c>
    </row>
    <row r="12" spans="1:23" x14ac:dyDescent="0.3">
      <c r="A12" s="44">
        <v>20</v>
      </c>
      <c r="B12" s="44">
        <v>300</v>
      </c>
      <c r="C12" s="93">
        <v>0.26</v>
      </c>
      <c r="D12" s="44"/>
      <c r="E12" s="44">
        <v>50</v>
      </c>
      <c r="F12" s="93">
        <v>0.3</v>
      </c>
      <c r="G12" s="94">
        <v>4.5</v>
      </c>
      <c r="K12" s="43">
        <v>20</v>
      </c>
      <c r="L12" s="43">
        <v>300</v>
      </c>
      <c r="M12" s="190">
        <v>0.26</v>
      </c>
      <c r="N12" s="203">
        <f t="shared" si="0"/>
        <v>350</v>
      </c>
      <c r="O12" s="43">
        <v>50</v>
      </c>
      <c r="P12" s="190">
        <v>0.3</v>
      </c>
      <c r="Q12" s="191">
        <f t="shared" si="1"/>
        <v>5</v>
      </c>
    </row>
    <row r="13" spans="1:23" x14ac:dyDescent="0.3">
      <c r="A13" s="44">
        <v>25</v>
      </c>
      <c r="B13" s="44">
        <v>350</v>
      </c>
      <c r="C13" s="93">
        <v>0.24</v>
      </c>
      <c r="D13" s="44"/>
      <c r="E13" s="44">
        <v>100</v>
      </c>
      <c r="F13" s="93">
        <v>0.31</v>
      </c>
      <c r="G13" s="94">
        <v>9</v>
      </c>
      <c r="K13" s="43">
        <v>25</v>
      </c>
      <c r="L13" s="43">
        <v>350</v>
      </c>
      <c r="M13" s="190">
        <v>0.24</v>
      </c>
      <c r="N13" s="203">
        <f t="shared" si="0"/>
        <v>450</v>
      </c>
      <c r="O13" s="43">
        <v>100</v>
      </c>
      <c r="P13" s="190">
        <v>0.31</v>
      </c>
      <c r="Q13" s="191">
        <f t="shared" si="1"/>
        <v>9</v>
      </c>
    </row>
    <row r="14" spans="1:23" x14ac:dyDescent="0.3">
      <c r="A14" s="44">
        <v>30</v>
      </c>
      <c r="B14" s="44">
        <v>400</v>
      </c>
      <c r="C14" s="93">
        <v>0.23</v>
      </c>
      <c r="D14" s="44"/>
      <c r="E14" s="44">
        <v>150</v>
      </c>
      <c r="F14" s="93">
        <v>0.31</v>
      </c>
      <c r="G14" s="94">
        <v>13.5</v>
      </c>
      <c r="K14" s="43">
        <v>30</v>
      </c>
      <c r="L14" s="43">
        <v>400</v>
      </c>
      <c r="M14" s="190">
        <v>0.23</v>
      </c>
      <c r="N14" s="203">
        <f t="shared" si="0"/>
        <v>550</v>
      </c>
      <c r="O14" s="43">
        <v>150</v>
      </c>
      <c r="P14" s="190">
        <v>0.31</v>
      </c>
      <c r="Q14" s="191">
        <f t="shared" si="1"/>
        <v>14</v>
      </c>
    </row>
    <row r="15" spans="1:23" x14ac:dyDescent="0.3">
      <c r="A15" s="44">
        <v>50</v>
      </c>
      <c r="B15" s="44">
        <v>500</v>
      </c>
      <c r="C15" s="93">
        <v>0.17</v>
      </c>
      <c r="D15" s="44"/>
      <c r="E15" s="44">
        <v>400</v>
      </c>
      <c r="F15" s="93">
        <v>0.31</v>
      </c>
      <c r="G15" s="94">
        <v>36</v>
      </c>
      <c r="K15" s="43">
        <v>50</v>
      </c>
      <c r="L15" s="43">
        <v>500</v>
      </c>
      <c r="M15" s="190">
        <v>0.17</v>
      </c>
      <c r="N15" s="203">
        <f t="shared" si="0"/>
        <v>900</v>
      </c>
      <c r="O15" s="43">
        <v>400</v>
      </c>
      <c r="P15" s="190">
        <v>0.31</v>
      </c>
      <c r="Q15" s="191">
        <f t="shared" si="1"/>
        <v>36</v>
      </c>
    </row>
    <row r="16" spans="1:23" x14ac:dyDescent="0.3">
      <c r="A16" s="44">
        <v>100</v>
      </c>
      <c r="B16" s="44">
        <v>600</v>
      </c>
      <c r="C16" s="93">
        <v>0.1</v>
      </c>
      <c r="D16" s="44"/>
      <c r="E16" s="44">
        <v>1200</v>
      </c>
      <c r="F16" s="93">
        <v>0.31</v>
      </c>
      <c r="G16" s="94">
        <v>108</v>
      </c>
      <c r="J16" s="239"/>
      <c r="K16" s="236">
        <v>100</v>
      </c>
      <c r="L16" s="236">
        <v>600</v>
      </c>
      <c r="M16" s="240">
        <v>0.1</v>
      </c>
      <c r="N16" s="237">
        <f t="shared" si="0"/>
        <v>1800</v>
      </c>
      <c r="O16" s="236">
        <v>1200</v>
      </c>
      <c r="P16" s="240">
        <v>0.31</v>
      </c>
      <c r="Q16" s="241">
        <f t="shared" si="1"/>
        <v>108</v>
      </c>
      <c r="R16" s="239"/>
      <c r="S16">
        <f>300*0.09</f>
        <v>27</v>
      </c>
    </row>
    <row r="17" spans="1:17" x14ac:dyDescent="0.3">
      <c r="A17" s="44">
        <v>150</v>
      </c>
      <c r="B17" s="44">
        <v>700</v>
      </c>
      <c r="C17" s="93">
        <v>0.08</v>
      </c>
      <c r="D17" s="44"/>
      <c r="E17" s="44">
        <v>1900</v>
      </c>
      <c r="F17" s="93">
        <v>0.28999999999999998</v>
      </c>
      <c r="G17" s="94">
        <v>171</v>
      </c>
      <c r="K17" s="43">
        <v>150</v>
      </c>
      <c r="L17" s="43">
        <v>700</v>
      </c>
      <c r="M17" s="190">
        <v>0.08</v>
      </c>
      <c r="N17" s="203">
        <f t="shared" si="0"/>
        <v>2600</v>
      </c>
      <c r="O17" s="43">
        <v>1900</v>
      </c>
      <c r="P17" s="190">
        <v>0.28999999999999998</v>
      </c>
      <c r="Q17" s="191">
        <f t="shared" si="1"/>
        <v>171</v>
      </c>
    </row>
    <row r="18" spans="1:17" x14ac:dyDescent="0.3">
      <c r="A18" s="44">
        <v>200</v>
      </c>
      <c r="B18" s="44">
        <v>800</v>
      </c>
      <c r="C18" s="93">
        <v>7.0000000000000007E-2</v>
      </c>
      <c r="D18" s="44"/>
      <c r="E18" s="44">
        <v>2800</v>
      </c>
      <c r="F18" s="93">
        <v>0.31</v>
      </c>
      <c r="G18" s="94">
        <v>252</v>
      </c>
      <c r="K18" s="43">
        <v>200</v>
      </c>
      <c r="L18" s="43">
        <v>800</v>
      </c>
      <c r="M18" s="190">
        <v>7.0000000000000007E-2</v>
      </c>
      <c r="N18" s="203">
        <f t="shared" si="0"/>
        <v>3600</v>
      </c>
      <c r="O18" s="43">
        <v>2800</v>
      </c>
      <c r="P18" s="190">
        <v>0.31</v>
      </c>
      <c r="Q18" s="191">
        <f t="shared" si="1"/>
        <v>252</v>
      </c>
    </row>
    <row r="19" spans="1:17" x14ac:dyDescent="0.3">
      <c r="A19" s="44">
        <v>300</v>
      </c>
      <c r="B19" s="44">
        <v>900</v>
      </c>
      <c r="C19" s="93">
        <v>0.05</v>
      </c>
      <c r="D19" s="44"/>
      <c r="E19" s="44">
        <v>4600</v>
      </c>
      <c r="F19" s="93">
        <v>0.31</v>
      </c>
      <c r="G19" s="94">
        <v>414</v>
      </c>
      <c r="K19" s="43">
        <v>300</v>
      </c>
      <c r="L19" s="43">
        <v>900</v>
      </c>
      <c r="M19" s="190">
        <v>0.05</v>
      </c>
      <c r="N19" s="203">
        <f t="shared" si="0"/>
        <v>5500</v>
      </c>
      <c r="O19" s="43">
        <v>4600</v>
      </c>
      <c r="P19" s="190">
        <v>0.31</v>
      </c>
      <c r="Q19" s="191">
        <f t="shared" si="1"/>
        <v>414</v>
      </c>
    </row>
    <row r="20" spans="1:17" x14ac:dyDescent="0.3">
      <c r="A20" s="44">
        <v>400</v>
      </c>
      <c r="B20" s="44">
        <v>1000</v>
      </c>
      <c r="C20" s="93">
        <v>0.04</v>
      </c>
      <c r="D20" s="44"/>
      <c r="E20" s="44">
        <v>6000</v>
      </c>
      <c r="F20" s="93">
        <v>0.3</v>
      </c>
      <c r="G20" s="94">
        <v>540</v>
      </c>
      <c r="K20" s="43">
        <v>400</v>
      </c>
      <c r="L20" s="43">
        <v>1000</v>
      </c>
      <c r="M20" s="190">
        <v>0.04</v>
      </c>
      <c r="N20" s="203">
        <f t="shared" si="0"/>
        <v>7000</v>
      </c>
      <c r="O20" s="43">
        <v>6000</v>
      </c>
      <c r="P20" s="190">
        <v>0.3</v>
      </c>
      <c r="Q20" s="191">
        <f t="shared" si="1"/>
        <v>540</v>
      </c>
    </row>
    <row r="21" spans="1:17" x14ac:dyDescent="0.3">
      <c r="A21" s="44">
        <v>500</v>
      </c>
      <c r="B21" s="44">
        <v>1200</v>
      </c>
      <c r="C21" s="93">
        <v>0.04</v>
      </c>
      <c r="D21" s="44"/>
      <c r="E21" s="44">
        <v>7800</v>
      </c>
      <c r="F21" s="93">
        <v>0.31</v>
      </c>
      <c r="G21" s="94">
        <v>702</v>
      </c>
      <c r="K21" s="43">
        <v>500</v>
      </c>
      <c r="L21" s="43">
        <v>1200</v>
      </c>
      <c r="M21" s="190">
        <v>0.04</v>
      </c>
      <c r="N21" s="203">
        <f t="shared" si="0"/>
        <v>9000</v>
      </c>
      <c r="O21" s="43">
        <v>7800</v>
      </c>
      <c r="P21" s="190">
        <v>0.31</v>
      </c>
      <c r="Q21" s="191">
        <f t="shared" si="1"/>
        <v>702</v>
      </c>
    </row>
    <row r="22" spans="1:17" x14ac:dyDescent="0.3">
      <c r="A22" s="44">
        <v>600</v>
      </c>
      <c r="B22" s="44">
        <v>1200</v>
      </c>
      <c r="C22" s="93">
        <v>0.03</v>
      </c>
      <c r="D22" s="44"/>
      <c r="E22" s="44">
        <v>8800</v>
      </c>
      <c r="F22" s="93">
        <v>0.28000000000000003</v>
      </c>
      <c r="G22" s="94">
        <v>792</v>
      </c>
      <c r="K22" s="43">
        <v>600</v>
      </c>
      <c r="L22" s="43">
        <v>1200</v>
      </c>
      <c r="M22" s="190">
        <v>0.03</v>
      </c>
      <c r="N22" s="203">
        <f t="shared" si="0"/>
        <v>10000</v>
      </c>
      <c r="O22" s="43">
        <v>8800</v>
      </c>
      <c r="P22" s="190">
        <v>0.28000000000000003</v>
      </c>
      <c r="Q22" s="191">
        <f t="shared" si="1"/>
        <v>792</v>
      </c>
    </row>
    <row r="23" spans="1:17" x14ac:dyDescent="0.3">
      <c r="A23" s="44">
        <v>700</v>
      </c>
      <c r="B23" s="44">
        <v>1200</v>
      </c>
      <c r="C23" s="93">
        <v>0.03</v>
      </c>
      <c r="D23" s="44"/>
      <c r="E23" s="44">
        <v>8800</v>
      </c>
      <c r="F23" s="93">
        <v>0.24</v>
      </c>
      <c r="G23" s="94">
        <v>792</v>
      </c>
      <c r="K23" s="43">
        <v>700</v>
      </c>
      <c r="L23" s="43">
        <v>1200</v>
      </c>
      <c r="M23" s="190">
        <v>0.03</v>
      </c>
      <c r="N23" s="203">
        <f t="shared" si="0"/>
        <v>10000</v>
      </c>
      <c r="O23" s="43">
        <v>8800</v>
      </c>
      <c r="P23" s="190">
        <v>0.24</v>
      </c>
      <c r="Q23" s="191">
        <f t="shared" si="1"/>
        <v>792</v>
      </c>
    </row>
    <row r="24" spans="1:17" x14ac:dyDescent="0.3">
      <c r="A24" s="44">
        <v>800</v>
      </c>
      <c r="B24" s="44">
        <v>1200</v>
      </c>
      <c r="C24" s="93">
        <v>0.03</v>
      </c>
      <c r="D24" s="44"/>
      <c r="E24" s="44">
        <v>13800</v>
      </c>
      <c r="F24" s="93">
        <v>0.32</v>
      </c>
      <c r="G24" s="94">
        <v>1242</v>
      </c>
      <c r="K24" s="43">
        <v>800</v>
      </c>
      <c r="L24" s="43">
        <v>1200</v>
      </c>
      <c r="M24" s="190">
        <v>0.03</v>
      </c>
      <c r="N24" s="203">
        <f t="shared" si="0"/>
        <v>15000</v>
      </c>
      <c r="O24" s="43">
        <v>13800</v>
      </c>
      <c r="P24" s="190">
        <v>0.32</v>
      </c>
      <c r="Q24" s="191">
        <f t="shared" si="1"/>
        <v>1242</v>
      </c>
    </row>
    <row r="25" spans="1:17" x14ac:dyDescent="0.3">
      <c r="A25" s="95">
        <v>1000</v>
      </c>
      <c r="B25" s="44">
        <v>1200</v>
      </c>
      <c r="C25" s="93">
        <v>0.02</v>
      </c>
      <c r="D25" s="44"/>
      <c r="E25" s="44">
        <v>18800</v>
      </c>
      <c r="F25" s="93">
        <v>0.34</v>
      </c>
      <c r="G25" s="94">
        <v>1692</v>
      </c>
      <c r="K25" s="192">
        <v>1000</v>
      </c>
      <c r="L25" s="43">
        <v>1200</v>
      </c>
      <c r="M25" s="190">
        <v>0.02</v>
      </c>
      <c r="N25" s="203">
        <f t="shared" si="0"/>
        <v>20000</v>
      </c>
      <c r="O25" s="43">
        <v>18800</v>
      </c>
      <c r="P25" s="190">
        <v>0.34</v>
      </c>
      <c r="Q25" s="191">
        <f t="shared" si="1"/>
        <v>1692</v>
      </c>
    </row>
    <row r="26" spans="1:17" x14ac:dyDescent="0.3">
      <c r="A26" s="95">
        <v>1500</v>
      </c>
      <c r="B26" s="44">
        <v>1200</v>
      </c>
      <c r="C26" s="93">
        <v>0.01</v>
      </c>
      <c r="D26" s="44"/>
      <c r="E26" s="44">
        <v>23800</v>
      </c>
      <c r="F26" s="93">
        <v>0.28000000000000003</v>
      </c>
      <c r="G26" s="94">
        <v>2142</v>
      </c>
      <c r="K26" s="192">
        <v>1500</v>
      </c>
      <c r="L26" s="43">
        <v>1200</v>
      </c>
      <c r="M26" s="190">
        <v>0.01</v>
      </c>
      <c r="N26" s="203">
        <f t="shared" si="0"/>
        <v>25000</v>
      </c>
      <c r="O26" s="43">
        <v>23800</v>
      </c>
      <c r="P26" s="190">
        <v>0.28000000000000003</v>
      </c>
      <c r="Q26" s="191">
        <f t="shared" si="1"/>
        <v>2142</v>
      </c>
    </row>
    <row r="27" spans="1:17" x14ac:dyDescent="0.3">
      <c r="A27" s="95">
        <v>2000</v>
      </c>
      <c r="B27" s="44">
        <v>1200</v>
      </c>
      <c r="C27" s="93">
        <v>0.01</v>
      </c>
      <c r="D27" s="44"/>
      <c r="E27" s="44">
        <v>28800</v>
      </c>
      <c r="F27" s="93">
        <v>0.26</v>
      </c>
      <c r="G27" s="94">
        <v>2592</v>
      </c>
      <c r="K27" s="192">
        <v>2000</v>
      </c>
      <c r="L27" s="43">
        <v>1200</v>
      </c>
      <c r="M27" s="190">
        <v>0.01</v>
      </c>
      <c r="N27" s="203">
        <f t="shared" si="0"/>
        <v>30000</v>
      </c>
      <c r="O27" s="43">
        <v>28800</v>
      </c>
      <c r="P27" s="190">
        <v>0.26</v>
      </c>
      <c r="Q27" s="191">
        <f t="shared" si="1"/>
        <v>2592</v>
      </c>
    </row>
    <row r="28" spans="1:17" x14ac:dyDescent="0.3">
      <c r="A28" s="95">
        <v>2500</v>
      </c>
      <c r="B28" s="44">
        <v>1200</v>
      </c>
      <c r="C28" s="93">
        <v>0.01</v>
      </c>
      <c r="D28" s="44"/>
      <c r="E28" s="44">
        <v>28800</v>
      </c>
      <c r="F28" s="93">
        <v>0.2</v>
      </c>
      <c r="G28" s="94">
        <v>2592</v>
      </c>
      <c r="K28" s="192">
        <v>2500</v>
      </c>
      <c r="L28" s="43">
        <v>1200</v>
      </c>
      <c r="M28" s="190">
        <v>0.01</v>
      </c>
      <c r="N28" s="203">
        <f t="shared" si="0"/>
        <v>30000</v>
      </c>
      <c r="O28" s="43">
        <v>28800</v>
      </c>
      <c r="P28" s="190">
        <v>0.2</v>
      </c>
      <c r="Q28" s="191">
        <f t="shared" si="1"/>
        <v>2592</v>
      </c>
    </row>
    <row r="29" spans="1:17" x14ac:dyDescent="0.3">
      <c r="A29" s="95">
        <v>3000</v>
      </c>
      <c r="B29" s="44">
        <v>1200</v>
      </c>
      <c r="C29" s="93">
        <v>0.01</v>
      </c>
      <c r="D29" s="44"/>
      <c r="E29" s="44">
        <v>28800</v>
      </c>
      <c r="F29" s="93">
        <v>0.17</v>
      </c>
      <c r="G29" s="94">
        <v>2592</v>
      </c>
      <c r="K29" s="192">
        <v>3000</v>
      </c>
      <c r="L29" s="43">
        <v>1200</v>
      </c>
      <c r="M29" s="190">
        <v>0.01</v>
      </c>
      <c r="N29" s="203">
        <f t="shared" si="0"/>
        <v>30000</v>
      </c>
      <c r="O29" s="43">
        <v>28800</v>
      </c>
      <c r="P29" s="190">
        <v>0.17</v>
      </c>
      <c r="Q29" s="191">
        <f t="shared" si="1"/>
        <v>2592</v>
      </c>
    </row>
    <row r="30" spans="1:17" x14ac:dyDescent="0.3">
      <c r="A30" s="95">
        <v>4000</v>
      </c>
      <c r="B30" s="44">
        <v>1200</v>
      </c>
      <c r="C30" s="93">
        <v>0.01</v>
      </c>
      <c r="D30" s="44"/>
      <c r="E30" s="44">
        <v>28800</v>
      </c>
      <c r="F30" s="93">
        <v>0.13</v>
      </c>
      <c r="G30" s="94">
        <v>2592</v>
      </c>
      <c r="K30" s="192">
        <v>4000</v>
      </c>
      <c r="L30" s="43">
        <v>1200</v>
      </c>
      <c r="M30" s="190">
        <v>0.01</v>
      </c>
      <c r="N30" s="203">
        <f t="shared" si="0"/>
        <v>30000</v>
      </c>
      <c r="O30" s="43">
        <v>28800</v>
      </c>
      <c r="P30" s="190">
        <v>0.13</v>
      </c>
      <c r="Q30" s="191">
        <f t="shared" si="1"/>
        <v>2592</v>
      </c>
    </row>
    <row r="31" spans="1:17" x14ac:dyDescent="0.3">
      <c r="A31" s="95">
        <v>5000</v>
      </c>
      <c r="B31" s="44">
        <v>1200</v>
      </c>
      <c r="C31" s="93">
        <v>0</v>
      </c>
      <c r="D31" s="44"/>
      <c r="E31" s="44">
        <v>28800</v>
      </c>
      <c r="F31" s="93">
        <v>0.1</v>
      </c>
      <c r="G31" s="94">
        <v>2592</v>
      </c>
      <c r="K31" s="192">
        <v>5000</v>
      </c>
      <c r="L31" s="43">
        <v>1200</v>
      </c>
      <c r="M31" s="190">
        <v>0</v>
      </c>
      <c r="N31" s="203">
        <f t="shared" si="0"/>
        <v>30000</v>
      </c>
      <c r="O31" s="43">
        <v>28800</v>
      </c>
      <c r="P31" s="190">
        <v>0.1</v>
      </c>
      <c r="Q31" s="191">
        <f t="shared" si="1"/>
        <v>2592</v>
      </c>
    </row>
    <row r="32" spans="1:17" x14ac:dyDescent="0.3">
      <c r="A32" s="95">
        <v>6000</v>
      </c>
      <c r="B32" s="44">
        <v>1200</v>
      </c>
      <c r="C32" s="93">
        <v>0</v>
      </c>
      <c r="D32" s="44"/>
      <c r="E32" s="44">
        <v>28800</v>
      </c>
      <c r="F32" s="93">
        <v>0.09</v>
      </c>
      <c r="G32" s="94">
        <v>2592</v>
      </c>
      <c r="K32" s="192">
        <v>6000</v>
      </c>
      <c r="L32" s="43">
        <v>1200</v>
      </c>
      <c r="M32" s="190">
        <v>0</v>
      </c>
      <c r="N32" s="203">
        <f t="shared" si="0"/>
        <v>30000</v>
      </c>
      <c r="O32" s="43">
        <v>28800</v>
      </c>
      <c r="P32" s="190">
        <v>0.09</v>
      </c>
      <c r="Q32" s="191">
        <f t="shared" si="1"/>
        <v>2592</v>
      </c>
    </row>
    <row r="33" spans="1:17" x14ac:dyDescent="0.3">
      <c r="A33" s="95">
        <v>7000</v>
      </c>
      <c r="B33" s="44">
        <v>1200</v>
      </c>
      <c r="C33" s="93">
        <v>0</v>
      </c>
      <c r="D33" s="44"/>
      <c r="E33" s="44">
        <v>28800</v>
      </c>
      <c r="F33" s="93">
        <v>7.0000000000000007E-2</v>
      </c>
      <c r="G33" s="94">
        <v>2592</v>
      </c>
      <c r="K33" s="192">
        <v>7000</v>
      </c>
      <c r="L33" s="43">
        <v>1200</v>
      </c>
      <c r="M33" s="190">
        <v>0</v>
      </c>
      <c r="N33" s="203">
        <f t="shared" si="0"/>
        <v>30000</v>
      </c>
      <c r="O33" s="43">
        <v>28800</v>
      </c>
      <c r="P33" s="190">
        <v>7.0000000000000007E-2</v>
      </c>
      <c r="Q33" s="191">
        <f t="shared" si="1"/>
        <v>2592</v>
      </c>
    </row>
    <row r="34" spans="1:17" x14ac:dyDescent="0.3">
      <c r="A34" s="95">
        <v>8000</v>
      </c>
      <c r="B34" s="44">
        <v>1200</v>
      </c>
      <c r="C34" s="93">
        <v>0</v>
      </c>
      <c r="D34" s="44"/>
      <c r="E34" s="44">
        <v>28800</v>
      </c>
      <c r="F34" s="93">
        <v>0.06</v>
      </c>
      <c r="G34" s="94">
        <v>2592</v>
      </c>
      <c r="K34" s="192">
        <v>8000</v>
      </c>
      <c r="L34" s="43">
        <v>1200</v>
      </c>
      <c r="M34" s="190">
        <v>0</v>
      </c>
      <c r="N34" s="203">
        <f t="shared" si="0"/>
        <v>30000</v>
      </c>
      <c r="O34" s="43">
        <v>28800</v>
      </c>
      <c r="P34" s="190">
        <v>0.06</v>
      </c>
      <c r="Q34" s="191">
        <f t="shared" si="1"/>
        <v>2592</v>
      </c>
    </row>
    <row r="35" spans="1:17" x14ac:dyDescent="0.3">
      <c r="A35" s="95">
        <v>9000</v>
      </c>
      <c r="B35" s="44">
        <v>1200</v>
      </c>
      <c r="C35" s="93">
        <v>0</v>
      </c>
      <c r="D35" s="44"/>
      <c r="E35" s="44">
        <v>28800</v>
      </c>
      <c r="F35" s="93">
        <v>0.06</v>
      </c>
      <c r="G35" s="94">
        <v>2592</v>
      </c>
      <c r="K35" s="192">
        <v>9000</v>
      </c>
      <c r="L35" s="43">
        <v>1200</v>
      </c>
      <c r="M35" s="190">
        <v>0</v>
      </c>
      <c r="N35" s="203">
        <f t="shared" si="0"/>
        <v>30000</v>
      </c>
      <c r="O35" s="43">
        <v>28800</v>
      </c>
      <c r="P35" s="190">
        <v>0.06</v>
      </c>
      <c r="Q35" s="191">
        <f t="shared" si="1"/>
        <v>2592</v>
      </c>
    </row>
    <row r="36" spans="1:17" x14ac:dyDescent="0.3">
      <c r="A36" s="95">
        <v>10000</v>
      </c>
      <c r="B36" s="44">
        <v>1200</v>
      </c>
      <c r="C36" s="93">
        <v>0</v>
      </c>
      <c r="D36" s="44"/>
      <c r="E36" s="44">
        <v>28800</v>
      </c>
      <c r="F36" s="93">
        <v>0.05</v>
      </c>
      <c r="G36" s="94">
        <v>2592</v>
      </c>
      <c r="K36" s="192">
        <v>10000</v>
      </c>
      <c r="L36" s="43">
        <v>1200</v>
      </c>
      <c r="M36" s="190">
        <v>0</v>
      </c>
      <c r="N36" s="203">
        <f t="shared" si="0"/>
        <v>30000</v>
      </c>
      <c r="O36" s="43">
        <v>28800</v>
      </c>
      <c r="P36" s="190">
        <v>0.05</v>
      </c>
      <c r="Q36" s="191">
        <f t="shared" si="1"/>
        <v>2592</v>
      </c>
    </row>
  </sheetData>
  <autoFilter ref="A4:Q4" xr:uid="{16648BFC-7EC3-4900-86BA-7216120AA2C1}"/>
  <mergeCells count="14">
    <mergeCell ref="L1:M1"/>
    <mergeCell ref="O1:Q1"/>
    <mergeCell ref="K2:K4"/>
    <mergeCell ref="N2:N4"/>
    <mergeCell ref="O2:O4"/>
    <mergeCell ref="P2:P4"/>
    <mergeCell ref="Q2:Q4"/>
    <mergeCell ref="B1:C1"/>
    <mergeCell ref="E1:G1"/>
    <mergeCell ref="A2:A4"/>
    <mergeCell ref="D2:D4"/>
    <mergeCell ref="E2:E4"/>
    <mergeCell ref="F2:F4"/>
    <mergeCell ref="G2:G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4003e67-955c-4bcf-b405-af0f36571e2d" xsi:nil="true"/>
    <lcf76f155ced4ddcb4097134ff3c332f xmlns="c0545118-e90d-4a7b-96cf-45ce578fe8fd">
      <Terms xmlns="http://schemas.microsoft.com/office/infopath/2007/PartnerControls"/>
    </lcf76f155ced4ddcb4097134ff3c332f>
    <SharedWithUsers xmlns="44003e67-955c-4bcf-b405-af0f36571e2d">
      <UserInfo>
        <DisplayName>MORIN Marielle OBS/FZ</DisplayName>
        <AccountId>19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0DA4B82042D94BB21D9E647F389341" ma:contentTypeVersion="13" ma:contentTypeDescription="Crée un document." ma:contentTypeScope="" ma:versionID="b3f99d5dac14b2f1180e5c20bcaad333">
  <xsd:schema xmlns:xsd="http://www.w3.org/2001/XMLSchema" xmlns:xs="http://www.w3.org/2001/XMLSchema" xmlns:p="http://schemas.microsoft.com/office/2006/metadata/properties" xmlns:ns2="c0545118-e90d-4a7b-96cf-45ce578fe8fd" xmlns:ns3="44003e67-955c-4bcf-b405-af0f36571e2d" targetNamespace="http://schemas.microsoft.com/office/2006/metadata/properties" ma:root="true" ma:fieldsID="e6d181e96bd82ebe0803be021bd667cc" ns2:_="" ns3:_="">
    <xsd:import namespace="c0545118-e90d-4a7b-96cf-45ce578fe8fd"/>
    <xsd:import namespace="44003e67-955c-4bcf-b405-af0f36571e2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545118-e90d-4a7b-96cf-45ce578fe8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aa8976df-9c6d-4c47-88b7-85635e50fb4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003e67-955c-4bcf-b405-af0f36571e2d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4928dfe5-e566-4b27-883d-84f850b5377e}" ma:internalName="TaxCatchAll" ma:showField="CatchAllData" ma:web="44003e67-955c-4bcf-b405-af0f36571e2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058EC5-1BD3-4348-AE3C-77F05DFEB962}">
  <ds:schemaRefs>
    <ds:schemaRef ds:uri="http://schemas.microsoft.com/office/2006/metadata/properties"/>
    <ds:schemaRef ds:uri="http://purl.org/dc/dcmitype/"/>
    <ds:schemaRef ds:uri="c0545118-e90d-4a7b-96cf-45ce578fe8fd"/>
    <ds:schemaRef ds:uri="44003e67-955c-4bcf-b405-af0f36571e2d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7427B1DD-8D43-4E8B-B3E4-28C67C227B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1C5BED-F379-4388-B660-0CAB0BE3D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545118-e90d-4a7b-96cf-45ce578fe8fd"/>
    <ds:schemaRef ds:uri="44003e67-955c-4bcf-b405-af0f36571e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20260309 suivi sites</vt:lpstr>
      <vt:lpstr>Facturation PAS RIN5 RUN</vt:lpstr>
      <vt:lpstr>créations à facturer</vt:lpstr>
      <vt:lpstr>fastupgrade 2025 2026</vt:lpstr>
      <vt:lpstr>sites résiliés</vt:lpstr>
      <vt:lpstr>parc SATIN 08012026v</vt:lpstr>
      <vt:lpstr>BPU PA B S G PM</vt:lpstr>
      <vt:lpstr>BPU DOM</vt:lpstr>
      <vt:lpstr>Sheet1</vt:lpstr>
      <vt:lpstr>CANAUX</vt:lpstr>
      <vt:lpstr>Cnx_voix</vt:lpstr>
    </vt:vector>
  </TitlesOfParts>
  <Manager/>
  <Company>ORANGE FT Group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bilal.deletoille@orange.com</dc:creator>
  <cp:keywords/>
  <dc:description/>
  <cp:lastModifiedBy>SEYE Mame Ale OBS/OBF</cp:lastModifiedBy>
  <cp:revision/>
  <dcterms:created xsi:type="dcterms:W3CDTF">2018-11-29T09:16:27Z</dcterms:created>
  <dcterms:modified xsi:type="dcterms:W3CDTF">2026-03-24T10:42:50Z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0x010100DD0DA4B82042D94BB21D9E647F389341</vt:lpwstr>
  </property>
  <property fmtid="{D5CDD505-2E9C-101B-9397-08002B2CF9AE}" pid="3" name="MediaServiceImageTags">
    <vt:lpwstr/>
  </property>
  <property fmtid="{D5CDD505-2E9C-101B-9397-08002B2CF9AE}" pid="4" name="MSIP_Label_e6c818a6-e1a0-4a6e-a969-20d857c5dc62_Enabled">
    <vt:lpwstr>true</vt:lpwstr>
  </property>
  <property fmtid="{D5CDD505-2E9C-101B-9397-08002B2CF9AE}" pid="5" name="MSIP_Label_e6c818a6-e1a0-4a6e-a969-20d857c5dc62_SetDate">
    <vt:lpwstr>2023-03-21T14:11:21Z</vt:lpwstr>
  </property>
  <property fmtid="{D5CDD505-2E9C-101B-9397-08002B2CF9AE}" pid="6" name="MSIP_Label_e6c818a6-e1a0-4a6e-a969-20d857c5dc62_Method">
    <vt:lpwstr>Standard</vt:lpwstr>
  </property>
  <property fmtid="{D5CDD505-2E9C-101B-9397-08002B2CF9AE}" pid="7" name="MSIP_Label_e6c818a6-e1a0-4a6e-a969-20d857c5dc62_Name">
    <vt:lpwstr>Orange_restricted_internal.2</vt:lpwstr>
  </property>
  <property fmtid="{D5CDD505-2E9C-101B-9397-08002B2CF9AE}" pid="8" name="MSIP_Label_e6c818a6-e1a0-4a6e-a969-20d857c5dc62_SiteId">
    <vt:lpwstr>90c7a20a-f34b-40bf-bc48-b9253b6f5d20</vt:lpwstr>
  </property>
  <property fmtid="{D5CDD505-2E9C-101B-9397-08002B2CF9AE}" pid="9" name="MSIP_Label_e6c818a6-e1a0-4a6e-a969-20d857c5dc62_ActionId">
    <vt:lpwstr>dfa804f6-4afe-48cb-9113-b322dc1862bf</vt:lpwstr>
  </property>
  <property fmtid="{D5CDD505-2E9C-101B-9397-08002B2CF9AE}" pid="10" name="MSIP_Label_e6c818a6-e1a0-4a6e-a969-20d857c5dc62_ContentBits">
    <vt:lpwstr>2</vt:lpwstr>
  </property>
</Properties>
</file>